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trlProps/ctrlProp3.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fongb\Desktop\MITB\IS602 - Spreadsheets Modeling for Decision Making\Project\Group 5 - Project Submission\"/>
    </mc:Choice>
  </mc:AlternateContent>
  <xr:revisionPtr revIDLastSave="0" documentId="13_ncr:1_{832DB650-9C64-4799-93F4-E826D6F60A70}" xr6:coauthVersionLast="47" xr6:coauthVersionMax="47" xr10:uidLastSave="{00000000-0000-0000-0000-000000000000}"/>
  <bookViews>
    <workbookView xWindow="-120" yWindow="-120" windowWidth="29040" windowHeight="15840" xr2:uid="{4D51420F-57F7-6449-B57B-34B02FFA4448}"/>
  </bookViews>
  <sheets>
    <sheet name="Welcome" sheetId="33" r:id="rId1"/>
    <sheet name="UI (High-Lvl)" sheetId="35" r:id="rId2"/>
    <sheet name="UI Validation (High-Lvl)" sheetId="32" state="hidden" r:id="rId3"/>
    <sheet name="Schedule (High-Lvl)" sheetId="36" r:id="rId4"/>
    <sheet name="UI (Detailed)" sheetId="34" r:id="rId5"/>
    <sheet name="UI Validation (Detailed)" sheetId="39" state="hidden" r:id="rId6"/>
    <sheet name="Schedule (Detailed)" sheetId="40" r:id="rId7"/>
    <sheet name="Model 1 - Double Solver" sheetId="27" r:id="rId8"/>
    <sheet name="Model 2 - Permutations" sheetId="44" r:id="rId9"/>
    <sheet name="Sensitivity Analysis" sheetId="45" r:id="rId10"/>
    <sheet name="Master Wait Times" sheetId="17" r:id="rId11"/>
    <sheet name="Master Ride Times" sheetId="3" r:id="rId12"/>
    <sheet name="Master Walk Times" sheetId="2" r:id="rId13"/>
  </sheets>
  <definedNames>
    <definedName name="solver_adj" localSheetId="7" hidden="1">'Model 1 - Double Solver'!$C$19:$H$25</definedName>
    <definedName name="solver_adj" localSheetId="1" hidden="1">'UI (High-Lvl)'!$C$19:$H$25</definedName>
    <definedName name="solver_cvg" localSheetId="7" hidden="1">0.0001</definedName>
    <definedName name="solver_drv" localSheetId="7" hidden="1">1</definedName>
    <definedName name="solver_eng" localSheetId="7" hidden="1">1</definedName>
    <definedName name="solver_eng" localSheetId="1" hidden="1">1</definedName>
    <definedName name="solver_est" localSheetId="7" hidden="1">1</definedName>
    <definedName name="solver_itr" localSheetId="7" hidden="1">2147483647</definedName>
    <definedName name="solver_lhs1" localSheetId="7" hidden="1">'Model 1 - Double Solver'!$C$26:$G$26</definedName>
    <definedName name="solver_lhs1" localSheetId="1" hidden="1">'UI (High-Lvl)'!$C$26:$G$26</definedName>
    <definedName name="solver_lhs10" localSheetId="7" hidden="1">'Model 1 - Double Solver'!$L$19:$L$25</definedName>
    <definedName name="solver_lhs11" localSheetId="7" hidden="1">'Model 1 - Double Solver'!$C$26:$G$26</definedName>
    <definedName name="solver_lhs12" localSheetId="7" hidden="1">'Model 1 - Double Solver'!$C$19:$H$25</definedName>
    <definedName name="solver_lhs13" localSheetId="7" hidden="1">'Model 1 - Double Solver'!$L$19:$L$25</definedName>
    <definedName name="solver_lhs14" localSheetId="7" hidden="1">'Model 1 - Double Solver'!$H$19:$H$25</definedName>
    <definedName name="solver_lhs15" localSheetId="7" hidden="1">'Model 1 - Double Solver'!$L$19:$L$25</definedName>
    <definedName name="solver_lhs16" localSheetId="7" hidden="1">'Model 1 - Double Solver'!$C$26:$G$26</definedName>
    <definedName name="solver_lhs17" localSheetId="7" hidden="1">'Model 1 - Double Solver'!$C$19:$H$25</definedName>
    <definedName name="solver_lhs18" localSheetId="7" hidden="1">'Model 1 - Double Solver'!$L$19:$L$25</definedName>
    <definedName name="solver_lhs19" localSheetId="7" hidden="1">'Model 1 - Double Solver'!$H$19:$H$25</definedName>
    <definedName name="solver_lhs2" localSheetId="7" hidden="1">'Model 1 - Double Solver'!$C$19:$H$25</definedName>
    <definedName name="solver_lhs2" localSheetId="1" hidden="1">'UI (High-Lvl)'!$C$19:$H$25</definedName>
    <definedName name="solver_lhs20" localSheetId="7" hidden="1">'Model 1 - Double Solver'!$L$19:$L$25</definedName>
    <definedName name="solver_lhs21" localSheetId="7" hidden="1">'Model 1 - Double Solver'!$C$26:$G$26</definedName>
    <definedName name="solver_lhs22" localSheetId="7" hidden="1">'Model 1 - Double Solver'!$C$19:$H$25</definedName>
    <definedName name="solver_lhs23" localSheetId="7" hidden="1">'Model 1 - Double Solver'!$L$19:$L$25</definedName>
    <definedName name="solver_lhs24" localSheetId="7" hidden="1">'Model 1 - Double Solver'!$H$19:$H$25</definedName>
    <definedName name="solver_lhs25" localSheetId="7" hidden="1">'Model 1 - Double Solver'!$L$19:$L$25</definedName>
    <definedName name="solver_lhs26" localSheetId="7" hidden="1">'Model 1 - Double Solver'!$C$26:$G$26</definedName>
    <definedName name="solver_lhs27" localSheetId="7" hidden="1">'Model 1 - Double Solver'!$C$19:$H$25</definedName>
    <definedName name="solver_lhs28" localSheetId="7" hidden="1">'Model 1 - Double Solver'!$L$19:$L$25</definedName>
    <definedName name="solver_lhs29" localSheetId="7" hidden="1">'Model 1 - Double Solver'!$H$19:$H$25</definedName>
    <definedName name="solver_lhs3" localSheetId="7" hidden="1">'Model 1 - Double Solver'!$L$19:$L$25</definedName>
    <definedName name="solver_lhs3" localSheetId="1" hidden="1">'UI (High-Lvl)'!$L$19:$L$25</definedName>
    <definedName name="solver_lhs30" localSheetId="7" hidden="1">'Model 1 - Double Solver'!$L$19:$L$25</definedName>
    <definedName name="solver_lhs31" localSheetId="7" hidden="1">'Model 1 - Double Solver'!$C$26:$G$26</definedName>
    <definedName name="solver_lhs32" localSheetId="7" hidden="1">'Model 1 - Double Solver'!$C$19:$H$25</definedName>
    <definedName name="solver_lhs33" localSheetId="7" hidden="1">'Model 1 - Double Solver'!$L$19:$L$25</definedName>
    <definedName name="solver_lhs34" localSheetId="7" hidden="1">'Model 1 - Double Solver'!$H$19:$H$25</definedName>
    <definedName name="solver_lhs35" localSheetId="7" hidden="1">'Model 1 - Double Solver'!$L$19:$L$25</definedName>
    <definedName name="solver_lhs36" localSheetId="7" hidden="1">'Model 1 - Double Solver'!$C$26:$G$26</definedName>
    <definedName name="solver_lhs37" localSheetId="7" hidden="1">'Model 1 - Double Solver'!$C$19:$H$25</definedName>
    <definedName name="solver_lhs38" localSheetId="7" hidden="1">'Model 1 - Double Solver'!$L$19:$L$25</definedName>
    <definedName name="solver_lhs39" localSheetId="7" hidden="1">'Model 1 - Double Solver'!$H$19:$H$25</definedName>
    <definedName name="solver_lhs4" localSheetId="7" hidden="1">'Model 1 - Double Solver'!$H$19:$H$25</definedName>
    <definedName name="solver_lhs4" localSheetId="1" hidden="1">'UI (High-Lvl)'!$H$19:$H$25</definedName>
    <definedName name="solver_lhs40" localSheetId="7" hidden="1">'Model 1 - Double Solver'!$L$19:$L$25</definedName>
    <definedName name="solver_lhs41" localSheetId="7" hidden="1">'Model 1 - Double Solver'!$C$26:$G$26</definedName>
    <definedName name="solver_lhs42" localSheetId="7" hidden="1">'Model 1 - Double Solver'!$C$19:$H$25</definedName>
    <definedName name="solver_lhs43" localSheetId="7" hidden="1">'Model 1 - Double Solver'!$L$19:$L$25</definedName>
    <definedName name="solver_lhs44" localSheetId="7" hidden="1">'Model 1 - Double Solver'!$H$19:$H$25</definedName>
    <definedName name="solver_lhs45" localSheetId="7" hidden="1">'Model 1 - Double Solver'!$L$19:$L$25</definedName>
    <definedName name="solver_lhs46" localSheetId="7" hidden="1">'Model 1 - Double Solver'!$C$26:$G$26</definedName>
    <definedName name="solver_lhs47" localSheetId="7" hidden="1">'Model 1 - Double Solver'!$C$19:$H$25</definedName>
    <definedName name="solver_lhs48" localSheetId="7" hidden="1">'Model 1 - Double Solver'!$L$19:$L$25</definedName>
    <definedName name="solver_lhs49" localSheetId="7" hidden="1">'Model 1 - Double Solver'!$H$19:$H$25</definedName>
    <definedName name="solver_lhs5" localSheetId="7" hidden="1">'Model 1 - Double Solver'!$L$19:$L$25</definedName>
    <definedName name="solver_lhs5" localSheetId="1" hidden="1">'UI (High-Lvl)'!$L$19:$L$25</definedName>
    <definedName name="solver_lhs50" localSheetId="7" hidden="1">'Model 1 - Double Solver'!$L$19:$L$25</definedName>
    <definedName name="solver_lhs51" localSheetId="7" hidden="1">'Model 1 - Double Solver'!$C$26:$G$26</definedName>
    <definedName name="solver_lhs52" localSheetId="7" hidden="1">'Model 1 - Double Solver'!$C$19:$H$25</definedName>
    <definedName name="solver_lhs53" localSheetId="7" hidden="1">'Model 1 - Double Solver'!$L$19:$L$25</definedName>
    <definedName name="solver_lhs54" localSheetId="7" hidden="1">'Model 1 - Double Solver'!$H$19:$H$25</definedName>
    <definedName name="solver_lhs55" localSheetId="7" hidden="1">'Model 1 - Double Solver'!$L$19:$L$25</definedName>
    <definedName name="solver_lhs6" localSheetId="7" hidden="1">'Model 1 - Double Solver'!$C$26:$G$26</definedName>
    <definedName name="solver_lhs7" localSheetId="7" hidden="1">'Model 1 - Double Solver'!$C$19:$H$25</definedName>
    <definedName name="solver_lhs8" localSheetId="7" hidden="1">'Model 1 - Double Solver'!$L$19:$L$25</definedName>
    <definedName name="solver_lhs9" localSheetId="7" hidden="1">'Model 1 - Double Solver'!$H$19:$H$25</definedName>
    <definedName name="solver_lin" localSheetId="7" hidden="1">2</definedName>
    <definedName name="solver_mip" localSheetId="7" hidden="1">2147483647</definedName>
    <definedName name="solver_mni" localSheetId="7" hidden="1">30</definedName>
    <definedName name="solver_mrt" localSheetId="7" hidden="1">0.075</definedName>
    <definedName name="solver_msl" localSheetId="7" hidden="1">2</definedName>
    <definedName name="solver_neg" localSheetId="7" hidden="1">1</definedName>
    <definedName name="solver_neg" localSheetId="1" hidden="1">1</definedName>
    <definedName name="solver_nod" localSheetId="7" hidden="1">2147483647</definedName>
    <definedName name="solver_num" localSheetId="7" hidden="1">5</definedName>
    <definedName name="solver_num" localSheetId="1" hidden="1">5</definedName>
    <definedName name="solver_nwt" localSheetId="7" hidden="1">1</definedName>
    <definedName name="solver_opt" localSheetId="7" hidden="1">'Model 1 - Double Solver'!$C$14</definedName>
    <definedName name="solver_opt" localSheetId="1" hidden="1">'UI (High-Lvl)'!$C$14</definedName>
    <definedName name="solver_pre" localSheetId="7" hidden="1">0.000001</definedName>
    <definedName name="solver_rbv" localSheetId="7" hidden="1">1</definedName>
    <definedName name="solver_rel1" localSheetId="7" hidden="1">2</definedName>
    <definedName name="solver_rel1" localSheetId="1" hidden="1">2</definedName>
    <definedName name="solver_rel10" localSheetId="7" hidden="1">1</definedName>
    <definedName name="solver_rel11" localSheetId="7" hidden="1">3</definedName>
    <definedName name="solver_rel12" localSheetId="7" hidden="1">5</definedName>
    <definedName name="solver_rel13" localSheetId="7" hidden="1">1</definedName>
    <definedName name="solver_rel14" localSheetId="7" hidden="1">2</definedName>
    <definedName name="solver_rel15" localSheetId="7" hidden="1">1</definedName>
    <definedName name="solver_rel16" localSheetId="7" hidden="1">3</definedName>
    <definedName name="solver_rel17" localSheetId="7" hidden="1">5</definedName>
    <definedName name="solver_rel18" localSheetId="7" hidden="1">1</definedName>
    <definedName name="solver_rel19" localSheetId="7" hidden="1">2</definedName>
    <definedName name="solver_rel2" localSheetId="7" hidden="1">5</definedName>
    <definedName name="solver_rel2" localSheetId="1" hidden="1">5</definedName>
    <definedName name="solver_rel20" localSheetId="7" hidden="1">1</definedName>
    <definedName name="solver_rel21" localSheetId="7" hidden="1">3</definedName>
    <definedName name="solver_rel22" localSheetId="7" hidden="1">5</definedName>
    <definedName name="solver_rel23" localSheetId="7" hidden="1">1</definedName>
    <definedName name="solver_rel24" localSheetId="7" hidden="1">2</definedName>
    <definedName name="solver_rel25" localSheetId="7" hidden="1">1</definedName>
    <definedName name="solver_rel26" localSheetId="7" hidden="1">3</definedName>
    <definedName name="solver_rel27" localSheetId="7" hidden="1">5</definedName>
    <definedName name="solver_rel28" localSheetId="7" hidden="1">1</definedName>
    <definedName name="solver_rel29" localSheetId="7" hidden="1">2</definedName>
    <definedName name="solver_rel3" localSheetId="7" hidden="1">1</definedName>
    <definedName name="solver_rel3" localSheetId="1" hidden="1">1</definedName>
    <definedName name="solver_rel30" localSheetId="7" hidden="1">1</definedName>
    <definedName name="solver_rel31" localSheetId="7" hidden="1">3</definedName>
    <definedName name="solver_rel32" localSheetId="7" hidden="1">5</definedName>
    <definedName name="solver_rel33" localSheetId="7" hidden="1">1</definedName>
    <definedName name="solver_rel34" localSheetId="7" hidden="1">2</definedName>
    <definedName name="solver_rel35" localSheetId="7" hidden="1">1</definedName>
    <definedName name="solver_rel36" localSheetId="7" hidden="1">3</definedName>
    <definedName name="solver_rel37" localSheetId="7" hidden="1">5</definedName>
    <definedName name="solver_rel38" localSheetId="7" hidden="1">1</definedName>
    <definedName name="solver_rel39" localSheetId="7" hidden="1">2</definedName>
    <definedName name="solver_rel4" localSheetId="7" hidden="1">2</definedName>
    <definedName name="solver_rel4" localSheetId="1" hidden="1">2</definedName>
    <definedName name="solver_rel40" localSheetId="7" hidden="1">1</definedName>
    <definedName name="solver_rel41" localSheetId="7" hidden="1">3</definedName>
    <definedName name="solver_rel42" localSheetId="7" hidden="1">5</definedName>
    <definedName name="solver_rel43" localSheetId="7" hidden="1">1</definedName>
    <definedName name="solver_rel44" localSheetId="7" hidden="1">2</definedName>
    <definedName name="solver_rel45" localSheetId="7" hidden="1">1</definedName>
    <definedName name="solver_rel46" localSheetId="7" hidden="1">2</definedName>
    <definedName name="solver_rel47" localSheetId="7" hidden="1">5</definedName>
    <definedName name="solver_rel48" localSheetId="7" hidden="1">1</definedName>
    <definedName name="solver_rel49" localSheetId="7" hidden="1">2</definedName>
    <definedName name="solver_rel5" localSheetId="7" hidden="1">1</definedName>
    <definedName name="solver_rel5" localSheetId="1" hidden="1">1</definedName>
    <definedName name="solver_rel50" localSheetId="7" hidden="1">1</definedName>
    <definedName name="solver_rel51" localSheetId="7" hidden="1">2</definedName>
    <definedName name="solver_rel52" localSheetId="7" hidden="1">5</definedName>
    <definedName name="solver_rel53" localSheetId="7" hidden="1">1</definedName>
    <definedName name="solver_rel54" localSheetId="7" hidden="1">2</definedName>
    <definedName name="solver_rel55" localSheetId="7" hidden="1">1</definedName>
    <definedName name="solver_rel6" localSheetId="7" hidden="1">3</definedName>
    <definedName name="solver_rel7" localSheetId="7" hidden="1">5</definedName>
    <definedName name="solver_rel8" localSheetId="7" hidden="1">1</definedName>
    <definedName name="solver_rel9" localSheetId="7" hidden="1">2</definedName>
    <definedName name="solver_rhs1" localSheetId="7" hidden="1">'Model 1 - Double Solver'!$C$28:$G$28</definedName>
    <definedName name="solver_rhs1" localSheetId="1" hidden="1">'UI (High-Lvl)'!$C$28:$G$28</definedName>
    <definedName name="solver_rhs10" localSheetId="7" hidden="1">'Model 1 - Double Solver'!$R$19:$R$25</definedName>
    <definedName name="solver_rhs11" localSheetId="7" hidden="1">'Model 1 - Double Solver'!$C$28:$G$28</definedName>
    <definedName name="solver_rhs12" localSheetId="7" hidden="1">"binary"</definedName>
    <definedName name="solver_rhs13" localSheetId="7" hidden="1">'Model 1 - Double Solver'!$N$19:$N$25</definedName>
    <definedName name="solver_rhs14" localSheetId="7" hidden="1">'Model 1 - Double Solver'!$J$19:$J$25</definedName>
    <definedName name="solver_rhs15" localSheetId="7" hidden="1">'Model 1 - Double Solver'!$R$19:$R$25</definedName>
    <definedName name="solver_rhs16" localSheetId="7" hidden="1">'Model 1 - Double Solver'!$C$28:$G$28</definedName>
    <definedName name="solver_rhs17" localSheetId="7" hidden="1">"binary"</definedName>
    <definedName name="solver_rhs18" localSheetId="7" hidden="1">'Model 1 - Double Solver'!$N$19:$N$25</definedName>
    <definedName name="solver_rhs19" localSheetId="7" hidden="1">'Model 1 - Double Solver'!$J$19:$J$25</definedName>
    <definedName name="solver_rhs2" localSheetId="7" hidden="1">"binary"</definedName>
    <definedName name="solver_rhs2" localSheetId="1" hidden="1">"binary"</definedName>
    <definedName name="solver_rhs20" localSheetId="7" hidden="1">'Model 1 - Double Solver'!$R$19:$R$25</definedName>
    <definedName name="solver_rhs21" localSheetId="7" hidden="1">'Model 1 - Double Solver'!$C$28:$G$28</definedName>
    <definedName name="solver_rhs22" localSheetId="7" hidden="1">"binary"</definedName>
    <definedName name="solver_rhs23" localSheetId="7" hidden="1">'Model 1 - Double Solver'!$N$19:$N$25</definedName>
    <definedName name="solver_rhs24" localSheetId="7" hidden="1">'Model 1 - Double Solver'!$J$19:$J$25</definedName>
    <definedName name="solver_rhs25" localSheetId="7" hidden="1">'Model 1 - Double Solver'!$R$19:$R$25</definedName>
    <definedName name="solver_rhs26" localSheetId="7" hidden="1">'Model 1 - Double Solver'!$C$28:$G$28</definedName>
    <definedName name="solver_rhs27" localSheetId="7" hidden="1">"binary"</definedName>
    <definedName name="solver_rhs28" localSheetId="7" hidden="1">'Model 1 - Double Solver'!$N$19:$N$25</definedName>
    <definedName name="solver_rhs29" localSheetId="7" hidden="1">'Model 1 - Double Solver'!$J$19:$J$25</definedName>
    <definedName name="solver_rhs3" localSheetId="7" hidden="1">'Model 1 - Double Solver'!$N$19:$N$25</definedName>
    <definedName name="solver_rhs3" localSheetId="1" hidden="1">'UI (High-Lvl)'!$N$19:$N$25</definedName>
    <definedName name="solver_rhs30" localSheetId="7" hidden="1">'Model 1 - Double Solver'!$R$19:$R$25</definedName>
    <definedName name="solver_rhs31" localSheetId="7" hidden="1">'Model 1 - Double Solver'!$C$28:$G$28</definedName>
    <definedName name="solver_rhs32" localSheetId="7" hidden="1">"binary"</definedName>
    <definedName name="solver_rhs33" localSheetId="7" hidden="1">'Model 1 - Double Solver'!$N$19:$N$25</definedName>
    <definedName name="solver_rhs34" localSheetId="7" hidden="1">'Model 1 - Double Solver'!$J$19:$J$25</definedName>
    <definedName name="solver_rhs35" localSheetId="7" hidden="1">'Model 1 - Double Solver'!$R$19:$R$25</definedName>
    <definedName name="solver_rhs36" localSheetId="7" hidden="1">'Model 1 - Double Solver'!$C$28:$G$28</definedName>
    <definedName name="solver_rhs37" localSheetId="7" hidden="1">"binary"</definedName>
    <definedName name="solver_rhs38" localSheetId="7" hidden="1">'Model 1 - Double Solver'!$N$19:$N$25</definedName>
    <definedName name="solver_rhs39" localSheetId="7" hidden="1">'Model 1 - Double Solver'!$J$19:$J$25</definedName>
    <definedName name="solver_rhs4" localSheetId="7" hidden="1">'Model 1 - Double Solver'!$J$19:$J$25</definedName>
    <definedName name="solver_rhs4" localSheetId="1" hidden="1">'UI (High-Lvl)'!$J$19:$J$25</definedName>
    <definedName name="solver_rhs40" localSheetId="7" hidden="1">'Model 1 - Double Solver'!$R$19:$R$25</definedName>
    <definedName name="solver_rhs41" localSheetId="7" hidden="1">'Model 1 - Double Solver'!$C$28:$G$28</definedName>
    <definedName name="solver_rhs42" localSheetId="7" hidden="1">"binary"</definedName>
    <definedName name="solver_rhs43" localSheetId="7" hidden="1">'Model 1 - Double Solver'!$N$19:$N$25</definedName>
    <definedName name="solver_rhs44" localSheetId="7" hidden="1">'Model 1 - Double Solver'!$J$19:$J$25</definedName>
    <definedName name="solver_rhs45" localSheetId="7" hidden="1">'Model 1 - Double Solver'!$R$19:$R$25</definedName>
    <definedName name="solver_rhs46" localSheetId="7" hidden="1">'Model 1 - Double Solver'!$C$28:$G$28</definedName>
    <definedName name="solver_rhs47" localSheetId="7" hidden="1">"binary"</definedName>
    <definedName name="solver_rhs48" localSheetId="7" hidden="1">'Model 1 - Double Solver'!$N$19:$N$25</definedName>
    <definedName name="solver_rhs49" localSheetId="7" hidden="1">'Model 1 - Double Solver'!$J$19:$J$25</definedName>
    <definedName name="solver_rhs5" localSheetId="7" hidden="1">'Model 1 - Double Solver'!$R$19:$R$25</definedName>
    <definedName name="solver_rhs5" localSheetId="1" hidden="1">'UI (High-Lvl)'!$R$19:$R$25</definedName>
    <definedName name="solver_rhs50" localSheetId="7" hidden="1">'Model 1 - Double Solver'!$R$19:$R$25</definedName>
    <definedName name="solver_rhs51" localSheetId="7" hidden="1">'Model 1 - Double Solver'!$C$28:$G$28</definedName>
    <definedName name="solver_rhs52" localSheetId="7" hidden="1">"binary"</definedName>
    <definedName name="solver_rhs53" localSheetId="7" hidden="1">'Model 1 - Double Solver'!$N$19:$N$25</definedName>
    <definedName name="solver_rhs54" localSheetId="7" hidden="1">'Model 1 - Double Solver'!$J$19:$J$25</definedName>
    <definedName name="solver_rhs55" localSheetId="7" hidden="1">'Model 1 - Double Solver'!$R$19:$R$25</definedName>
    <definedName name="solver_rhs6" localSheetId="7" hidden="1">'Model 1 - Double Solver'!$C$28:$G$28</definedName>
    <definedName name="solver_rhs7" localSheetId="7" hidden="1">"binary"</definedName>
    <definedName name="solver_rhs8" localSheetId="7" hidden="1">'Model 1 - Double Solver'!$N$19:$N$25</definedName>
    <definedName name="solver_rhs9" localSheetId="7" hidden="1">'Model 1 - Double Solver'!$J$19:$J$25</definedName>
    <definedName name="solver_rlx" localSheetId="7" hidden="1">2</definedName>
    <definedName name="solver_rsd" localSheetId="7" hidden="1">0</definedName>
    <definedName name="solver_scl" localSheetId="7" hidden="1">1</definedName>
    <definedName name="solver_sho" localSheetId="7" hidden="1">2</definedName>
    <definedName name="solver_ssz" localSheetId="7" hidden="1">100</definedName>
    <definedName name="solver_tim" localSheetId="7" hidden="1">2147483647</definedName>
    <definedName name="solver_tol" localSheetId="7" hidden="1">0.01</definedName>
    <definedName name="solver_typ" localSheetId="7" hidden="1">2</definedName>
    <definedName name="solver_typ" localSheetId="1" hidden="1">2</definedName>
    <definedName name="solver_val" localSheetId="7" hidden="1">0</definedName>
    <definedName name="solver_val" localSheetId="1" hidden="1">0</definedName>
    <definedName name="solver_ver" localSheetId="7" hidden="1">3</definedName>
    <definedName name="solver_ver" localSheetId="1" hidden="1">3</definedName>
  </definedNames>
  <calcPr calcId="191028"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9" i="2" l="1"/>
  <c r="L7" i="36" a="1"/>
  <c r="L7" i="36" s="1"/>
  <c r="M7" i="36" s="1"/>
  <c r="M15" i="36"/>
  <c r="M14" i="36"/>
  <c r="N15" i="36"/>
  <c r="N14" i="36"/>
  <c r="M9" i="36" l="1"/>
  <c r="N10" i="36"/>
  <c r="M10" i="36"/>
  <c r="M11" i="36"/>
  <c r="M8" i="36"/>
  <c r="N12" i="36"/>
  <c r="N9" i="36"/>
  <c r="M13" i="36"/>
  <c r="N11" i="36"/>
  <c r="M12" i="36"/>
  <c r="N8" i="36"/>
  <c r="N13" i="36"/>
  <c r="N7" i="36"/>
  <c r="C71" i="27" l="1"/>
  <c r="C72" i="27"/>
  <c r="C73" i="27"/>
  <c r="D14" i="44"/>
  <c r="H10" i="44"/>
  <c r="H11" i="44" s="1"/>
  <c r="G10" i="44"/>
  <c r="G11" i="44" s="1"/>
  <c r="E10" i="44"/>
  <c r="E11" i="44" s="1"/>
  <c r="F10" i="44"/>
  <c r="F11" i="44" s="1"/>
  <c r="D10" i="44"/>
  <c r="D11" i="44" s="1"/>
  <c r="G6" i="44"/>
  <c r="G5" i="44"/>
  <c r="G4" i="44"/>
  <c r="D7" i="44"/>
  <c r="D6" i="44"/>
  <c r="N127" i="44" s="1"/>
  <c r="D5" i="44"/>
  <c r="D4" i="44"/>
  <c r="I34" i="39"/>
  <c r="I37" i="39" s="1" a="1"/>
  <c r="I37" i="39" s="1"/>
  <c r="I30" i="39"/>
  <c r="C30" i="39"/>
  <c r="I21" i="39"/>
  <c r="I6" i="39"/>
  <c r="J6" i="39" s="1" a="1"/>
  <c r="J6" i="39" s="1"/>
  <c r="K6" i="39" s="1" a="1"/>
  <c r="K6" i="39" s="1"/>
  <c r="G10" i="27"/>
  <c r="F10" i="27"/>
  <c r="E10" i="27"/>
  <c r="D10" i="27"/>
  <c r="C10" i="27"/>
  <c r="F6" i="27"/>
  <c r="F5" i="27"/>
  <c r="F4" i="27"/>
  <c r="C7" i="27"/>
  <c r="C6" i="27"/>
  <c r="B64" i="27" s="1"/>
  <c r="B65" i="27" s="1" a="1"/>
  <c r="B65" i="27" s="1"/>
  <c r="C5" i="27"/>
  <c r="C4" i="27"/>
  <c r="E14" i="27" s="1"/>
  <c r="I34" i="32"/>
  <c r="M37" i="32" s="1" a="1"/>
  <c r="M37" i="32" s="1"/>
  <c r="I21" i="32"/>
  <c r="I6" i="32"/>
  <c r="J6" i="32" s="1" a="1"/>
  <c r="J6" i="32" s="1"/>
  <c r="K6" i="32" s="1" a="1"/>
  <c r="K6" i="32" s="1"/>
  <c r="D195" i="44" a="1"/>
  <c r="U195" i="44" s="1"/>
  <c r="D194" i="44" a="1"/>
  <c r="AJ194" i="44" s="1"/>
  <c r="D193" i="44" a="1"/>
  <c r="G193" i="44" s="1"/>
  <c r="D192" i="44" a="1"/>
  <c r="R192" i="44" s="1"/>
  <c r="D191" i="44" a="1"/>
  <c r="AI191" i="44" s="1"/>
  <c r="D190" i="44" a="1"/>
  <c r="AI190" i="44" s="1"/>
  <c r="C40" i="44" a="1"/>
  <c r="AI40" i="44" s="1"/>
  <c r="C39" i="44" a="1"/>
  <c r="AT39" i="44" s="1"/>
  <c r="C38" i="44" a="1"/>
  <c r="AO38" i="44" s="1"/>
  <c r="C37" i="44" a="1"/>
  <c r="AG37" i="44" s="1"/>
  <c r="C36" i="44" a="1"/>
  <c r="AK36" i="44" s="1"/>
  <c r="T5" i="44"/>
  <c r="N118" i="44" l="1"/>
  <c r="N155" i="44"/>
  <c r="O155" i="44" s="1"/>
  <c r="N157" i="44"/>
  <c r="N163" i="44"/>
  <c r="O163" i="44" s="1"/>
  <c r="N165" i="44"/>
  <c r="O165" i="44" s="1"/>
  <c r="C21" i="39" a="1"/>
  <c r="C21" i="39" s="1"/>
  <c r="J21" i="39" s="1" a="1"/>
  <c r="J21" i="39" s="1"/>
  <c r="I37" i="32" a="1"/>
  <c r="I37" i="32" s="1"/>
  <c r="J37" i="32" a="1"/>
  <c r="J37" i="32" s="1"/>
  <c r="K37" i="32" a="1"/>
  <c r="K37" i="32" s="1"/>
  <c r="L37" i="32" a="1"/>
  <c r="L37" i="32" s="1"/>
  <c r="C21" i="32" a="1"/>
  <c r="C21" i="32" s="1"/>
  <c r="J21" i="32" s="1" a="1"/>
  <c r="J21" i="32" s="1"/>
  <c r="N71" i="44"/>
  <c r="N51" i="44"/>
  <c r="N53" i="44"/>
  <c r="N59" i="44"/>
  <c r="O59" i="44" s="1"/>
  <c r="N69" i="44"/>
  <c r="O69" i="44" s="1"/>
  <c r="N103" i="44"/>
  <c r="O103" i="44" s="1"/>
  <c r="N72" i="44"/>
  <c r="N74" i="44"/>
  <c r="O74" i="44" s="1"/>
  <c r="N75" i="44"/>
  <c r="O75" i="44" s="1"/>
  <c r="N76" i="44"/>
  <c r="O76" i="44" s="1"/>
  <c r="N85" i="44"/>
  <c r="O85" i="44" s="1"/>
  <c r="N97" i="44"/>
  <c r="N143" i="44"/>
  <c r="N101" i="44"/>
  <c r="O101" i="44" s="1"/>
  <c r="N47" i="44"/>
  <c r="O47" i="44" s="1"/>
  <c r="N125" i="44"/>
  <c r="O125" i="44" s="1"/>
  <c r="N49" i="44"/>
  <c r="O49" i="44" s="1"/>
  <c r="D12" i="44"/>
  <c r="E59" i="44" s="1"/>
  <c r="AN192" i="44"/>
  <c r="Z195" i="44"/>
  <c r="AA195" i="44"/>
  <c r="V195" i="44"/>
  <c r="AI38" i="44"/>
  <c r="AF38" i="44"/>
  <c r="AG38" i="44"/>
  <c r="X37" i="44"/>
  <c r="AN37" i="44"/>
  <c r="AP37" i="44"/>
  <c r="S192" i="44"/>
  <c r="AC39" i="44"/>
  <c r="N190" i="44"/>
  <c r="AJ38" i="44"/>
  <c r="M40" i="44"/>
  <c r="P190" i="44"/>
  <c r="AH195" i="44"/>
  <c r="F38" i="44"/>
  <c r="AK38" i="44"/>
  <c r="N40" i="44"/>
  <c r="Q190" i="44"/>
  <c r="J194" i="44"/>
  <c r="AI195" i="44"/>
  <c r="G38" i="44"/>
  <c r="AL38" i="44"/>
  <c r="AF40" i="44"/>
  <c r="R190" i="44"/>
  <c r="K194" i="44"/>
  <c r="AK195" i="44"/>
  <c r="H38" i="44"/>
  <c r="AM38" i="44"/>
  <c r="AJ40" i="44"/>
  <c r="T190" i="44"/>
  <c r="AC194" i="44"/>
  <c r="AM195" i="44"/>
  <c r="AB39" i="44"/>
  <c r="H39" i="44"/>
  <c r="I195" i="44"/>
  <c r="O195" i="44"/>
  <c r="O190" i="44"/>
  <c r="J38" i="44"/>
  <c r="AR38" i="44"/>
  <c r="X190" i="44"/>
  <c r="AD194" i="44"/>
  <c r="AN195" i="44"/>
  <c r="AD36" i="44"/>
  <c r="K38" i="44"/>
  <c r="L38" i="44"/>
  <c r="AJ190" i="44"/>
  <c r="N37" i="44"/>
  <c r="P38" i="44"/>
  <c r="U39" i="44"/>
  <c r="P195" i="44"/>
  <c r="Y190" i="44"/>
  <c r="AN190" i="44"/>
  <c r="K195" i="44"/>
  <c r="R37" i="44"/>
  <c r="Q38" i="44"/>
  <c r="V39" i="44"/>
  <c r="S37" i="44"/>
  <c r="S38" i="44"/>
  <c r="X39" i="44"/>
  <c r="T37" i="44"/>
  <c r="X38" i="44"/>
  <c r="Y39" i="44"/>
  <c r="L192" i="44"/>
  <c r="R195" i="44"/>
  <c r="V37" i="44"/>
  <c r="Y38" i="44"/>
  <c r="Z39" i="44"/>
  <c r="Q192" i="44"/>
  <c r="S195" i="44"/>
  <c r="W37" i="44"/>
  <c r="AB38" i="44"/>
  <c r="AA39" i="44"/>
  <c r="T195" i="44"/>
  <c r="V40" i="44"/>
  <c r="AO40" i="44"/>
  <c r="P194" i="44"/>
  <c r="AL194" i="44"/>
  <c r="H36" i="44"/>
  <c r="AR36" i="44"/>
  <c r="AK37" i="44"/>
  <c r="D40" i="44"/>
  <c r="W40" i="44"/>
  <c r="AP40" i="44"/>
  <c r="Q194" i="44"/>
  <c r="AM194" i="44"/>
  <c r="L36" i="44"/>
  <c r="AS36" i="44"/>
  <c r="AL37" i="44"/>
  <c r="E40" i="44"/>
  <c r="X40" i="44"/>
  <c r="AQ40" i="44"/>
  <c r="U194" i="44"/>
  <c r="AN194" i="44"/>
  <c r="M36" i="44"/>
  <c r="AT36" i="44"/>
  <c r="AM37" i="44"/>
  <c r="R38" i="44"/>
  <c r="AQ38" i="44"/>
  <c r="F40" i="44"/>
  <c r="Y40" i="44"/>
  <c r="AR40" i="44"/>
  <c r="S190" i="44"/>
  <c r="V194" i="44"/>
  <c r="AJ195" i="44"/>
  <c r="AE36" i="44"/>
  <c r="E36" i="44"/>
  <c r="AL36" i="44"/>
  <c r="T40" i="44"/>
  <c r="AM40" i="44"/>
  <c r="N194" i="44"/>
  <c r="AG194" i="44"/>
  <c r="F36" i="44"/>
  <c r="AM36" i="44"/>
  <c r="U40" i="44"/>
  <c r="AN40" i="44"/>
  <c r="O194" i="44"/>
  <c r="AK194" i="44"/>
  <c r="G36" i="44"/>
  <c r="AN36" i="44"/>
  <c r="R36" i="44"/>
  <c r="AU36" i="44"/>
  <c r="G40" i="44"/>
  <c r="Z40" i="44"/>
  <c r="AS40" i="44"/>
  <c r="S36" i="44"/>
  <c r="AO37" i="44"/>
  <c r="T38" i="44"/>
  <c r="H40" i="44"/>
  <c r="AA40" i="44"/>
  <c r="AT40" i="44"/>
  <c r="W190" i="44"/>
  <c r="E194" i="44"/>
  <c r="X194" i="44"/>
  <c r="J195" i="44"/>
  <c r="AL195" i="44"/>
  <c r="W194" i="44"/>
  <c r="T36" i="44"/>
  <c r="I40" i="44"/>
  <c r="AB40" i="44"/>
  <c r="AU40" i="44"/>
  <c r="F194" i="44"/>
  <c r="Y194" i="44"/>
  <c r="U36" i="44"/>
  <c r="O37" i="44"/>
  <c r="AT37" i="44"/>
  <c r="J40" i="44"/>
  <c r="AC40" i="44"/>
  <c r="G194" i="44"/>
  <c r="Z194" i="44"/>
  <c r="V36" i="44"/>
  <c r="P37" i="44"/>
  <c r="Z38" i="44"/>
  <c r="K40" i="44"/>
  <c r="AD40" i="44"/>
  <c r="AE190" i="44"/>
  <c r="H194" i="44"/>
  <c r="AA194" i="44"/>
  <c r="W36" i="44"/>
  <c r="Q37" i="44"/>
  <c r="E38" i="44"/>
  <c r="AA38" i="44"/>
  <c r="W39" i="44"/>
  <c r="L40" i="44"/>
  <c r="AE40" i="44"/>
  <c r="I194" i="44"/>
  <c r="AB194" i="44"/>
  <c r="Q195" i="44"/>
  <c r="AF36" i="44"/>
  <c r="O40" i="44"/>
  <c r="AK40" i="44"/>
  <c r="L194" i="44"/>
  <c r="AE194" i="44"/>
  <c r="D36" i="44"/>
  <c r="U37" i="44"/>
  <c r="I38" i="44"/>
  <c r="AH38" i="44"/>
  <c r="P40" i="44"/>
  <c r="AL40" i="44"/>
  <c r="M194" i="44"/>
  <c r="AF194" i="44"/>
  <c r="K193" i="44"/>
  <c r="L191" i="44"/>
  <c r="M193" i="44"/>
  <c r="N193" i="44"/>
  <c r="O118" i="44"/>
  <c r="AM193" i="44"/>
  <c r="O53" i="44"/>
  <c r="O97" i="44"/>
  <c r="AM191" i="44"/>
  <c r="C39" i="44"/>
  <c r="W191" i="44"/>
  <c r="O51" i="44"/>
  <c r="L255" i="44"/>
  <c r="M255" i="44" s="1"/>
  <c r="M225" i="44"/>
  <c r="N225" i="44" s="1"/>
  <c r="M224" i="44"/>
  <c r="N224" i="44" s="1"/>
  <c r="M223" i="44"/>
  <c r="N223" i="44" s="1"/>
  <c r="M222" i="44"/>
  <c r="N222" i="44" s="1"/>
  <c r="M221" i="44"/>
  <c r="M220" i="44"/>
  <c r="N220" i="44" s="1"/>
  <c r="M219" i="44"/>
  <c r="N219" i="44" s="1"/>
  <c r="M218" i="44"/>
  <c r="N218" i="44" s="1"/>
  <c r="M217" i="44"/>
  <c r="N217" i="44" s="1"/>
  <c r="M216" i="44"/>
  <c r="N216" i="44" s="1"/>
  <c r="M215" i="44"/>
  <c r="N215" i="44" s="1"/>
  <c r="M214" i="44"/>
  <c r="N214" i="44" s="1"/>
  <c r="M213" i="44"/>
  <c r="N213" i="44" s="1"/>
  <c r="M212" i="44"/>
  <c r="N212" i="44" s="1"/>
  <c r="M211" i="44"/>
  <c r="N211" i="44" s="1"/>
  <c r="M210" i="44"/>
  <c r="N210" i="44" s="1"/>
  <c r="M209" i="44"/>
  <c r="N209" i="44" s="1"/>
  <c r="M208" i="44"/>
  <c r="N208" i="44" s="1"/>
  <c r="M207" i="44"/>
  <c r="N207" i="44" s="1"/>
  <c r="M206" i="44"/>
  <c r="N206" i="44" s="1"/>
  <c r="M205" i="44"/>
  <c r="M204" i="44"/>
  <c r="M203" i="44"/>
  <c r="N203" i="44" s="1"/>
  <c r="M202" i="44"/>
  <c r="N202" i="44" s="1"/>
  <c r="L253" i="44"/>
  <c r="M253" i="44" s="1"/>
  <c r="L254" i="44"/>
  <c r="M254" i="44" s="1"/>
  <c r="N158" i="44"/>
  <c r="O158" i="44" s="1"/>
  <c r="N159" i="44"/>
  <c r="O159" i="44" s="1"/>
  <c r="N152" i="44"/>
  <c r="N136" i="44"/>
  <c r="O136" i="44" s="1"/>
  <c r="N120" i="44"/>
  <c r="N145" i="44"/>
  <c r="N129" i="44"/>
  <c r="N154" i="44"/>
  <c r="N138" i="44"/>
  <c r="O138" i="44" s="1"/>
  <c r="N122" i="44"/>
  <c r="L257" i="44"/>
  <c r="N140" i="44"/>
  <c r="N137" i="44"/>
  <c r="O137" i="44" s="1"/>
  <c r="N134" i="44"/>
  <c r="O134" i="44" s="1"/>
  <c r="N102" i="44"/>
  <c r="O102" i="44" s="1"/>
  <c r="N162" i="44"/>
  <c r="N142" i="44"/>
  <c r="N139" i="44"/>
  <c r="O139" i="44" s="1"/>
  <c r="N111" i="44"/>
  <c r="O111" i="44" s="1"/>
  <c r="N147" i="44"/>
  <c r="O147" i="44" s="1"/>
  <c r="N144" i="44"/>
  <c r="O144" i="44" s="1"/>
  <c r="N141" i="44"/>
  <c r="N146" i="44"/>
  <c r="O146" i="44" s="1"/>
  <c r="N133" i="44"/>
  <c r="O133" i="44" s="1"/>
  <c r="N105" i="44"/>
  <c r="N100" i="44"/>
  <c r="N84" i="44"/>
  <c r="N156" i="44"/>
  <c r="O156" i="44" s="1"/>
  <c r="N123" i="44"/>
  <c r="O123" i="44" s="1"/>
  <c r="N112" i="44"/>
  <c r="O112" i="44" s="1"/>
  <c r="N104" i="44"/>
  <c r="O104" i="44" s="1"/>
  <c r="N93" i="44"/>
  <c r="N161" i="44"/>
  <c r="N149" i="44"/>
  <c r="O149" i="44" s="1"/>
  <c r="L258" i="44"/>
  <c r="N160" i="44"/>
  <c r="N148" i="44"/>
  <c r="N132" i="44"/>
  <c r="N113" i="44"/>
  <c r="N87" i="44"/>
  <c r="N80" i="44"/>
  <c r="N64" i="44"/>
  <c r="N48" i="44"/>
  <c r="N151" i="44"/>
  <c r="N135" i="44"/>
  <c r="O135" i="44" s="1"/>
  <c r="N86" i="44"/>
  <c r="O86" i="44" s="1"/>
  <c r="N73" i="44"/>
  <c r="O73" i="44" s="1"/>
  <c r="N57" i="44"/>
  <c r="O57" i="44" s="1"/>
  <c r="N131" i="44"/>
  <c r="N119" i="44"/>
  <c r="O119" i="44" s="1"/>
  <c r="N110" i="44"/>
  <c r="O110" i="44" s="1"/>
  <c r="N106" i="44"/>
  <c r="O106" i="44" s="1"/>
  <c r="N82" i="44"/>
  <c r="N66" i="44"/>
  <c r="O66" i="44" s="1"/>
  <c r="N50" i="44"/>
  <c r="O50" i="44" s="1"/>
  <c r="N121" i="44"/>
  <c r="N92" i="44"/>
  <c r="N89" i="44"/>
  <c r="N61" i="44"/>
  <c r="N58" i="44"/>
  <c r="N55" i="44"/>
  <c r="N114" i="44"/>
  <c r="O114" i="44" s="1"/>
  <c r="N90" i="44"/>
  <c r="O90" i="44" s="1"/>
  <c r="N107" i="44"/>
  <c r="O107" i="44" s="1"/>
  <c r="N63" i="44"/>
  <c r="O63" i="44" s="1"/>
  <c r="N60" i="44"/>
  <c r="O60" i="44" s="1"/>
  <c r="N130" i="44"/>
  <c r="O130" i="44" s="1"/>
  <c r="N128" i="44"/>
  <c r="O128" i="44" s="1"/>
  <c r="N95" i="44"/>
  <c r="N68" i="44"/>
  <c r="O68" i="44" s="1"/>
  <c r="N65" i="44"/>
  <c r="O65" i="44" s="1"/>
  <c r="N62" i="44"/>
  <c r="N70" i="44"/>
  <c r="O70" i="44" s="1"/>
  <c r="N67" i="44"/>
  <c r="N79" i="44"/>
  <c r="N109" i="44"/>
  <c r="N94" i="44"/>
  <c r="N46" i="44"/>
  <c r="N124" i="44"/>
  <c r="N117" i="44"/>
  <c r="L256" i="44"/>
  <c r="M256" i="44" s="1"/>
  <c r="N116" i="44"/>
  <c r="O116" i="44" s="1"/>
  <c r="N115" i="44"/>
  <c r="O115" i="44" s="1"/>
  <c r="N81" i="44"/>
  <c r="N52" i="44"/>
  <c r="N164" i="44"/>
  <c r="N108" i="44"/>
  <c r="N54" i="44"/>
  <c r="N99" i="44"/>
  <c r="N83" i="44"/>
  <c r="N153" i="44"/>
  <c r="N98" i="44"/>
  <c r="N56" i="44"/>
  <c r="AD39" i="44"/>
  <c r="N96" i="44"/>
  <c r="AR39" i="44"/>
  <c r="N126" i="44"/>
  <c r="E39" i="44"/>
  <c r="F39" i="44"/>
  <c r="N77" i="44"/>
  <c r="N78" i="44"/>
  <c r="N91" i="44"/>
  <c r="Z193" i="44"/>
  <c r="J193" i="44"/>
  <c r="AN193" i="44"/>
  <c r="X193" i="44"/>
  <c r="H193" i="44"/>
  <c r="Y193" i="44"/>
  <c r="F193" i="44"/>
  <c r="W193" i="44"/>
  <c r="E193" i="44"/>
  <c r="V193" i="44"/>
  <c r="D193" i="44"/>
  <c r="T193" i="44"/>
  <c r="S193" i="44"/>
  <c r="U193" i="44"/>
  <c r="R193" i="44"/>
  <c r="Q193" i="44"/>
  <c r="AA193" i="44"/>
  <c r="P193" i="44"/>
  <c r="O193" i="44"/>
  <c r="AG193" i="44"/>
  <c r="AF193" i="44"/>
  <c r="AE193" i="44"/>
  <c r="AL193" i="44"/>
  <c r="AK193" i="44"/>
  <c r="AJ193" i="44"/>
  <c r="AI193" i="44"/>
  <c r="AH193" i="44"/>
  <c r="AD193" i="44"/>
  <c r="AC193" i="44"/>
  <c r="AB193" i="44"/>
  <c r="O157" i="44"/>
  <c r="AL191" i="44"/>
  <c r="V191" i="44"/>
  <c r="F191" i="44"/>
  <c r="AJ191" i="44"/>
  <c r="T191" i="44"/>
  <c r="D191" i="44"/>
  <c r="AB191" i="44"/>
  <c r="J191" i="44"/>
  <c r="AA191" i="44"/>
  <c r="I191" i="44"/>
  <c r="Z191" i="44"/>
  <c r="H191" i="44"/>
  <c r="AE191" i="44"/>
  <c r="G191" i="44"/>
  <c r="AD191" i="44"/>
  <c r="E191" i="44"/>
  <c r="S191" i="44"/>
  <c r="R191" i="44"/>
  <c r="Q191" i="44"/>
  <c r="AH191" i="44"/>
  <c r="AG191" i="44"/>
  <c r="AF191" i="44"/>
  <c r="AC191" i="44"/>
  <c r="Y191" i="44"/>
  <c r="X191" i="44"/>
  <c r="U191" i="44"/>
  <c r="P191" i="44"/>
  <c r="O191" i="44"/>
  <c r="N191" i="44"/>
  <c r="AN191" i="44"/>
  <c r="I193" i="44"/>
  <c r="K191" i="44"/>
  <c r="L193" i="44"/>
  <c r="O71" i="44"/>
  <c r="M191" i="44"/>
  <c r="O72" i="44"/>
  <c r="AK191" i="44"/>
  <c r="AG39" i="44"/>
  <c r="Q39" i="44"/>
  <c r="AF39" i="44"/>
  <c r="P39" i="44"/>
  <c r="AU39" i="44"/>
  <c r="AE39" i="44"/>
  <c r="O39" i="44"/>
  <c r="AK39" i="44"/>
  <c r="R39" i="44"/>
  <c r="AI39" i="44"/>
  <c r="AH39" i="44"/>
  <c r="AJ39" i="44"/>
  <c r="N39" i="44"/>
  <c r="M39" i="44"/>
  <c r="L39" i="44"/>
  <c r="AQ39" i="44"/>
  <c r="T39" i="44"/>
  <c r="AO39" i="44"/>
  <c r="K39" i="44"/>
  <c r="AM39" i="44"/>
  <c r="AP39" i="44"/>
  <c r="S39" i="44"/>
  <c r="AN39" i="44"/>
  <c r="J39" i="44"/>
  <c r="I39" i="44"/>
  <c r="N88" i="44"/>
  <c r="AL39" i="44"/>
  <c r="D39" i="44"/>
  <c r="AS39" i="44"/>
  <c r="G39" i="44"/>
  <c r="N150" i="44"/>
  <c r="AS37" i="44"/>
  <c r="AC37" i="44"/>
  <c r="M37" i="44"/>
  <c r="AB37" i="44"/>
  <c r="AR37" i="44"/>
  <c r="L37" i="44"/>
  <c r="AQ37" i="44"/>
  <c r="AA37" i="44"/>
  <c r="K37" i="44"/>
  <c r="AE37" i="44"/>
  <c r="I37" i="44"/>
  <c r="AU37" i="44"/>
  <c r="Y37" i="44"/>
  <c r="F37" i="44"/>
  <c r="AD37" i="44"/>
  <c r="H37" i="44"/>
  <c r="G37" i="44"/>
  <c r="Z37" i="44"/>
  <c r="AF37" i="44"/>
  <c r="C37" i="44"/>
  <c r="AQ36" i="44"/>
  <c r="AA36" i="44"/>
  <c r="K36" i="44"/>
  <c r="AP36" i="44"/>
  <c r="J36" i="44"/>
  <c r="Z36" i="44"/>
  <c r="AO36" i="44"/>
  <c r="Y36" i="44"/>
  <c r="I36" i="44"/>
  <c r="AJ36" i="44"/>
  <c r="Q36" i="44"/>
  <c r="N36" i="44"/>
  <c r="AI36" i="44"/>
  <c r="P36" i="44"/>
  <c r="AH36" i="44"/>
  <c r="O36" i="44"/>
  <c r="AG36" i="44"/>
  <c r="AB36" i="44"/>
  <c r="E37" i="44"/>
  <c r="AI37" i="44"/>
  <c r="X36" i="44"/>
  <c r="D37" i="44"/>
  <c r="AH37" i="44"/>
  <c r="C36" i="44"/>
  <c r="AC36" i="44"/>
  <c r="J37" i="44"/>
  <c r="AJ37" i="44"/>
  <c r="AF192" i="44"/>
  <c r="P192" i="44"/>
  <c r="AD192" i="44"/>
  <c r="N192" i="44"/>
  <c r="Z192" i="44"/>
  <c r="H192" i="44"/>
  <c r="Y192" i="44"/>
  <c r="G192" i="44"/>
  <c r="X192" i="44"/>
  <c r="F192" i="44"/>
  <c r="AK192" i="44"/>
  <c r="O192" i="44"/>
  <c r="AJ192" i="44"/>
  <c r="M192" i="44"/>
  <c r="AH192" i="44"/>
  <c r="I192" i="44"/>
  <c r="AG192" i="44"/>
  <c r="E192" i="44"/>
  <c r="AE192" i="44"/>
  <c r="D192" i="44"/>
  <c r="AA192" i="44"/>
  <c r="W192" i="44"/>
  <c r="V192" i="44"/>
  <c r="AI192" i="44"/>
  <c r="AC192" i="44"/>
  <c r="AB192" i="44"/>
  <c r="AM192" i="44"/>
  <c r="AL192" i="44"/>
  <c r="U192" i="44"/>
  <c r="T192" i="44"/>
  <c r="O143" i="44"/>
  <c r="O127" i="44"/>
  <c r="C38" i="44"/>
  <c r="V38" i="44"/>
  <c r="J192" i="44"/>
  <c r="AU38" i="44"/>
  <c r="AE38" i="44"/>
  <c r="O38" i="44"/>
  <c r="AT38" i="44"/>
  <c r="N38" i="44"/>
  <c r="AD38" i="44"/>
  <c r="AS38" i="44"/>
  <c r="AC38" i="44"/>
  <c r="M38" i="44"/>
  <c r="U38" i="44"/>
  <c r="AN38" i="44"/>
  <c r="D38" i="44"/>
  <c r="W38" i="44"/>
  <c r="AP38" i="44"/>
  <c r="K192" i="44"/>
  <c r="Q40" i="44"/>
  <c r="AG40" i="44"/>
  <c r="R40" i="44"/>
  <c r="AH40" i="44"/>
  <c r="C40" i="44"/>
  <c r="S40" i="44"/>
  <c r="AB190" i="44"/>
  <c r="L190" i="44"/>
  <c r="Z190" i="44"/>
  <c r="J190" i="44"/>
  <c r="AD190" i="44"/>
  <c r="K190" i="44"/>
  <c r="AC190" i="44"/>
  <c r="I190" i="44"/>
  <c r="AA190" i="44"/>
  <c r="H190" i="44"/>
  <c r="V190" i="44"/>
  <c r="U190" i="44"/>
  <c r="AH190" i="44"/>
  <c r="F190" i="44"/>
  <c r="AG190" i="44"/>
  <c r="E190" i="44"/>
  <c r="AF190" i="44"/>
  <c r="D190" i="44"/>
  <c r="AK190" i="44"/>
  <c r="G190" i="44"/>
  <c r="AL190" i="44"/>
  <c r="M190" i="44"/>
  <c r="AM190" i="44"/>
  <c r="AD195" i="44"/>
  <c r="N195" i="44"/>
  <c r="AC195" i="44"/>
  <c r="M195" i="44"/>
  <c r="AB195" i="44"/>
  <c r="L195" i="44"/>
  <c r="Y195" i="44"/>
  <c r="F195" i="44"/>
  <c r="X195" i="44"/>
  <c r="E195" i="44"/>
  <c r="W195" i="44"/>
  <c r="D195" i="44"/>
  <c r="AE195" i="44"/>
  <c r="G195" i="44"/>
  <c r="AF195" i="44"/>
  <c r="H195" i="44"/>
  <c r="AG195" i="44"/>
  <c r="R194" i="44"/>
  <c r="AH194" i="44"/>
  <c r="S194" i="44"/>
  <c r="AI194" i="44"/>
  <c r="D194" i="44"/>
  <c r="T194" i="44"/>
  <c r="D146" i="44" l="1"/>
  <c r="G67" i="44"/>
  <c r="H78" i="44"/>
  <c r="E92" i="44"/>
  <c r="E103" i="44"/>
  <c r="F104" i="44"/>
  <c r="D92" i="44"/>
  <c r="E147" i="44"/>
  <c r="H82" i="44"/>
  <c r="G70" i="44"/>
  <c r="G76" i="44"/>
  <c r="H72" i="44"/>
  <c r="F220" i="44"/>
  <c r="E61" i="44"/>
  <c r="E152" i="44"/>
  <c r="D118" i="44"/>
  <c r="E80" i="44"/>
  <c r="D91" i="44"/>
  <c r="G108" i="44"/>
  <c r="H90" i="44"/>
  <c r="E93" i="44"/>
  <c r="E84" i="44"/>
  <c r="G103" i="44"/>
  <c r="H96" i="44"/>
  <c r="G88" i="44"/>
  <c r="F60" i="44"/>
  <c r="E87" i="44"/>
  <c r="F50" i="44"/>
  <c r="F76" i="44"/>
  <c r="H103" i="44"/>
  <c r="G95" i="44"/>
  <c r="D147" i="44"/>
  <c r="D162" i="44"/>
  <c r="H47" i="44"/>
  <c r="G157" i="44"/>
  <c r="F68" i="44"/>
  <c r="E157" i="44"/>
  <c r="F63" i="44"/>
  <c r="D78" i="44"/>
  <c r="G216" i="44"/>
  <c r="F72" i="44"/>
  <c r="D93" i="44"/>
  <c r="G49" i="44"/>
  <c r="F96" i="44"/>
  <c r="E137" i="44"/>
  <c r="G203" i="44"/>
  <c r="G142" i="44"/>
  <c r="D98" i="44"/>
  <c r="F110" i="44"/>
  <c r="H81" i="44"/>
  <c r="F83" i="44"/>
  <c r="H94" i="44"/>
  <c r="D81" i="44"/>
  <c r="G149" i="44"/>
  <c r="E68" i="44"/>
  <c r="E221" i="44"/>
  <c r="O221" i="44" s="1"/>
  <c r="H101" i="44"/>
  <c r="F65" i="44"/>
  <c r="H52" i="44"/>
  <c r="D71" i="44"/>
  <c r="G253" i="44"/>
  <c r="F47" i="44"/>
  <c r="E131" i="44"/>
  <c r="H54" i="44"/>
  <c r="G104" i="44"/>
  <c r="H108" i="44"/>
  <c r="E225" i="44"/>
  <c r="O225" i="44" s="1"/>
  <c r="P225" i="44" s="1"/>
  <c r="Q225" i="44" s="1"/>
  <c r="R225" i="44" s="1"/>
  <c r="H46" i="44"/>
  <c r="E81" i="44"/>
  <c r="G93" i="44"/>
  <c r="D79" i="44"/>
  <c r="D152" i="44"/>
  <c r="H149" i="44"/>
  <c r="E75" i="44"/>
  <c r="H83" i="44"/>
  <c r="F73" i="44"/>
  <c r="E86" i="44"/>
  <c r="D52" i="44"/>
  <c r="E82" i="44"/>
  <c r="H110" i="44"/>
  <c r="H63" i="44"/>
  <c r="D65" i="44"/>
  <c r="E111" i="44"/>
  <c r="H155" i="44"/>
  <c r="G89" i="44"/>
  <c r="H58" i="44"/>
  <c r="F79" i="44"/>
  <c r="E62" i="44"/>
  <c r="G220" i="44"/>
  <c r="G145" i="44"/>
  <c r="G122" i="44"/>
  <c r="G75" i="44"/>
  <c r="F120" i="44"/>
  <c r="D73" i="44"/>
  <c r="H50" i="44"/>
  <c r="G221" i="44"/>
  <c r="D137" i="44"/>
  <c r="F62" i="44"/>
  <c r="Y16" i="44"/>
  <c r="D85" i="44"/>
  <c r="G63" i="44"/>
  <c r="D58" i="44"/>
  <c r="F152" i="44"/>
  <c r="H161" i="44"/>
  <c r="H95" i="44"/>
  <c r="G211" i="44"/>
  <c r="F85" i="44"/>
  <c r="H59" i="44"/>
  <c r="E136" i="44"/>
  <c r="H207" i="44"/>
  <c r="F105" i="44"/>
  <c r="G131" i="44"/>
  <c r="G92" i="44"/>
  <c r="D88" i="44"/>
  <c r="H128" i="44"/>
  <c r="F129" i="44"/>
  <c r="D49" i="44"/>
  <c r="G141" i="44"/>
  <c r="E55" i="44"/>
  <c r="H113" i="44"/>
  <c r="D60" i="44"/>
  <c r="E146" i="44"/>
  <c r="D46" i="44"/>
  <c r="D101" i="44"/>
  <c r="D51" i="44"/>
  <c r="H65" i="44"/>
  <c r="E76" i="44"/>
  <c r="G151" i="44"/>
  <c r="G129" i="44"/>
  <c r="H148" i="44"/>
  <c r="E99" i="44"/>
  <c r="F117" i="44"/>
  <c r="F122" i="44"/>
  <c r="D153" i="44"/>
  <c r="D57" i="44"/>
  <c r="E159" i="44"/>
  <c r="F55" i="44"/>
  <c r="G217" i="44"/>
  <c r="G120" i="44"/>
  <c r="H254" i="44"/>
  <c r="E218" i="44"/>
  <c r="O218" i="44" s="1"/>
  <c r="P218" i="44" s="1"/>
  <c r="Q218" i="44" s="1"/>
  <c r="R218" i="44" s="1"/>
  <c r="F97" i="44"/>
  <c r="G51" i="44"/>
  <c r="H144" i="44"/>
  <c r="D142" i="44"/>
  <c r="G50" i="44"/>
  <c r="G107" i="44"/>
  <c r="F52" i="44"/>
  <c r="G208" i="44"/>
  <c r="H156" i="44"/>
  <c r="G99" i="44"/>
  <c r="E112" i="44"/>
  <c r="G54" i="44"/>
  <c r="F217" i="44"/>
  <c r="D96" i="44"/>
  <c r="F221" i="44"/>
  <c r="D47" i="44"/>
  <c r="H97" i="44"/>
  <c r="E109" i="44"/>
  <c r="E212" i="44"/>
  <c r="O212" i="44" s="1"/>
  <c r="P212" i="44" s="1"/>
  <c r="Q212" i="44" s="1"/>
  <c r="R212" i="44" s="1"/>
  <c r="H77" i="44"/>
  <c r="G112" i="44"/>
  <c r="F208" i="44"/>
  <c r="D145" i="44"/>
  <c r="G137" i="44"/>
  <c r="F164" i="44"/>
  <c r="F254" i="44"/>
  <c r="N254" i="44" s="1"/>
  <c r="O254" i="44" s="1"/>
  <c r="P254" i="44" s="1"/>
  <c r="Q254" i="44" s="1"/>
  <c r="F114" i="44"/>
  <c r="F115" i="44"/>
  <c r="H253" i="44"/>
  <c r="E145" i="44"/>
  <c r="G135" i="44"/>
  <c r="H123" i="44"/>
  <c r="E211" i="44"/>
  <c r="O211" i="44" s="1"/>
  <c r="P211" i="44" s="1"/>
  <c r="Q211" i="44" s="1"/>
  <c r="R211" i="44" s="1"/>
  <c r="D130" i="44"/>
  <c r="D124" i="44"/>
  <c r="F132" i="44"/>
  <c r="H120" i="44"/>
  <c r="F84" i="44"/>
  <c r="F87" i="44"/>
  <c r="F128" i="44"/>
  <c r="H67" i="44"/>
  <c r="F118" i="44"/>
  <c r="E132" i="44"/>
  <c r="H206" i="44"/>
  <c r="E49" i="44"/>
  <c r="E97" i="44"/>
  <c r="E46" i="44"/>
  <c r="H48" i="44"/>
  <c r="F53" i="44"/>
  <c r="D133" i="44"/>
  <c r="D87" i="44"/>
  <c r="G140" i="44"/>
  <c r="E129" i="44"/>
  <c r="E125" i="44"/>
  <c r="E219" i="44"/>
  <c r="O219" i="44" s="1"/>
  <c r="P219" i="44" s="1"/>
  <c r="Q219" i="44" s="1"/>
  <c r="R219" i="44" s="1"/>
  <c r="H208" i="44"/>
  <c r="F59" i="44"/>
  <c r="D50" i="44"/>
  <c r="E47" i="44"/>
  <c r="G48" i="44"/>
  <c r="E53" i="44"/>
  <c r="F69" i="44"/>
  <c r="H141" i="44"/>
  <c r="E96" i="44"/>
  <c r="E128" i="44"/>
  <c r="F131" i="44"/>
  <c r="G127" i="44"/>
  <c r="F163" i="44"/>
  <c r="H209" i="44"/>
  <c r="G126" i="44"/>
  <c r="H69" i="44"/>
  <c r="H60" i="44"/>
  <c r="F54" i="44"/>
  <c r="E50" i="44"/>
  <c r="D53" i="44"/>
  <c r="G55" i="44"/>
  <c r="H71" i="44"/>
  <c r="H154" i="44"/>
  <c r="G113" i="44"/>
  <c r="D129" i="44"/>
  <c r="H132" i="44"/>
  <c r="D132" i="44"/>
  <c r="G156" i="44"/>
  <c r="H210" i="44"/>
  <c r="E127" i="44"/>
  <c r="F130" i="44"/>
  <c r="H138" i="44"/>
  <c r="H136" i="44"/>
  <c r="F216" i="44"/>
  <c r="H211" i="44"/>
  <c r="H163" i="44"/>
  <c r="G74" i="44"/>
  <c r="G161" i="44"/>
  <c r="E141" i="44"/>
  <c r="G219" i="44"/>
  <c r="H215" i="44"/>
  <c r="F93" i="44"/>
  <c r="D120" i="44"/>
  <c r="G73" i="44"/>
  <c r="G86" i="44"/>
  <c r="G97" i="44"/>
  <c r="H53" i="44"/>
  <c r="G64" i="44"/>
  <c r="E101" i="44"/>
  <c r="D100" i="44"/>
  <c r="F253" i="44"/>
  <c r="N253" i="44" s="1"/>
  <c r="O253" i="44" s="1"/>
  <c r="P253" i="44" s="1"/>
  <c r="Q253" i="44" s="1"/>
  <c r="F148" i="44"/>
  <c r="G132" i="44"/>
  <c r="E164" i="44"/>
  <c r="E116" i="44"/>
  <c r="F202" i="44"/>
  <c r="H216" i="44"/>
  <c r="G82" i="44"/>
  <c r="H125" i="44"/>
  <c r="G87" i="44"/>
  <c r="G102" i="44"/>
  <c r="F109" i="44"/>
  <c r="H84" i="44"/>
  <c r="E153" i="44"/>
  <c r="F133" i="44"/>
  <c r="F203" i="44"/>
  <c r="G118" i="44"/>
  <c r="F210" i="44"/>
  <c r="H219" i="44"/>
  <c r="D80" i="44"/>
  <c r="H75" i="44"/>
  <c r="E89" i="44"/>
  <c r="D159" i="44"/>
  <c r="H134" i="44"/>
  <c r="F211" i="44"/>
  <c r="D123" i="44"/>
  <c r="F218" i="44"/>
  <c r="H255" i="44"/>
  <c r="H70" i="44"/>
  <c r="G153" i="44"/>
  <c r="H111" i="44"/>
  <c r="F67" i="44"/>
  <c r="F86" i="44"/>
  <c r="G224" i="44"/>
  <c r="F94" i="44"/>
  <c r="F124" i="44"/>
  <c r="E117" i="44"/>
  <c r="H124" i="44"/>
  <c r="H146" i="44"/>
  <c r="D131" i="44"/>
  <c r="F136" i="44"/>
  <c r="D141" i="44"/>
  <c r="G134" i="44"/>
  <c r="F258" i="44"/>
  <c r="N258" i="44" s="1"/>
  <c r="E121" i="44"/>
  <c r="D128" i="44"/>
  <c r="E150" i="44"/>
  <c r="F141" i="44"/>
  <c r="G202" i="44"/>
  <c r="G223" i="44"/>
  <c r="D68" i="44"/>
  <c r="D163" i="44"/>
  <c r="E133" i="44"/>
  <c r="H257" i="44"/>
  <c r="G152" i="44"/>
  <c r="H143" i="44"/>
  <c r="E207" i="44"/>
  <c r="O207" i="44" s="1"/>
  <c r="P207" i="44" s="1"/>
  <c r="Q207" i="44" s="1"/>
  <c r="R207" i="44" s="1"/>
  <c r="F139" i="44"/>
  <c r="F153" i="44"/>
  <c r="F155" i="44"/>
  <c r="G164" i="44"/>
  <c r="D134" i="44"/>
  <c r="D105" i="44"/>
  <c r="G159" i="44"/>
  <c r="D155" i="44"/>
  <c r="H204" i="44"/>
  <c r="G207" i="44"/>
  <c r="D144" i="44"/>
  <c r="D136" i="44"/>
  <c r="F64" i="44"/>
  <c r="F206" i="44"/>
  <c r="G206" i="44"/>
  <c r="E210" i="44"/>
  <c r="O210" i="44" s="1"/>
  <c r="P210" i="44" s="1"/>
  <c r="Q210" i="44" s="1"/>
  <c r="R210" i="44" s="1"/>
  <c r="D106" i="44"/>
  <c r="E205" i="44"/>
  <c r="O205" i="44" s="1"/>
  <c r="F135" i="44"/>
  <c r="E123" i="44"/>
  <c r="D160" i="44"/>
  <c r="G214" i="44"/>
  <c r="H205" i="44"/>
  <c r="H126" i="44"/>
  <c r="E149" i="44"/>
  <c r="E74" i="44"/>
  <c r="F204" i="44"/>
  <c r="H220" i="44"/>
  <c r="E100" i="44"/>
  <c r="F142" i="44"/>
  <c r="E66" i="44"/>
  <c r="G84" i="44"/>
  <c r="D64" i="44"/>
  <c r="E77" i="44"/>
  <c r="H106" i="44"/>
  <c r="E73" i="44"/>
  <c r="F90" i="44"/>
  <c r="E102" i="44"/>
  <c r="G59" i="44"/>
  <c r="D102" i="44"/>
  <c r="F255" i="44"/>
  <c r="F102" i="44"/>
  <c r="H64" i="44"/>
  <c r="H55" i="44"/>
  <c r="H93" i="44"/>
  <c r="F98" i="44"/>
  <c r="H119" i="44"/>
  <c r="E158" i="44"/>
  <c r="F107" i="44"/>
  <c r="D125" i="44"/>
  <c r="F150" i="44"/>
  <c r="F222" i="44"/>
  <c r="E215" i="44"/>
  <c r="H221" i="44"/>
  <c r="G254" i="44"/>
  <c r="H74" i="44"/>
  <c r="D82" i="44"/>
  <c r="G110" i="44"/>
  <c r="E124" i="44"/>
  <c r="H79" i="44"/>
  <c r="E95" i="44"/>
  <c r="H107" i="44"/>
  <c r="H61" i="44"/>
  <c r="E57" i="44"/>
  <c r="H131" i="44"/>
  <c r="D109" i="44"/>
  <c r="G71" i="44"/>
  <c r="E60" i="44"/>
  <c r="E98" i="44"/>
  <c r="E106" i="44"/>
  <c r="H130" i="44"/>
  <c r="H102" i="44"/>
  <c r="H109" i="44"/>
  <c r="F127" i="44"/>
  <c r="H152" i="44"/>
  <c r="G225" i="44"/>
  <c r="E223" i="44"/>
  <c r="O223" i="44" s="1"/>
  <c r="P223" i="44" s="1"/>
  <c r="Q223" i="44" s="1"/>
  <c r="R223" i="44" s="1"/>
  <c r="H224" i="44"/>
  <c r="D56" i="44"/>
  <c r="E72" i="44"/>
  <c r="G210" i="44"/>
  <c r="H256" i="44"/>
  <c r="F100" i="44"/>
  <c r="F66" i="44"/>
  <c r="G116" i="44"/>
  <c r="F145" i="44"/>
  <c r="E90" i="44"/>
  <c r="G111" i="44"/>
  <c r="G121" i="44"/>
  <c r="E85" i="44"/>
  <c r="G58" i="44"/>
  <c r="G144" i="44"/>
  <c r="D113" i="44"/>
  <c r="H80" i="44"/>
  <c r="G62" i="44"/>
  <c r="G100" i="44"/>
  <c r="F113" i="44"/>
  <c r="E138" i="44"/>
  <c r="D114" i="44"/>
  <c r="E114" i="44"/>
  <c r="H129" i="44"/>
  <c r="H159" i="44"/>
  <c r="F156" i="44"/>
  <c r="F207" i="44"/>
  <c r="H225" i="44"/>
  <c r="G147" i="44"/>
  <c r="E48" i="44"/>
  <c r="E162" i="44"/>
  <c r="F80" i="44"/>
  <c r="E163" i="44"/>
  <c r="E58" i="44"/>
  <c r="E202" i="44"/>
  <c r="D156" i="44"/>
  <c r="D95" i="44"/>
  <c r="D140" i="44"/>
  <c r="F58" i="44"/>
  <c r="E94" i="44"/>
  <c r="H66" i="44"/>
  <c r="E154" i="44"/>
  <c r="D117" i="44"/>
  <c r="D99" i="44"/>
  <c r="D67" i="44"/>
  <c r="H104" i="44"/>
  <c r="D138" i="44"/>
  <c r="D143" i="44"/>
  <c r="D126" i="44"/>
  <c r="D121" i="44"/>
  <c r="G136" i="44"/>
  <c r="F214" i="44"/>
  <c r="H158" i="44"/>
  <c r="H203" i="44"/>
  <c r="G255" i="44"/>
  <c r="G128" i="44"/>
  <c r="F146" i="44"/>
  <c r="G125" i="44"/>
  <c r="G114" i="44"/>
  <c r="F209" i="44"/>
  <c r="D150" i="44"/>
  <c r="E108" i="44"/>
  <c r="G117" i="44"/>
  <c r="H88" i="44"/>
  <c r="E119" i="44"/>
  <c r="D66" i="44"/>
  <c r="D61" i="44"/>
  <c r="F70" i="44"/>
  <c r="D77" i="44"/>
  <c r="G205" i="44"/>
  <c r="D111" i="44"/>
  <c r="E156" i="44"/>
  <c r="G66" i="44"/>
  <c r="D89" i="44"/>
  <c r="H89" i="44"/>
  <c r="D55" i="44"/>
  <c r="D110" i="44"/>
  <c r="H73" i="44"/>
  <c r="D135" i="44"/>
  <c r="E122" i="44"/>
  <c r="F88" i="44"/>
  <c r="H112" i="44"/>
  <c r="E115" i="44"/>
  <c r="D122" i="44"/>
  <c r="F138" i="44"/>
  <c r="F158" i="44"/>
  <c r="D157" i="44"/>
  <c r="G212" i="44"/>
  <c r="F125" i="44"/>
  <c r="E216" i="44"/>
  <c r="H258" i="44"/>
  <c r="H222" i="44"/>
  <c r="G68" i="44"/>
  <c r="D104" i="44"/>
  <c r="D70" i="44"/>
  <c r="E142" i="44"/>
  <c r="G106" i="44"/>
  <c r="G83" i="44"/>
  <c r="F225" i="44"/>
  <c r="G123" i="44"/>
  <c r="D75" i="44"/>
  <c r="H68" i="44"/>
  <c r="F92" i="44"/>
  <c r="H92" i="44"/>
  <c r="F56" i="44"/>
  <c r="H122" i="44"/>
  <c r="H86" i="44"/>
  <c r="F46" i="44"/>
  <c r="G124" i="44"/>
  <c r="D94" i="44"/>
  <c r="F119" i="44"/>
  <c r="H133" i="44"/>
  <c r="F126" i="44"/>
  <c r="H139" i="44"/>
  <c r="F161" i="44"/>
  <c r="G158" i="44"/>
  <c r="D116" i="44"/>
  <c r="H127" i="44"/>
  <c r="G222" i="44"/>
  <c r="H202" i="44"/>
  <c r="H223" i="44"/>
  <c r="F82" i="44"/>
  <c r="G47" i="44"/>
  <c r="G90" i="44"/>
  <c r="D149" i="44"/>
  <c r="F149" i="44"/>
  <c r="D90" i="44"/>
  <c r="F48" i="44"/>
  <c r="E67" i="44"/>
  <c r="G81" i="44"/>
  <c r="F61" i="44"/>
  <c r="F112" i="44"/>
  <c r="G53" i="44"/>
  <c r="G165" i="44"/>
  <c r="G61" i="44"/>
  <c r="H115" i="44"/>
  <c r="H57" i="44"/>
  <c r="E135" i="44"/>
  <c r="E69" i="44"/>
  <c r="H160" i="44"/>
  <c r="D97" i="44"/>
  <c r="G105" i="44"/>
  <c r="G91" i="44"/>
  <c r="G215" i="44"/>
  <c r="H151" i="44"/>
  <c r="H142" i="44"/>
  <c r="H140" i="44"/>
  <c r="G130" i="44"/>
  <c r="E134" i="44"/>
  <c r="F134" i="44"/>
  <c r="D139" i="44"/>
  <c r="F219" i="44"/>
  <c r="G218" i="44"/>
  <c r="H214" i="44"/>
  <c r="G139" i="44"/>
  <c r="D158" i="44"/>
  <c r="E140" i="44"/>
  <c r="F162" i="44"/>
  <c r="H157" i="44"/>
  <c r="E63" i="44"/>
  <c r="E120" i="44"/>
  <c r="H150" i="44"/>
  <c r="D154" i="44"/>
  <c r="H98" i="44"/>
  <c r="E79" i="44"/>
  <c r="D112" i="44"/>
  <c r="F116" i="44"/>
  <c r="F75" i="44"/>
  <c r="D63" i="44"/>
  <c r="F121" i="44"/>
  <c r="G60" i="44"/>
  <c r="G56" i="44"/>
  <c r="D54" i="44"/>
  <c r="D48" i="44"/>
  <c r="F159" i="44"/>
  <c r="D69" i="44"/>
  <c r="G148" i="44"/>
  <c r="H87" i="44"/>
  <c r="F256" i="44"/>
  <c r="F101" i="44"/>
  <c r="E113" i="44"/>
  <c r="H100" i="44"/>
  <c r="F89" i="44"/>
  <c r="H164" i="44"/>
  <c r="E107" i="44"/>
  <c r="D164" i="44"/>
  <c r="G133" i="44"/>
  <c r="F143" i="44"/>
  <c r="G143" i="44"/>
  <c r="E148" i="44"/>
  <c r="D161" i="44"/>
  <c r="F215" i="44"/>
  <c r="H217" i="44"/>
  <c r="F103" i="44"/>
  <c r="D107" i="44"/>
  <c r="E83" i="44"/>
  <c r="G209" i="44"/>
  <c r="G85" i="44"/>
  <c r="G101" i="44"/>
  <c r="D119" i="44"/>
  <c r="E139" i="44"/>
  <c r="G96" i="44"/>
  <c r="G72" i="44"/>
  <c r="F81" i="44"/>
  <c r="H116" i="44"/>
  <c r="F123" i="44"/>
  <c r="G77" i="44"/>
  <c r="E65" i="44"/>
  <c r="E51" i="44"/>
  <c r="H62" i="44"/>
  <c r="F57" i="44"/>
  <c r="E56" i="44"/>
  <c r="F49" i="44"/>
  <c r="H165" i="44"/>
  <c r="F71" i="44"/>
  <c r="G160" i="44"/>
  <c r="E88" i="44"/>
  <c r="G46" i="44"/>
  <c r="E105" i="44"/>
  <c r="D115" i="44"/>
  <c r="H105" i="44"/>
  <c r="H91" i="44"/>
  <c r="E222" i="44"/>
  <c r="G109" i="44"/>
  <c r="E203" i="44"/>
  <c r="H135" i="44"/>
  <c r="H145" i="44"/>
  <c r="D148" i="44"/>
  <c r="G150" i="44"/>
  <c r="E213" i="44"/>
  <c r="F223" i="44"/>
  <c r="H218" i="44"/>
  <c r="E91" i="44"/>
  <c r="D62" i="44"/>
  <c r="E144" i="44"/>
  <c r="E143" i="44"/>
  <c r="E70" i="44"/>
  <c r="E110" i="44"/>
  <c r="F77" i="44"/>
  <c r="G94" i="44"/>
  <c r="D86" i="44"/>
  <c r="F111" i="44"/>
  <c r="G69" i="44"/>
  <c r="E165" i="44"/>
  <c r="F165" i="44"/>
  <c r="F51" i="44"/>
  <c r="G115" i="44"/>
  <c r="F137" i="44"/>
  <c r="H56" i="44"/>
  <c r="H147" i="44"/>
  <c r="E78" i="44"/>
  <c r="E151" i="44"/>
  <c r="D76" i="44"/>
  <c r="G154" i="44"/>
  <c r="G78" i="44"/>
  <c r="G256" i="44"/>
  <c r="G146" i="44"/>
  <c r="G119" i="44"/>
  <c r="G98" i="44"/>
  <c r="F205" i="44"/>
  <c r="H162" i="44"/>
  <c r="H137" i="44"/>
  <c r="E126" i="44"/>
  <c r="E217" i="44"/>
  <c r="F213" i="44"/>
  <c r="E160" i="44"/>
  <c r="F160" i="44"/>
  <c r="G163" i="44"/>
  <c r="G258" i="44"/>
  <c r="H212" i="44"/>
  <c r="F257" i="44"/>
  <c r="N257" i="44" s="1"/>
  <c r="G65" i="44"/>
  <c r="G52" i="44"/>
  <c r="H51" i="44"/>
  <c r="F140" i="44"/>
  <c r="H76" i="44"/>
  <c r="D74" i="44"/>
  <c r="H153" i="44"/>
  <c r="F95" i="44"/>
  <c r="D103" i="44"/>
  <c r="E64" i="44"/>
  <c r="F147" i="44"/>
  <c r="H118" i="44"/>
  <c r="E104" i="44"/>
  <c r="H49" i="44"/>
  <c r="H117" i="44"/>
  <c r="G79" i="44"/>
  <c r="F99" i="44"/>
  <c r="H99" i="44"/>
  <c r="G155" i="44"/>
  <c r="E71" i="44"/>
  <c r="E224" i="44"/>
  <c r="F224" i="44"/>
  <c r="E52" i="44"/>
  <c r="H121" i="44"/>
  <c r="E54" i="44"/>
  <c r="G57" i="44"/>
  <c r="D151" i="44"/>
  <c r="G80" i="44"/>
  <c r="F154" i="44"/>
  <c r="F78" i="44"/>
  <c r="E155" i="44"/>
  <c r="D83" i="44"/>
  <c r="F91" i="44"/>
  <c r="F151" i="44"/>
  <c r="E130" i="44"/>
  <c r="F106" i="44"/>
  <c r="E208" i="44"/>
  <c r="F212" i="44"/>
  <c r="G138" i="44"/>
  <c r="D127" i="44"/>
  <c r="E118" i="44"/>
  <c r="E214" i="44"/>
  <c r="G213" i="44"/>
  <c r="E161" i="44"/>
  <c r="E204" i="44"/>
  <c r="O204" i="44" s="1"/>
  <c r="D165" i="44"/>
  <c r="H213" i="44"/>
  <c r="G257" i="44"/>
  <c r="E206" i="44"/>
  <c r="H85" i="44"/>
  <c r="H114" i="44"/>
  <c r="D84" i="44"/>
  <c r="F74" i="44"/>
  <c r="E220" i="44"/>
  <c r="E209" i="44"/>
  <c r="G162" i="44"/>
  <c r="D108" i="44"/>
  <c r="F108" i="44"/>
  <c r="D72" i="44"/>
  <c r="G204" i="44"/>
  <c r="F157" i="44"/>
  <c r="F144" i="44"/>
  <c r="D59" i="44"/>
  <c r="O98" i="44"/>
  <c r="O126" i="44"/>
  <c r="O61" i="44"/>
  <c r="O122" i="44"/>
  <c r="O54" i="44"/>
  <c r="O121" i="44"/>
  <c r="O83" i="44"/>
  <c r="O100" i="44"/>
  <c r="O92" i="44"/>
  <c r="O80" i="44"/>
  <c r="O105" i="44"/>
  <c r="O164" i="44"/>
  <c r="O151" i="44"/>
  <c r="O129" i="44"/>
  <c r="O67" i="44"/>
  <c r="O81" i="44"/>
  <c r="O124" i="44"/>
  <c r="O58" i="44"/>
  <c r="O89" i="44"/>
  <c r="O99" i="44"/>
  <c r="O113" i="44"/>
  <c r="O154" i="44"/>
  <c r="O91" i="44"/>
  <c r="O52" i="44"/>
  <c r="O148" i="44"/>
  <c r="O120" i="44"/>
  <c r="O64" i="44"/>
  <c r="O77" i="44"/>
  <c r="O152" i="44"/>
  <c r="O62" i="44"/>
  <c r="O142" i="44"/>
  <c r="O150" i="44"/>
  <c r="O117" i="44"/>
  <c r="O162" i="44"/>
  <c r="O93" i="44"/>
  <c r="N204" i="44"/>
  <c r="O46" i="44"/>
  <c r="O109" i="44"/>
  <c r="O140" i="44"/>
  <c r="O153" i="44"/>
  <c r="O79" i="44"/>
  <c r="O48" i="44"/>
  <c r="O84" i="44"/>
  <c r="M257" i="44"/>
  <c r="O87" i="44"/>
  <c r="O108" i="44"/>
  <c r="O132" i="44"/>
  <c r="O141" i="44"/>
  <c r="O96" i="44"/>
  <c r="O95" i="44"/>
  <c r="O145" i="44"/>
  <c r="O88" i="44"/>
  <c r="O78" i="44"/>
  <c r="O160" i="44"/>
  <c r="M258" i="44"/>
  <c r="O161" i="44"/>
  <c r="O82" i="44"/>
  <c r="O131" i="44"/>
  <c r="N205" i="44"/>
  <c r="N221" i="44"/>
  <c r="O56" i="44"/>
  <c r="O94" i="44"/>
  <c r="O55" i="44"/>
  <c r="P221" i="44" l="1"/>
  <c r="Q221" i="44" s="1"/>
  <c r="R221" i="44" s="1"/>
  <c r="P205" i="44"/>
  <c r="Q205" i="44" s="1"/>
  <c r="R205" i="44" s="1"/>
  <c r="O258" i="44"/>
  <c r="P258" i="44" s="1"/>
  <c r="Q258" i="44" s="1"/>
  <c r="R258" i="44" s="1"/>
  <c r="S258" i="44" s="1"/>
  <c r="O224" i="44"/>
  <c r="P224" i="44" s="1"/>
  <c r="Q224" i="44" s="1"/>
  <c r="R224" i="44" s="1"/>
  <c r="S224" i="44" s="1"/>
  <c r="T224" i="44" s="1"/>
  <c r="O213" i="44"/>
  <c r="P213" i="44" s="1"/>
  <c r="Q213" i="44" s="1"/>
  <c r="R213" i="44" s="1"/>
  <c r="S213" i="44" s="1"/>
  <c r="T213" i="44" s="1"/>
  <c r="O216" i="44"/>
  <c r="P216" i="44" s="1"/>
  <c r="Q216" i="44" s="1"/>
  <c r="R216" i="44" s="1"/>
  <c r="S216" i="44" s="1"/>
  <c r="T216" i="44" s="1"/>
  <c r="O208" i="44"/>
  <c r="P208" i="44" s="1"/>
  <c r="Q208" i="44" s="1"/>
  <c r="R208" i="44" s="1"/>
  <c r="S208" i="44" s="1"/>
  <c r="T208" i="44" s="1"/>
  <c r="O214" i="44"/>
  <c r="P214" i="44" s="1"/>
  <c r="Q214" i="44" s="1"/>
  <c r="R214" i="44" s="1"/>
  <c r="S214" i="44" s="1"/>
  <c r="T214" i="44" s="1"/>
  <c r="O202" i="44"/>
  <c r="P202" i="44" s="1"/>
  <c r="Q202" i="44" s="1"/>
  <c r="R202" i="44" s="1"/>
  <c r="S202" i="44" s="1"/>
  <c r="T202" i="44" s="1"/>
  <c r="O215" i="44"/>
  <c r="P215" i="44" s="1"/>
  <c r="Q215" i="44" s="1"/>
  <c r="R215" i="44" s="1"/>
  <c r="S215" i="44" s="1"/>
  <c r="T215" i="44" s="1"/>
  <c r="O209" i="44"/>
  <c r="P209" i="44" s="1"/>
  <c r="Q209" i="44" s="1"/>
  <c r="R209" i="44" s="1"/>
  <c r="S209" i="44" s="1"/>
  <c r="T209" i="44" s="1"/>
  <c r="O220" i="44"/>
  <c r="P220" i="44" s="1"/>
  <c r="Q220" i="44" s="1"/>
  <c r="R220" i="44" s="1"/>
  <c r="S220" i="44" s="1"/>
  <c r="T220" i="44" s="1"/>
  <c r="O222" i="44"/>
  <c r="P222" i="44" s="1"/>
  <c r="Q222" i="44" s="1"/>
  <c r="R222" i="44" s="1"/>
  <c r="S222" i="44" s="1"/>
  <c r="T222" i="44" s="1"/>
  <c r="O206" i="44"/>
  <c r="P206" i="44" s="1"/>
  <c r="Q206" i="44" s="1"/>
  <c r="R206" i="44" s="1"/>
  <c r="S206" i="44" s="1"/>
  <c r="T206" i="44" s="1"/>
  <c r="N256" i="44"/>
  <c r="O256" i="44" s="1"/>
  <c r="P256" i="44" s="1"/>
  <c r="Q256" i="44" s="1"/>
  <c r="R256" i="44" s="1"/>
  <c r="S256" i="44" s="1"/>
  <c r="O203" i="44"/>
  <c r="P203" i="44" s="1"/>
  <c r="Q203" i="44" s="1"/>
  <c r="R203" i="44" s="1"/>
  <c r="S203" i="44" s="1"/>
  <c r="T203" i="44" s="1"/>
  <c r="O217" i="44"/>
  <c r="P217" i="44" s="1"/>
  <c r="Q217" i="44" s="1"/>
  <c r="R217" i="44" s="1"/>
  <c r="S217" i="44" s="1"/>
  <c r="T217" i="44" s="1"/>
  <c r="N255" i="44"/>
  <c r="O255" i="44" s="1"/>
  <c r="P255" i="44" s="1"/>
  <c r="Q255" i="44" s="1"/>
  <c r="R255" i="44" s="1"/>
  <c r="S255" i="44" s="1"/>
  <c r="P204" i="44"/>
  <c r="O257" i="44"/>
  <c r="S205" i="44"/>
  <c r="T205" i="44" s="1"/>
  <c r="S218" i="44"/>
  <c r="T218" i="44" s="1"/>
  <c r="R253" i="44"/>
  <c r="S253" i="44" s="1"/>
  <c r="S221" i="44"/>
  <c r="T221" i="44" s="1"/>
  <c r="S225" i="44"/>
  <c r="T225" i="44" s="1"/>
  <c r="S211" i="44"/>
  <c r="T211" i="44" s="1"/>
  <c r="S212" i="44"/>
  <c r="T212" i="44" s="1"/>
  <c r="R254" i="44"/>
  <c r="S254" i="44" s="1"/>
  <c r="S223" i="44"/>
  <c r="T223" i="44" s="1"/>
  <c r="S207" i="44"/>
  <c r="T207" i="44" s="1"/>
  <c r="S210" i="44"/>
  <c r="T210" i="44" s="1"/>
  <c r="S219" i="44"/>
  <c r="T219" i="44" s="1"/>
  <c r="U205" i="44" l="1"/>
  <c r="V205" i="44" s="1"/>
  <c r="T255" i="44"/>
  <c r="U255" i="44" s="1"/>
  <c r="U211" i="44"/>
  <c r="V211" i="44" s="1"/>
  <c r="U203" i="44"/>
  <c r="V203" i="44" s="1"/>
  <c r="T253" i="44"/>
  <c r="U253" i="44" s="1"/>
  <c r="P257" i="44"/>
  <c r="Q257" i="44" s="1"/>
  <c r="R257" i="44" s="1"/>
  <c r="S257" i="44" s="1"/>
  <c r="U202" i="44"/>
  <c r="V202" i="44" s="1"/>
  <c r="T258" i="44"/>
  <c r="U258" i="44" s="1"/>
  <c r="U207" i="44"/>
  <c r="V207" i="44" s="1"/>
  <c r="U216" i="44"/>
  <c r="V216" i="44" s="1"/>
  <c r="Q204" i="44"/>
  <c r="R204" i="44" s="1"/>
  <c r="S204" i="44" s="1"/>
  <c r="T204" i="44" s="1"/>
  <c r="U223" i="44"/>
  <c r="V223" i="44" s="1"/>
  <c r="U220" i="44"/>
  <c r="V220" i="44" s="1"/>
  <c r="U218" i="44"/>
  <c r="V218" i="44" s="1"/>
  <c r="U222" i="44"/>
  <c r="V222" i="44" s="1"/>
  <c r="U213" i="44"/>
  <c r="V213" i="44" s="1"/>
  <c r="T256" i="44"/>
  <c r="U256" i="44" s="1"/>
  <c r="U215" i="44"/>
  <c r="V215" i="44" s="1"/>
  <c r="U217" i="44"/>
  <c r="V217" i="44" s="1"/>
  <c r="U219" i="44"/>
  <c r="V219" i="44" s="1"/>
  <c r="U208" i="44"/>
  <c r="V208" i="44" s="1"/>
  <c r="U224" i="44"/>
  <c r="V224" i="44" s="1"/>
  <c r="U225" i="44"/>
  <c r="V225" i="44" s="1"/>
  <c r="T254" i="44"/>
  <c r="U254" i="44" s="1"/>
  <c r="U214" i="44"/>
  <c r="V214" i="44" s="1"/>
  <c r="U212" i="44"/>
  <c r="V212" i="44" s="1"/>
  <c r="U210" i="44"/>
  <c r="V210" i="44" s="1"/>
  <c r="U209" i="44"/>
  <c r="V209" i="44" s="1"/>
  <c r="U206" i="44"/>
  <c r="V206" i="44" s="1"/>
  <c r="U221" i="44"/>
  <c r="V221" i="44" s="1"/>
  <c r="V255" i="44" l="1"/>
  <c r="U204" i="44"/>
  <c r="V204" i="44" s="1"/>
  <c r="W214" i="44"/>
  <c r="W213" i="44"/>
  <c r="W218" i="44"/>
  <c r="V253" i="44"/>
  <c r="W220" i="44"/>
  <c r="W210" i="44"/>
  <c r="W202" i="44"/>
  <c r="W215" i="44"/>
  <c r="W221" i="44"/>
  <c r="W206" i="44"/>
  <c r="W222" i="44"/>
  <c r="W207" i="44"/>
  <c r="W217" i="44"/>
  <c r="W212" i="44"/>
  <c r="V258" i="44"/>
  <c r="W224" i="44"/>
  <c r="W216" i="44"/>
  <c r="W209" i="44"/>
  <c r="W225" i="44"/>
  <c r="W211" i="44"/>
  <c r="W223" i="44"/>
  <c r="T257" i="44"/>
  <c r="U257" i="44" s="1"/>
  <c r="W203" i="44"/>
  <c r="W205" i="44"/>
  <c r="V256" i="44"/>
  <c r="V254" i="44"/>
  <c r="W219" i="44"/>
  <c r="W208" i="44"/>
  <c r="V257" i="44" l="1"/>
  <c r="X217" i="44"/>
  <c r="Y217" i="44" s="1"/>
  <c r="Z217" i="44" s="1"/>
  <c r="X208" i="44"/>
  <c r="Y208" i="44" s="1"/>
  <c r="Z208" i="44" s="1"/>
  <c r="X220" i="44"/>
  <c r="Y220" i="44" s="1"/>
  <c r="Z220" i="44" s="1"/>
  <c r="X207" i="44"/>
  <c r="Y207" i="44" s="1"/>
  <c r="Z207" i="44" s="1"/>
  <c r="X214" i="44"/>
  <c r="Y214" i="44" s="1"/>
  <c r="Z214" i="44" s="1"/>
  <c r="X223" i="44"/>
  <c r="Y223" i="44" s="1"/>
  <c r="Z223" i="44" s="1"/>
  <c r="X222" i="44"/>
  <c r="Y222" i="44" s="1"/>
  <c r="Z222" i="44" s="1"/>
  <c r="X203" i="44"/>
  <c r="Y203" i="44" s="1"/>
  <c r="Z203" i="44" s="1"/>
  <c r="X202" i="44"/>
  <c r="Y202" i="44" s="1"/>
  <c r="Z202" i="44" s="1"/>
  <c r="X211" i="44"/>
  <c r="Y211" i="44" s="1"/>
  <c r="Z211" i="44" s="1"/>
  <c r="X209" i="44"/>
  <c r="Y209" i="44" s="1"/>
  <c r="Z209" i="44" s="1"/>
  <c r="W204" i="44"/>
  <c r="X215" i="44"/>
  <c r="Y215" i="44" s="1"/>
  <c r="Z215" i="44" s="1"/>
  <c r="W255" i="44"/>
  <c r="X255" i="44" s="1"/>
  <c r="Y255" i="44" s="1"/>
  <c r="X221" i="44"/>
  <c r="Y221" i="44" s="1"/>
  <c r="Z221" i="44" s="1"/>
  <c r="W254" i="44"/>
  <c r="X254" i="44" s="1"/>
  <c r="Y254" i="44" s="1"/>
  <c r="W253" i="44"/>
  <c r="X253" i="44" s="1"/>
  <c r="Y253" i="44" s="1"/>
  <c r="X212" i="44"/>
  <c r="Y212" i="44" s="1"/>
  <c r="Z212" i="44" s="1"/>
  <c r="X218" i="44"/>
  <c r="Y218" i="44" s="1"/>
  <c r="Z218" i="44" s="1"/>
  <c r="X225" i="44"/>
  <c r="Y225" i="44" s="1"/>
  <c r="Z225" i="44" s="1"/>
  <c r="X216" i="44"/>
  <c r="Y216" i="44" s="1"/>
  <c r="Z216" i="44" s="1"/>
  <c r="X206" i="44"/>
  <c r="Y206" i="44" s="1"/>
  <c r="Z206" i="44" s="1"/>
  <c r="X210" i="44"/>
  <c r="Y210" i="44" s="1"/>
  <c r="Z210" i="44" s="1"/>
  <c r="X213" i="44"/>
  <c r="Y213" i="44" s="1"/>
  <c r="Z213" i="44" s="1"/>
  <c r="W258" i="44"/>
  <c r="X258" i="44" s="1"/>
  <c r="Y258" i="44" s="1"/>
  <c r="X219" i="44"/>
  <c r="Y219" i="44" s="1"/>
  <c r="Z219" i="44" s="1"/>
  <c r="W256" i="44"/>
  <c r="X256" i="44" s="1"/>
  <c r="Y256" i="44" s="1"/>
  <c r="X224" i="44"/>
  <c r="Y224" i="44" s="1"/>
  <c r="Z224" i="44" s="1"/>
  <c r="X205" i="44"/>
  <c r="Y205" i="44" s="1"/>
  <c r="Z205" i="44" s="1"/>
  <c r="AA212" i="44" l="1"/>
  <c r="AB212" i="44" s="1"/>
  <c r="AA217" i="44"/>
  <c r="AB217" i="44" s="1"/>
  <c r="W257" i="44"/>
  <c r="X257" i="44" s="1"/>
  <c r="Y257" i="44" s="1"/>
  <c r="AA214" i="44"/>
  <c r="AB214" i="44" s="1"/>
  <c r="AA220" i="44"/>
  <c r="AB220" i="44" s="1"/>
  <c r="X204" i="44"/>
  <c r="Y204" i="44" s="1"/>
  <c r="Z204" i="44" s="1"/>
  <c r="AA216" i="44"/>
  <c r="AB216" i="44" s="1"/>
  <c r="AA211" i="44"/>
  <c r="AB211" i="44" s="1"/>
  <c r="AA210" i="44"/>
  <c r="AB210" i="44" s="1"/>
  <c r="AA207" i="44"/>
  <c r="AB207" i="44" s="1"/>
  <c r="AA213" i="44"/>
  <c r="AB213" i="44" s="1"/>
  <c r="Z253" i="44"/>
  <c r="AA253" i="44" s="1"/>
  <c r="AA223" i="44"/>
  <c r="AB223" i="44" s="1"/>
  <c r="AA225" i="44"/>
  <c r="AB225" i="44" s="1"/>
  <c r="AA209" i="44"/>
  <c r="AB209" i="44" s="1"/>
  <c r="Z258" i="44"/>
  <c r="AA258" i="44" s="1"/>
  <c r="AA221" i="44"/>
  <c r="AB221" i="44" s="1"/>
  <c r="AA208" i="44"/>
  <c r="AB208" i="44" s="1"/>
  <c r="AA218" i="44"/>
  <c r="AB218" i="44" s="1"/>
  <c r="AA203" i="44"/>
  <c r="AB203" i="44" s="1"/>
  <c r="Z255" i="44"/>
  <c r="AA255" i="44" s="1"/>
  <c r="Z256" i="44"/>
  <c r="AA256" i="44" s="1"/>
  <c r="AA219" i="44"/>
  <c r="AB219" i="44" s="1"/>
  <c r="AA222" i="44"/>
  <c r="AB222" i="44" s="1"/>
  <c r="AA205" i="44"/>
  <c r="AB205" i="44" s="1"/>
  <c r="Z254" i="44"/>
  <c r="AA254" i="44" s="1"/>
  <c r="AA224" i="44"/>
  <c r="AB224" i="44" s="1"/>
  <c r="AA206" i="44"/>
  <c r="AB206" i="44" s="1"/>
  <c r="AA215" i="44"/>
  <c r="AB215" i="44" s="1"/>
  <c r="AA202" i="44"/>
  <c r="AB202" i="44" s="1"/>
  <c r="E248" i="44" a="1"/>
  <c r="E247" i="44" a="1"/>
  <c r="AC210" i="44" l="1"/>
  <c r="AC205" i="44"/>
  <c r="AC203" i="44"/>
  <c r="AC207" i="44"/>
  <c r="AC222" i="44"/>
  <c r="AC208" i="44"/>
  <c r="AC215" i="44"/>
  <c r="AC213" i="44"/>
  <c r="AC217" i="44"/>
  <c r="AC206" i="44"/>
  <c r="AC216" i="44"/>
  <c r="AC224" i="44"/>
  <c r="AC202" i="44"/>
  <c r="AB254" i="44"/>
  <c r="AC211" i="44"/>
  <c r="AB253" i="44"/>
  <c r="AC221" i="44"/>
  <c r="AC214" i="44"/>
  <c r="AC220" i="44"/>
  <c r="AC209" i="44"/>
  <c r="AB255" i="44"/>
  <c r="AC225" i="44"/>
  <c r="AC218" i="44"/>
  <c r="AC219" i="44"/>
  <c r="AA204" i="44"/>
  <c r="AB204" i="44" s="1"/>
  <c r="AB256" i="44"/>
  <c r="AB258" i="44"/>
  <c r="AC223" i="44"/>
  <c r="AC212" i="44"/>
  <c r="Z257" i="44"/>
  <c r="AA257" i="44" s="1"/>
  <c r="S248" i="44"/>
  <c r="R248" i="44"/>
  <c r="AG248" i="44"/>
  <c r="Q248" i="44"/>
  <c r="Y248" i="44"/>
  <c r="F248" i="44"/>
  <c r="X248" i="44"/>
  <c r="E248" i="44"/>
  <c r="W248" i="44"/>
  <c r="U248" i="44"/>
  <c r="T248" i="44"/>
  <c r="P248" i="44"/>
  <c r="AC248" i="44"/>
  <c r="AB248" i="44"/>
  <c r="AA248" i="44"/>
  <c r="L248" i="44"/>
  <c r="K248" i="44"/>
  <c r="J248" i="44"/>
  <c r="G248" i="44"/>
  <c r="H248" i="44"/>
  <c r="M248" i="44"/>
  <c r="I248" i="44"/>
  <c r="Z248" i="44"/>
  <c r="N248" i="44"/>
  <c r="AD248" i="44"/>
  <c r="V248" i="44"/>
  <c r="AE248" i="44"/>
  <c r="O248" i="44"/>
  <c r="AF248" i="44"/>
  <c r="AG247" i="44"/>
  <c r="Q247" i="44"/>
  <c r="AF247" i="44"/>
  <c r="P247" i="44"/>
  <c r="AE247" i="44"/>
  <c r="O247" i="44"/>
  <c r="N247" i="44"/>
  <c r="M247" i="44"/>
  <c r="L247" i="44"/>
  <c r="Z247" i="44"/>
  <c r="Y247" i="44"/>
  <c r="X247" i="44"/>
  <c r="AB247" i="44"/>
  <c r="AA247" i="44"/>
  <c r="W247" i="44"/>
  <c r="H247" i="44"/>
  <c r="G247" i="44"/>
  <c r="F247" i="44"/>
  <c r="AD247" i="44"/>
  <c r="AC247" i="44"/>
  <c r="V247" i="44"/>
  <c r="U247" i="44"/>
  <c r="T247" i="44"/>
  <c r="S247" i="44"/>
  <c r="I247" i="44"/>
  <c r="R247" i="44"/>
  <c r="K247" i="44"/>
  <c r="J247" i="44"/>
  <c r="E247" i="44"/>
  <c r="AB257" i="44" l="1"/>
  <c r="AC204" i="44"/>
  <c r="AC256" i="44"/>
  <c r="AD256" i="44" s="1"/>
  <c r="AE256" i="44" s="1"/>
  <c r="AF256" i="44"/>
  <c r="AD218" i="44"/>
  <c r="AE218" i="44" s="1"/>
  <c r="AF218" i="44" s="1"/>
  <c r="AC254" i="44"/>
  <c r="AD254" i="44" s="1"/>
  <c r="AE254" i="44" s="1"/>
  <c r="AF254" i="44"/>
  <c r="AD207" i="44"/>
  <c r="AE207" i="44" s="1"/>
  <c r="AF207" i="44" s="1"/>
  <c r="AD202" i="44"/>
  <c r="AE202" i="44" s="1"/>
  <c r="AF202" i="44" s="1"/>
  <c r="AD213" i="44"/>
  <c r="AE213" i="44" s="1"/>
  <c r="AF213" i="44" s="1"/>
  <c r="AD220" i="44"/>
  <c r="AE220" i="44" s="1"/>
  <c r="AF220" i="44" s="1"/>
  <c r="AD217" i="44"/>
  <c r="AE217" i="44" s="1"/>
  <c r="AF217" i="44" s="1"/>
  <c r="AD209" i="44"/>
  <c r="AE209" i="44" s="1"/>
  <c r="AF209" i="44" s="1"/>
  <c r="AD214" i="44"/>
  <c r="AE214" i="44" s="1"/>
  <c r="AF214" i="44" s="1"/>
  <c r="AD203" i="44"/>
  <c r="AE203" i="44" s="1"/>
  <c r="AF203" i="44" s="1"/>
  <c r="AD212" i="44"/>
  <c r="AE212" i="44" s="1"/>
  <c r="AF212" i="44" s="1"/>
  <c r="AD211" i="44"/>
  <c r="AE211" i="44" s="1"/>
  <c r="AF211" i="44" s="1"/>
  <c r="AD216" i="44"/>
  <c r="AE216" i="44" s="1"/>
  <c r="AF216" i="44" s="1"/>
  <c r="AD205" i="44"/>
  <c r="AE205" i="44" s="1"/>
  <c r="AF205" i="44" s="1"/>
  <c r="AD221" i="44"/>
  <c r="AE221" i="44" s="1"/>
  <c r="AF221" i="44" s="1"/>
  <c r="AC253" i="44"/>
  <c r="AD253" i="44" s="1"/>
  <c r="AE253" i="44" s="1"/>
  <c r="AF253" i="44"/>
  <c r="AD208" i="44"/>
  <c r="AE208" i="44" s="1"/>
  <c r="AF208" i="44" s="1"/>
  <c r="AD210" i="44"/>
  <c r="AE210" i="44" s="1"/>
  <c r="AF210" i="44" s="1"/>
  <c r="AC255" i="44"/>
  <c r="AD255" i="44" s="1"/>
  <c r="AE255" i="44" s="1"/>
  <c r="AF255" i="44"/>
  <c r="AD224" i="44"/>
  <c r="AE224" i="44" s="1"/>
  <c r="AF224" i="44" s="1"/>
  <c r="AD219" i="44"/>
  <c r="AE219" i="44" s="1"/>
  <c r="AF219" i="44" s="1"/>
  <c r="AD206" i="44"/>
  <c r="AE206" i="44" s="1"/>
  <c r="AF206" i="44" s="1"/>
  <c r="AD223" i="44"/>
  <c r="AE223" i="44" s="1"/>
  <c r="AF223" i="44" s="1"/>
  <c r="AD225" i="44"/>
  <c r="AE225" i="44" s="1"/>
  <c r="AF225" i="44" s="1"/>
  <c r="AD222" i="44"/>
  <c r="AE222" i="44" s="1"/>
  <c r="AF222" i="44" s="1"/>
  <c r="AC258" i="44"/>
  <c r="AD258" i="44" s="1"/>
  <c r="AE258" i="44" s="1"/>
  <c r="AF258" i="44"/>
  <c r="AD215" i="44"/>
  <c r="AE215" i="44" s="1"/>
  <c r="AF215" i="44" s="1"/>
  <c r="AG256" i="44" l="1"/>
  <c r="AG258" i="44"/>
  <c r="AG254" i="44"/>
  <c r="AG253" i="44"/>
  <c r="AG209" i="44"/>
  <c r="AH209" i="44" s="1"/>
  <c r="AG225" i="44"/>
  <c r="AH225" i="44" s="1"/>
  <c r="AG215" i="44"/>
  <c r="AH215" i="44" s="1"/>
  <c r="AG223" i="44"/>
  <c r="AH223" i="44" s="1"/>
  <c r="AG220" i="44"/>
  <c r="AH220" i="44" s="1"/>
  <c r="AG202" i="44"/>
  <c r="AH202" i="44" s="1"/>
  <c r="AG206" i="44"/>
  <c r="AH206" i="44" s="1"/>
  <c r="AG207" i="44"/>
  <c r="AH207" i="44" s="1"/>
  <c r="AG217" i="44"/>
  <c r="AH217" i="44" s="1"/>
  <c r="AD204" i="44"/>
  <c r="AE204" i="44" s="1"/>
  <c r="AF204" i="44" s="1"/>
  <c r="AG224" i="44"/>
  <c r="AH224" i="44" s="1"/>
  <c r="AG255" i="44"/>
  <c r="AG219" i="44"/>
  <c r="AH219" i="44" s="1"/>
  <c r="AG205" i="44"/>
  <c r="AH205" i="44" s="1"/>
  <c r="AG210" i="44"/>
  <c r="AH210" i="44" s="1"/>
  <c r="AG203" i="44"/>
  <c r="AH203" i="44" s="1"/>
  <c r="AG212" i="44"/>
  <c r="AH212" i="44" s="1"/>
  <c r="AG214" i="44"/>
  <c r="AH214" i="44" s="1"/>
  <c r="AG216" i="44"/>
  <c r="AH216" i="44" s="1"/>
  <c r="AC257" i="44"/>
  <c r="AD257" i="44" s="1"/>
  <c r="AE257" i="44" s="1"/>
  <c r="D240" i="44" s="1"/>
  <c r="E240" i="44" s="1"/>
  <c r="AF257" i="44"/>
  <c r="AG218" i="44"/>
  <c r="AH218" i="44" s="1"/>
  <c r="AG222" i="44"/>
  <c r="AH222" i="44" s="1"/>
  <c r="AG221" i="44"/>
  <c r="AH221" i="44" s="1"/>
  <c r="AG213" i="44"/>
  <c r="AH213" i="44" s="1"/>
  <c r="AG211" i="44"/>
  <c r="AH211" i="44" s="1"/>
  <c r="AG208" i="44"/>
  <c r="AH208" i="44" s="1"/>
  <c r="AG257" i="44" l="1"/>
  <c r="AI209" i="44"/>
  <c r="AI224" i="44"/>
  <c r="AI225" i="44"/>
  <c r="AI222" i="44"/>
  <c r="AI203" i="44"/>
  <c r="AI210" i="44"/>
  <c r="AI213" i="44"/>
  <c r="AI219" i="44"/>
  <c r="AI212" i="44"/>
  <c r="AI211" i="44"/>
  <c r="AI217" i="44"/>
  <c r="AI208" i="44"/>
  <c r="AI202" i="44"/>
  <c r="AI218" i="44"/>
  <c r="AI207" i="44"/>
  <c r="AI221" i="44"/>
  <c r="AI215" i="44"/>
  <c r="AI216" i="44"/>
  <c r="AI214" i="44"/>
  <c r="D237" i="44"/>
  <c r="E237" i="44" s="1"/>
  <c r="D232" i="44"/>
  <c r="E232" i="44" s="1"/>
  <c r="D233" i="44" s="1"/>
  <c r="E233" i="44" s="1"/>
  <c r="D234" i="44" s="1"/>
  <c r="E234" i="44" s="1"/>
  <c r="AI206" i="44"/>
  <c r="AG204" i="44"/>
  <c r="AH204" i="44" s="1"/>
  <c r="AI223" i="44"/>
  <c r="AI205" i="44"/>
  <c r="AI220" i="44"/>
  <c r="C31" i="39"/>
  <c r="J30" i="39" s="1" a="1"/>
  <c r="J30" i="39" s="1"/>
  <c r="I30" i="32"/>
  <c r="C30" i="32"/>
  <c r="D245" i="44" l="1" a="1"/>
  <c r="E246" i="44" s="1" a="1"/>
  <c r="AI204" i="44"/>
  <c r="AJ211" i="44"/>
  <c r="AK211" i="44" s="1"/>
  <c r="AL211" i="44" s="1"/>
  <c r="AM211" i="44"/>
  <c r="AJ222" i="44"/>
  <c r="AK222" i="44" s="1"/>
  <c r="AL222" i="44" s="1"/>
  <c r="AM222" i="44"/>
  <c r="AJ212" i="44"/>
  <c r="AK212" i="44" s="1"/>
  <c r="AL212" i="44" s="1"/>
  <c r="AM212" i="44"/>
  <c r="AJ220" i="44"/>
  <c r="AK220" i="44" s="1"/>
  <c r="AL220" i="44" s="1"/>
  <c r="AM220" i="44"/>
  <c r="AJ219" i="44"/>
  <c r="AK219" i="44" s="1"/>
  <c r="AL219" i="44" s="1"/>
  <c r="AM219" i="44"/>
  <c r="AJ213" i="44"/>
  <c r="AK213" i="44" s="1"/>
  <c r="AL213" i="44" s="1"/>
  <c r="AM213" i="44"/>
  <c r="AJ205" i="44"/>
  <c r="AK205" i="44" s="1"/>
  <c r="AL205" i="44" s="1"/>
  <c r="AM205" i="44"/>
  <c r="AJ209" i="44"/>
  <c r="AK209" i="44" s="1"/>
  <c r="AL209" i="44" s="1"/>
  <c r="AM209" i="44"/>
  <c r="AJ208" i="44"/>
  <c r="AK208" i="44" s="1"/>
  <c r="AL208" i="44" s="1"/>
  <c r="AM208" i="44"/>
  <c r="AJ214" i="44"/>
  <c r="AK214" i="44" s="1"/>
  <c r="AL214" i="44" s="1"/>
  <c r="AM214" i="44"/>
  <c r="AJ207" i="44"/>
  <c r="AK207" i="44" s="1"/>
  <c r="AL207" i="44" s="1"/>
  <c r="AM207" i="44"/>
  <c r="AJ223" i="44"/>
  <c r="AK223" i="44" s="1"/>
  <c r="AL223" i="44" s="1"/>
  <c r="AM223" i="44"/>
  <c r="AJ224" i="44"/>
  <c r="AK224" i="44" s="1"/>
  <c r="AL224" i="44" s="1"/>
  <c r="AM224" i="44"/>
  <c r="AJ216" i="44"/>
  <c r="AK216" i="44" s="1"/>
  <c r="AL216" i="44" s="1"/>
  <c r="AM216" i="44"/>
  <c r="AJ202" i="44"/>
  <c r="AK202" i="44" s="1"/>
  <c r="AL202" i="44" s="1"/>
  <c r="AM202" i="44"/>
  <c r="AJ215" i="44"/>
  <c r="AK215" i="44" s="1"/>
  <c r="AL215" i="44" s="1"/>
  <c r="AM215" i="44"/>
  <c r="AJ217" i="44"/>
  <c r="AK217" i="44" s="1"/>
  <c r="AL217" i="44" s="1"/>
  <c r="AM217" i="44"/>
  <c r="AJ203" i="44"/>
  <c r="AK203" i="44" s="1"/>
  <c r="AL203" i="44" s="1"/>
  <c r="AM203" i="44"/>
  <c r="AJ218" i="44"/>
  <c r="AK218" i="44" s="1"/>
  <c r="AL218" i="44" s="1"/>
  <c r="AM218" i="44"/>
  <c r="AJ206" i="44"/>
  <c r="AK206" i="44" s="1"/>
  <c r="AL206" i="44" s="1"/>
  <c r="AM206" i="44"/>
  <c r="AJ221" i="44"/>
  <c r="AK221" i="44" s="1"/>
  <c r="AL221" i="44" s="1"/>
  <c r="AM221" i="44"/>
  <c r="AJ225" i="44"/>
  <c r="AK225" i="44" s="1"/>
  <c r="AL225" i="44" s="1"/>
  <c r="AM225" i="44"/>
  <c r="AJ210" i="44"/>
  <c r="AK210" i="44" s="1"/>
  <c r="AL210" i="44" s="1"/>
  <c r="AM210" i="44"/>
  <c r="C31" i="32"/>
  <c r="J30" i="32" s="1" a="1"/>
  <c r="J30" i="32" s="1"/>
  <c r="AN220" i="44" l="1"/>
  <c r="AN216" i="44"/>
  <c r="AN207" i="44"/>
  <c r="AN225" i="44"/>
  <c r="AN221" i="44"/>
  <c r="AN223" i="44"/>
  <c r="AN215" i="44"/>
  <c r="AN209" i="44"/>
  <c r="AN212" i="44"/>
  <c r="AN224" i="44"/>
  <c r="AN213" i="44"/>
  <c r="AN211" i="44"/>
  <c r="AN219" i="44"/>
  <c r="AN205" i="44"/>
  <c r="AN203" i="44"/>
  <c r="AN222" i="44"/>
  <c r="AN214" i="44"/>
  <c r="D245" i="44"/>
  <c r="E245" i="44" s="1" a="1"/>
  <c r="AC245" i="44" s="1"/>
  <c r="AN218" i="44"/>
  <c r="AN217" i="44"/>
  <c r="AF246" i="44"/>
  <c r="G246" i="44"/>
  <c r="R246" i="44"/>
  <c r="AC246" i="44"/>
  <c r="F246" i="44"/>
  <c r="AB246" i="44"/>
  <c r="AG246" i="44"/>
  <c r="V246" i="44"/>
  <c r="N246" i="44"/>
  <c r="U246" i="44"/>
  <c r="AE246" i="44"/>
  <c r="AA246" i="44"/>
  <c r="AD246" i="44"/>
  <c r="Q246" i="44"/>
  <c r="L246" i="44"/>
  <c r="O246" i="44"/>
  <c r="Z246" i="44"/>
  <c r="X246" i="44"/>
  <c r="E246" i="44"/>
  <c r="W246" i="44"/>
  <c r="H246" i="44"/>
  <c r="M246" i="44"/>
  <c r="P246" i="44"/>
  <c r="Y246" i="44"/>
  <c r="J246" i="44"/>
  <c r="T246" i="44"/>
  <c r="S246" i="44"/>
  <c r="I246" i="44"/>
  <c r="K246" i="44"/>
  <c r="AN206" i="44"/>
  <c r="AN208" i="44"/>
  <c r="AJ204" i="44"/>
  <c r="AK204" i="44" s="1"/>
  <c r="AL204" i="44" s="1"/>
  <c r="AM204" i="44"/>
  <c r="AN210" i="44"/>
  <c r="AN202" i="44"/>
  <c r="C26" i="27"/>
  <c r="D26" i="27"/>
  <c r="E26" i="27"/>
  <c r="F26" i="27"/>
  <c r="G26" i="27"/>
  <c r="C30" i="2"/>
  <c r="D30" i="2"/>
  <c r="E30" i="2"/>
  <c r="F30" i="2"/>
  <c r="G30" i="2"/>
  <c r="H30" i="2"/>
  <c r="I30" i="2"/>
  <c r="J30" i="2"/>
  <c r="K30" i="2"/>
  <c r="L30" i="2"/>
  <c r="M30" i="2"/>
  <c r="N30" i="2"/>
  <c r="O30" i="2"/>
  <c r="P30" i="2"/>
  <c r="Q30" i="2"/>
  <c r="R30" i="2"/>
  <c r="S30" i="2"/>
  <c r="C31" i="2"/>
  <c r="D31" i="2"/>
  <c r="E31" i="2"/>
  <c r="F31" i="2"/>
  <c r="G31" i="2"/>
  <c r="H31" i="2"/>
  <c r="I31" i="2"/>
  <c r="J31" i="2"/>
  <c r="K31" i="2"/>
  <c r="L31" i="2"/>
  <c r="M31" i="2"/>
  <c r="N31" i="2"/>
  <c r="O31" i="2"/>
  <c r="P31" i="2"/>
  <c r="Q31" i="2"/>
  <c r="R31" i="2"/>
  <c r="S31" i="2"/>
  <c r="C32" i="2"/>
  <c r="D32" i="2"/>
  <c r="E32" i="2"/>
  <c r="F32" i="2"/>
  <c r="G32" i="2"/>
  <c r="H32" i="2"/>
  <c r="I32" i="2"/>
  <c r="J32" i="2"/>
  <c r="K32" i="2"/>
  <c r="L32" i="2"/>
  <c r="M32" i="2"/>
  <c r="N32" i="2"/>
  <c r="O32" i="2"/>
  <c r="P32" i="2"/>
  <c r="Q32" i="2"/>
  <c r="R32" i="2"/>
  <c r="S32" i="2"/>
  <c r="C33" i="2"/>
  <c r="D33" i="2"/>
  <c r="E33" i="2"/>
  <c r="F33" i="2"/>
  <c r="G33" i="2"/>
  <c r="H33" i="2"/>
  <c r="I33" i="2"/>
  <c r="J33" i="2"/>
  <c r="K33" i="2"/>
  <c r="L33" i="2"/>
  <c r="M33" i="2"/>
  <c r="N33" i="2"/>
  <c r="O33" i="2"/>
  <c r="P33" i="2"/>
  <c r="Q33" i="2"/>
  <c r="R33" i="2"/>
  <c r="S33" i="2"/>
  <c r="C34" i="2"/>
  <c r="D34" i="2"/>
  <c r="E34" i="2"/>
  <c r="F34" i="2"/>
  <c r="G34" i="2"/>
  <c r="H34" i="2"/>
  <c r="I34" i="2"/>
  <c r="J34" i="2"/>
  <c r="K34" i="2"/>
  <c r="L34" i="2"/>
  <c r="M34" i="2"/>
  <c r="N34" i="2"/>
  <c r="O34" i="2"/>
  <c r="P34" i="2"/>
  <c r="Q34" i="2"/>
  <c r="R34" i="2"/>
  <c r="S34" i="2"/>
  <c r="C35" i="2"/>
  <c r="D35" i="2"/>
  <c r="E35" i="2"/>
  <c r="F35" i="2"/>
  <c r="G35" i="2"/>
  <c r="H35" i="2"/>
  <c r="I35" i="2"/>
  <c r="J35" i="2"/>
  <c r="K35" i="2"/>
  <c r="L35" i="2"/>
  <c r="M35" i="2"/>
  <c r="N35" i="2"/>
  <c r="O35" i="2"/>
  <c r="P35" i="2"/>
  <c r="Q35" i="2"/>
  <c r="R35" i="2"/>
  <c r="S35" i="2"/>
  <c r="C36" i="2"/>
  <c r="D36" i="2"/>
  <c r="E36" i="2"/>
  <c r="F36" i="2"/>
  <c r="G36" i="2"/>
  <c r="H36" i="2"/>
  <c r="I36" i="2"/>
  <c r="J36" i="2"/>
  <c r="K36" i="2"/>
  <c r="L36" i="2"/>
  <c r="M36" i="2"/>
  <c r="N36" i="2"/>
  <c r="O36" i="2"/>
  <c r="P36" i="2"/>
  <c r="Q36" i="2"/>
  <c r="R36" i="2"/>
  <c r="S36" i="2"/>
  <c r="C37" i="2"/>
  <c r="D37" i="2"/>
  <c r="E37" i="2"/>
  <c r="F37" i="2"/>
  <c r="G37" i="2"/>
  <c r="H37" i="2"/>
  <c r="I37" i="2"/>
  <c r="J37" i="2"/>
  <c r="K37" i="2"/>
  <c r="L37" i="2"/>
  <c r="M37" i="2"/>
  <c r="N37" i="2"/>
  <c r="O37" i="2"/>
  <c r="P37" i="2"/>
  <c r="Q37" i="2"/>
  <c r="R37" i="2"/>
  <c r="S37" i="2"/>
  <c r="C38" i="2"/>
  <c r="D38" i="2"/>
  <c r="E38" i="2"/>
  <c r="F38" i="2"/>
  <c r="G38" i="2"/>
  <c r="H38" i="2"/>
  <c r="I38" i="2"/>
  <c r="J38" i="2"/>
  <c r="K38" i="2"/>
  <c r="L38" i="2"/>
  <c r="M38" i="2"/>
  <c r="N38" i="2"/>
  <c r="O38" i="2"/>
  <c r="P38" i="2"/>
  <c r="Q38" i="2"/>
  <c r="R38" i="2"/>
  <c r="S38" i="2"/>
  <c r="C39" i="2"/>
  <c r="D39" i="2"/>
  <c r="E39" i="2"/>
  <c r="F39" i="2"/>
  <c r="G39" i="2"/>
  <c r="H39" i="2"/>
  <c r="I39" i="2"/>
  <c r="J39" i="2"/>
  <c r="K39" i="2"/>
  <c r="L39" i="2"/>
  <c r="M39" i="2"/>
  <c r="N39" i="2"/>
  <c r="O39" i="2"/>
  <c r="P39" i="2"/>
  <c r="Q39" i="2"/>
  <c r="R39" i="2"/>
  <c r="S39" i="2"/>
  <c r="C40" i="2"/>
  <c r="D40" i="2"/>
  <c r="E40" i="2"/>
  <c r="F40" i="2"/>
  <c r="G40" i="2"/>
  <c r="H40" i="2"/>
  <c r="I40" i="2"/>
  <c r="J40" i="2"/>
  <c r="K40" i="2"/>
  <c r="L40" i="2"/>
  <c r="M40" i="2"/>
  <c r="N40" i="2"/>
  <c r="O40" i="2"/>
  <c r="P40" i="2"/>
  <c r="Q40" i="2"/>
  <c r="R40" i="2"/>
  <c r="S40" i="2"/>
  <c r="C41" i="2"/>
  <c r="D41" i="2"/>
  <c r="E41" i="2"/>
  <c r="F41" i="2"/>
  <c r="G41" i="2"/>
  <c r="H41" i="2"/>
  <c r="I41" i="2"/>
  <c r="J41" i="2"/>
  <c r="K41" i="2"/>
  <c r="L41" i="2"/>
  <c r="M41" i="2"/>
  <c r="N41" i="2"/>
  <c r="O41" i="2"/>
  <c r="P41" i="2"/>
  <c r="Q41" i="2"/>
  <c r="R41" i="2"/>
  <c r="S41" i="2"/>
  <c r="C42" i="2"/>
  <c r="D42" i="2"/>
  <c r="E42" i="2"/>
  <c r="F42" i="2"/>
  <c r="G42" i="2"/>
  <c r="H42" i="2"/>
  <c r="I42" i="2"/>
  <c r="J42" i="2"/>
  <c r="K42" i="2"/>
  <c r="L42" i="2"/>
  <c r="M42" i="2"/>
  <c r="N42" i="2"/>
  <c r="O42" i="2"/>
  <c r="P42" i="2"/>
  <c r="Q42" i="2"/>
  <c r="R42" i="2"/>
  <c r="S42" i="2"/>
  <c r="C43" i="2"/>
  <c r="D43" i="2"/>
  <c r="E43" i="2"/>
  <c r="F43" i="2"/>
  <c r="G43" i="2"/>
  <c r="H43" i="2"/>
  <c r="I43" i="2"/>
  <c r="J43" i="2"/>
  <c r="K43" i="2"/>
  <c r="L43" i="2"/>
  <c r="M43" i="2"/>
  <c r="N43" i="2"/>
  <c r="O43" i="2"/>
  <c r="P43" i="2"/>
  <c r="Q43" i="2"/>
  <c r="R43" i="2"/>
  <c r="S43" i="2"/>
  <c r="C44" i="2"/>
  <c r="D44" i="2"/>
  <c r="E44" i="2"/>
  <c r="F44" i="2"/>
  <c r="G44" i="2"/>
  <c r="H44" i="2"/>
  <c r="I44" i="2"/>
  <c r="J44" i="2"/>
  <c r="K44" i="2"/>
  <c r="L44" i="2"/>
  <c r="M44" i="2"/>
  <c r="N44" i="2"/>
  <c r="O44" i="2"/>
  <c r="P44" i="2"/>
  <c r="Q44" i="2"/>
  <c r="R44" i="2"/>
  <c r="S44" i="2"/>
  <c r="C45" i="2"/>
  <c r="D45" i="2"/>
  <c r="E45" i="2"/>
  <c r="F45" i="2"/>
  <c r="G45" i="2"/>
  <c r="H45" i="2"/>
  <c r="I45" i="2"/>
  <c r="J45" i="2"/>
  <c r="K45" i="2"/>
  <c r="L45" i="2"/>
  <c r="M45" i="2"/>
  <c r="N45" i="2"/>
  <c r="O45" i="2"/>
  <c r="P45" i="2"/>
  <c r="Q45" i="2"/>
  <c r="R45" i="2"/>
  <c r="S45" i="2"/>
  <c r="D29" i="2"/>
  <c r="E29" i="2"/>
  <c r="F29" i="2"/>
  <c r="G29" i="2"/>
  <c r="H29" i="2"/>
  <c r="I29" i="2"/>
  <c r="J29" i="2"/>
  <c r="K29" i="2"/>
  <c r="L29" i="2"/>
  <c r="M29" i="2"/>
  <c r="N29" i="2"/>
  <c r="O29" i="2"/>
  <c r="P29" i="2"/>
  <c r="Q29" i="2"/>
  <c r="R29" i="2"/>
  <c r="S29" i="2"/>
  <c r="C29" i="2"/>
  <c r="H54" i="2"/>
  <c r="G18" i="27"/>
  <c r="F18" i="27"/>
  <c r="E18" i="27"/>
  <c r="S31" i="27" s="1"/>
  <c r="D18" i="27"/>
  <c r="C18" i="27"/>
  <c r="Q31" i="27" s="1"/>
  <c r="P118" i="44" l="1"/>
  <c r="Q118" i="44" s="1"/>
  <c r="R118" i="44" s="1"/>
  <c r="P136" i="44"/>
  <c r="Q136" i="44" s="1"/>
  <c r="R136" i="44" s="1"/>
  <c r="S136" i="44" s="1"/>
  <c r="T136" i="44" s="1"/>
  <c r="U136" i="44" s="1"/>
  <c r="V136" i="44" s="1"/>
  <c r="W136" i="44" s="1"/>
  <c r="X136" i="44" s="1"/>
  <c r="Y136" i="44" s="1"/>
  <c r="Z136" i="44" s="1"/>
  <c r="AA136" i="44" s="1"/>
  <c r="AB136" i="44" s="1"/>
  <c r="AC136" i="44" s="1"/>
  <c r="AD136" i="44" s="1"/>
  <c r="AE136" i="44" s="1"/>
  <c r="AF136" i="44" s="1"/>
  <c r="AG136" i="44" s="1"/>
  <c r="AH136" i="44" s="1"/>
  <c r="AI136" i="44" s="1"/>
  <c r="AJ136" i="44" s="1"/>
  <c r="AK136" i="44" s="1"/>
  <c r="AL136" i="44" s="1"/>
  <c r="AM136" i="44" s="1"/>
  <c r="AN136" i="44" s="1"/>
  <c r="AO136" i="44" s="1"/>
  <c r="P121" i="44"/>
  <c r="Q121" i="44" s="1"/>
  <c r="R121" i="44" s="1"/>
  <c r="S121" i="44" s="1"/>
  <c r="T121" i="44" s="1"/>
  <c r="U121" i="44" s="1"/>
  <c r="V121" i="44" s="1"/>
  <c r="W121" i="44" s="1"/>
  <c r="X121" i="44" s="1"/>
  <c r="Y121" i="44" s="1"/>
  <c r="Z121" i="44" s="1"/>
  <c r="AA121" i="44" s="1"/>
  <c r="AB121" i="44" s="1"/>
  <c r="AC121" i="44" s="1"/>
  <c r="AD121" i="44" s="1"/>
  <c r="AE121" i="44" s="1"/>
  <c r="AF121" i="44" s="1"/>
  <c r="AG121" i="44" s="1"/>
  <c r="AH121" i="44" s="1"/>
  <c r="AI121" i="44" s="1"/>
  <c r="AJ121" i="44" s="1"/>
  <c r="AK121" i="44" s="1"/>
  <c r="AL121" i="44" s="1"/>
  <c r="AM121" i="44" s="1"/>
  <c r="P141" i="44"/>
  <c r="Q141" i="44" s="1"/>
  <c r="R141" i="44" s="1"/>
  <c r="S141" i="44" s="1"/>
  <c r="T141" i="44" s="1"/>
  <c r="U141" i="44" s="1"/>
  <c r="V141" i="44" s="1"/>
  <c r="W141" i="44" s="1"/>
  <c r="X141" i="44" s="1"/>
  <c r="Y141" i="44" s="1"/>
  <c r="Z141" i="44" s="1"/>
  <c r="AA141" i="44" s="1"/>
  <c r="AB141" i="44" s="1"/>
  <c r="AC141" i="44" s="1"/>
  <c r="AD141" i="44" s="1"/>
  <c r="AE141" i="44" s="1"/>
  <c r="AF141" i="44" s="1"/>
  <c r="AG141" i="44" s="1"/>
  <c r="AH141" i="44" s="1"/>
  <c r="AI141" i="44" s="1"/>
  <c r="AJ141" i="44" s="1"/>
  <c r="AK141" i="44" s="1"/>
  <c r="AL141" i="44" s="1"/>
  <c r="AM141" i="44" s="1"/>
  <c r="AN141" i="44" s="1"/>
  <c r="AO141" i="44" s="1"/>
  <c r="P122" i="44"/>
  <c r="Q122" i="44" s="1"/>
  <c r="R122" i="44" s="1"/>
  <c r="S122" i="44" s="1"/>
  <c r="T122" i="44" s="1"/>
  <c r="U122" i="44" s="1"/>
  <c r="V122" i="44" s="1"/>
  <c r="W122" i="44" s="1"/>
  <c r="X122" i="44" s="1"/>
  <c r="Y122" i="44" s="1"/>
  <c r="Z122" i="44" s="1"/>
  <c r="AA122" i="44" s="1"/>
  <c r="AB122" i="44" s="1"/>
  <c r="AC122" i="44" s="1"/>
  <c r="AD122" i="44" s="1"/>
  <c r="AE122" i="44" s="1"/>
  <c r="AF122" i="44" s="1"/>
  <c r="AG122" i="44" s="1"/>
  <c r="AH122" i="44" s="1"/>
  <c r="AI122" i="44" s="1"/>
  <c r="AJ122" i="44" s="1"/>
  <c r="AK122" i="44" s="1"/>
  <c r="AL122" i="44" s="1"/>
  <c r="AM122" i="44" s="1"/>
  <c r="P140" i="44"/>
  <c r="Q140" i="44" s="1"/>
  <c r="R140" i="44" s="1"/>
  <c r="S140" i="44" s="1"/>
  <c r="T140" i="44" s="1"/>
  <c r="U140" i="44" s="1"/>
  <c r="V140" i="44" s="1"/>
  <c r="W140" i="44" s="1"/>
  <c r="X140" i="44" s="1"/>
  <c r="Y140" i="44" s="1"/>
  <c r="Z140" i="44" s="1"/>
  <c r="AA140" i="44" s="1"/>
  <c r="AB140" i="44" s="1"/>
  <c r="AC140" i="44" s="1"/>
  <c r="AD140" i="44" s="1"/>
  <c r="AE140" i="44" s="1"/>
  <c r="AF140" i="44" s="1"/>
  <c r="AG140" i="44" s="1"/>
  <c r="AH140" i="44" s="1"/>
  <c r="AI140" i="44" s="1"/>
  <c r="AJ140" i="44" s="1"/>
  <c r="AK140" i="44" s="1"/>
  <c r="AL140" i="44" s="1"/>
  <c r="AM140" i="44" s="1"/>
  <c r="AN140" i="44" s="1"/>
  <c r="AO140" i="44" s="1"/>
  <c r="AP140" i="44" s="1"/>
  <c r="P119" i="44"/>
  <c r="Q119" i="44" s="1"/>
  <c r="R119" i="44" s="1"/>
  <c r="S119" i="44" s="1"/>
  <c r="T119" i="44" s="1"/>
  <c r="U119" i="44" s="1"/>
  <c r="V119" i="44" s="1"/>
  <c r="W119" i="44" s="1"/>
  <c r="X119" i="44" s="1"/>
  <c r="Y119" i="44" s="1"/>
  <c r="Z119" i="44" s="1"/>
  <c r="AA119" i="44" s="1"/>
  <c r="AB119" i="44" s="1"/>
  <c r="AC119" i="44" s="1"/>
  <c r="AD119" i="44" s="1"/>
  <c r="AE119" i="44" s="1"/>
  <c r="AF119" i="44" s="1"/>
  <c r="AG119" i="44" s="1"/>
  <c r="AH119" i="44" s="1"/>
  <c r="AI119" i="44" s="1"/>
  <c r="AJ119" i="44" s="1"/>
  <c r="AK119" i="44" s="1"/>
  <c r="AL119" i="44" s="1"/>
  <c r="AM119" i="44" s="1"/>
  <c r="AN119" i="44" s="1"/>
  <c r="AO119" i="44" s="1"/>
  <c r="P127" i="44"/>
  <c r="Q127" i="44" s="1"/>
  <c r="R127" i="44" s="1"/>
  <c r="S127" i="44" s="1"/>
  <c r="T127" i="44" s="1"/>
  <c r="U127" i="44" s="1"/>
  <c r="V127" i="44" s="1"/>
  <c r="W127" i="44" s="1"/>
  <c r="X127" i="44" s="1"/>
  <c r="Y127" i="44" s="1"/>
  <c r="Z127" i="44" s="1"/>
  <c r="AA127" i="44" s="1"/>
  <c r="AB127" i="44" s="1"/>
  <c r="AC127" i="44" s="1"/>
  <c r="AD127" i="44" s="1"/>
  <c r="AE127" i="44" s="1"/>
  <c r="AF127" i="44" s="1"/>
  <c r="AG127" i="44" s="1"/>
  <c r="AH127" i="44" s="1"/>
  <c r="AI127" i="44" s="1"/>
  <c r="AJ127" i="44" s="1"/>
  <c r="AK127" i="44" s="1"/>
  <c r="AL127" i="44" s="1"/>
  <c r="AM127" i="44" s="1"/>
  <c r="AN127" i="44" s="1"/>
  <c r="AO127" i="44" s="1"/>
  <c r="AP127" i="44" s="1"/>
  <c r="P131" i="44"/>
  <c r="Q131" i="44" s="1"/>
  <c r="R131" i="44" s="1"/>
  <c r="S131" i="44" s="1"/>
  <c r="T131" i="44" s="1"/>
  <c r="U131" i="44" s="1"/>
  <c r="V131" i="44" s="1"/>
  <c r="W131" i="44" s="1"/>
  <c r="X131" i="44" s="1"/>
  <c r="Y131" i="44" s="1"/>
  <c r="Z131" i="44" s="1"/>
  <c r="AA131" i="44" s="1"/>
  <c r="AB131" i="44" s="1"/>
  <c r="AC131" i="44" s="1"/>
  <c r="AD131" i="44" s="1"/>
  <c r="AE131" i="44" s="1"/>
  <c r="AF131" i="44" s="1"/>
  <c r="AG131" i="44" s="1"/>
  <c r="AH131" i="44" s="1"/>
  <c r="AI131" i="44" s="1"/>
  <c r="AJ131" i="44" s="1"/>
  <c r="AK131" i="44" s="1"/>
  <c r="AL131" i="44" s="1"/>
  <c r="AM131" i="44" s="1"/>
  <c r="AN131" i="44" s="1"/>
  <c r="AO131" i="44" s="1"/>
  <c r="P129" i="44"/>
  <c r="Q129" i="44" s="1"/>
  <c r="R129" i="44" s="1"/>
  <c r="S129" i="44" s="1"/>
  <c r="T129" i="44" s="1"/>
  <c r="U129" i="44" s="1"/>
  <c r="V129" i="44" s="1"/>
  <c r="W129" i="44" s="1"/>
  <c r="X129" i="44" s="1"/>
  <c r="Y129" i="44" s="1"/>
  <c r="Z129" i="44" s="1"/>
  <c r="AA129" i="44" s="1"/>
  <c r="AB129" i="44" s="1"/>
  <c r="AC129" i="44" s="1"/>
  <c r="AD129" i="44" s="1"/>
  <c r="AE129" i="44" s="1"/>
  <c r="AF129" i="44" s="1"/>
  <c r="AG129" i="44" s="1"/>
  <c r="AH129" i="44" s="1"/>
  <c r="AI129" i="44" s="1"/>
  <c r="AJ129" i="44" s="1"/>
  <c r="AK129" i="44" s="1"/>
  <c r="AL129" i="44" s="1"/>
  <c r="AM129" i="44" s="1"/>
  <c r="AN129" i="44" s="1"/>
  <c r="AO129" i="44" s="1"/>
  <c r="AP129" i="44" s="1"/>
  <c r="P134" i="44"/>
  <c r="Q134" i="44" s="1"/>
  <c r="R134" i="44" s="1"/>
  <c r="S134" i="44" s="1"/>
  <c r="T134" i="44" s="1"/>
  <c r="U134" i="44" s="1"/>
  <c r="V134" i="44" s="1"/>
  <c r="W134" i="44" s="1"/>
  <c r="X134" i="44" s="1"/>
  <c r="Y134" i="44" s="1"/>
  <c r="Z134" i="44" s="1"/>
  <c r="AA134" i="44" s="1"/>
  <c r="AB134" i="44" s="1"/>
  <c r="AC134" i="44" s="1"/>
  <c r="AD134" i="44" s="1"/>
  <c r="AE134" i="44" s="1"/>
  <c r="AF134" i="44" s="1"/>
  <c r="AG134" i="44" s="1"/>
  <c r="AH134" i="44" s="1"/>
  <c r="AI134" i="44" s="1"/>
  <c r="AJ134" i="44" s="1"/>
  <c r="AK134" i="44" s="1"/>
  <c r="AL134" i="44" s="1"/>
  <c r="AM134" i="44" s="1"/>
  <c r="AN134" i="44" s="1"/>
  <c r="AO134" i="44" s="1"/>
  <c r="P130" i="44"/>
  <c r="Q130" i="44" s="1"/>
  <c r="R130" i="44" s="1"/>
  <c r="S130" i="44" s="1"/>
  <c r="T130" i="44" s="1"/>
  <c r="U130" i="44" s="1"/>
  <c r="V130" i="44" s="1"/>
  <c r="W130" i="44" s="1"/>
  <c r="X130" i="44" s="1"/>
  <c r="Y130" i="44" s="1"/>
  <c r="Z130" i="44" s="1"/>
  <c r="AA130" i="44" s="1"/>
  <c r="AB130" i="44" s="1"/>
  <c r="AC130" i="44" s="1"/>
  <c r="AD130" i="44" s="1"/>
  <c r="AE130" i="44" s="1"/>
  <c r="AF130" i="44" s="1"/>
  <c r="AG130" i="44" s="1"/>
  <c r="AH130" i="44" s="1"/>
  <c r="AI130" i="44" s="1"/>
  <c r="AJ130" i="44" s="1"/>
  <c r="AK130" i="44" s="1"/>
  <c r="AL130" i="44" s="1"/>
  <c r="AM130" i="44" s="1"/>
  <c r="AN130" i="44" s="1"/>
  <c r="AO130" i="44" s="1"/>
  <c r="P128" i="44"/>
  <c r="Q128" i="44" s="1"/>
  <c r="R128" i="44" s="1"/>
  <c r="S128" i="44" s="1"/>
  <c r="T128" i="44" s="1"/>
  <c r="U128" i="44" s="1"/>
  <c r="V128" i="44" s="1"/>
  <c r="W128" i="44" s="1"/>
  <c r="X128" i="44" s="1"/>
  <c r="Y128" i="44" s="1"/>
  <c r="Z128" i="44" s="1"/>
  <c r="AA128" i="44" s="1"/>
  <c r="AB128" i="44" s="1"/>
  <c r="AC128" i="44" s="1"/>
  <c r="AD128" i="44" s="1"/>
  <c r="AE128" i="44" s="1"/>
  <c r="AF128" i="44" s="1"/>
  <c r="AG128" i="44" s="1"/>
  <c r="AH128" i="44" s="1"/>
  <c r="AI128" i="44" s="1"/>
  <c r="AJ128" i="44" s="1"/>
  <c r="AK128" i="44" s="1"/>
  <c r="AL128" i="44" s="1"/>
  <c r="AM128" i="44" s="1"/>
  <c r="AN128" i="44" s="1"/>
  <c r="AO128" i="44" s="1"/>
  <c r="P139" i="44"/>
  <c r="Q139" i="44" s="1"/>
  <c r="R139" i="44" s="1"/>
  <c r="S139" i="44" s="1"/>
  <c r="T139" i="44" s="1"/>
  <c r="U139" i="44" s="1"/>
  <c r="V139" i="44" s="1"/>
  <c r="W139" i="44" s="1"/>
  <c r="X139" i="44" s="1"/>
  <c r="Y139" i="44" s="1"/>
  <c r="Z139" i="44" s="1"/>
  <c r="AA139" i="44" s="1"/>
  <c r="AB139" i="44" s="1"/>
  <c r="AC139" i="44" s="1"/>
  <c r="AD139" i="44" s="1"/>
  <c r="AE139" i="44" s="1"/>
  <c r="AF139" i="44" s="1"/>
  <c r="AG139" i="44" s="1"/>
  <c r="AH139" i="44" s="1"/>
  <c r="AI139" i="44" s="1"/>
  <c r="AJ139" i="44" s="1"/>
  <c r="AK139" i="44" s="1"/>
  <c r="AL139" i="44" s="1"/>
  <c r="AM139" i="44" s="1"/>
  <c r="AN139" i="44" s="1"/>
  <c r="AO139" i="44" s="1"/>
  <c r="AP139" i="44" s="1"/>
  <c r="P135" i="44"/>
  <c r="Q135" i="44" s="1"/>
  <c r="R135" i="44" s="1"/>
  <c r="S135" i="44" s="1"/>
  <c r="T135" i="44" s="1"/>
  <c r="U135" i="44" s="1"/>
  <c r="V135" i="44" s="1"/>
  <c r="W135" i="44" s="1"/>
  <c r="X135" i="44" s="1"/>
  <c r="Y135" i="44" s="1"/>
  <c r="Z135" i="44" s="1"/>
  <c r="AA135" i="44" s="1"/>
  <c r="AB135" i="44" s="1"/>
  <c r="AC135" i="44" s="1"/>
  <c r="AD135" i="44" s="1"/>
  <c r="AE135" i="44" s="1"/>
  <c r="AF135" i="44" s="1"/>
  <c r="AG135" i="44" s="1"/>
  <c r="AH135" i="44" s="1"/>
  <c r="AI135" i="44" s="1"/>
  <c r="AJ135" i="44" s="1"/>
  <c r="AK135" i="44" s="1"/>
  <c r="AL135" i="44" s="1"/>
  <c r="AM135" i="44" s="1"/>
  <c r="AN135" i="44" s="1"/>
  <c r="AO135" i="44" s="1"/>
  <c r="AP135" i="44" s="1"/>
  <c r="P126" i="44"/>
  <c r="Q126" i="44" s="1"/>
  <c r="R126" i="44" s="1"/>
  <c r="S126" i="44" s="1"/>
  <c r="T126" i="44" s="1"/>
  <c r="U126" i="44" s="1"/>
  <c r="V126" i="44" s="1"/>
  <c r="W126" i="44" s="1"/>
  <c r="X126" i="44" s="1"/>
  <c r="Y126" i="44" s="1"/>
  <c r="Z126" i="44" s="1"/>
  <c r="AA126" i="44" s="1"/>
  <c r="AB126" i="44" s="1"/>
  <c r="AC126" i="44" s="1"/>
  <c r="AD126" i="44" s="1"/>
  <c r="AE126" i="44" s="1"/>
  <c r="AF126" i="44" s="1"/>
  <c r="AG126" i="44" s="1"/>
  <c r="AH126" i="44" s="1"/>
  <c r="AI126" i="44" s="1"/>
  <c r="AJ126" i="44" s="1"/>
  <c r="AK126" i="44" s="1"/>
  <c r="AL126" i="44" s="1"/>
  <c r="AM126" i="44" s="1"/>
  <c r="AN126" i="44" s="1"/>
  <c r="AO126" i="44" s="1"/>
  <c r="AP126" i="44" s="1"/>
  <c r="P124" i="44"/>
  <c r="Q124" i="44" s="1"/>
  <c r="R124" i="44" s="1"/>
  <c r="S124" i="44" s="1"/>
  <c r="T124" i="44" s="1"/>
  <c r="U124" i="44" s="1"/>
  <c r="V124" i="44" s="1"/>
  <c r="W124" i="44" s="1"/>
  <c r="X124" i="44" s="1"/>
  <c r="Y124" i="44" s="1"/>
  <c r="Z124" i="44" s="1"/>
  <c r="AA124" i="44" s="1"/>
  <c r="AB124" i="44" s="1"/>
  <c r="AC124" i="44" s="1"/>
  <c r="AD124" i="44" s="1"/>
  <c r="AE124" i="44" s="1"/>
  <c r="AF124" i="44" s="1"/>
  <c r="AG124" i="44" s="1"/>
  <c r="AH124" i="44" s="1"/>
  <c r="AI124" i="44" s="1"/>
  <c r="AJ124" i="44" s="1"/>
  <c r="AK124" i="44" s="1"/>
  <c r="AL124" i="44" s="1"/>
  <c r="AM124" i="44" s="1"/>
  <c r="AN124" i="44" s="1"/>
  <c r="AO124" i="44" s="1"/>
  <c r="P125" i="44"/>
  <c r="Q125" i="44" s="1"/>
  <c r="R125" i="44" s="1"/>
  <c r="S125" i="44" s="1"/>
  <c r="T125" i="44" s="1"/>
  <c r="U125" i="44" s="1"/>
  <c r="V125" i="44" s="1"/>
  <c r="W125" i="44" s="1"/>
  <c r="X125" i="44" s="1"/>
  <c r="Y125" i="44" s="1"/>
  <c r="Z125" i="44" s="1"/>
  <c r="AA125" i="44" s="1"/>
  <c r="AB125" i="44" s="1"/>
  <c r="AC125" i="44" s="1"/>
  <c r="AD125" i="44" s="1"/>
  <c r="AE125" i="44" s="1"/>
  <c r="AF125" i="44" s="1"/>
  <c r="AG125" i="44" s="1"/>
  <c r="AH125" i="44" s="1"/>
  <c r="AI125" i="44" s="1"/>
  <c r="AJ125" i="44" s="1"/>
  <c r="AK125" i="44" s="1"/>
  <c r="AL125" i="44" s="1"/>
  <c r="AM125" i="44" s="1"/>
  <c r="AN125" i="44" s="1"/>
  <c r="AO125" i="44" s="1"/>
  <c r="AP125" i="44" s="1"/>
  <c r="P123" i="44"/>
  <c r="Q123" i="44" s="1"/>
  <c r="R123" i="44" s="1"/>
  <c r="S123" i="44" s="1"/>
  <c r="T123" i="44" s="1"/>
  <c r="U123" i="44" s="1"/>
  <c r="V123" i="44" s="1"/>
  <c r="W123" i="44" s="1"/>
  <c r="X123" i="44" s="1"/>
  <c r="Y123" i="44" s="1"/>
  <c r="Z123" i="44" s="1"/>
  <c r="AA123" i="44" s="1"/>
  <c r="AB123" i="44" s="1"/>
  <c r="AC123" i="44" s="1"/>
  <c r="AD123" i="44" s="1"/>
  <c r="AE123" i="44" s="1"/>
  <c r="AF123" i="44" s="1"/>
  <c r="AG123" i="44" s="1"/>
  <c r="AH123" i="44" s="1"/>
  <c r="AI123" i="44" s="1"/>
  <c r="AJ123" i="44" s="1"/>
  <c r="AK123" i="44" s="1"/>
  <c r="AL123" i="44" s="1"/>
  <c r="AM123" i="44" s="1"/>
  <c r="AN123" i="44" s="1"/>
  <c r="AO123" i="44" s="1"/>
  <c r="P137" i="44"/>
  <c r="Q137" i="44" s="1"/>
  <c r="R137" i="44" s="1"/>
  <c r="S137" i="44" s="1"/>
  <c r="T137" i="44" s="1"/>
  <c r="U137" i="44" s="1"/>
  <c r="V137" i="44" s="1"/>
  <c r="W137" i="44" s="1"/>
  <c r="X137" i="44" s="1"/>
  <c r="Y137" i="44" s="1"/>
  <c r="Z137" i="44" s="1"/>
  <c r="AA137" i="44" s="1"/>
  <c r="AB137" i="44" s="1"/>
  <c r="AC137" i="44" s="1"/>
  <c r="AD137" i="44" s="1"/>
  <c r="AE137" i="44" s="1"/>
  <c r="AF137" i="44" s="1"/>
  <c r="AG137" i="44" s="1"/>
  <c r="AH137" i="44" s="1"/>
  <c r="AI137" i="44" s="1"/>
  <c r="AJ137" i="44" s="1"/>
  <c r="AK137" i="44" s="1"/>
  <c r="AL137" i="44" s="1"/>
  <c r="AM137" i="44" s="1"/>
  <c r="AN137" i="44" s="1"/>
  <c r="AO137" i="44" s="1"/>
  <c r="P120" i="44"/>
  <c r="Q120" i="44" s="1"/>
  <c r="R120" i="44" s="1"/>
  <c r="S120" i="44" s="1"/>
  <c r="T120" i="44" s="1"/>
  <c r="U120" i="44" s="1"/>
  <c r="V120" i="44" s="1"/>
  <c r="W120" i="44" s="1"/>
  <c r="X120" i="44" s="1"/>
  <c r="Y120" i="44" s="1"/>
  <c r="Z120" i="44" s="1"/>
  <c r="AA120" i="44" s="1"/>
  <c r="AB120" i="44" s="1"/>
  <c r="AC120" i="44" s="1"/>
  <c r="AD120" i="44" s="1"/>
  <c r="AE120" i="44" s="1"/>
  <c r="AF120" i="44" s="1"/>
  <c r="AG120" i="44" s="1"/>
  <c r="AH120" i="44" s="1"/>
  <c r="AI120" i="44" s="1"/>
  <c r="AJ120" i="44" s="1"/>
  <c r="AK120" i="44" s="1"/>
  <c r="AL120" i="44" s="1"/>
  <c r="AM120" i="44" s="1"/>
  <c r="AN120" i="44" s="1"/>
  <c r="AO120" i="44" s="1"/>
  <c r="P132" i="44"/>
  <c r="Q132" i="44" s="1"/>
  <c r="R132" i="44" s="1"/>
  <c r="S132" i="44" s="1"/>
  <c r="T132" i="44" s="1"/>
  <c r="U132" i="44" s="1"/>
  <c r="V132" i="44" s="1"/>
  <c r="W132" i="44" s="1"/>
  <c r="X132" i="44" s="1"/>
  <c r="Y132" i="44" s="1"/>
  <c r="Z132" i="44" s="1"/>
  <c r="AA132" i="44" s="1"/>
  <c r="AB132" i="44" s="1"/>
  <c r="AC132" i="44" s="1"/>
  <c r="AD132" i="44" s="1"/>
  <c r="AE132" i="44" s="1"/>
  <c r="AF132" i="44" s="1"/>
  <c r="AG132" i="44" s="1"/>
  <c r="AH132" i="44" s="1"/>
  <c r="AI132" i="44" s="1"/>
  <c r="AJ132" i="44" s="1"/>
  <c r="AK132" i="44" s="1"/>
  <c r="AL132" i="44" s="1"/>
  <c r="AM132" i="44" s="1"/>
  <c r="AN132" i="44" s="1"/>
  <c r="AO132" i="44" s="1"/>
  <c r="AP132" i="44" s="1"/>
  <c r="P133" i="44"/>
  <c r="Q133" i="44" s="1"/>
  <c r="R133" i="44" s="1"/>
  <c r="S133" i="44" s="1"/>
  <c r="T133" i="44" s="1"/>
  <c r="U133" i="44" s="1"/>
  <c r="V133" i="44" s="1"/>
  <c r="W133" i="44" s="1"/>
  <c r="X133" i="44" s="1"/>
  <c r="Y133" i="44" s="1"/>
  <c r="Z133" i="44" s="1"/>
  <c r="AA133" i="44" s="1"/>
  <c r="AB133" i="44" s="1"/>
  <c r="AC133" i="44" s="1"/>
  <c r="AD133" i="44" s="1"/>
  <c r="AE133" i="44" s="1"/>
  <c r="AF133" i="44" s="1"/>
  <c r="AG133" i="44" s="1"/>
  <c r="AH133" i="44" s="1"/>
  <c r="AI133" i="44" s="1"/>
  <c r="AJ133" i="44" s="1"/>
  <c r="AK133" i="44" s="1"/>
  <c r="AL133" i="44" s="1"/>
  <c r="AM133" i="44" s="1"/>
  <c r="AN133" i="44" s="1"/>
  <c r="AO133" i="44" s="1"/>
  <c r="P138" i="44"/>
  <c r="Q138" i="44" s="1"/>
  <c r="R138" i="44" s="1"/>
  <c r="S138" i="44" s="1"/>
  <c r="T138" i="44" s="1"/>
  <c r="U138" i="44" s="1"/>
  <c r="V138" i="44" s="1"/>
  <c r="W138" i="44" s="1"/>
  <c r="X138" i="44" s="1"/>
  <c r="Y138" i="44" s="1"/>
  <c r="Z138" i="44" s="1"/>
  <c r="AA138" i="44" s="1"/>
  <c r="AB138" i="44" s="1"/>
  <c r="AC138" i="44" s="1"/>
  <c r="AD138" i="44" s="1"/>
  <c r="AE138" i="44" s="1"/>
  <c r="AF138" i="44" s="1"/>
  <c r="AG138" i="44" s="1"/>
  <c r="AH138" i="44" s="1"/>
  <c r="AI138" i="44" s="1"/>
  <c r="AJ138" i="44" s="1"/>
  <c r="AK138" i="44" s="1"/>
  <c r="AL138" i="44" s="1"/>
  <c r="AM138" i="44" s="1"/>
  <c r="AN138" i="44" s="1"/>
  <c r="AO138" i="44" s="1"/>
  <c r="P93" i="44"/>
  <c r="Q93" i="44" s="1"/>
  <c r="R93" i="44" s="1"/>
  <c r="S93" i="44" s="1"/>
  <c r="T93" i="44" s="1"/>
  <c r="U93" i="44" s="1"/>
  <c r="V93" i="44" s="1"/>
  <c r="W93" i="44" s="1"/>
  <c r="X93" i="44" s="1"/>
  <c r="Y93" i="44" s="1"/>
  <c r="Z93" i="44" s="1"/>
  <c r="AA93" i="44" s="1"/>
  <c r="AB93" i="44" s="1"/>
  <c r="AC93" i="44" s="1"/>
  <c r="AD93" i="44" s="1"/>
  <c r="AE93" i="44" s="1"/>
  <c r="AF93" i="44" s="1"/>
  <c r="AG93" i="44" s="1"/>
  <c r="AH93" i="44" s="1"/>
  <c r="AI93" i="44" s="1"/>
  <c r="AJ93" i="44" s="1"/>
  <c r="AK93" i="44" s="1"/>
  <c r="AL93" i="44" s="1"/>
  <c r="AM93" i="44" s="1"/>
  <c r="AN93" i="44" s="1"/>
  <c r="AO93" i="44" s="1"/>
  <c r="P92" i="44"/>
  <c r="Q92" i="44" s="1"/>
  <c r="R92" i="44" s="1"/>
  <c r="S92" i="44" s="1"/>
  <c r="T92" i="44" s="1"/>
  <c r="U92" i="44" s="1"/>
  <c r="V92" i="44" s="1"/>
  <c r="W92" i="44" s="1"/>
  <c r="X92" i="44" s="1"/>
  <c r="Y92" i="44" s="1"/>
  <c r="Z92" i="44" s="1"/>
  <c r="AA92" i="44" s="1"/>
  <c r="AB92" i="44" s="1"/>
  <c r="AC92" i="44" s="1"/>
  <c r="AD92" i="44" s="1"/>
  <c r="AE92" i="44" s="1"/>
  <c r="AF92" i="44" s="1"/>
  <c r="AG92" i="44" s="1"/>
  <c r="AH92" i="44" s="1"/>
  <c r="AI92" i="44" s="1"/>
  <c r="AJ92" i="44" s="1"/>
  <c r="AK92" i="44" s="1"/>
  <c r="AL92" i="44" s="1"/>
  <c r="AM92" i="44" s="1"/>
  <c r="AN92" i="44" s="1"/>
  <c r="AO92" i="44" s="1"/>
  <c r="AP92" i="44" s="1"/>
  <c r="P91" i="44"/>
  <c r="Q91" i="44" s="1"/>
  <c r="R91" i="44" s="1"/>
  <c r="S91" i="44" s="1"/>
  <c r="T91" i="44" s="1"/>
  <c r="U91" i="44" s="1"/>
  <c r="V91" i="44" s="1"/>
  <c r="W91" i="44" s="1"/>
  <c r="X91" i="44" s="1"/>
  <c r="Y91" i="44" s="1"/>
  <c r="Z91" i="44" s="1"/>
  <c r="AA91" i="44" s="1"/>
  <c r="AB91" i="44" s="1"/>
  <c r="AC91" i="44" s="1"/>
  <c r="AD91" i="44" s="1"/>
  <c r="AE91" i="44" s="1"/>
  <c r="AF91" i="44" s="1"/>
  <c r="AG91" i="44" s="1"/>
  <c r="AH91" i="44" s="1"/>
  <c r="AI91" i="44" s="1"/>
  <c r="AJ91" i="44" s="1"/>
  <c r="AK91" i="44" s="1"/>
  <c r="AL91" i="44" s="1"/>
  <c r="AM91" i="44" s="1"/>
  <c r="AN91" i="44" s="1"/>
  <c r="AO91" i="44" s="1"/>
  <c r="P78" i="44"/>
  <c r="Q78" i="44" s="1"/>
  <c r="R78" i="44" s="1"/>
  <c r="S78" i="44" s="1"/>
  <c r="T78" i="44" s="1"/>
  <c r="U78" i="44" s="1"/>
  <c r="V78" i="44" s="1"/>
  <c r="W78" i="44" s="1"/>
  <c r="X78" i="44" s="1"/>
  <c r="Y78" i="44" s="1"/>
  <c r="Z78" i="44" s="1"/>
  <c r="AA78" i="44" s="1"/>
  <c r="AB78" i="44" s="1"/>
  <c r="AC78" i="44" s="1"/>
  <c r="AD78" i="44" s="1"/>
  <c r="AE78" i="44" s="1"/>
  <c r="AF78" i="44" s="1"/>
  <c r="AG78" i="44" s="1"/>
  <c r="AH78" i="44" s="1"/>
  <c r="AI78" i="44" s="1"/>
  <c r="AJ78" i="44" s="1"/>
  <c r="AK78" i="44" s="1"/>
  <c r="AL78" i="44" s="1"/>
  <c r="AM78" i="44" s="1"/>
  <c r="AN78" i="44" s="1"/>
  <c r="AO78" i="44" s="1"/>
  <c r="P79" i="44"/>
  <c r="Q79" i="44" s="1"/>
  <c r="R79" i="44" s="1"/>
  <c r="S79" i="44" s="1"/>
  <c r="T79" i="44" s="1"/>
  <c r="U79" i="44" s="1"/>
  <c r="V79" i="44" s="1"/>
  <c r="W79" i="44" s="1"/>
  <c r="X79" i="44" s="1"/>
  <c r="Y79" i="44" s="1"/>
  <c r="Z79" i="44" s="1"/>
  <c r="AA79" i="44" s="1"/>
  <c r="AB79" i="44" s="1"/>
  <c r="AC79" i="44" s="1"/>
  <c r="AD79" i="44" s="1"/>
  <c r="AE79" i="44" s="1"/>
  <c r="AF79" i="44" s="1"/>
  <c r="AG79" i="44" s="1"/>
  <c r="AH79" i="44" s="1"/>
  <c r="AI79" i="44" s="1"/>
  <c r="AJ79" i="44" s="1"/>
  <c r="AK79" i="44" s="1"/>
  <c r="AL79" i="44" s="1"/>
  <c r="AM79" i="44" s="1"/>
  <c r="AN79" i="44" s="1"/>
  <c r="AO79" i="44" s="1"/>
  <c r="AP79" i="44" s="1"/>
  <c r="P81" i="44"/>
  <c r="Q81" i="44" s="1"/>
  <c r="R81" i="44" s="1"/>
  <c r="S81" i="44" s="1"/>
  <c r="T81" i="44" s="1"/>
  <c r="U81" i="44" s="1"/>
  <c r="V81" i="44" s="1"/>
  <c r="W81" i="44" s="1"/>
  <c r="X81" i="44" s="1"/>
  <c r="Y81" i="44" s="1"/>
  <c r="Z81" i="44" s="1"/>
  <c r="AA81" i="44" s="1"/>
  <c r="AB81" i="44" s="1"/>
  <c r="AC81" i="44" s="1"/>
  <c r="AD81" i="44" s="1"/>
  <c r="AE81" i="44" s="1"/>
  <c r="AF81" i="44" s="1"/>
  <c r="AG81" i="44" s="1"/>
  <c r="AH81" i="44" s="1"/>
  <c r="AI81" i="44" s="1"/>
  <c r="AJ81" i="44" s="1"/>
  <c r="AK81" i="44" s="1"/>
  <c r="AL81" i="44" s="1"/>
  <c r="AM81" i="44" s="1"/>
  <c r="AN81" i="44" s="1"/>
  <c r="AO81" i="44" s="1"/>
  <c r="AP81" i="44" s="1"/>
  <c r="P71" i="44"/>
  <c r="Q71" i="44" s="1"/>
  <c r="R71" i="44" s="1"/>
  <c r="P77" i="44"/>
  <c r="Q77" i="44" s="1"/>
  <c r="R77" i="44" s="1"/>
  <c r="S77" i="44" s="1"/>
  <c r="T77" i="44" s="1"/>
  <c r="U77" i="44" s="1"/>
  <c r="V77" i="44" s="1"/>
  <c r="W77" i="44" s="1"/>
  <c r="X77" i="44" s="1"/>
  <c r="Y77" i="44" s="1"/>
  <c r="Z77" i="44" s="1"/>
  <c r="AA77" i="44" s="1"/>
  <c r="AB77" i="44" s="1"/>
  <c r="AC77" i="44" s="1"/>
  <c r="AD77" i="44" s="1"/>
  <c r="AE77" i="44" s="1"/>
  <c r="AF77" i="44" s="1"/>
  <c r="AG77" i="44" s="1"/>
  <c r="AH77" i="44" s="1"/>
  <c r="AI77" i="44" s="1"/>
  <c r="AJ77" i="44" s="1"/>
  <c r="AK77" i="44" s="1"/>
  <c r="AL77" i="44" s="1"/>
  <c r="AM77" i="44" s="1"/>
  <c r="AN77" i="44" s="1"/>
  <c r="AO77" i="44" s="1"/>
  <c r="P75" i="44"/>
  <c r="Q75" i="44" s="1"/>
  <c r="R75" i="44" s="1"/>
  <c r="S75" i="44" s="1"/>
  <c r="T75" i="44" s="1"/>
  <c r="U75" i="44" s="1"/>
  <c r="V75" i="44" s="1"/>
  <c r="W75" i="44" s="1"/>
  <c r="X75" i="44" s="1"/>
  <c r="Y75" i="44" s="1"/>
  <c r="Z75" i="44" s="1"/>
  <c r="AA75" i="44" s="1"/>
  <c r="AB75" i="44" s="1"/>
  <c r="AC75" i="44" s="1"/>
  <c r="AD75" i="44" s="1"/>
  <c r="AE75" i="44" s="1"/>
  <c r="AF75" i="44" s="1"/>
  <c r="AG75" i="44" s="1"/>
  <c r="AH75" i="44" s="1"/>
  <c r="AI75" i="44" s="1"/>
  <c r="AJ75" i="44" s="1"/>
  <c r="AK75" i="44" s="1"/>
  <c r="AL75" i="44" s="1"/>
  <c r="AM75" i="44" s="1"/>
  <c r="AN75" i="44" s="1"/>
  <c r="AO75" i="44" s="1"/>
  <c r="AP75" i="44" s="1"/>
  <c r="P90" i="44"/>
  <c r="Q90" i="44" s="1"/>
  <c r="R90" i="44" s="1"/>
  <c r="S90" i="44" s="1"/>
  <c r="T90" i="44" s="1"/>
  <c r="U90" i="44" s="1"/>
  <c r="V90" i="44" s="1"/>
  <c r="W90" i="44" s="1"/>
  <c r="X90" i="44" s="1"/>
  <c r="Y90" i="44" s="1"/>
  <c r="Z90" i="44" s="1"/>
  <c r="AA90" i="44" s="1"/>
  <c r="AB90" i="44" s="1"/>
  <c r="AC90" i="44" s="1"/>
  <c r="AD90" i="44" s="1"/>
  <c r="AE90" i="44" s="1"/>
  <c r="AF90" i="44" s="1"/>
  <c r="AG90" i="44" s="1"/>
  <c r="AH90" i="44" s="1"/>
  <c r="AI90" i="44" s="1"/>
  <c r="AJ90" i="44" s="1"/>
  <c r="AK90" i="44" s="1"/>
  <c r="AL90" i="44" s="1"/>
  <c r="AM90" i="44" s="1"/>
  <c r="AN90" i="44" s="1"/>
  <c r="AO90" i="44" s="1"/>
  <c r="P76" i="44"/>
  <c r="Q76" i="44" s="1"/>
  <c r="R76" i="44" s="1"/>
  <c r="S76" i="44" s="1"/>
  <c r="T76" i="44" s="1"/>
  <c r="U76" i="44" s="1"/>
  <c r="V76" i="44" s="1"/>
  <c r="W76" i="44" s="1"/>
  <c r="X76" i="44" s="1"/>
  <c r="Y76" i="44" s="1"/>
  <c r="Z76" i="44" s="1"/>
  <c r="AA76" i="44" s="1"/>
  <c r="AB76" i="44" s="1"/>
  <c r="AC76" i="44" s="1"/>
  <c r="AD76" i="44" s="1"/>
  <c r="AE76" i="44" s="1"/>
  <c r="AF76" i="44" s="1"/>
  <c r="AG76" i="44" s="1"/>
  <c r="AH76" i="44" s="1"/>
  <c r="AI76" i="44" s="1"/>
  <c r="AJ76" i="44" s="1"/>
  <c r="AK76" i="44" s="1"/>
  <c r="AL76" i="44" s="1"/>
  <c r="AM76" i="44" s="1"/>
  <c r="AN76" i="44" s="1"/>
  <c r="AO76" i="44" s="1"/>
  <c r="AP76" i="44" s="1"/>
  <c r="P88" i="44"/>
  <c r="Q88" i="44" s="1"/>
  <c r="R88" i="44" s="1"/>
  <c r="S88" i="44" s="1"/>
  <c r="T88" i="44" s="1"/>
  <c r="U88" i="44" s="1"/>
  <c r="V88" i="44" s="1"/>
  <c r="W88" i="44" s="1"/>
  <c r="X88" i="44" s="1"/>
  <c r="Y88" i="44" s="1"/>
  <c r="Z88" i="44" s="1"/>
  <c r="AA88" i="44" s="1"/>
  <c r="AB88" i="44" s="1"/>
  <c r="AC88" i="44" s="1"/>
  <c r="AD88" i="44" s="1"/>
  <c r="AE88" i="44" s="1"/>
  <c r="AF88" i="44" s="1"/>
  <c r="AG88" i="44" s="1"/>
  <c r="AH88" i="44" s="1"/>
  <c r="AI88" i="44" s="1"/>
  <c r="AJ88" i="44" s="1"/>
  <c r="AK88" i="44" s="1"/>
  <c r="AL88" i="44" s="1"/>
  <c r="AM88" i="44" s="1"/>
  <c r="AN88" i="44" s="1"/>
  <c r="AO88" i="44" s="1"/>
  <c r="P73" i="44"/>
  <c r="Q73" i="44" s="1"/>
  <c r="R73" i="44" s="1"/>
  <c r="S73" i="44" s="1"/>
  <c r="T73" i="44" s="1"/>
  <c r="U73" i="44" s="1"/>
  <c r="V73" i="44" s="1"/>
  <c r="W73" i="44" s="1"/>
  <c r="X73" i="44" s="1"/>
  <c r="Y73" i="44" s="1"/>
  <c r="Z73" i="44" s="1"/>
  <c r="AA73" i="44" s="1"/>
  <c r="AB73" i="44" s="1"/>
  <c r="AC73" i="44" s="1"/>
  <c r="AD73" i="44" s="1"/>
  <c r="AE73" i="44" s="1"/>
  <c r="AF73" i="44" s="1"/>
  <c r="AG73" i="44" s="1"/>
  <c r="AH73" i="44" s="1"/>
  <c r="AI73" i="44" s="1"/>
  <c r="AJ73" i="44" s="1"/>
  <c r="AK73" i="44" s="1"/>
  <c r="AL73" i="44" s="1"/>
  <c r="AM73" i="44" s="1"/>
  <c r="AN73" i="44" s="1"/>
  <c r="AO73" i="44" s="1"/>
  <c r="P82" i="44"/>
  <c r="Q82" i="44" s="1"/>
  <c r="R82" i="44" s="1"/>
  <c r="S82" i="44" s="1"/>
  <c r="T82" i="44" s="1"/>
  <c r="U82" i="44" s="1"/>
  <c r="V82" i="44" s="1"/>
  <c r="W82" i="44" s="1"/>
  <c r="X82" i="44" s="1"/>
  <c r="Y82" i="44" s="1"/>
  <c r="Z82" i="44" s="1"/>
  <c r="AA82" i="44" s="1"/>
  <c r="AB82" i="44" s="1"/>
  <c r="AC82" i="44" s="1"/>
  <c r="AD82" i="44" s="1"/>
  <c r="AE82" i="44" s="1"/>
  <c r="AF82" i="44" s="1"/>
  <c r="AG82" i="44" s="1"/>
  <c r="AH82" i="44" s="1"/>
  <c r="AI82" i="44" s="1"/>
  <c r="AJ82" i="44" s="1"/>
  <c r="AK82" i="44" s="1"/>
  <c r="AL82" i="44" s="1"/>
  <c r="AM82" i="44" s="1"/>
  <c r="AN82" i="44" s="1"/>
  <c r="AO82" i="44" s="1"/>
  <c r="P89" i="44"/>
  <c r="Q89" i="44" s="1"/>
  <c r="R89" i="44" s="1"/>
  <c r="S89" i="44" s="1"/>
  <c r="T89" i="44" s="1"/>
  <c r="U89" i="44" s="1"/>
  <c r="V89" i="44" s="1"/>
  <c r="W89" i="44" s="1"/>
  <c r="X89" i="44" s="1"/>
  <c r="Y89" i="44" s="1"/>
  <c r="Z89" i="44" s="1"/>
  <c r="AA89" i="44" s="1"/>
  <c r="AB89" i="44" s="1"/>
  <c r="AC89" i="44" s="1"/>
  <c r="AD89" i="44" s="1"/>
  <c r="AE89" i="44" s="1"/>
  <c r="AF89" i="44" s="1"/>
  <c r="AG89" i="44" s="1"/>
  <c r="AH89" i="44" s="1"/>
  <c r="AI89" i="44" s="1"/>
  <c r="AJ89" i="44" s="1"/>
  <c r="AK89" i="44" s="1"/>
  <c r="AL89" i="44" s="1"/>
  <c r="AM89" i="44" s="1"/>
  <c r="P86" i="44"/>
  <c r="Q86" i="44" s="1"/>
  <c r="R86" i="44" s="1"/>
  <c r="S86" i="44" s="1"/>
  <c r="T86" i="44" s="1"/>
  <c r="U86" i="44" s="1"/>
  <c r="V86" i="44" s="1"/>
  <c r="W86" i="44" s="1"/>
  <c r="X86" i="44" s="1"/>
  <c r="Y86" i="44" s="1"/>
  <c r="Z86" i="44" s="1"/>
  <c r="AA86" i="44" s="1"/>
  <c r="AB86" i="44" s="1"/>
  <c r="AC86" i="44" s="1"/>
  <c r="AD86" i="44" s="1"/>
  <c r="AE86" i="44" s="1"/>
  <c r="AF86" i="44" s="1"/>
  <c r="AG86" i="44" s="1"/>
  <c r="AH86" i="44" s="1"/>
  <c r="AI86" i="44" s="1"/>
  <c r="AJ86" i="44" s="1"/>
  <c r="AK86" i="44" s="1"/>
  <c r="AL86" i="44" s="1"/>
  <c r="AM86" i="44" s="1"/>
  <c r="AN86" i="44" s="1"/>
  <c r="AO86" i="44" s="1"/>
  <c r="P87" i="44"/>
  <c r="Q87" i="44" s="1"/>
  <c r="R87" i="44" s="1"/>
  <c r="S87" i="44" s="1"/>
  <c r="T87" i="44" s="1"/>
  <c r="U87" i="44" s="1"/>
  <c r="V87" i="44" s="1"/>
  <c r="W87" i="44" s="1"/>
  <c r="X87" i="44" s="1"/>
  <c r="Y87" i="44" s="1"/>
  <c r="Z87" i="44" s="1"/>
  <c r="AA87" i="44" s="1"/>
  <c r="AB87" i="44" s="1"/>
  <c r="AC87" i="44" s="1"/>
  <c r="AD87" i="44" s="1"/>
  <c r="AE87" i="44" s="1"/>
  <c r="AF87" i="44" s="1"/>
  <c r="AG87" i="44" s="1"/>
  <c r="AH87" i="44" s="1"/>
  <c r="AI87" i="44" s="1"/>
  <c r="AJ87" i="44" s="1"/>
  <c r="AK87" i="44" s="1"/>
  <c r="AL87" i="44" s="1"/>
  <c r="AM87" i="44" s="1"/>
  <c r="AN87" i="44" s="1"/>
  <c r="AO87" i="44" s="1"/>
  <c r="P85" i="44"/>
  <c r="Q85" i="44" s="1"/>
  <c r="R85" i="44" s="1"/>
  <c r="S85" i="44" s="1"/>
  <c r="T85" i="44" s="1"/>
  <c r="U85" i="44" s="1"/>
  <c r="V85" i="44" s="1"/>
  <c r="W85" i="44" s="1"/>
  <c r="X85" i="44" s="1"/>
  <c r="Y85" i="44" s="1"/>
  <c r="Z85" i="44" s="1"/>
  <c r="AA85" i="44" s="1"/>
  <c r="AB85" i="44" s="1"/>
  <c r="AC85" i="44" s="1"/>
  <c r="AD85" i="44" s="1"/>
  <c r="AE85" i="44" s="1"/>
  <c r="AF85" i="44" s="1"/>
  <c r="AG85" i="44" s="1"/>
  <c r="AH85" i="44" s="1"/>
  <c r="AI85" i="44" s="1"/>
  <c r="AJ85" i="44" s="1"/>
  <c r="AK85" i="44" s="1"/>
  <c r="AL85" i="44" s="1"/>
  <c r="AM85" i="44" s="1"/>
  <c r="AN85" i="44" s="1"/>
  <c r="AO85" i="44" s="1"/>
  <c r="AP85" i="44" s="1"/>
  <c r="AQ85" i="44" s="1"/>
  <c r="AR85" i="44" s="1"/>
  <c r="AS85" i="44" s="1"/>
  <c r="P74" i="44"/>
  <c r="Q74" i="44" s="1"/>
  <c r="R74" i="44" s="1"/>
  <c r="S74" i="44" s="1"/>
  <c r="T74" i="44" s="1"/>
  <c r="U74" i="44" s="1"/>
  <c r="V74" i="44" s="1"/>
  <c r="W74" i="44" s="1"/>
  <c r="X74" i="44" s="1"/>
  <c r="Y74" i="44" s="1"/>
  <c r="Z74" i="44" s="1"/>
  <c r="AA74" i="44" s="1"/>
  <c r="AB74" i="44" s="1"/>
  <c r="AC74" i="44" s="1"/>
  <c r="AD74" i="44" s="1"/>
  <c r="AE74" i="44" s="1"/>
  <c r="AF74" i="44" s="1"/>
  <c r="AG74" i="44" s="1"/>
  <c r="AH74" i="44" s="1"/>
  <c r="AI74" i="44" s="1"/>
  <c r="AJ74" i="44" s="1"/>
  <c r="AK74" i="44" s="1"/>
  <c r="AL74" i="44" s="1"/>
  <c r="AM74" i="44" s="1"/>
  <c r="AN74" i="44" s="1"/>
  <c r="AO74" i="44" s="1"/>
  <c r="AP74" i="44" s="1"/>
  <c r="P83" i="44"/>
  <c r="Q83" i="44" s="1"/>
  <c r="R83" i="44" s="1"/>
  <c r="S83" i="44" s="1"/>
  <c r="T83" i="44" s="1"/>
  <c r="U83" i="44" s="1"/>
  <c r="V83" i="44" s="1"/>
  <c r="W83" i="44" s="1"/>
  <c r="X83" i="44" s="1"/>
  <c r="Y83" i="44" s="1"/>
  <c r="Z83" i="44" s="1"/>
  <c r="AA83" i="44" s="1"/>
  <c r="AB83" i="44" s="1"/>
  <c r="AC83" i="44" s="1"/>
  <c r="AD83" i="44" s="1"/>
  <c r="AE83" i="44" s="1"/>
  <c r="AF83" i="44" s="1"/>
  <c r="AG83" i="44" s="1"/>
  <c r="AH83" i="44" s="1"/>
  <c r="AI83" i="44" s="1"/>
  <c r="AJ83" i="44" s="1"/>
  <c r="AK83" i="44" s="1"/>
  <c r="AL83" i="44" s="1"/>
  <c r="AM83" i="44" s="1"/>
  <c r="P84" i="44"/>
  <c r="Q84" i="44" s="1"/>
  <c r="R84" i="44" s="1"/>
  <c r="S84" i="44" s="1"/>
  <c r="T84" i="44" s="1"/>
  <c r="U84" i="44" s="1"/>
  <c r="V84" i="44" s="1"/>
  <c r="W84" i="44" s="1"/>
  <c r="X84" i="44" s="1"/>
  <c r="Y84" i="44" s="1"/>
  <c r="Z84" i="44" s="1"/>
  <c r="AA84" i="44" s="1"/>
  <c r="AB84" i="44" s="1"/>
  <c r="AC84" i="44" s="1"/>
  <c r="AD84" i="44" s="1"/>
  <c r="AE84" i="44" s="1"/>
  <c r="AF84" i="44" s="1"/>
  <c r="AG84" i="44" s="1"/>
  <c r="AH84" i="44" s="1"/>
  <c r="AI84" i="44" s="1"/>
  <c r="AJ84" i="44" s="1"/>
  <c r="AK84" i="44" s="1"/>
  <c r="AL84" i="44" s="1"/>
  <c r="AM84" i="44" s="1"/>
  <c r="AN84" i="44" s="1"/>
  <c r="AO84" i="44" s="1"/>
  <c r="P70" i="44"/>
  <c r="Q70" i="44" s="1"/>
  <c r="R70" i="44" s="1"/>
  <c r="S70" i="44" s="1"/>
  <c r="T70" i="44" s="1"/>
  <c r="U70" i="44" s="1"/>
  <c r="V70" i="44" s="1"/>
  <c r="W70" i="44" s="1"/>
  <c r="X70" i="44" s="1"/>
  <c r="Y70" i="44" s="1"/>
  <c r="Z70" i="44" s="1"/>
  <c r="AA70" i="44" s="1"/>
  <c r="AB70" i="44" s="1"/>
  <c r="AC70" i="44" s="1"/>
  <c r="AD70" i="44" s="1"/>
  <c r="AE70" i="44" s="1"/>
  <c r="AF70" i="44" s="1"/>
  <c r="AG70" i="44" s="1"/>
  <c r="AH70" i="44" s="1"/>
  <c r="AI70" i="44" s="1"/>
  <c r="AJ70" i="44" s="1"/>
  <c r="AK70" i="44" s="1"/>
  <c r="AL70" i="44" s="1"/>
  <c r="AM70" i="44" s="1"/>
  <c r="AN70" i="44" s="1"/>
  <c r="AO70" i="44" s="1"/>
  <c r="AP70" i="44" s="1"/>
  <c r="P80" i="44"/>
  <c r="Q80" i="44" s="1"/>
  <c r="R80" i="44" s="1"/>
  <c r="S80" i="44" s="1"/>
  <c r="T80" i="44" s="1"/>
  <c r="U80" i="44" s="1"/>
  <c r="V80" i="44" s="1"/>
  <c r="W80" i="44" s="1"/>
  <c r="X80" i="44" s="1"/>
  <c r="Y80" i="44" s="1"/>
  <c r="Z80" i="44" s="1"/>
  <c r="AA80" i="44" s="1"/>
  <c r="AB80" i="44" s="1"/>
  <c r="AC80" i="44" s="1"/>
  <c r="AD80" i="44" s="1"/>
  <c r="AE80" i="44" s="1"/>
  <c r="AF80" i="44" s="1"/>
  <c r="AG80" i="44" s="1"/>
  <c r="AH80" i="44" s="1"/>
  <c r="AI80" i="44" s="1"/>
  <c r="AJ80" i="44" s="1"/>
  <c r="AK80" i="44" s="1"/>
  <c r="AL80" i="44" s="1"/>
  <c r="AM80" i="44" s="1"/>
  <c r="AN80" i="44" s="1"/>
  <c r="AO80" i="44" s="1"/>
  <c r="AP80" i="44" s="1"/>
  <c r="P72" i="44"/>
  <c r="Q72" i="44" s="1"/>
  <c r="R72" i="44" s="1"/>
  <c r="S72" i="44" s="1"/>
  <c r="T72" i="44" s="1"/>
  <c r="U72" i="44" s="1"/>
  <c r="V72" i="44" s="1"/>
  <c r="W72" i="44" s="1"/>
  <c r="X72" i="44" s="1"/>
  <c r="Y72" i="44" s="1"/>
  <c r="Z72" i="44" s="1"/>
  <c r="AA72" i="44" s="1"/>
  <c r="AB72" i="44" s="1"/>
  <c r="AC72" i="44" s="1"/>
  <c r="AD72" i="44" s="1"/>
  <c r="AE72" i="44" s="1"/>
  <c r="AF72" i="44" s="1"/>
  <c r="AG72" i="44" s="1"/>
  <c r="AH72" i="44" s="1"/>
  <c r="AI72" i="44" s="1"/>
  <c r="AJ72" i="44" s="1"/>
  <c r="AK72" i="44" s="1"/>
  <c r="AL72" i="44" s="1"/>
  <c r="AM72" i="44" s="1"/>
  <c r="AN72" i="44" s="1"/>
  <c r="AO72" i="44" s="1"/>
  <c r="AP72" i="44" s="1"/>
  <c r="P162" i="44"/>
  <c r="Q162" i="44" s="1"/>
  <c r="R162" i="44" s="1"/>
  <c r="S162" i="44" s="1"/>
  <c r="T162" i="44" s="1"/>
  <c r="U162" i="44" s="1"/>
  <c r="V162" i="44" s="1"/>
  <c r="W162" i="44" s="1"/>
  <c r="X162" i="44" s="1"/>
  <c r="Y162" i="44" s="1"/>
  <c r="Z162" i="44" s="1"/>
  <c r="AA162" i="44" s="1"/>
  <c r="AB162" i="44" s="1"/>
  <c r="AC162" i="44" s="1"/>
  <c r="AD162" i="44" s="1"/>
  <c r="AE162" i="44" s="1"/>
  <c r="AF162" i="44" s="1"/>
  <c r="AG162" i="44" s="1"/>
  <c r="AH162" i="44" s="1"/>
  <c r="AI162" i="44" s="1"/>
  <c r="AJ162" i="44" s="1"/>
  <c r="AK162" i="44" s="1"/>
  <c r="AL162" i="44" s="1"/>
  <c r="AM162" i="44" s="1"/>
  <c r="AN162" i="44" s="1"/>
  <c r="AO162" i="44" s="1"/>
  <c r="P146" i="44"/>
  <c r="Q146" i="44" s="1"/>
  <c r="R146" i="44" s="1"/>
  <c r="S146" i="44" s="1"/>
  <c r="T146" i="44" s="1"/>
  <c r="U146" i="44" s="1"/>
  <c r="V146" i="44" s="1"/>
  <c r="W146" i="44" s="1"/>
  <c r="X146" i="44" s="1"/>
  <c r="Y146" i="44" s="1"/>
  <c r="Z146" i="44" s="1"/>
  <c r="AA146" i="44" s="1"/>
  <c r="AB146" i="44" s="1"/>
  <c r="AC146" i="44" s="1"/>
  <c r="AD146" i="44" s="1"/>
  <c r="AE146" i="44" s="1"/>
  <c r="AF146" i="44" s="1"/>
  <c r="AG146" i="44" s="1"/>
  <c r="AH146" i="44" s="1"/>
  <c r="AI146" i="44" s="1"/>
  <c r="AJ146" i="44" s="1"/>
  <c r="AK146" i="44" s="1"/>
  <c r="AL146" i="44" s="1"/>
  <c r="AM146" i="44" s="1"/>
  <c r="AN146" i="44" s="1"/>
  <c r="AO146" i="44" s="1"/>
  <c r="AP146" i="44" s="1"/>
  <c r="P147" i="44"/>
  <c r="Q147" i="44" s="1"/>
  <c r="R147" i="44" s="1"/>
  <c r="S147" i="44" s="1"/>
  <c r="T147" i="44" s="1"/>
  <c r="U147" i="44" s="1"/>
  <c r="V147" i="44" s="1"/>
  <c r="W147" i="44" s="1"/>
  <c r="X147" i="44" s="1"/>
  <c r="Y147" i="44" s="1"/>
  <c r="Z147" i="44" s="1"/>
  <c r="AA147" i="44" s="1"/>
  <c r="AB147" i="44" s="1"/>
  <c r="AC147" i="44" s="1"/>
  <c r="AD147" i="44" s="1"/>
  <c r="AE147" i="44" s="1"/>
  <c r="AF147" i="44" s="1"/>
  <c r="AG147" i="44" s="1"/>
  <c r="AH147" i="44" s="1"/>
  <c r="AI147" i="44" s="1"/>
  <c r="AJ147" i="44" s="1"/>
  <c r="AK147" i="44" s="1"/>
  <c r="AL147" i="44" s="1"/>
  <c r="AM147" i="44" s="1"/>
  <c r="AN147" i="44" s="1"/>
  <c r="AO147" i="44" s="1"/>
  <c r="P148" i="44"/>
  <c r="Q148" i="44" s="1"/>
  <c r="R148" i="44" s="1"/>
  <c r="S148" i="44" s="1"/>
  <c r="T148" i="44" s="1"/>
  <c r="U148" i="44" s="1"/>
  <c r="V148" i="44" s="1"/>
  <c r="W148" i="44" s="1"/>
  <c r="X148" i="44" s="1"/>
  <c r="Y148" i="44" s="1"/>
  <c r="Z148" i="44" s="1"/>
  <c r="AA148" i="44" s="1"/>
  <c r="AB148" i="44" s="1"/>
  <c r="AC148" i="44" s="1"/>
  <c r="AD148" i="44" s="1"/>
  <c r="AE148" i="44" s="1"/>
  <c r="AF148" i="44" s="1"/>
  <c r="AG148" i="44" s="1"/>
  <c r="AH148" i="44" s="1"/>
  <c r="AI148" i="44" s="1"/>
  <c r="AJ148" i="44" s="1"/>
  <c r="AK148" i="44" s="1"/>
  <c r="AL148" i="44" s="1"/>
  <c r="AM148" i="44" s="1"/>
  <c r="P150" i="44"/>
  <c r="Q150" i="44" s="1"/>
  <c r="R150" i="44" s="1"/>
  <c r="S150" i="44" s="1"/>
  <c r="T150" i="44" s="1"/>
  <c r="U150" i="44" s="1"/>
  <c r="V150" i="44" s="1"/>
  <c r="W150" i="44" s="1"/>
  <c r="X150" i="44" s="1"/>
  <c r="Y150" i="44" s="1"/>
  <c r="Z150" i="44" s="1"/>
  <c r="AA150" i="44" s="1"/>
  <c r="AB150" i="44" s="1"/>
  <c r="AC150" i="44" s="1"/>
  <c r="AD150" i="44" s="1"/>
  <c r="AE150" i="44" s="1"/>
  <c r="AF150" i="44" s="1"/>
  <c r="AG150" i="44" s="1"/>
  <c r="AH150" i="44" s="1"/>
  <c r="AI150" i="44" s="1"/>
  <c r="AJ150" i="44" s="1"/>
  <c r="AK150" i="44" s="1"/>
  <c r="AL150" i="44" s="1"/>
  <c r="AM150" i="44" s="1"/>
  <c r="AN150" i="44" s="1"/>
  <c r="AO150" i="44" s="1"/>
  <c r="AP150" i="44" s="1"/>
  <c r="P154" i="44"/>
  <c r="Q154" i="44" s="1"/>
  <c r="R154" i="44" s="1"/>
  <c r="S154" i="44" s="1"/>
  <c r="T154" i="44" s="1"/>
  <c r="U154" i="44" s="1"/>
  <c r="V154" i="44" s="1"/>
  <c r="W154" i="44" s="1"/>
  <c r="X154" i="44" s="1"/>
  <c r="Y154" i="44" s="1"/>
  <c r="Z154" i="44" s="1"/>
  <c r="AA154" i="44" s="1"/>
  <c r="AB154" i="44" s="1"/>
  <c r="AC154" i="44" s="1"/>
  <c r="AD154" i="44" s="1"/>
  <c r="AE154" i="44" s="1"/>
  <c r="AF154" i="44" s="1"/>
  <c r="AG154" i="44" s="1"/>
  <c r="AH154" i="44" s="1"/>
  <c r="AI154" i="44" s="1"/>
  <c r="AJ154" i="44" s="1"/>
  <c r="AK154" i="44" s="1"/>
  <c r="AL154" i="44" s="1"/>
  <c r="AM154" i="44" s="1"/>
  <c r="AN154" i="44" s="1"/>
  <c r="AO154" i="44" s="1"/>
  <c r="P160" i="44"/>
  <c r="Q160" i="44" s="1"/>
  <c r="R160" i="44" s="1"/>
  <c r="S160" i="44" s="1"/>
  <c r="T160" i="44" s="1"/>
  <c r="U160" i="44" s="1"/>
  <c r="V160" i="44" s="1"/>
  <c r="W160" i="44" s="1"/>
  <c r="X160" i="44" s="1"/>
  <c r="Y160" i="44" s="1"/>
  <c r="Z160" i="44" s="1"/>
  <c r="AA160" i="44" s="1"/>
  <c r="AB160" i="44" s="1"/>
  <c r="AC160" i="44" s="1"/>
  <c r="AD160" i="44" s="1"/>
  <c r="AE160" i="44" s="1"/>
  <c r="AF160" i="44" s="1"/>
  <c r="AG160" i="44" s="1"/>
  <c r="AH160" i="44" s="1"/>
  <c r="AI160" i="44" s="1"/>
  <c r="AJ160" i="44" s="1"/>
  <c r="AK160" i="44" s="1"/>
  <c r="AL160" i="44" s="1"/>
  <c r="AM160" i="44" s="1"/>
  <c r="AN160" i="44" s="1"/>
  <c r="AO160" i="44" s="1"/>
  <c r="P142" i="44"/>
  <c r="Q142" i="44" s="1"/>
  <c r="R142" i="44" s="1"/>
  <c r="S142" i="44" s="1"/>
  <c r="T142" i="44" s="1"/>
  <c r="U142" i="44" s="1"/>
  <c r="V142" i="44" s="1"/>
  <c r="W142" i="44" s="1"/>
  <c r="X142" i="44" s="1"/>
  <c r="Y142" i="44" s="1"/>
  <c r="Z142" i="44" s="1"/>
  <c r="AA142" i="44" s="1"/>
  <c r="AB142" i="44" s="1"/>
  <c r="AC142" i="44" s="1"/>
  <c r="AD142" i="44" s="1"/>
  <c r="AE142" i="44" s="1"/>
  <c r="AF142" i="44" s="1"/>
  <c r="AG142" i="44" s="1"/>
  <c r="AH142" i="44" s="1"/>
  <c r="AI142" i="44" s="1"/>
  <c r="AJ142" i="44" s="1"/>
  <c r="AK142" i="44" s="1"/>
  <c r="AL142" i="44" s="1"/>
  <c r="AM142" i="44" s="1"/>
  <c r="AN142" i="44" s="1"/>
  <c r="AO142" i="44" s="1"/>
  <c r="P165" i="44"/>
  <c r="Q165" i="44" s="1"/>
  <c r="R165" i="44" s="1"/>
  <c r="P161" i="44"/>
  <c r="Q161" i="44" s="1"/>
  <c r="R161" i="44" s="1"/>
  <c r="S161" i="44" s="1"/>
  <c r="T161" i="44" s="1"/>
  <c r="U161" i="44" s="1"/>
  <c r="V161" i="44" s="1"/>
  <c r="W161" i="44" s="1"/>
  <c r="X161" i="44" s="1"/>
  <c r="Y161" i="44" s="1"/>
  <c r="Z161" i="44" s="1"/>
  <c r="AA161" i="44" s="1"/>
  <c r="AB161" i="44" s="1"/>
  <c r="AC161" i="44" s="1"/>
  <c r="AD161" i="44" s="1"/>
  <c r="AE161" i="44" s="1"/>
  <c r="AF161" i="44" s="1"/>
  <c r="AG161" i="44" s="1"/>
  <c r="AH161" i="44" s="1"/>
  <c r="AI161" i="44" s="1"/>
  <c r="AJ161" i="44" s="1"/>
  <c r="AK161" i="44" s="1"/>
  <c r="AL161" i="44" s="1"/>
  <c r="AM161" i="44" s="1"/>
  <c r="AN161" i="44" s="1"/>
  <c r="AO161" i="44" s="1"/>
  <c r="P158" i="44"/>
  <c r="Q158" i="44" s="1"/>
  <c r="R158" i="44" s="1"/>
  <c r="S158" i="44" s="1"/>
  <c r="T158" i="44" s="1"/>
  <c r="U158" i="44" s="1"/>
  <c r="V158" i="44" s="1"/>
  <c r="W158" i="44" s="1"/>
  <c r="X158" i="44" s="1"/>
  <c r="Y158" i="44" s="1"/>
  <c r="Z158" i="44" s="1"/>
  <c r="AA158" i="44" s="1"/>
  <c r="AB158" i="44" s="1"/>
  <c r="AC158" i="44" s="1"/>
  <c r="AD158" i="44" s="1"/>
  <c r="AE158" i="44" s="1"/>
  <c r="AF158" i="44" s="1"/>
  <c r="AG158" i="44" s="1"/>
  <c r="AH158" i="44" s="1"/>
  <c r="AI158" i="44" s="1"/>
  <c r="AJ158" i="44" s="1"/>
  <c r="AK158" i="44" s="1"/>
  <c r="AL158" i="44" s="1"/>
  <c r="AM158" i="44" s="1"/>
  <c r="AN158" i="44" s="1"/>
  <c r="AO158" i="44" s="1"/>
  <c r="AP158" i="44" s="1"/>
  <c r="P157" i="44"/>
  <c r="Q157" i="44" s="1"/>
  <c r="R157" i="44" s="1"/>
  <c r="S157" i="44" s="1"/>
  <c r="T157" i="44" s="1"/>
  <c r="U157" i="44" s="1"/>
  <c r="V157" i="44" s="1"/>
  <c r="W157" i="44" s="1"/>
  <c r="X157" i="44" s="1"/>
  <c r="Y157" i="44" s="1"/>
  <c r="Z157" i="44" s="1"/>
  <c r="AA157" i="44" s="1"/>
  <c r="AB157" i="44" s="1"/>
  <c r="AC157" i="44" s="1"/>
  <c r="AD157" i="44" s="1"/>
  <c r="AE157" i="44" s="1"/>
  <c r="AF157" i="44" s="1"/>
  <c r="AG157" i="44" s="1"/>
  <c r="AH157" i="44" s="1"/>
  <c r="AI157" i="44" s="1"/>
  <c r="AJ157" i="44" s="1"/>
  <c r="AK157" i="44" s="1"/>
  <c r="AL157" i="44" s="1"/>
  <c r="AM157" i="44" s="1"/>
  <c r="AN157" i="44" s="1"/>
  <c r="AO157" i="44" s="1"/>
  <c r="P145" i="44"/>
  <c r="Q145" i="44" s="1"/>
  <c r="R145" i="44" s="1"/>
  <c r="S145" i="44" s="1"/>
  <c r="T145" i="44" s="1"/>
  <c r="U145" i="44" s="1"/>
  <c r="V145" i="44" s="1"/>
  <c r="W145" i="44" s="1"/>
  <c r="X145" i="44" s="1"/>
  <c r="Y145" i="44" s="1"/>
  <c r="Z145" i="44" s="1"/>
  <c r="AA145" i="44" s="1"/>
  <c r="AB145" i="44" s="1"/>
  <c r="AC145" i="44" s="1"/>
  <c r="AD145" i="44" s="1"/>
  <c r="AE145" i="44" s="1"/>
  <c r="AF145" i="44" s="1"/>
  <c r="AG145" i="44" s="1"/>
  <c r="AH145" i="44" s="1"/>
  <c r="AI145" i="44" s="1"/>
  <c r="AJ145" i="44" s="1"/>
  <c r="AK145" i="44" s="1"/>
  <c r="AL145" i="44" s="1"/>
  <c r="AM145" i="44" s="1"/>
  <c r="AN145" i="44" s="1"/>
  <c r="AO145" i="44" s="1"/>
  <c r="AP145" i="44" s="1"/>
  <c r="P143" i="44"/>
  <c r="Q143" i="44" s="1"/>
  <c r="R143" i="44" s="1"/>
  <c r="S143" i="44" s="1"/>
  <c r="T143" i="44" s="1"/>
  <c r="U143" i="44" s="1"/>
  <c r="V143" i="44" s="1"/>
  <c r="W143" i="44" s="1"/>
  <c r="X143" i="44" s="1"/>
  <c r="Y143" i="44" s="1"/>
  <c r="Z143" i="44" s="1"/>
  <c r="AA143" i="44" s="1"/>
  <c r="AB143" i="44" s="1"/>
  <c r="AC143" i="44" s="1"/>
  <c r="AD143" i="44" s="1"/>
  <c r="AE143" i="44" s="1"/>
  <c r="AF143" i="44" s="1"/>
  <c r="AG143" i="44" s="1"/>
  <c r="AH143" i="44" s="1"/>
  <c r="AI143" i="44" s="1"/>
  <c r="AJ143" i="44" s="1"/>
  <c r="AK143" i="44" s="1"/>
  <c r="AL143" i="44" s="1"/>
  <c r="AM143" i="44" s="1"/>
  <c r="AN143" i="44" s="1"/>
  <c r="AO143" i="44" s="1"/>
  <c r="AP143" i="44" s="1"/>
  <c r="P156" i="44"/>
  <c r="Q156" i="44" s="1"/>
  <c r="R156" i="44" s="1"/>
  <c r="S156" i="44" s="1"/>
  <c r="T156" i="44" s="1"/>
  <c r="U156" i="44" s="1"/>
  <c r="V156" i="44" s="1"/>
  <c r="W156" i="44" s="1"/>
  <c r="X156" i="44" s="1"/>
  <c r="Y156" i="44" s="1"/>
  <c r="Z156" i="44" s="1"/>
  <c r="AA156" i="44" s="1"/>
  <c r="AB156" i="44" s="1"/>
  <c r="AC156" i="44" s="1"/>
  <c r="AD156" i="44" s="1"/>
  <c r="AE156" i="44" s="1"/>
  <c r="AF156" i="44" s="1"/>
  <c r="AG156" i="44" s="1"/>
  <c r="AH156" i="44" s="1"/>
  <c r="AI156" i="44" s="1"/>
  <c r="AJ156" i="44" s="1"/>
  <c r="AK156" i="44" s="1"/>
  <c r="AL156" i="44" s="1"/>
  <c r="AM156" i="44" s="1"/>
  <c r="AN156" i="44" s="1"/>
  <c r="AO156" i="44" s="1"/>
  <c r="AP156" i="44" s="1"/>
  <c r="P152" i="44"/>
  <c r="Q152" i="44" s="1"/>
  <c r="R152" i="44" s="1"/>
  <c r="S152" i="44" s="1"/>
  <c r="T152" i="44" s="1"/>
  <c r="U152" i="44" s="1"/>
  <c r="V152" i="44" s="1"/>
  <c r="W152" i="44" s="1"/>
  <c r="X152" i="44" s="1"/>
  <c r="Y152" i="44" s="1"/>
  <c r="Z152" i="44" s="1"/>
  <c r="AA152" i="44" s="1"/>
  <c r="AB152" i="44" s="1"/>
  <c r="AC152" i="44" s="1"/>
  <c r="AD152" i="44" s="1"/>
  <c r="AE152" i="44" s="1"/>
  <c r="AF152" i="44" s="1"/>
  <c r="AG152" i="44" s="1"/>
  <c r="AH152" i="44" s="1"/>
  <c r="AI152" i="44" s="1"/>
  <c r="AJ152" i="44" s="1"/>
  <c r="AK152" i="44" s="1"/>
  <c r="AL152" i="44" s="1"/>
  <c r="AM152" i="44" s="1"/>
  <c r="AN152" i="44" s="1"/>
  <c r="AO152" i="44" s="1"/>
  <c r="AP152" i="44" s="1"/>
  <c r="P153" i="44"/>
  <c r="Q153" i="44" s="1"/>
  <c r="R153" i="44" s="1"/>
  <c r="S153" i="44" s="1"/>
  <c r="T153" i="44" s="1"/>
  <c r="U153" i="44" s="1"/>
  <c r="V153" i="44" s="1"/>
  <c r="W153" i="44" s="1"/>
  <c r="X153" i="44" s="1"/>
  <c r="Y153" i="44" s="1"/>
  <c r="Z153" i="44" s="1"/>
  <c r="AA153" i="44" s="1"/>
  <c r="AB153" i="44" s="1"/>
  <c r="AC153" i="44" s="1"/>
  <c r="AD153" i="44" s="1"/>
  <c r="AE153" i="44" s="1"/>
  <c r="AF153" i="44" s="1"/>
  <c r="AG153" i="44" s="1"/>
  <c r="AH153" i="44" s="1"/>
  <c r="AI153" i="44" s="1"/>
  <c r="AJ153" i="44" s="1"/>
  <c r="AK153" i="44" s="1"/>
  <c r="AL153" i="44" s="1"/>
  <c r="AM153" i="44" s="1"/>
  <c r="AN153" i="44" s="1"/>
  <c r="AO153" i="44" s="1"/>
  <c r="P149" i="44"/>
  <c r="Q149" i="44" s="1"/>
  <c r="R149" i="44" s="1"/>
  <c r="S149" i="44" s="1"/>
  <c r="T149" i="44" s="1"/>
  <c r="U149" i="44" s="1"/>
  <c r="V149" i="44" s="1"/>
  <c r="W149" i="44" s="1"/>
  <c r="X149" i="44" s="1"/>
  <c r="Y149" i="44" s="1"/>
  <c r="Z149" i="44" s="1"/>
  <c r="AA149" i="44" s="1"/>
  <c r="AB149" i="44" s="1"/>
  <c r="AC149" i="44" s="1"/>
  <c r="AD149" i="44" s="1"/>
  <c r="AE149" i="44" s="1"/>
  <c r="AF149" i="44" s="1"/>
  <c r="AG149" i="44" s="1"/>
  <c r="AH149" i="44" s="1"/>
  <c r="AI149" i="44" s="1"/>
  <c r="AJ149" i="44" s="1"/>
  <c r="AK149" i="44" s="1"/>
  <c r="AL149" i="44" s="1"/>
  <c r="AM149" i="44" s="1"/>
  <c r="AN149" i="44" s="1"/>
  <c r="AO149" i="44" s="1"/>
  <c r="AP149" i="44" s="1"/>
  <c r="P144" i="44"/>
  <c r="Q144" i="44" s="1"/>
  <c r="R144" i="44" s="1"/>
  <c r="S144" i="44" s="1"/>
  <c r="T144" i="44" s="1"/>
  <c r="U144" i="44" s="1"/>
  <c r="V144" i="44" s="1"/>
  <c r="W144" i="44" s="1"/>
  <c r="X144" i="44" s="1"/>
  <c r="Y144" i="44" s="1"/>
  <c r="Z144" i="44" s="1"/>
  <c r="AA144" i="44" s="1"/>
  <c r="AB144" i="44" s="1"/>
  <c r="AC144" i="44" s="1"/>
  <c r="AD144" i="44" s="1"/>
  <c r="AE144" i="44" s="1"/>
  <c r="AF144" i="44" s="1"/>
  <c r="AG144" i="44" s="1"/>
  <c r="AH144" i="44" s="1"/>
  <c r="AI144" i="44" s="1"/>
  <c r="AJ144" i="44" s="1"/>
  <c r="AK144" i="44" s="1"/>
  <c r="AL144" i="44" s="1"/>
  <c r="AM144" i="44" s="1"/>
  <c r="AN144" i="44" s="1"/>
  <c r="AO144" i="44" s="1"/>
  <c r="P155" i="44"/>
  <c r="Q155" i="44" s="1"/>
  <c r="R155" i="44" s="1"/>
  <c r="P163" i="44"/>
  <c r="Q163" i="44" s="1"/>
  <c r="R163" i="44" s="1"/>
  <c r="S163" i="44" s="1"/>
  <c r="T163" i="44" s="1"/>
  <c r="U163" i="44" s="1"/>
  <c r="V163" i="44" s="1"/>
  <c r="W163" i="44" s="1"/>
  <c r="X163" i="44" s="1"/>
  <c r="Y163" i="44" s="1"/>
  <c r="Z163" i="44" s="1"/>
  <c r="AA163" i="44" s="1"/>
  <c r="AB163" i="44" s="1"/>
  <c r="AC163" i="44" s="1"/>
  <c r="AD163" i="44" s="1"/>
  <c r="AE163" i="44" s="1"/>
  <c r="AF163" i="44" s="1"/>
  <c r="AG163" i="44" s="1"/>
  <c r="AH163" i="44" s="1"/>
  <c r="AI163" i="44" s="1"/>
  <c r="AJ163" i="44" s="1"/>
  <c r="AK163" i="44" s="1"/>
  <c r="AL163" i="44" s="1"/>
  <c r="AM163" i="44" s="1"/>
  <c r="AN163" i="44" s="1"/>
  <c r="AO163" i="44" s="1"/>
  <c r="AP163" i="44" s="1"/>
  <c r="AQ163" i="44" s="1"/>
  <c r="AR163" i="44" s="1"/>
  <c r="AS163" i="44" s="1"/>
  <c r="P159" i="44"/>
  <c r="Q159" i="44" s="1"/>
  <c r="R159" i="44" s="1"/>
  <c r="S159" i="44" s="1"/>
  <c r="T159" i="44" s="1"/>
  <c r="U159" i="44" s="1"/>
  <c r="V159" i="44" s="1"/>
  <c r="W159" i="44" s="1"/>
  <c r="X159" i="44" s="1"/>
  <c r="Y159" i="44" s="1"/>
  <c r="Z159" i="44" s="1"/>
  <c r="AA159" i="44" s="1"/>
  <c r="AB159" i="44" s="1"/>
  <c r="AC159" i="44" s="1"/>
  <c r="AD159" i="44" s="1"/>
  <c r="AE159" i="44" s="1"/>
  <c r="AF159" i="44" s="1"/>
  <c r="AG159" i="44" s="1"/>
  <c r="AH159" i="44" s="1"/>
  <c r="AI159" i="44" s="1"/>
  <c r="AJ159" i="44" s="1"/>
  <c r="AK159" i="44" s="1"/>
  <c r="AL159" i="44" s="1"/>
  <c r="AM159" i="44" s="1"/>
  <c r="AN159" i="44" s="1"/>
  <c r="AO159" i="44" s="1"/>
  <c r="AP159" i="44" s="1"/>
  <c r="P151" i="44"/>
  <c r="Q151" i="44" s="1"/>
  <c r="R151" i="44" s="1"/>
  <c r="S151" i="44" s="1"/>
  <c r="T151" i="44" s="1"/>
  <c r="U151" i="44" s="1"/>
  <c r="V151" i="44" s="1"/>
  <c r="W151" i="44" s="1"/>
  <c r="X151" i="44" s="1"/>
  <c r="Y151" i="44" s="1"/>
  <c r="Z151" i="44" s="1"/>
  <c r="AA151" i="44" s="1"/>
  <c r="AB151" i="44" s="1"/>
  <c r="AC151" i="44" s="1"/>
  <c r="AD151" i="44" s="1"/>
  <c r="AE151" i="44" s="1"/>
  <c r="AF151" i="44" s="1"/>
  <c r="AG151" i="44" s="1"/>
  <c r="AH151" i="44" s="1"/>
  <c r="AI151" i="44" s="1"/>
  <c r="AJ151" i="44" s="1"/>
  <c r="AK151" i="44" s="1"/>
  <c r="AL151" i="44" s="1"/>
  <c r="AM151" i="44" s="1"/>
  <c r="P164" i="44"/>
  <c r="Q164" i="44" s="1"/>
  <c r="R164" i="44" s="1"/>
  <c r="S164" i="44" s="1"/>
  <c r="T164" i="44" s="1"/>
  <c r="U164" i="44" s="1"/>
  <c r="V164" i="44" s="1"/>
  <c r="W164" i="44" s="1"/>
  <c r="X164" i="44" s="1"/>
  <c r="Y164" i="44" s="1"/>
  <c r="Z164" i="44" s="1"/>
  <c r="AA164" i="44" s="1"/>
  <c r="AB164" i="44" s="1"/>
  <c r="AC164" i="44" s="1"/>
  <c r="AD164" i="44" s="1"/>
  <c r="AE164" i="44" s="1"/>
  <c r="AF164" i="44" s="1"/>
  <c r="AG164" i="44" s="1"/>
  <c r="AH164" i="44" s="1"/>
  <c r="AI164" i="44" s="1"/>
  <c r="AJ164" i="44" s="1"/>
  <c r="AK164" i="44" s="1"/>
  <c r="AL164" i="44" s="1"/>
  <c r="AM164" i="44" s="1"/>
  <c r="P60" i="44"/>
  <c r="Q60" i="44" s="1"/>
  <c r="R60" i="44" s="1"/>
  <c r="S60" i="44" s="1"/>
  <c r="T60" i="44" s="1"/>
  <c r="U60" i="44" s="1"/>
  <c r="V60" i="44" s="1"/>
  <c r="W60" i="44" s="1"/>
  <c r="X60" i="44" s="1"/>
  <c r="Y60" i="44" s="1"/>
  <c r="Z60" i="44" s="1"/>
  <c r="AA60" i="44" s="1"/>
  <c r="AB60" i="44" s="1"/>
  <c r="AC60" i="44" s="1"/>
  <c r="AD60" i="44" s="1"/>
  <c r="AE60" i="44" s="1"/>
  <c r="AF60" i="44" s="1"/>
  <c r="AG60" i="44" s="1"/>
  <c r="AH60" i="44" s="1"/>
  <c r="AI60" i="44" s="1"/>
  <c r="AJ60" i="44" s="1"/>
  <c r="AK60" i="44" s="1"/>
  <c r="AL60" i="44" s="1"/>
  <c r="AM60" i="44" s="1"/>
  <c r="AN60" i="44" s="1"/>
  <c r="AO60" i="44" s="1"/>
  <c r="P63" i="44"/>
  <c r="Q63" i="44" s="1"/>
  <c r="R63" i="44" s="1"/>
  <c r="S63" i="44" s="1"/>
  <c r="T63" i="44" s="1"/>
  <c r="U63" i="44" s="1"/>
  <c r="V63" i="44" s="1"/>
  <c r="W63" i="44" s="1"/>
  <c r="X63" i="44" s="1"/>
  <c r="Y63" i="44" s="1"/>
  <c r="Z63" i="44" s="1"/>
  <c r="AA63" i="44" s="1"/>
  <c r="AB63" i="44" s="1"/>
  <c r="AC63" i="44" s="1"/>
  <c r="AD63" i="44" s="1"/>
  <c r="AE63" i="44" s="1"/>
  <c r="AF63" i="44" s="1"/>
  <c r="AG63" i="44" s="1"/>
  <c r="AH63" i="44" s="1"/>
  <c r="AI63" i="44" s="1"/>
  <c r="AJ63" i="44" s="1"/>
  <c r="AK63" i="44" s="1"/>
  <c r="AL63" i="44" s="1"/>
  <c r="AM63" i="44" s="1"/>
  <c r="AN63" i="44" s="1"/>
  <c r="AO63" i="44" s="1"/>
  <c r="AP63" i="44" s="1"/>
  <c r="P66" i="44"/>
  <c r="Q66" i="44" s="1"/>
  <c r="R66" i="44" s="1"/>
  <c r="S66" i="44" s="1"/>
  <c r="T66" i="44" s="1"/>
  <c r="U66" i="44" s="1"/>
  <c r="V66" i="44" s="1"/>
  <c r="W66" i="44" s="1"/>
  <c r="X66" i="44" s="1"/>
  <c r="Y66" i="44" s="1"/>
  <c r="Z66" i="44" s="1"/>
  <c r="AA66" i="44" s="1"/>
  <c r="AB66" i="44" s="1"/>
  <c r="AC66" i="44" s="1"/>
  <c r="AD66" i="44" s="1"/>
  <c r="AE66" i="44" s="1"/>
  <c r="AF66" i="44" s="1"/>
  <c r="AG66" i="44" s="1"/>
  <c r="AH66" i="44" s="1"/>
  <c r="AI66" i="44" s="1"/>
  <c r="AJ66" i="44" s="1"/>
  <c r="AK66" i="44" s="1"/>
  <c r="AL66" i="44" s="1"/>
  <c r="AM66" i="44" s="1"/>
  <c r="AN66" i="44" s="1"/>
  <c r="AO66" i="44" s="1"/>
  <c r="AP66" i="44" s="1"/>
  <c r="P46" i="44"/>
  <c r="Q46" i="44" s="1"/>
  <c r="R46" i="44" s="1"/>
  <c r="S46" i="44" s="1"/>
  <c r="T46" i="44" s="1"/>
  <c r="U46" i="44" s="1"/>
  <c r="V46" i="44" s="1"/>
  <c r="W46" i="44" s="1"/>
  <c r="X46" i="44" s="1"/>
  <c r="Y46" i="44" s="1"/>
  <c r="Z46" i="44" s="1"/>
  <c r="AA46" i="44" s="1"/>
  <c r="AB46" i="44" s="1"/>
  <c r="AC46" i="44" s="1"/>
  <c r="AD46" i="44" s="1"/>
  <c r="AE46" i="44" s="1"/>
  <c r="AF46" i="44" s="1"/>
  <c r="AG46" i="44" s="1"/>
  <c r="AH46" i="44" s="1"/>
  <c r="AI46" i="44" s="1"/>
  <c r="AJ46" i="44" s="1"/>
  <c r="AK46" i="44" s="1"/>
  <c r="AL46" i="44" s="1"/>
  <c r="AM46" i="44" s="1"/>
  <c r="AN46" i="44" s="1"/>
  <c r="AO46" i="44" s="1"/>
  <c r="AP46" i="44" s="1"/>
  <c r="AQ46" i="44" s="1"/>
  <c r="AR46" i="44" s="1"/>
  <c r="AS46" i="44" s="1"/>
  <c r="P67" i="44"/>
  <c r="Q67" i="44" s="1"/>
  <c r="R67" i="44" s="1"/>
  <c r="S67" i="44" s="1"/>
  <c r="T67" i="44" s="1"/>
  <c r="U67" i="44" s="1"/>
  <c r="V67" i="44" s="1"/>
  <c r="W67" i="44" s="1"/>
  <c r="X67" i="44" s="1"/>
  <c r="Y67" i="44" s="1"/>
  <c r="Z67" i="44" s="1"/>
  <c r="AA67" i="44" s="1"/>
  <c r="AB67" i="44" s="1"/>
  <c r="AC67" i="44" s="1"/>
  <c r="AD67" i="44" s="1"/>
  <c r="AE67" i="44" s="1"/>
  <c r="AF67" i="44" s="1"/>
  <c r="AG67" i="44" s="1"/>
  <c r="AH67" i="44" s="1"/>
  <c r="AI67" i="44" s="1"/>
  <c r="AJ67" i="44" s="1"/>
  <c r="AK67" i="44" s="1"/>
  <c r="AL67" i="44" s="1"/>
  <c r="AM67" i="44" s="1"/>
  <c r="AN67" i="44" s="1"/>
  <c r="AO67" i="44" s="1"/>
  <c r="AP67" i="44" s="1"/>
  <c r="P49" i="44"/>
  <c r="Q49" i="44" s="1"/>
  <c r="R49" i="44" s="1"/>
  <c r="S49" i="44" s="1"/>
  <c r="T49" i="44" s="1"/>
  <c r="U49" i="44" s="1"/>
  <c r="V49" i="44" s="1"/>
  <c r="W49" i="44" s="1"/>
  <c r="X49" i="44" s="1"/>
  <c r="Y49" i="44" s="1"/>
  <c r="Z49" i="44" s="1"/>
  <c r="AA49" i="44" s="1"/>
  <c r="AB49" i="44" s="1"/>
  <c r="AC49" i="44" s="1"/>
  <c r="AD49" i="44" s="1"/>
  <c r="AE49" i="44" s="1"/>
  <c r="AF49" i="44" s="1"/>
  <c r="AG49" i="44" s="1"/>
  <c r="AH49" i="44" s="1"/>
  <c r="AI49" i="44" s="1"/>
  <c r="AJ49" i="44" s="1"/>
  <c r="AK49" i="44" s="1"/>
  <c r="AL49" i="44" s="1"/>
  <c r="AM49" i="44" s="1"/>
  <c r="AN49" i="44" s="1"/>
  <c r="AO49" i="44" s="1"/>
  <c r="AP49" i="44" s="1"/>
  <c r="AQ49" i="44" s="1"/>
  <c r="AR49" i="44" s="1"/>
  <c r="AS49" i="44" s="1"/>
  <c r="P56" i="44"/>
  <c r="Q56" i="44" s="1"/>
  <c r="R56" i="44" s="1"/>
  <c r="S56" i="44" s="1"/>
  <c r="T56" i="44" s="1"/>
  <c r="U56" i="44" s="1"/>
  <c r="V56" i="44" s="1"/>
  <c r="W56" i="44" s="1"/>
  <c r="X56" i="44" s="1"/>
  <c r="Y56" i="44" s="1"/>
  <c r="Z56" i="44" s="1"/>
  <c r="AA56" i="44" s="1"/>
  <c r="AB56" i="44" s="1"/>
  <c r="AC56" i="44" s="1"/>
  <c r="AD56" i="44" s="1"/>
  <c r="AE56" i="44" s="1"/>
  <c r="AF56" i="44" s="1"/>
  <c r="AG56" i="44" s="1"/>
  <c r="AH56" i="44" s="1"/>
  <c r="AI56" i="44" s="1"/>
  <c r="AJ56" i="44" s="1"/>
  <c r="AK56" i="44" s="1"/>
  <c r="AL56" i="44" s="1"/>
  <c r="AM56" i="44" s="1"/>
  <c r="AN56" i="44" s="1"/>
  <c r="AO56" i="44" s="1"/>
  <c r="AP56" i="44" s="1"/>
  <c r="P55" i="44"/>
  <c r="Q55" i="44" s="1"/>
  <c r="R55" i="44" s="1"/>
  <c r="S55" i="44" s="1"/>
  <c r="T55" i="44" s="1"/>
  <c r="U55" i="44" s="1"/>
  <c r="V55" i="44" s="1"/>
  <c r="W55" i="44" s="1"/>
  <c r="X55" i="44" s="1"/>
  <c r="Y55" i="44" s="1"/>
  <c r="Z55" i="44" s="1"/>
  <c r="AA55" i="44" s="1"/>
  <c r="AB55" i="44" s="1"/>
  <c r="AC55" i="44" s="1"/>
  <c r="AD55" i="44" s="1"/>
  <c r="AE55" i="44" s="1"/>
  <c r="AF55" i="44" s="1"/>
  <c r="AG55" i="44" s="1"/>
  <c r="AH55" i="44" s="1"/>
  <c r="AI55" i="44" s="1"/>
  <c r="AJ55" i="44" s="1"/>
  <c r="AK55" i="44" s="1"/>
  <c r="AL55" i="44" s="1"/>
  <c r="AM55" i="44" s="1"/>
  <c r="AN55" i="44" s="1"/>
  <c r="AO55" i="44" s="1"/>
  <c r="P47" i="44"/>
  <c r="Q47" i="44" s="1"/>
  <c r="R47" i="44" s="1"/>
  <c r="S47" i="44" s="1"/>
  <c r="T47" i="44" s="1"/>
  <c r="U47" i="44" s="1"/>
  <c r="V47" i="44" s="1"/>
  <c r="W47" i="44" s="1"/>
  <c r="X47" i="44" s="1"/>
  <c r="Y47" i="44" s="1"/>
  <c r="Z47" i="44" s="1"/>
  <c r="AA47" i="44" s="1"/>
  <c r="AB47" i="44" s="1"/>
  <c r="AC47" i="44" s="1"/>
  <c r="AD47" i="44" s="1"/>
  <c r="AE47" i="44" s="1"/>
  <c r="AF47" i="44" s="1"/>
  <c r="AG47" i="44" s="1"/>
  <c r="AH47" i="44" s="1"/>
  <c r="AI47" i="44" s="1"/>
  <c r="AJ47" i="44" s="1"/>
  <c r="AK47" i="44" s="1"/>
  <c r="AL47" i="44" s="1"/>
  <c r="AM47" i="44" s="1"/>
  <c r="AN47" i="44" s="1"/>
  <c r="AO47" i="44" s="1"/>
  <c r="AP47" i="44" s="1"/>
  <c r="P57" i="44"/>
  <c r="Q57" i="44" s="1"/>
  <c r="R57" i="44" s="1"/>
  <c r="S57" i="44" s="1"/>
  <c r="T57" i="44" s="1"/>
  <c r="U57" i="44" s="1"/>
  <c r="V57" i="44" s="1"/>
  <c r="W57" i="44" s="1"/>
  <c r="X57" i="44" s="1"/>
  <c r="Y57" i="44" s="1"/>
  <c r="Z57" i="44" s="1"/>
  <c r="AA57" i="44" s="1"/>
  <c r="AB57" i="44" s="1"/>
  <c r="AC57" i="44" s="1"/>
  <c r="AD57" i="44" s="1"/>
  <c r="AE57" i="44" s="1"/>
  <c r="AF57" i="44" s="1"/>
  <c r="AG57" i="44" s="1"/>
  <c r="AH57" i="44" s="1"/>
  <c r="AI57" i="44" s="1"/>
  <c r="AJ57" i="44" s="1"/>
  <c r="AK57" i="44" s="1"/>
  <c r="AL57" i="44" s="1"/>
  <c r="AM57" i="44" s="1"/>
  <c r="AN57" i="44" s="1"/>
  <c r="AO57" i="44" s="1"/>
  <c r="AP57" i="44" s="1"/>
  <c r="P62" i="44"/>
  <c r="Q62" i="44" s="1"/>
  <c r="R62" i="44" s="1"/>
  <c r="S62" i="44" s="1"/>
  <c r="T62" i="44" s="1"/>
  <c r="U62" i="44" s="1"/>
  <c r="V62" i="44" s="1"/>
  <c r="W62" i="44" s="1"/>
  <c r="X62" i="44" s="1"/>
  <c r="Y62" i="44" s="1"/>
  <c r="Z62" i="44" s="1"/>
  <c r="AA62" i="44" s="1"/>
  <c r="AB62" i="44" s="1"/>
  <c r="AC62" i="44" s="1"/>
  <c r="AD62" i="44" s="1"/>
  <c r="AE62" i="44" s="1"/>
  <c r="AF62" i="44" s="1"/>
  <c r="AG62" i="44" s="1"/>
  <c r="AH62" i="44" s="1"/>
  <c r="AI62" i="44" s="1"/>
  <c r="AJ62" i="44" s="1"/>
  <c r="AK62" i="44" s="1"/>
  <c r="AL62" i="44" s="1"/>
  <c r="AM62" i="44" s="1"/>
  <c r="AN62" i="44" s="1"/>
  <c r="AO62" i="44" s="1"/>
  <c r="P65" i="44"/>
  <c r="Q65" i="44" s="1"/>
  <c r="R65" i="44" s="1"/>
  <c r="S65" i="44" s="1"/>
  <c r="T65" i="44" s="1"/>
  <c r="U65" i="44" s="1"/>
  <c r="V65" i="44" s="1"/>
  <c r="W65" i="44" s="1"/>
  <c r="X65" i="44" s="1"/>
  <c r="Y65" i="44" s="1"/>
  <c r="Z65" i="44" s="1"/>
  <c r="AA65" i="44" s="1"/>
  <c r="AB65" i="44" s="1"/>
  <c r="AC65" i="44" s="1"/>
  <c r="AD65" i="44" s="1"/>
  <c r="AE65" i="44" s="1"/>
  <c r="AF65" i="44" s="1"/>
  <c r="AG65" i="44" s="1"/>
  <c r="AH65" i="44" s="1"/>
  <c r="AI65" i="44" s="1"/>
  <c r="AJ65" i="44" s="1"/>
  <c r="AK65" i="44" s="1"/>
  <c r="AL65" i="44" s="1"/>
  <c r="AM65" i="44" s="1"/>
  <c r="AN65" i="44" s="1"/>
  <c r="AO65" i="44" s="1"/>
  <c r="P52" i="44"/>
  <c r="Q52" i="44" s="1"/>
  <c r="R52" i="44" s="1"/>
  <c r="S52" i="44" s="1"/>
  <c r="T52" i="44" s="1"/>
  <c r="U52" i="44" s="1"/>
  <c r="V52" i="44" s="1"/>
  <c r="W52" i="44" s="1"/>
  <c r="X52" i="44" s="1"/>
  <c r="Y52" i="44" s="1"/>
  <c r="Z52" i="44" s="1"/>
  <c r="AA52" i="44" s="1"/>
  <c r="AB52" i="44" s="1"/>
  <c r="AC52" i="44" s="1"/>
  <c r="AD52" i="44" s="1"/>
  <c r="AE52" i="44" s="1"/>
  <c r="AF52" i="44" s="1"/>
  <c r="AG52" i="44" s="1"/>
  <c r="AH52" i="44" s="1"/>
  <c r="AI52" i="44" s="1"/>
  <c r="AJ52" i="44" s="1"/>
  <c r="AK52" i="44" s="1"/>
  <c r="AL52" i="44" s="1"/>
  <c r="AM52" i="44" s="1"/>
  <c r="AN52" i="44" s="1"/>
  <c r="AO52" i="44" s="1"/>
  <c r="AP52" i="44" s="1"/>
  <c r="P54" i="44"/>
  <c r="Q54" i="44" s="1"/>
  <c r="R54" i="44" s="1"/>
  <c r="S54" i="44" s="1"/>
  <c r="T54" i="44" s="1"/>
  <c r="U54" i="44" s="1"/>
  <c r="V54" i="44" s="1"/>
  <c r="W54" i="44" s="1"/>
  <c r="X54" i="44" s="1"/>
  <c r="Y54" i="44" s="1"/>
  <c r="Z54" i="44" s="1"/>
  <c r="AA54" i="44" s="1"/>
  <c r="AB54" i="44" s="1"/>
  <c r="AC54" i="44" s="1"/>
  <c r="AD54" i="44" s="1"/>
  <c r="AE54" i="44" s="1"/>
  <c r="AF54" i="44" s="1"/>
  <c r="AG54" i="44" s="1"/>
  <c r="AH54" i="44" s="1"/>
  <c r="AI54" i="44" s="1"/>
  <c r="AJ54" i="44" s="1"/>
  <c r="AK54" i="44" s="1"/>
  <c r="AL54" i="44" s="1"/>
  <c r="AM54" i="44" s="1"/>
  <c r="AN54" i="44" s="1"/>
  <c r="AO54" i="44" s="1"/>
  <c r="P53" i="44"/>
  <c r="Q53" i="44" s="1"/>
  <c r="R53" i="44" s="1"/>
  <c r="S53" i="44" s="1"/>
  <c r="T53" i="44" s="1"/>
  <c r="U53" i="44" s="1"/>
  <c r="V53" i="44" s="1"/>
  <c r="W53" i="44" s="1"/>
  <c r="X53" i="44" s="1"/>
  <c r="Y53" i="44" s="1"/>
  <c r="Z53" i="44" s="1"/>
  <c r="AA53" i="44" s="1"/>
  <c r="AB53" i="44" s="1"/>
  <c r="AC53" i="44" s="1"/>
  <c r="AD53" i="44" s="1"/>
  <c r="AE53" i="44" s="1"/>
  <c r="AF53" i="44" s="1"/>
  <c r="AG53" i="44" s="1"/>
  <c r="AH53" i="44" s="1"/>
  <c r="AI53" i="44" s="1"/>
  <c r="AJ53" i="44" s="1"/>
  <c r="AK53" i="44" s="1"/>
  <c r="AL53" i="44" s="1"/>
  <c r="AM53" i="44" s="1"/>
  <c r="AN53" i="44" s="1"/>
  <c r="AO53" i="44" s="1"/>
  <c r="AP53" i="44" s="1"/>
  <c r="AT53" i="44" s="1"/>
  <c r="P51" i="44"/>
  <c r="Q51" i="44" s="1"/>
  <c r="R51" i="44" s="1"/>
  <c r="P50" i="44"/>
  <c r="Q50" i="44" s="1"/>
  <c r="R50" i="44" s="1"/>
  <c r="S50" i="44" s="1"/>
  <c r="T50" i="44" s="1"/>
  <c r="U50" i="44" s="1"/>
  <c r="V50" i="44" s="1"/>
  <c r="W50" i="44" s="1"/>
  <c r="X50" i="44" s="1"/>
  <c r="Y50" i="44" s="1"/>
  <c r="Z50" i="44" s="1"/>
  <c r="AA50" i="44" s="1"/>
  <c r="AB50" i="44" s="1"/>
  <c r="AC50" i="44" s="1"/>
  <c r="AD50" i="44" s="1"/>
  <c r="AE50" i="44" s="1"/>
  <c r="AF50" i="44" s="1"/>
  <c r="AG50" i="44" s="1"/>
  <c r="AH50" i="44" s="1"/>
  <c r="AI50" i="44" s="1"/>
  <c r="AJ50" i="44" s="1"/>
  <c r="AK50" i="44" s="1"/>
  <c r="AL50" i="44" s="1"/>
  <c r="AM50" i="44" s="1"/>
  <c r="AN50" i="44" s="1"/>
  <c r="AO50" i="44" s="1"/>
  <c r="P68" i="44"/>
  <c r="Q68" i="44" s="1"/>
  <c r="R68" i="44" s="1"/>
  <c r="S68" i="44" s="1"/>
  <c r="T68" i="44" s="1"/>
  <c r="U68" i="44" s="1"/>
  <c r="V68" i="44" s="1"/>
  <c r="W68" i="44" s="1"/>
  <c r="X68" i="44" s="1"/>
  <c r="Y68" i="44" s="1"/>
  <c r="Z68" i="44" s="1"/>
  <c r="AA68" i="44" s="1"/>
  <c r="AB68" i="44" s="1"/>
  <c r="AC68" i="44" s="1"/>
  <c r="AD68" i="44" s="1"/>
  <c r="AE68" i="44" s="1"/>
  <c r="AF68" i="44" s="1"/>
  <c r="AG68" i="44" s="1"/>
  <c r="AH68" i="44" s="1"/>
  <c r="AI68" i="44" s="1"/>
  <c r="AJ68" i="44" s="1"/>
  <c r="AK68" i="44" s="1"/>
  <c r="AL68" i="44" s="1"/>
  <c r="AM68" i="44" s="1"/>
  <c r="AN68" i="44" s="1"/>
  <c r="AO68" i="44" s="1"/>
  <c r="AP68" i="44" s="1"/>
  <c r="P58" i="44"/>
  <c r="Q58" i="44" s="1"/>
  <c r="R58" i="44" s="1"/>
  <c r="S58" i="44" s="1"/>
  <c r="T58" i="44" s="1"/>
  <c r="U58" i="44" s="1"/>
  <c r="V58" i="44" s="1"/>
  <c r="W58" i="44" s="1"/>
  <c r="X58" i="44" s="1"/>
  <c r="Y58" i="44" s="1"/>
  <c r="Z58" i="44" s="1"/>
  <c r="AA58" i="44" s="1"/>
  <c r="AB58" i="44" s="1"/>
  <c r="AC58" i="44" s="1"/>
  <c r="AD58" i="44" s="1"/>
  <c r="AE58" i="44" s="1"/>
  <c r="AF58" i="44" s="1"/>
  <c r="AG58" i="44" s="1"/>
  <c r="AH58" i="44" s="1"/>
  <c r="AI58" i="44" s="1"/>
  <c r="AJ58" i="44" s="1"/>
  <c r="AK58" i="44" s="1"/>
  <c r="AL58" i="44" s="1"/>
  <c r="AM58" i="44" s="1"/>
  <c r="AN58" i="44" s="1"/>
  <c r="AO58" i="44" s="1"/>
  <c r="AP58" i="44" s="1"/>
  <c r="P59" i="44"/>
  <c r="Q59" i="44" s="1"/>
  <c r="R59" i="44" s="1"/>
  <c r="S59" i="44" s="1"/>
  <c r="T59" i="44" s="1"/>
  <c r="U59" i="44" s="1"/>
  <c r="V59" i="44" s="1"/>
  <c r="W59" i="44" s="1"/>
  <c r="X59" i="44" s="1"/>
  <c r="Y59" i="44" s="1"/>
  <c r="Z59" i="44" s="1"/>
  <c r="AA59" i="44" s="1"/>
  <c r="AB59" i="44" s="1"/>
  <c r="AC59" i="44" s="1"/>
  <c r="AD59" i="44" s="1"/>
  <c r="AE59" i="44" s="1"/>
  <c r="AF59" i="44" s="1"/>
  <c r="AG59" i="44" s="1"/>
  <c r="AH59" i="44" s="1"/>
  <c r="AI59" i="44" s="1"/>
  <c r="AJ59" i="44" s="1"/>
  <c r="AK59" i="44" s="1"/>
  <c r="AL59" i="44" s="1"/>
  <c r="AM59" i="44" s="1"/>
  <c r="AN59" i="44" s="1"/>
  <c r="AO59" i="44" s="1"/>
  <c r="AP59" i="44" s="1"/>
  <c r="AQ59" i="44" s="1"/>
  <c r="AR59" i="44" s="1"/>
  <c r="AS59" i="44" s="1"/>
  <c r="P61" i="44"/>
  <c r="Q61" i="44" s="1"/>
  <c r="R61" i="44" s="1"/>
  <c r="S61" i="44" s="1"/>
  <c r="T61" i="44" s="1"/>
  <c r="U61" i="44" s="1"/>
  <c r="V61" i="44" s="1"/>
  <c r="W61" i="44" s="1"/>
  <c r="X61" i="44" s="1"/>
  <c r="Y61" i="44" s="1"/>
  <c r="Z61" i="44" s="1"/>
  <c r="AA61" i="44" s="1"/>
  <c r="AB61" i="44" s="1"/>
  <c r="AC61" i="44" s="1"/>
  <c r="AD61" i="44" s="1"/>
  <c r="AE61" i="44" s="1"/>
  <c r="AF61" i="44" s="1"/>
  <c r="AG61" i="44" s="1"/>
  <c r="AH61" i="44" s="1"/>
  <c r="AI61" i="44" s="1"/>
  <c r="AJ61" i="44" s="1"/>
  <c r="AK61" i="44" s="1"/>
  <c r="AL61" i="44" s="1"/>
  <c r="AM61" i="44" s="1"/>
  <c r="AN61" i="44" s="1"/>
  <c r="AO61" i="44" s="1"/>
  <c r="P69" i="44"/>
  <c r="Q69" i="44" s="1"/>
  <c r="R69" i="44" s="1"/>
  <c r="P64" i="44"/>
  <c r="Q64" i="44" s="1"/>
  <c r="R64" i="44" s="1"/>
  <c r="S64" i="44" s="1"/>
  <c r="T64" i="44" s="1"/>
  <c r="U64" i="44" s="1"/>
  <c r="V64" i="44" s="1"/>
  <c r="W64" i="44" s="1"/>
  <c r="X64" i="44" s="1"/>
  <c r="Y64" i="44" s="1"/>
  <c r="Z64" i="44" s="1"/>
  <c r="AA64" i="44" s="1"/>
  <c r="AB64" i="44" s="1"/>
  <c r="AC64" i="44" s="1"/>
  <c r="AD64" i="44" s="1"/>
  <c r="AE64" i="44" s="1"/>
  <c r="AF64" i="44" s="1"/>
  <c r="AG64" i="44" s="1"/>
  <c r="AH64" i="44" s="1"/>
  <c r="AI64" i="44" s="1"/>
  <c r="AJ64" i="44" s="1"/>
  <c r="AK64" i="44" s="1"/>
  <c r="AL64" i="44" s="1"/>
  <c r="AM64" i="44" s="1"/>
  <c r="AN64" i="44" s="1"/>
  <c r="AO64" i="44" s="1"/>
  <c r="AP64" i="44" s="1"/>
  <c r="P48" i="44"/>
  <c r="Q48" i="44" s="1"/>
  <c r="R48" i="44" s="1"/>
  <c r="S48" i="44" s="1"/>
  <c r="T48" i="44" s="1"/>
  <c r="U48" i="44" s="1"/>
  <c r="V48" i="44" s="1"/>
  <c r="W48" i="44" s="1"/>
  <c r="X48" i="44" s="1"/>
  <c r="Y48" i="44" s="1"/>
  <c r="Z48" i="44" s="1"/>
  <c r="AA48" i="44" s="1"/>
  <c r="AB48" i="44" s="1"/>
  <c r="AC48" i="44" s="1"/>
  <c r="AD48" i="44" s="1"/>
  <c r="AE48" i="44" s="1"/>
  <c r="AF48" i="44" s="1"/>
  <c r="AG48" i="44" s="1"/>
  <c r="AH48" i="44" s="1"/>
  <c r="AI48" i="44" s="1"/>
  <c r="AJ48" i="44" s="1"/>
  <c r="AK48" i="44" s="1"/>
  <c r="AL48" i="44" s="1"/>
  <c r="AM48" i="44" s="1"/>
  <c r="AN48" i="44" s="1"/>
  <c r="AO48" i="44" s="1"/>
  <c r="P98" i="44"/>
  <c r="Q98" i="44" s="1"/>
  <c r="R98" i="44" s="1"/>
  <c r="S98" i="44" s="1"/>
  <c r="T98" i="44" s="1"/>
  <c r="U98" i="44" s="1"/>
  <c r="V98" i="44" s="1"/>
  <c r="W98" i="44" s="1"/>
  <c r="X98" i="44" s="1"/>
  <c r="Y98" i="44" s="1"/>
  <c r="Z98" i="44" s="1"/>
  <c r="AA98" i="44" s="1"/>
  <c r="AB98" i="44" s="1"/>
  <c r="AC98" i="44" s="1"/>
  <c r="AD98" i="44" s="1"/>
  <c r="AE98" i="44" s="1"/>
  <c r="AF98" i="44" s="1"/>
  <c r="AG98" i="44" s="1"/>
  <c r="AH98" i="44" s="1"/>
  <c r="AI98" i="44" s="1"/>
  <c r="AJ98" i="44" s="1"/>
  <c r="AK98" i="44" s="1"/>
  <c r="AL98" i="44" s="1"/>
  <c r="AM98" i="44" s="1"/>
  <c r="AN98" i="44" s="1"/>
  <c r="AO98" i="44" s="1"/>
  <c r="P97" i="44"/>
  <c r="Q97" i="44" s="1"/>
  <c r="R97" i="44" s="1"/>
  <c r="S97" i="44" s="1"/>
  <c r="T97" i="44" s="1"/>
  <c r="U97" i="44" s="1"/>
  <c r="V97" i="44" s="1"/>
  <c r="W97" i="44" s="1"/>
  <c r="X97" i="44" s="1"/>
  <c r="Y97" i="44" s="1"/>
  <c r="Z97" i="44" s="1"/>
  <c r="AA97" i="44" s="1"/>
  <c r="AB97" i="44" s="1"/>
  <c r="AC97" i="44" s="1"/>
  <c r="AD97" i="44" s="1"/>
  <c r="AE97" i="44" s="1"/>
  <c r="AF97" i="44" s="1"/>
  <c r="AG97" i="44" s="1"/>
  <c r="AH97" i="44" s="1"/>
  <c r="AI97" i="44" s="1"/>
  <c r="AJ97" i="44" s="1"/>
  <c r="AK97" i="44" s="1"/>
  <c r="AL97" i="44" s="1"/>
  <c r="AM97" i="44" s="1"/>
  <c r="AN97" i="44" s="1"/>
  <c r="AO97" i="44" s="1"/>
  <c r="AP97" i="44" s="1"/>
  <c r="P96" i="44"/>
  <c r="Q96" i="44" s="1"/>
  <c r="R96" i="44" s="1"/>
  <c r="S96" i="44" s="1"/>
  <c r="T96" i="44" s="1"/>
  <c r="U96" i="44" s="1"/>
  <c r="V96" i="44" s="1"/>
  <c r="W96" i="44" s="1"/>
  <c r="X96" i="44" s="1"/>
  <c r="Y96" i="44" s="1"/>
  <c r="Z96" i="44" s="1"/>
  <c r="AA96" i="44" s="1"/>
  <c r="AB96" i="44" s="1"/>
  <c r="AC96" i="44" s="1"/>
  <c r="AD96" i="44" s="1"/>
  <c r="AE96" i="44" s="1"/>
  <c r="AF96" i="44" s="1"/>
  <c r="AG96" i="44" s="1"/>
  <c r="AH96" i="44" s="1"/>
  <c r="AI96" i="44" s="1"/>
  <c r="AJ96" i="44" s="1"/>
  <c r="AK96" i="44" s="1"/>
  <c r="AL96" i="44" s="1"/>
  <c r="AM96" i="44" s="1"/>
  <c r="AN96" i="44" s="1"/>
  <c r="AO96" i="44" s="1"/>
  <c r="AP96" i="44" s="1"/>
  <c r="P109" i="44"/>
  <c r="Q109" i="44" s="1"/>
  <c r="R109" i="44" s="1"/>
  <c r="S109" i="44" s="1"/>
  <c r="T109" i="44" s="1"/>
  <c r="U109" i="44" s="1"/>
  <c r="V109" i="44" s="1"/>
  <c r="W109" i="44" s="1"/>
  <c r="X109" i="44" s="1"/>
  <c r="Y109" i="44" s="1"/>
  <c r="Z109" i="44" s="1"/>
  <c r="AA109" i="44" s="1"/>
  <c r="AB109" i="44" s="1"/>
  <c r="AC109" i="44" s="1"/>
  <c r="AD109" i="44" s="1"/>
  <c r="AE109" i="44" s="1"/>
  <c r="AF109" i="44" s="1"/>
  <c r="AG109" i="44" s="1"/>
  <c r="AH109" i="44" s="1"/>
  <c r="AI109" i="44" s="1"/>
  <c r="AJ109" i="44" s="1"/>
  <c r="AK109" i="44" s="1"/>
  <c r="AL109" i="44" s="1"/>
  <c r="AM109" i="44" s="1"/>
  <c r="AN109" i="44" s="1"/>
  <c r="AO109" i="44" s="1"/>
  <c r="AP109" i="44" s="1"/>
  <c r="P102" i="44"/>
  <c r="Q102" i="44" s="1"/>
  <c r="R102" i="44" s="1"/>
  <c r="S102" i="44" s="1"/>
  <c r="T102" i="44" s="1"/>
  <c r="U102" i="44" s="1"/>
  <c r="V102" i="44" s="1"/>
  <c r="W102" i="44" s="1"/>
  <c r="X102" i="44" s="1"/>
  <c r="Y102" i="44" s="1"/>
  <c r="Z102" i="44" s="1"/>
  <c r="AA102" i="44" s="1"/>
  <c r="AB102" i="44" s="1"/>
  <c r="AC102" i="44" s="1"/>
  <c r="AD102" i="44" s="1"/>
  <c r="AE102" i="44" s="1"/>
  <c r="AF102" i="44" s="1"/>
  <c r="AG102" i="44" s="1"/>
  <c r="AH102" i="44" s="1"/>
  <c r="AI102" i="44" s="1"/>
  <c r="AJ102" i="44" s="1"/>
  <c r="AK102" i="44" s="1"/>
  <c r="AL102" i="44" s="1"/>
  <c r="AM102" i="44" s="1"/>
  <c r="AN102" i="44" s="1"/>
  <c r="AO102" i="44" s="1"/>
  <c r="AP102" i="44" s="1"/>
  <c r="P103" i="44"/>
  <c r="Q103" i="44" s="1"/>
  <c r="R103" i="44" s="1"/>
  <c r="S103" i="44" s="1"/>
  <c r="T103" i="44" s="1"/>
  <c r="U103" i="44" s="1"/>
  <c r="V103" i="44" s="1"/>
  <c r="W103" i="44" s="1"/>
  <c r="X103" i="44" s="1"/>
  <c r="Y103" i="44" s="1"/>
  <c r="Z103" i="44" s="1"/>
  <c r="AA103" i="44" s="1"/>
  <c r="AB103" i="44" s="1"/>
  <c r="AC103" i="44" s="1"/>
  <c r="AD103" i="44" s="1"/>
  <c r="AE103" i="44" s="1"/>
  <c r="AF103" i="44" s="1"/>
  <c r="AG103" i="44" s="1"/>
  <c r="AH103" i="44" s="1"/>
  <c r="AI103" i="44" s="1"/>
  <c r="AJ103" i="44" s="1"/>
  <c r="AK103" i="44" s="1"/>
  <c r="AL103" i="44" s="1"/>
  <c r="AM103" i="44" s="1"/>
  <c r="AN103" i="44" s="1"/>
  <c r="AO103" i="44" s="1"/>
  <c r="AP103" i="44" s="1"/>
  <c r="P117" i="44"/>
  <c r="Q117" i="44" s="1"/>
  <c r="R117" i="44" s="1"/>
  <c r="S117" i="44" s="1"/>
  <c r="T117" i="44" s="1"/>
  <c r="U117" i="44" s="1"/>
  <c r="V117" i="44" s="1"/>
  <c r="W117" i="44" s="1"/>
  <c r="X117" i="44" s="1"/>
  <c r="Y117" i="44" s="1"/>
  <c r="Z117" i="44" s="1"/>
  <c r="AA117" i="44" s="1"/>
  <c r="AB117" i="44" s="1"/>
  <c r="AC117" i="44" s="1"/>
  <c r="AD117" i="44" s="1"/>
  <c r="AE117" i="44" s="1"/>
  <c r="AF117" i="44" s="1"/>
  <c r="AG117" i="44" s="1"/>
  <c r="AH117" i="44" s="1"/>
  <c r="AI117" i="44" s="1"/>
  <c r="AJ117" i="44" s="1"/>
  <c r="AK117" i="44" s="1"/>
  <c r="AL117" i="44" s="1"/>
  <c r="AM117" i="44" s="1"/>
  <c r="AN117" i="44" s="1"/>
  <c r="AO117" i="44" s="1"/>
  <c r="AP117" i="44" s="1"/>
  <c r="P95" i="44"/>
  <c r="Q95" i="44" s="1"/>
  <c r="R95" i="44" s="1"/>
  <c r="S95" i="44" s="1"/>
  <c r="T95" i="44" s="1"/>
  <c r="U95" i="44" s="1"/>
  <c r="V95" i="44" s="1"/>
  <c r="W95" i="44" s="1"/>
  <c r="X95" i="44" s="1"/>
  <c r="Y95" i="44" s="1"/>
  <c r="Z95" i="44" s="1"/>
  <c r="AA95" i="44" s="1"/>
  <c r="AB95" i="44" s="1"/>
  <c r="AC95" i="44" s="1"/>
  <c r="AD95" i="44" s="1"/>
  <c r="AE95" i="44" s="1"/>
  <c r="AF95" i="44" s="1"/>
  <c r="AG95" i="44" s="1"/>
  <c r="AH95" i="44" s="1"/>
  <c r="AI95" i="44" s="1"/>
  <c r="AJ95" i="44" s="1"/>
  <c r="AK95" i="44" s="1"/>
  <c r="AL95" i="44" s="1"/>
  <c r="AM95" i="44" s="1"/>
  <c r="AN95" i="44" s="1"/>
  <c r="AO95" i="44" s="1"/>
  <c r="AP95" i="44" s="1"/>
  <c r="P114" i="44"/>
  <c r="Q114" i="44" s="1"/>
  <c r="R114" i="44" s="1"/>
  <c r="S114" i="44" s="1"/>
  <c r="T114" i="44" s="1"/>
  <c r="U114" i="44" s="1"/>
  <c r="V114" i="44" s="1"/>
  <c r="W114" i="44" s="1"/>
  <c r="X114" i="44" s="1"/>
  <c r="Y114" i="44" s="1"/>
  <c r="Z114" i="44" s="1"/>
  <c r="AA114" i="44" s="1"/>
  <c r="AB114" i="44" s="1"/>
  <c r="AC114" i="44" s="1"/>
  <c r="AD114" i="44" s="1"/>
  <c r="AE114" i="44" s="1"/>
  <c r="AF114" i="44" s="1"/>
  <c r="AG114" i="44" s="1"/>
  <c r="AH114" i="44" s="1"/>
  <c r="AI114" i="44" s="1"/>
  <c r="AJ114" i="44" s="1"/>
  <c r="AK114" i="44" s="1"/>
  <c r="AL114" i="44" s="1"/>
  <c r="AM114" i="44" s="1"/>
  <c r="AN114" i="44" s="1"/>
  <c r="AO114" i="44" s="1"/>
  <c r="AP114" i="44" s="1"/>
  <c r="P112" i="44"/>
  <c r="Q112" i="44" s="1"/>
  <c r="R112" i="44" s="1"/>
  <c r="S112" i="44" s="1"/>
  <c r="T112" i="44" s="1"/>
  <c r="U112" i="44" s="1"/>
  <c r="V112" i="44" s="1"/>
  <c r="W112" i="44" s="1"/>
  <c r="X112" i="44" s="1"/>
  <c r="Y112" i="44" s="1"/>
  <c r="Z112" i="44" s="1"/>
  <c r="AA112" i="44" s="1"/>
  <c r="AB112" i="44" s="1"/>
  <c r="AC112" i="44" s="1"/>
  <c r="AD112" i="44" s="1"/>
  <c r="AE112" i="44" s="1"/>
  <c r="AF112" i="44" s="1"/>
  <c r="AG112" i="44" s="1"/>
  <c r="AH112" i="44" s="1"/>
  <c r="AI112" i="44" s="1"/>
  <c r="AJ112" i="44" s="1"/>
  <c r="AK112" i="44" s="1"/>
  <c r="AL112" i="44" s="1"/>
  <c r="AM112" i="44" s="1"/>
  <c r="AN112" i="44" s="1"/>
  <c r="AO112" i="44" s="1"/>
  <c r="AP112" i="44" s="1"/>
  <c r="P99" i="44"/>
  <c r="Q99" i="44" s="1"/>
  <c r="R99" i="44" s="1"/>
  <c r="S99" i="44" s="1"/>
  <c r="T99" i="44" s="1"/>
  <c r="U99" i="44" s="1"/>
  <c r="V99" i="44" s="1"/>
  <c r="W99" i="44" s="1"/>
  <c r="X99" i="44" s="1"/>
  <c r="Y99" i="44" s="1"/>
  <c r="Z99" i="44" s="1"/>
  <c r="AA99" i="44" s="1"/>
  <c r="AB99" i="44" s="1"/>
  <c r="AC99" i="44" s="1"/>
  <c r="AD99" i="44" s="1"/>
  <c r="AE99" i="44" s="1"/>
  <c r="AF99" i="44" s="1"/>
  <c r="AG99" i="44" s="1"/>
  <c r="AH99" i="44" s="1"/>
  <c r="AI99" i="44" s="1"/>
  <c r="AJ99" i="44" s="1"/>
  <c r="AK99" i="44" s="1"/>
  <c r="AL99" i="44" s="1"/>
  <c r="AM99" i="44" s="1"/>
  <c r="AN99" i="44" s="1"/>
  <c r="AO99" i="44" s="1"/>
  <c r="P105" i="44"/>
  <c r="Q105" i="44" s="1"/>
  <c r="R105" i="44" s="1"/>
  <c r="S105" i="44" s="1"/>
  <c r="T105" i="44" s="1"/>
  <c r="U105" i="44" s="1"/>
  <c r="V105" i="44" s="1"/>
  <c r="W105" i="44" s="1"/>
  <c r="X105" i="44" s="1"/>
  <c r="Y105" i="44" s="1"/>
  <c r="Z105" i="44" s="1"/>
  <c r="AA105" i="44" s="1"/>
  <c r="AB105" i="44" s="1"/>
  <c r="AC105" i="44" s="1"/>
  <c r="AD105" i="44" s="1"/>
  <c r="AE105" i="44" s="1"/>
  <c r="AF105" i="44" s="1"/>
  <c r="AG105" i="44" s="1"/>
  <c r="AH105" i="44" s="1"/>
  <c r="AI105" i="44" s="1"/>
  <c r="AJ105" i="44" s="1"/>
  <c r="AK105" i="44" s="1"/>
  <c r="AL105" i="44" s="1"/>
  <c r="AM105" i="44" s="1"/>
  <c r="AN105" i="44" s="1"/>
  <c r="AO105" i="44" s="1"/>
  <c r="AP105" i="44" s="1"/>
  <c r="P106" i="44"/>
  <c r="Q106" i="44" s="1"/>
  <c r="R106" i="44" s="1"/>
  <c r="S106" i="44" s="1"/>
  <c r="T106" i="44" s="1"/>
  <c r="U106" i="44" s="1"/>
  <c r="V106" i="44" s="1"/>
  <c r="W106" i="44" s="1"/>
  <c r="X106" i="44" s="1"/>
  <c r="Y106" i="44" s="1"/>
  <c r="Z106" i="44" s="1"/>
  <c r="AA106" i="44" s="1"/>
  <c r="AB106" i="44" s="1"/>
  <c r="AC106" i="44" s="1"/>
  <c r="AD106" i="44" s="1"/>
  <c r="AE106" i="44" s="1"/>
  <c r="AF106" i="44" s="1"/>
  <c r="AG106" i="44" s="1"/>
  <c r="AH106" i="44" s="1"/>
  <c r="AI106" i="44" s="1"/>
  <c r="AJ106" i="44" s="1"/>
  <c r="AK106" i="44" s="1"/>
  <c r="AL106" i="44" s="1"/>
  <c r="AM106" i="44" s="1"/>
  <c r="AN106" i="44" s="1"/>
  <c r="AO106" i="44" s="1"/>
  <c r="AP106" i="44" s="1"/>
  <c r="P100" i="44"/>
  <c r="Q100" i="44" s="1"/>
  <c r="R100" i="44" s="1"/>
  <c r="S100" i="44" s="1"/>
  <c r="T100" i="44" s="1"/>
  <c r="U100" i="44" s="1"/>
  <c r="V100" i="44" s="1"/>
  <c r="W100" i="44" s="1"/>
  <c r="X100" i="44" s="1"/>
  <c r="Y100" i="44" s="1"/>
  <c r="Z100" i="44" s="1"/>
  <c r="AA100" i="44" s="1"/>
  <c r="AB100" i="44" s="1"/>
  <c r="AC100" i="44" s="1"/>
  <c r="AD100" i="44" s="1"/>
  <c r="AE100" i="44" s="1"/>
  <c r="AF100" i="44" s="1"/>
  <c r="AG100" i="44" s="1"/>
  <c r="AH100" i="44" s="1"/>
  <c r="AI100" i="44" s="1"/>
  <c r="AJ100" i="44" s="1"/>
  <c r="AK100" i="44" s="1"/>
  <c r="AL100" i="44" s="1"/>
  <c r="AM100" i="44" s="1"/>
  <c r="AN100" i="44" s="1"/>
  <c r="AO100" i="44" s="1"/>
  <c r="AP100" i="44" s="1"/>
  <c r="P116" i="44"/>
  <c r="Q116" i="44" s="1"/>
  <c r="R116" i="44" s="1"/>
  <c r="S116" i="44" s="1"/>
  <c r="T116" i="44" s="1"/>
  <c r="U116" i="44" s="1"/>
  <c r="V116" i="44" s="1"/>
  <c r="W116" i="44" s="1"/>
  <c r="X116" i="44" s="1"/>
  <c r="Y116" i="44" s="1"/>
  <c r="Z116" i="44" s="1"/>
  <c r="AA116" i="44" s="1"/>
  <c r="AB116" i="44" s="1"/>
  <c r="AC116" i="44" s="1"/>
  <c r="AD116" i="44" s="1"/>
  <c r="AE116" i="44" s="1"/>
  <c r="AF116" i="44" s="1"/>
  <c r="AG116" i="44" s="1"/>
  <c r="AH116" i="44" s="1"/>
  <c r="AI116" i="44" s="1"/>
  <c r="AJ116" i="44" s="1"/>
  <c r="AK116" i="44" s="1"/>
  <c r="AL116" i="44" s="1"/>
  <c r="AM116" i="44" s="1"/>
  <c r="AN116" i="44" s="1"/>
  <c r="AO116" i="44" s="1"/>
  <c r="AP116" i="44" s="1"/>
  <c r="P110" i="44"/>
  <c r="Q110" i="44" s="1"/>
  <c r="R110" i="44" s="1"/>
  <c r="S110" i="44" s="1"/>
  <c r="T110" i="44" s="1"/>
  <c r="U110" i="44" s="1"/>
  <c r="V110" i="44" s="1"/>
  <c r="W110" i="44" s="1"/>
  <c r="X110" i="44" s="1"/>
  <c r="Y110" i="44" s="1"/>
  <c r="Z110" i="44" s="1"/>
  <c r="AA110" i="44" s="1"/>
  <c r="AB110" i="44" s="1"/>
  <c r="AC110" i="44" s="1"/>
  <c r="AD110" i="44" s="1"/>
  <c r="AE110" i="44" s="1"/>
  <c r="AF110" i="44" s="1"/>
  <c r="AG110" i="44" s="1"/>
  <c r="AH110" i="44" s="1"/>
  <c r="AI110" i="44" s="1"/>
  <c r="AJ110" i="44" s="1"/>
  <c r="AK110" i="44" s="1"/>
  <c r="AL110" i="44" s="1"/>
  <c r="AM110" i="44" s="1"/>
  <c r="AN110" i="44" s="1"/>
  <c r="AO110" i="44" s="1"/>
  <c r="AP110" i="44" s="1"/>
  <c r="P94" i="44"/>
  <c r="Q94" i="44" s="1"/>
  <c r="R94" i="44" s="1"/>
  <c r="S94" i="44" s="1"/>
  <c r="T94" i="44" s="1"/>
  <c r="U94" i="44" s="1"/>
  <c r="V94" i="44" s="1"/>
  <c r="W94" i="44" s="1"/>
  <c r="X94" i="44" s="1"/>
  <c r="Y94" i="44" s="1"/>
  <c r="Z94" i="44" s="1"/>
  <c r="AA94" i="44" s="1"/>
  <c r="AB94" i="44" s="1"/>
  <c r="AC94" i="44" s="1"/>
  <c r="AD94" i="44" s="1"/>
  <c r="AE94" i="44" s="1"/>
  <c r="AF94" i="44" s="1"/>
  <c r="AG94" i="44" s="1"/>
  <c r="AH94" i="44" s="1"/>
  <c r="AI94" i="44" s="1"/>
  <c r="AJ94" i="44" s="1"/>
  <c r="AK94" i="44" s="1"/>
  <c r="AL94" i="44" s="1"/>
  <c r="AM94" i="44" s="1"/>
  <c r="AN94" i="44" s="1"/>
  <c r="AO94" i="44" s="1"/>
  <c r="P107" i="44"/>
  <c r="Q107" i="44" s="1"/>
  <c r="R107" i="44" s="1"/>
  <c r="S107" i="44" s="1"/>
  <c r="T107" i="44" s="1"/>
  <c r="U107" i="44" s="1"/>
  <c r="V107" i="44" s="1"/>
  <c r="W107" i="44" s="1"/>
  <c r="X107" i="44" s="1"/>
  <c r="Y107" i="44" s="1"/>
  <c r="Z107" i="44" s="1"/>
  <c r="AA107" i="44" s="1"/>
  <c r="AB107" i="44" s="1"/>
  <c r="AC107" i="44" s="1"/>
  <c r="AD107" i="44" s="1"/>
  <c r="AE107" i="44" s="1"/>
  <c r="AF107" i="44" s="1"/>
  <c r="AG107" i="44" s="1"/>
  <c r="AH107" i="44" s="1"/>
  <c r="AI107" i="44" s="1"/>
  <c r="AJ107" i="44" s="1"/>
  <c r="AK107" i="44" s="1"/>
  <c r="AL107" i="44" s="1"/>
  <c r="AM107" i="44" s="1"/>
  <c r="AN107" i="44" s="1"/>
  <c r="AO107" i="44" s="1"/>
  <c r="AP107" i="44" s="1"/>
  <c r="P115" i="44"/>
  <c r="Q115" i="44" s="1"/>
  <c r="R115" i="44" s="1"/>
  <c r="S115" i="44" s="1"/>
  <c r="T115" i="44" s="1"/>
  <c r="U115" i="44" s="1"/>
  <c r="V115" i="44" s="1"/>
  <c r="W115" i="44" s="1"/>
  <c r="X115" i="44" s="1"/>
  <c r="Y115" i="44" s="1"/>
  <c r="Z115" i="44" s="1"/>
  <c r="AA115" i="44" s="1"/>
  <c r="AB115" i="44" s="1"/>
  <c r="AC115" i="44" s="1"/>
  <c r="AD115" i="44" s="1"/>
  <c r="AE115" i="44" s="1"/>
  <c r="AF115" i="44" s="1"/>
  <c r="AG115" i="44" s="1"/>
  <c r="AH115" i="44" s="1"/>
  <c r="AI115" i="44" s="1"/>
  <c r="AJ115" i="44" s="1"/>
  <c r="AK115" i="44" s="1"/>
  <c r="AL115" i="44" s="1"/>
  <c r="AM115" i="44" s="1"/>
  <c r="AN115" i="44" s="1"/>
  <c r="AO115" i="44" s="1"/>
  <c r="AP115" i="44" s="1"/>
  <c r="P111" i="44"/>
  <c r="Q111" i="44" s="1"/>
  <c r="R111" i="44" s="1"/>
  <c r="S111" i="44" s="1"/>
  <c r="T111" i="44" s="1"/>
  <c r="U111" i="44" s="1"/>
  <c r="V111" i="44" s="1"/>
  <c r="W111" i="44" s="1"/>
  <c r="X111" i="44" s="1"/>
  <c r="Y111" i="44" s="1"/>
  <c r="Z111" i="44" s="1"/>
  <c r="AA111" i="44" s="1"/>
  <c r="AB111" i="44" s="1"/>
  <c r="AC111" i="44" s="1"/>
  <c r="AD111" i="44" s="1"/>
  <c r="AE111" i="44" s="1"/>
  <c r="AF111" i="44" s="1"/>
  <c r="AG111" i="44" s="1"/>
  <c r="AH111" i="44" s="1"/>
  <c r="AI111" i="44" s="1"/>
  <c r="AJ111" i="44" s="1"/>
  <c r="AK111" i="44" s="1"/>
  <c r="AL111" i="44" s="1"/>
  <c r="AM111" i="44" s="1"/>
  <c r="AN111" i="44" s="1"/>
  <c r="AO111" i="44" s="1"/>
  <c r="AP111" i="44" s="1"/>
  <c r="P108" i="44"/>
  <c r="Q108" i="44" s="1"/>
  <c r="R108" i="44" s="1"/>
  <c r="S108" i="44" s="1"/>
  <c r="T108" i="44" s="1"/>
  <c r="U108" i="44" s="1"/>
  <c r="V108" i="44" s="1"/>
  <c r="W108" i="44" s="1"/>
  <c r="X108" i="44" s="1"/>
  <c r="Y108" i="44" s="1"/>
  <c r="Z108" i="44" s="1"/>
  <c r="AA108" i="44" s="1"/>
  <c r="AB108" i="44" s="1"/>
  <c r="AC108" i="44" s="1"/>
  <c r="AD108" i="44" s="1"/>
  <c r="AE108" i="44" s="1"/>
  <c r="AF108" i="44" s="1"/>
  <c r="AG108" i="44" s="1"/>
  <c r="AH108" i="44" s="1"/>
  <c r="AI108" i="44" s="1"/>
  <c r="AJ108" i="44" s="1"/>
  <c r="AK108" i="44" s="1"/>
  <c r="AL108" i="44" s="1"/>
  <c r="AM108" i="44" s="1"/>
  <c r="AN108" i="44" s="1"/>
  <c r="AO108" i="44" s="1"/>
  <c r="P113" i="44"/>
  <c r="Q113" i="44" s="1"/>
  <c r="R113" i="44" s="1"/>
  <c r="S113" i="44" s="1"/>
  <c r="T113" i="44" s="1"/>
  <c r="U113" i="44" s="1"/>
  <c r="V113" i="44" s="1"/>
  <c r="W113" i="44" s="1"/>
  <c r="X113" i="44" s="1"/>
  <c r="Y113" i="44" s="1"/>
  <c r="Z113" i="44" s="1"/>
  <c r="AA113" i="44" s="1"/>
  <c r="AB113" i="44" s="1"/>
  <c r="AC113" i="44" s="1"/>
  <c r="AD113" i="44" s="1"/>
  <c r="AE113" i="44" s="1"/>
  <c r="AF113" i="44" s="1"/>
  <c r="AG113" i="44" s="1"/>
  <c r="AH113" i="44" s="1"/>
  <c r="AI113" i="44" s="1"/>
  <c r="AJ113" i="44" s="1"/>
  <c r="AK113" i="44" s="1"/>
  <c r="AL113" i="44" s="1"/>
  <c r="AM113" i="44" s="1"/>
  <c r="AN113" i="44" s="1"/>
  <c r="AO113" i="44" s="1"/>
  <c r="AP113" i="44" s="1"/>
  <c r="P101" i="44"/>
  <c r="Q101" i="44" s="1"/>
  <c r="R101" i="44" s="1"/>
  <c r="S101" i="44" s="1"/>
  <c r="T101" i="44" s="1"/>
  <c r="U101" i="44" s="1"/>
  <c r="V101" i="44" s="1"/>
  <c r="W101" i="44" s="1"/>
  <c r="X101" i="44" s="1"/>
  <c r="Y101" i="44" s="1"/>
  <c r="Z101" i="44" s="1"/>
  <c r="AA101" i="44" s="1"/>
  <c r="AB101" i="44" s="1"/>
  <c r="AC101" i="44" s="1"/>
  <c r="AD101" i="44" s="1"/>
  <c r="AE101" i="44" s="1"/>
  <c r="AF101" i="44" s="1"/>
  <c r="AG101" i="44" s="1"/>
  <c r="AH101" i="44" s="1"/>
  <c r="AI101" i="44" s="1"/>
  <c r="AJ101" i="44" s="1"/>
  <c r="AK101" i="44" s="1"/>
  <c r="AL101" i="44" s="1"/>
  <c r="AM101" i="44" s="1"/>
  <c r="AN101" i="44" s="1"/>
  <c r="AO101" i="44" s="1"/>
  <c r="AP101" i="44" s="1"/>
  <c r="AQ101" i="44" s="1"/>
  <c r="AR101" i="44" s="1"/>
  <c r="AS101" i="44" s="1"/>
  <c r="P104" i="44"/>
  <c r="Q104" i="44" s="1"/>
  <c r="R104" i="44" s="1"/>
  <c r="S104" i="44" s="1"/>
  <c r="T104" i="44" s="1"/>
  <c r="U104" i="44" s="1"/>
  <c r="V104" i="44" s="1"/>
  <c r="W104" i="44" s="1"/>
  <c r="X104" i="44" s="1"/>
  <c r="Y104" i="44" s="1"/>
  <c r="Z104" i="44" s="1"/>
  <c r="AA104" i="44" s="1"/>
  <c r="AB104" i="44" s="1"/>
  <c r="AC104" i="44" s="1"/>
  <c r="AD104" i="44" s="1"/>
  <c r="AE104" i="44" s="1"/>
  <c r="AF104" i="44" s="1"/>
  <c r="AG104" i="44" s="1"/>
  <c r="AH104" i="44" s="1"/>
  <c r="AI104" i="44" s="1"/>
  <c r="AJ104" i="44" s="1"/>
  <c r="AK104" i="44" s="1"/>
  <c r="AL104" i="44" s="1"/>
  <c r="AM104" i="44" s="1"/>
  <c r="AN104" i="44" s="1"/>
  <c r="AO104" i="44" s="1"/>
  <c r="AP104" i="44" s="1"/>
  <c r="AN204" i="44"/>
  <c r="C173" i="44" s="1"/>
  <c r="D173" i="44" s="1"/>
  <c r="C174" i="44" s="1"/>
  <c r="D174" i="44" s="1"/>
  <c r="C175" i="44" s="1"/>
  <c r="D175" i="44" s="1"/>
  <c r="C181" i="44"/>
  <c r="D181" i="44" s="1"/>
  <c r="O245" i="44"/>
  <c r="T18" i="44" s="1"/>
  <c r="U245" i="44"/>
  <c r="T19" i="44" s="1"/>
  <c r="N245" i="44"/>
  <c r="K245" i="44"/>
  <c r="P245" i="44"/>
  <c r="U18" i="44" s="1"/>
  <c r="W245" i="44"/>
  <c r="Q245" i="44"/>
  <c r="R245" i="44"/>
  <c r="V18" i="44" s="1"/>
  <c r="J245" i="44"/>
  <c r="S245" i="44"/>
  <c r="I245" i="44"/>
  <c r="Y245" i="44"/>
  <c r="AG245" i="44"/>
  <c r="E245" i="44"/>
  <c r="AB245" i="44"/>
  <c r="U20" i="44" s="1"/>
  <c r="M245" i="44"/>
  <c r="AF245" i="44"/>
  <c r="F245" i="44"/>
  <c r="S18" i="44" s="1"/>
  <c r="AD245" i="44"/>
  <c r="V20" i="44" s="1"/>
  <c r="G245" i="44"/>
  <c r="S19" i="44" s="1"/>
  <c r="H245" i="44"/>
  <c r="S20" i="44" s="1"/>
  <c r="V245" i="44"/>
  <c r="U19" i="44" s="1"/>
  <c r="AE245" i="44"/>
  <c r="AA245" i="44"/>
  <c r="T20" i="44" s="1"/>
  <c r="Z245" i="44"/>
  <c r="T245" i="44"/>
  <c r="L245" i="44"/>
  <c r="X245" i="44"/>
  <c r="V19" i="44" s="1"/>
  <c r="AP50" i="44"/>
  <c r="AP73" i="44"/>
  <c r="AP144" i="44"/>
  <c r="AP160" i="44"/>
  <c r="AP91" i="44"/>
  <c r="AP78" i="44"/>
  <c r="AP162" i="44"/>
  <c r="AP133" i="44"/>
  <c r="AP65" i="44"/>
  <c r="AP98" i="44"/>
  <c r="AP147" i="44"/>
  <c r="AP120" i="44"/>
  <c r="AP123" i="44"/>
  <c r="AP86" i="44"/>
  <c r="AP130" i="44"/>
  <c r="AP142" i="44"/>
  <c r="AP90" i="44"/>
  <c r="AP124" i="44"/>
  <c r="AP60" i="44"/>
  <c r="AP87" i="44"/>
  <c r="AP137" i="44"/>
  <c r="AP134" i="44"/>
  <c r="AP88" i="44"/>
  <c r="AP138" i="44"/>
  <c r="AN121" i="44"/>
  <c r="AO121" i="44" s="1"/>
  <c r="AN122" i="44"/>
  <c r="AO122" i="44" s="1"/>
  <c r="AP131" i="44"/>
  <c r="AP141" i="44"/>
  <c r="AN89" i="44"/>
  <c r="AO89" i="44" s="1"/>
  <c r="AN83" i="44"/>
  <c r="AO83" i="44" s="1"/>
  <c r="AQ76" i="44"/>
  <c r="AR76" i="44" s="1"/>
  <c r="AS76" i="44" s="1"/>
  <c r="AT76" i="44"/>
  <c r="AP119" i="44"/>
  <c r="AN151" i="44"/>
  <c r="AO151" i="44" s="1"/>
  <c r="AN164" i="44"/>
  <c r="AO164" i="44" s="1"/>
  <c r="AT163" i="44"/>
  <c r="AQ74" i="44"/>
  <c r="AR74" i="44" s="1"/>
  <c r="AS74" i="44" s="1"/>
  <c r="AT74" i="44"/>
  <c r="AP136" i="44"/>
  <c r="C178" i="44"/>
  <c r="D178" i="44" s="1"/>
  <c r="AQ127" i="44"/>
  <c r="AR127" i="44" s="1"/>
  <c r="AS127" i="44" s="1"/>
  <c r="AT127" i="44"/>
  <c r="AP128" i="44"/>
  <c r="AP93" i="44"/>
  <c r="AP157" i="44"/>
  <c r="AQ75" i="44"/>
  <c r="AR75" i="44" s="1"/>
  <c r="AS75" i="44" s="1"/>
  <c r="AT75" i="44"/>
  <c r="AQ47" i="44"/>
  <c r="AR47" i="44" s="1"/>
  <c r="AS47" i="44" s="1"/>
  <c r="AT47" i="44"/>
  <c r="AN148" i="44"/>
  <c r="AO148" i="44" s="1"/>
  <c r="AQ125" i="44"/>
  <c r="AR125" i="44" s="1"/>
  <c r="AS125" i="44" s="1"/>
  <c r="AT125" i="44"/>
  <c r="AP153" i="44"/>
  <c r="J21" i="27"/>
  <c r="L21" i="27" s="1"/>
  <c r="N21" i="27"/>
  <c r="N24" i="27"/>
  <c r="N25" i="27"/>
  <c r="N22" i="27"/>
  <c r="N19" i="27"/>
  <c r="N23" i="27"/>
  <c r="N20" i="27"/>
  <c r="R31" i="27"/>
  <c r="D28" i="27"/>
  <c r="F41" i="27"/>
  <c r="T31" i="27"/>
  <c r="G28" i="27"/>
  <c r="U31" i="27"/>
  <c r="E28" i="27"/>
  <c r="C28" i="27"/>
  <c r="C58" i="2"/>
  <c r="D57" i="2"/>
  <c r="E56" i="2"/>
  <c r="S58" i="2"/>
  <c r="H53" i="2"/>
  <c r="F55" i="2"/>
  <c r="G54" i="2"/>
  <c r="J67" i="2"/>
  <c r="G53" i="2"/>
  <c r="I67" i="2"/>
  <c r="H69" i="2"/>
  <c r="K66" i="2"/>
  <c r="L65" i="2"/>
  <c r="M64" i="2"/>
  <c r="N63" i="2"/>
  <c r="O62" i="2"/>
  <c r="P61" i="2"/>
  <c r="Q60" i="2"/>
  <c r="I68" i="2"/>
  <c r="R59" i="2"/>
  <c r="F54" i="2"/>
  <c r="P60" i="2"/>
  <c r="I66" i="2"/>
  <c r="L63" i="2"/>
  <c r="M62" i="2"/>
  <c r="N61" i="2"/>
  <c r="O60" i="2"/>
  <c r="P59" i="2"/>
  <c r="Q58" i="2"/>
  <c r="R57" i="2"/>
  <c r="S56" i="2"/>
  <c r="C56" i="2"/>
  <c r="D55" i="2"/>
  <c r="E54" i="2"/>
  <c r="S57" i="2"/>
  <c r="E69" i="2"/>
  <c r="F68" i="2"/>
  <c r="G67" i="2"/>
  <c r="H66" i="2"/>
  <c r="I65" i="2"/>
  <c r="J64" i="2"/>
  <c r="K63" i="2"/>
  <c r="L62" i="2"/>
  <c r="M61" i="2"/>
  <c r="N60" i="2"/>
  <c r="O59" i="2"/>
  <c r="P58" i="2"/>
  <c r="Q57" i="2"/>
  <c r="R56" i="2"/>
  <c r="S55" i="2"/>
  <c r="C55" i="2"/>
  <c r="D54" i="2"/>
  <c r="K65" i="2"/>
  <c r="K64" i="2"/>
  <c r="D53" i="2"/>
  <c r="D69" i="2"/>
  <c r="E68" i="2"/>
  <c r="F67" i="2"/>
  <c r="G66" i="2"/>
  <c r="H65" i="2"/>
  <c r="I64" i="2"/>
  <c r="J63" i="2"/>
  <c r="K62" i="2"/>
  <c r="L61" i="2"/>
  <c r="M60" i="2"/>
  <c r="N59" i="2"/>
  <c r="O58" i="2"/>
  <c r="P57" i="2"/>
  <c r="Q56" i="2"/>
  <c r="R55" i="2"/>
  <c r="S54" i="2"/>
  <c r="C54" i="2"/>
  <c r="C57" i="2"/>
  <c r="S69" i="2"/>
  <c r="C69" i="2"/>
  <c r="D68" i="2"/>
  <c r="E67" i="2"/>
  <c r="F66" i="2"/>
  <c r="G65" i="2"/>
  <c r="H64" i="2"/>
  <c r="I63" i="2"/>
  <c r="J62" i="2"/>
  <c r="K61" i="2"/>
  <c r="L60" i="2"/>
  <c r="M59" i="2"/>
  <c r="N58" i="2"/>
  <c r="O57" i="2"/>
  <c r="P56" i="2"/>
  <c r="Q55" i="2"/>
  <c r="R54" i="2"/>
  <c r="E55" i="2"/>
  <c r="S68" i="2"/>
  <c r="H63" i="2"/>
  <c r="I62" i="2"/>
  <c r="J61" i="2"/>
  <c r="K60" i="2"/>
  <c r="L59" i="2"/>
  <c r="M58" i="2"/>
  <c r="N57" i="2"/>
  <c r="O56" i="2"/>
  <c r="P55" i="2"/>
  <c r="Q54" i="2"/>
  <c r="L64" i="2"/>
  <c r="H67" i="2"/>
  <c r="R69" i="2"/>
  <c r="Q53" i="2"/>
  <c r="Q69" i="2"/>
  <c r="R68" i="2"/>
  <c r="S67" i="2"/>
  <c r="C67" i="2"/>
  <c r="D66" i="2"/>
  <c r="E65" i="2"/>
  <c r="F64" i="2"/>
  <c r="G63" i="2"/>
  <c r="H62" i="2"/>
  <c r="I61" i="2"/>
  <c r="J60" i="2"/>
  <c r="K59" i="2"/>
  <c r="L58" i="2"/>
  <c r="M57" i="2"/>
  <c r="N56" i="2"/>
  <c r="O55" i="2"/>
  <c r="P54" i="2"/>
  <c r="J66" i="2"/>
  <c r="R58" i="2"/>
  <c r="E53" i="2"/>
  <c r="S53" i="2"/>
  <c r="D67" i="2"/>
  <c r="P53" i="2"/>
  <c r="P69" i="2"/>
  <c r="Q68" i="2"/>
  <c r="R67" i="2"/>
  <c r="S66" i="2"/>
  <c r="C66" i="2"/>
  <c r="D65" i="2"/>
  <c r="E64" i="2"/>
  <c r="F63" i="2"/>
  <c r="G62" i="2"/>
  <c r="H61" i="2"/>
  <c r="I60" i="2"/>
  <c r="J59" i="2"/>
  <c r="K58" i="2"/>
  <c r="L57" i="2"/>
  <c r="M56" i="2"/>
  <c r="N55" i="2"/>
  <c r="O54" i="2"/>
  <c r="O53" i="2"/>
  <c r="O69" i="2"/>
  <c r="P68" i="2"/>
  <c r="Q67" i="2"/>
  <c r="R66" i="2"/>
  <c r="S65" i="2"/>
  <c r="C65" i="2"/>
  <c r="D64" i="2"/>
  <c r="E63" i="2"/>
  <c r="F62" i="2"/>
  <c r="G61" i="2"/>
  <c r="H60" i="2"/>
  <c r="I59" i="2"/>
  <c r="J58" i="2"/>
  <c r="K57" i="2"/>
  <c r="L56" i="2"/>
  <c r="M55" i="2"/>
  <c r="N54" i="2"/>
  <c r="D56" i="2"/>
  <c r="R53" i="2"/>
  <c r="N53" i="2"/>
  <c r="N69" i="2"/>
  <c r="O68" i="2"/>
  <c r="P67" i="2"/>
  <c r="Q66" i="2"/>
  <c r="R65" i="2"/>
  <c r="S64" i="2"/>
  <c r="C64" i="2"/>
  <c r="D63" i="2"/>
  <c r="E62" i="2"/>
  <c r="F61" i="2"/>
  <c r="G60" i="2"/>
  <c r="H59" i="2"/>
  <c r="I58" i="2"/>
  <c r="J57" i="2"/>
  <c r="K56" i="2"/>
  <c r="L55" i="2"/>
  <c r="M54" i="2"/>
  <c r="M53" i="2"/>
  <c r="M69" i="2"/>
  <c r="N68" i="2"/>
  <c r="O67" i="2"/>
  <c r="P66" i="2"/>
  <c r="Q65" i="2"/>
  <c r="R64" i="2"/>
  <c r="S63" i="2"/>
  <c r="C63" i="2"/>
  <c r="D62" i="2"/>
  <c r="E61" i="2"/>
  <c r="F60" i="2"/>
  <c r="G59" i="2"/>
  <c r="H58" i="2"/>
  <c r="I57" i="2"/>
  <c r="J56" i="2"/>
  <c r="K55" i="2"/>
  <c r="L54" i="2"/>
  <c r="M63" i="2"/>
  <c r="G68" i="2"/>
  <c r="C68" i="2"/>
  <c r="L53" i="2"/>
  <c r="L69" i="2"/>
  <c r="M68" i="2"/>
  <c r="N67" i="2"/>
  <c r="O66" i="2"/>
  <c r="P65" i="2"/>
  <c r="Q64" i="2"/>
  <c r="R63" i="2"/>
  <c r="S62" i="2"/>
  <c r="C62" i="2"/>
  <c r="D61" i="2"/>
  <c r="E60" i="2"/>
  <c r="F59" i="2"/>
  <c r="G58" i="2"/>
  <c r="H57" i="2"/>
  <c r="I56" i="2"/>
  <c r="J55" i="2"/>
  <c r="K54" i="2"/>
  <c r="G69" i="2"/>
  <c r="Q59" i="2"/>
  <c r="F53" i="2"/>
  <c r="F65" i="2"/>
  <c r="K53" i="2"/>
  <c r="K69" i="2"/>
  <c r="L68" i="2"/>
  <c r="M67" i="2"/>
  <c r="N66" i="2"/>
  <c r="O65" i="2"/>
  <c r="P64" i="2"/>
  <c r="Q63" i="2"/>
  <c r="R62" i="2"/>
  <c r="S61" i="2"/>
  <c r="C61" i="2"/>
  <c r="D60" i="2"/>
  <c r="E59" i="2"/>
  <c r="F58" i="2"/>
  <c r="G57" i="2"/>
  <c r="H56" i="2"/>
  <c r="I55" i="2"/>
  <c r="J54" i="2"/>
  <c r="N62" i="2"/>
  <c r="F69" i="2"/>
  <c r="E66" i="2"/>
  <c r="J53" i="2"/>
  <c r="J69" i="2"/>
  <c r="K68" i="2"/>
  <c r="L67" i="2"/>
  <c r="M66" i="2"/>
  <c r="N65" i="2"/>
  <c r="O64" i="2"/>
  <c r="P63" i="2"/>
  <c r="Q62" i="2"/>
  <c r="R61" i="2"/>
  <c r="S60" i="2"/>
  <c r="C60" i="2"/>
  <c r="D59" i="2"/>
  <c r="E58" i="2"/>
  <c r="F57" i="2"/>
  <c r="G56" i="2"/>
  <c r="H55" i="2"/>
  <c r="I54" i="2"/>
  <c r="H68" i="2"/>
  <c r="O61" i="2"/>
  <c r="J65" i="2"/>
  <c r="C53" i="2"/>
  <c r="G64" i="2"/>
  <c r="I53" i="2"/>
  <c r="I69" i="2"/>
  <c r="J68" i="2"/>
  <c r="K67" i="2"/>
  <c r="L66" i="2"/>
  <c r="M65" i="2"/>
  <c r="N64" i="2"/>
  <c r="O63" i="2"/>
  <c r="P62" i="2"/>
  <c r="Q61" i="2"/>
  <c r="R60" i="2"/>
  <c r="S59" i="2"/>
  <c r="C59" i="2"/>
  <c r="D58" i="2"/>
  <c r="E57" i="2"/>
  <c r="F56" i="2"/>
  <c r="G55" i="2"/>
  <c r="C53" i="27"/>
  <c r="F28" i="27"/>
  <c r="G41" i="27"/>
  <c r="C57" i="27"/>
  <c r="J20" i="27"/>
  <c r="L20" i="27" s="1"/>
  <c r="J22" i="27"/>
  <c r="J23" i="27"/>
  <c r="L23" i="27" s="1"/>
  <c r="J24" i="27"/>
  <c r="J25" i="27"/>
  <c r="L25" i="27" s="1"/>
  <c r="J19" i="27"/>
  <c r="C41" i="27"/>
  <c r="C55" i="27"/>
  <c r="D41" i="27"/>
  <c r="C54" i="27"/>
  <c r="E41" i="27"/>
  <c r="C59" i="27"/>
  <c r="C70" i="27" s="1"/>
  <c r="C31" i="27"/>
  <c r="D31" i="27"/>
  <c r="D36" i="27" s="1" a="1"/>
  <c r="D36" i="27" s="1"/>
  <c r="E31" i="27"/>
  <c r="E37" i="27" s="1" a="1"/>
  <c r="E37" i="27" s="1"/>
  <c r="F31" i="27"/>
  <c r="F38" i="27" s="1" a="1"/>
  <c r="F38" i="27" s="1"/>
  <c r="G31" i="27"/>
  <c r="G36" i="27" s="1" a="1"/>
  <c r="G36" i="27" s="1"/>
  <c r="AQ53" i="44" l="1"/>
  <c r="AR53" i="44" s="1"/>
  <c r="AS53" i="44" s="1"/>
  <c r="AT49" i="44"/>
  <c r="AT59" i="44"/>
  <c r="AT46" i="44"/>
  <c r="AT85" i="44"/>
  <c r="S71" i="44"/>
  <c r="T71" i="44" s="1"/>
  <c r="U71" i="44" s="1"/>
  <c r="V71" i="44" s="1"/>
  <c r="W71" i="44" s="1"/>
  <c r="X71" i="44" s="1"/>
  <c r="Y71" i="44" s="1"/>
  <c r="Z71" i="44" s="1"/>
  <c r="AA71" i="44" s="1"/>
  <c r="AB71" i="44" s="1"/>
  <c r="AC71" i="44" s="1"/>
  <c r="AD71" i="44" s="1"/>
  <c r="AE71" i="44" s="1"/>
  <c r="AF71" i="44" s="1"/>
  <c r="AG71" i="44" s="1"/>
  <c r="AH71" i="44" s="1"/>
  <c r="AI71" i="44" s="1"/>
  <c r="AJ71" i="44" s="1"/>
  <c r="AK71" i="44" s="1"/>
  <c r="AL71" i="44" s="1"/>
  <c r="AM71" i="44" s="1"/>
  <c r="AN71" i="44" s="1"/>
  <c r="AO71" i="44" s="1"/>
  <c r="AP71" i="44" s="1"/>
  <c r="AQ71" i="44" s="1"/>
  <c r="AR71" i="44" s="1"/>
  <c r="AS71" i="44" s="1"/>
  <c r="S69" i="44"/>
  <c r="T69" i="44" s="1"/>
  <c r="U69" i="44" s="1"/>
  <c r="V69" i="44" s="1"/>
  <c r="W69" i="44" s="1"/>
  <c r="X69" i="44" s="1"/>
  <c r="Y69" i="44" s="1"/>
  <c r="Z69" i="44" s="1"/>
  <c r="AA69" i="44" s="1"/>
  <c r="AB69" i="44" s="1"/>
  <c r="AC69" i="44" s="1"/>
  <c r="AD69" i="44" s="1"/>
  <c r="AE69" i="44" s="1"/>
  <c r="AF69" i="44" s="1"/>
  <c r="AG69" i="44" s="1"/>
  <c r="AH69" i="44" s="1"/>
  <c r="AI69" i="44" s="1"/>
  <c r="AJ69" i="44" s="1"/>
  <c r="AK69" i="44" s="1"/>
  <c r="AL69" i="44" s="1"/>
  <c r="AM69" i="44" s="1"/>
  <c r="AN69" i="44" s="1"/>
  <c r="AO69" i="44" s="1"/>
  <c r="AP69" i="44" s="1"/>
  <c r="AQ69" i="44" s="1"/>
  <c r="AR69" i="44" s="1"/>
  <c r="AS69" i="44" s="1"/>
  <c r="S165" i="44"/>
  <c r="T165" i="44" s="1"/>
  <c r="U165" i="44" s="1"/>
  <c r="V165" i="44" s="1"/>
  <c r="W165" i="44" s="1"/>
  <c r="X165" i="44" s="1"/>
  <c r="Y165" i="44" s="1"/>
  <c r="Z165" i="44" s="1"/>
  <c r="AA165" i="44" s="1"/>
  <c r="AB165" i="44" s="1"/>
  <c r="AC165" i="44" s="1"/>
  <c r="AD165" i="44" s="1"/>
  <c r="AE165" i="44" s="1"/>
  <c r="AF165" i="44" s="1"/>
  <c r="AG165" i="44" s="1"/>
  <c r="AH165" i="44" s="1"/>
  <c r="AI165" i="44" s="1"/>
  <c r="AJ165" i="44" s="1"/>
  <c r="AK165" i="44" s="1"/>
  <c r="AL165" i="44" s="1"/>
  <c r="AM165" i="44" s="1"/>
  <c r="AN165" i="44" s="1"/>
  <c r="AO165" i="44" s="1"/>
  <c r="AP165" i="44" s="1"/>
  <c r="AQ165" i="44" s="1"/>
  <c r="AR165" i="44" s="1"/>
  <c r="AS165" i="44" s="1"/>
  <c r="S51" i="44"/>
  <c r="T51" i="44" s="1"/>
  <c r="U51" i="44" s="1"/>
  <c r="V51" i="44" s="1"/>
  <c r="W51" i="44" s="1"/>
  <c r="X51" i="44" s="1"/>
  <c r="Y51" i="44" s="1"/>
  <c r="Z51" i="44" s="1"/>
  <c r="AA51" i="44" s="1"/>
  <c r="AB51" i="44" s="1"/>
  <c r="AC51" i="44" s="1"/>
  <c r="AD51" i="44" s="1"/>
  <c r="AE51" i="44" s="1"/>
  <c r="AF51" i="44" s="1"/>
  <c r="AG51" i="44" s="1"/>
  <c r="AH51" i="44" s="1"/>
  <c r="AI51" i="44" s="1"/>
  <c r="AJ51" i="44" s="1"/>
  <c r="AK51" i="44" s="1"/>
  <c r="AL51" i="44" s="1"/>
  <c r="AM51" i="44" s="1"/>
  <c r="AN51" i="44" s="1"/>
  <c r="AO51" i="44" s="1"/>
  <c r="AP51" i="44" s="1"/>
  <c r="AQ51" i="44" s="1"/>
  <c r="AR51" i="44" s="1"/>
  <c r="AS51" i="44" s="1"/>
  <c r="AT101" i="44"/>
  <c r="AU101" i="44" s="1"/>
  <c r="S155" i="44"/>
  <c r="T155" i="44" s="1"/>
  <c r="U155" i="44" s="1"/>
  <c r="V155" i="44" s="1"/>
  <c r="W155" i="44" s="1"/>
  <c r="X155" i="44" s="1"/>
  <c r="Y155" i="44" s="1"/>
  <c r="Z155" i="44" s="1"/>
  <c r="AA155" i="44" s="1"/>
  <c r="AB155" i="44" s="1"/>
  <c r="AC155" i="44" s="1"/>
  <c r="AD155" i="44" s="1"/>
  <c r="AE155" i="44" s="1"/>
  <c r="AF155" i="44" s="1"/>
  <c r="AG155" i="44" s="1"/>
  <c r="AH155" i="44" s="1"/>
  <c r="AI155" i="44" s="1"/>
  <c r="AJ155" i="44" s="1"/>
  <c r="AK155" i="44" s="1"/>
  <c r="AL155" i="44" s="1"/>
  <c r="AM155" i="44" s="1"/>
  <c r="AN155" i="44" s="1"/>
  <c r="AO155" i="44" s="1"/>
  <c r="AP155" i="44" s="1"/>
  <c r="AQ155" i="44" s="1"/>
  <c r="AR155" i="44" s="1"/>
  <c r="AS155" i="44" s="1"/>
  <c r="S118" i="44"/>
  <c r="T118" i="44" s="1"/>
  <c r="U118" i="44" s="1"/>
  <c r="V118" i="44" s="1"/>
  <c r="W118" i="44" s="1"/>
  <c r="X118" i="44" s="1"/>
  <c r="Y118" i="44" s="1"/>
  <c r="Z118" i="44" s="1"/>
  <c r="AA118" i="44" s="1"/>
  <c r="AB118" i="44" s="1"/>
  <c r="AC118" i="44" s="1"/>
  <c r="AD118" i="44" s="1"/>
  <c r="AE118" i="44" s="1"/>
  <c r="AF118" i="44" s="1"/>
  <c r="AG118" i="44" s="1"/>
  <c r="AH118" i="44" s="1"/>
  <c r="AI118" i="44" s="1"/>
  <c r="AJ118" i="44" s="1"/>
  <c r="AK118" i="44" s="1"/>
  <c r="AL118" i="44" s="1"/>
  <c r="AM118" i="44" s="1"/>
  <c r="AN118" i="44" s="1"/>
  <c r="AO118" i="44" s="1"/>
  <c r="AP118" i="44" s="1"/>
  <c r="AQ118" i="44" s="1"/>
  <c r="AR118" i="44" s="1"/>
  <c r="AS118" i="44" s="1"/>
  <c r="C186" i="44" a="1"/>
  <c r="AU59" i="44"/>
  <c r="C64" i="27"/>
  <c r="C36" i="27" a="1"/>
  <c r="C36" i="27" s="1"/>
  <c r="C46" i="27" s="1"/>
  <c r="D72" i="27"/>
  <c r="D73" i="27"/>
  <c r="D71" i="27"/>
  <c r="T21" i="44"/>
  <c r="U21" i="44" s="1"/>
  <c r="V21" i="44" s="1"/>
  <c r="D188" i="44" a="1"/>
  <c r="D189" i="44" a="1"/>
  <c r="AU163" i="44"/>
  <c r="AU125" i="44"/>
  <c r="AU49" i="44"/>
  <c r="AU75" i="44"/>
  <c r="AU74" i="44"/>
  <c r="AU85" i="44"/>
  <c r="AU127" i="44"/>
  <c r="AU76" i="44"/>
  <c r="AU53" i="44"/>
  <c r="AP84" i="44"/>
  <c r="AP148" i="44"/>
  <c r="AP54" i="44"/>
  <c r="AP55" i="44"/>
  <c r="AP94" i="44"/>
  <c r="AP108" i="44"/>
  <c r="AP122" i="44"/>
  <c r="AP83" i="44"/>
  <c r="AP89" i="44"/>
  <c r="AP154" i="44"/>
  <c r="AP77" i="44"/>
  <c r="AP121" i="44"/>
  <c r="AP61" i="44"/>
  <c r="AP82" i="44"/>
  <c r="AP62" i="44"/>
  <c r="AP164" i="44"/>
  <c r="AP161" i="44"/>
  <c r="AP48" i="44"/>
  <c r="AP151" i="44"/>
  <c r="AP99" i="44"/>
  <c r="AQ149" i="44"/>
  <c r="AR149" i="44" s="1"/>
  <c r="AS149" i="44" s="1"/>
  <c r="AT149" i="44"/>
  <c r="AQ107" i="44"/>
  <c r="AR107" i="44" s="1"/>
  <c r="AS107" i="44" s="1"/>
  <c r="AT107" i="44"/>
  <c r="AQ135" i="44"/>
  <c r="AR135" i="44" s="1"/>
  <c r="AS135" i="44" s="1"/>
  <c r="AT135" i="44"/>
  <c r="AQ131" i="44"/>
  <c r="AR131" i="44" s="1"/>
  <c r="AS131" i="44" s="1"/>
  <c r="AT131" i="44"/>
  <c r="AQ95" i="44"/>
  <c r="AR95" i="44" s="1"/>
  <c r="AS95" i="44" s="1"/>
  <c r="AT95" i="44"/>
  <c r="AQ114" i="44"/>
  <c r="AR114" i="44" s="1"/>
  <c r="AS114" i="44" s="1"/>
  <c r="AT114" i="44"/>
  <c r="AQ120" i="44"/>
  <c r="AR120" i="44" s="1"/>
  <c r="AS120" i="44" s="1"/>
  <c r="AT120" i="44"/>
  <c r="AQ115" i="44"/>
  <c r="AR115" i="44" s="1"/>
  <c r="AS115" i="44" s="1"/>
  <c r="AT115" i="44"/>
  <c r="AQ64" i="44"/>
  <c r="AR64" i="44" s="1"/>
  <c r="AS64" i="44" s="1"/>
  <c r="AT64" i="44"/>
  <c r="AQ139" i="44"/>
  <c r="AR139" i="44" s="1"/>
  <c r="AS139" i="44" s="1"/>
  <c r="AT139" i="44"/>
  <c r="AU47" i="44"/>
  <c r="AQ138" i="44"/>
  <c r="AR138" i="44" s="1"/>
  <c r="AS138" i="44" s="1"/>
  <c r="AT138" i="44"/>
  <c r="AQ70" i="44"/>
  <c r="AR70" i="44" s="1"/>
  <c r="AS70" i="44" s="1"/>
  <c r="AT70" i="44"/>
  <c r="AQ90" i="44"/>
  <c r="AR90" i="44" s="1"/>
  <c r="AS90" i="44" s="1"/>
  <c r="AT90" i="44"/>
  <c r="AQ130" i="44"/>
  <c r="AR130" i="44" s="1"/>
  <c r="AS130" i="44" s="1"/>
  <c r="AT130" i="44"/>
  <c r="AQ67" i="44"/>
  <c r="AR67" i="44" s="1"/>
  <c r="AS67" i="44" s="1"/>
  <c r="AT67" i="44"/>
  <c r="AQ65" i="44"/>
  <c r="AR65" i="44" s="1"/>
  <c r="AS65" i="44" s="1"/>
  <c r="AT65" i="44"/>
  <c r="AQ78" i="44"/>
  <c r="AR78" i="44" s="1"/>
  <c r="AS78" i="44" s="1"/>
  <c r="AT78" i="44"/>
  <c r="AQ66" i="44"/>
  <c r="AR66" i="44" s="1"/>
  <c r="AS66" i="44" s="1"/>
  <c r="AT66" i="44"/>
  <c r="AQ73" i="44"/>
  <c r="AR73" i="44" s="1"/>
  <c r="AS73" i="44" s="1"/>
  <c r="AT73" i="44"/>
  <c r="AQ119" i="44"/>
  <c r="AR119" i="44" s="1"/>
  <c r="AS119" i="44" s="1"/>
  <c r="AT119" i="44"/>
  <c r="AQ152" i="44"/>
  <c r="AR152" i="44" s="1"/>
  <c r="AS152" i="44" s="1"/>
  <c r="AT152" i="44"/>
  <c r="AQ128" i="44"/>
  <c r="AR128" i="44" s="1"/>
  <c r="AS128" i="44" s="1"/>
  <c r="AT128" i="44"/>
  <c r="AQ145" i="44"/>
  <c r="AR145" i="44" s="1"/>
  <c r="AS145" i="44" s="1"/>
  <c r="AT145" i="44"/>
  <c r="AQ57" i="44"/>
  <c r="AR57" i="44" s="1"/>
  <c r="AS57" i="44" s="1"/>
  <c r="AT57" i="44"/>
  <c r="AQ158" i="44"/>
  <c r="AR158" i="44" s="1"/>
  <c r="AS158" i="44" s="1"/>
  <c r="AT158" i="44"/>
  <c r="AQ92" i="44"/>
  <c r="AR92" i="44" s="1"/>
  <c r="AS92" i="44" s="1"/>
  <c r="AT92" i="44"/>
  <c r="AQ159" i="44"/>
  <c r="AR159" i="44" s="1"/>
  <c r="AS159" i="44" s="1"/>
  <c r="AT159" i="44"/>
  <c r="AQ98" i="44"/>
  <c r="AR98" i="44" s="1"/>
  <c r="AS98" i="44" s="1"/>
  <c r="AT98" i="44"/>
  <c r="AQ100" i="44"/>
  <c r="AR100" i="44" s="1"/>
  <c r="AS100" i="44" s="1"/>
  <c r="AT100" i="44"/>
  <c r="AQ153" i="44"/>
  <c r="AR153" i="44" s="1"/>
  <c r="AS153" i="44" s="1"/>
  <c r="AT153" i="44"/>
  <c r="AQ137" i="44"/>
  <c r="AR137" i="44" s="1"/>
  <c r="AS137" i="44" s="1"/>
  <c r="AT137" i="44"/>
  <c r="AQ52" i="44"/>
  <c r="AR52" i="44" s="1"/>
  <c r="AS52" i="44" s="1"/>
  <c r="AT52" i="44"/>
  <c r="AQ50" i="44"/>
  <c r="AR50" i="44" s="1"/>
  <c r="AS50" i="44" s="1"/>
  <c r="AT50" i="44"/>
  <c r="AQ105" i="44"/>
  <c r="AR105" i="44" s="1"/>
  <c r="AS105" i="44" s="1"/>
  <c r="AT105" i="44"/>
  <c r="AQ102" i="44"/>
  <c r="AR102" i="44" s="1"/>
  <c r="AS102" i="44" s="1"/>
  <c r="AT102" i="44"/>
  <c r="AQ113" i="44"/>
  <c r="AR113" i="44" s="1"/>
  <c r="AS113" i="44" s="1"/>
  <c r="AT113" i="44"/>
  <c r="AQ157" i="44"/>
  <c r="AR157" i="44" s="1"/>
  <c r="AS157" i="44" s="1"/>
  <c r="AT157" i="44"/>
  <c r="AQ136" i="44"/>
  <c r="AR136" i="44" s="1"/>
  <c r="AS136" i="44" s="1"/>
  <c r="AT136" i="44"/>
  <c r="AQ97" i="44"/>
  <c r="AR97" i="44" s="1"/>
  <c r="AS97" i="44" s="1"/>
  <c r="AT97" i="44"/>
  <c r="AQ88" i="44"/>
  <c r="AR88" i="44" s="1"/>
  <c r="AS88" i="44" s="1"/>
  <c r="AT88" i="44"/>
  <c r="AQ60" i="44"/>
  <c r="AR60" i="44" s="1"/>
  <c r="AS60" i="44" s="1"/>
  <c r="AT60" i="44"/>
  <c r="AQ72" i="44"/>
  <c r="AR72" i="44" s="1"/>
  <c r="AS72" i="44" s="1"/>
  <c r="AT72" i="44"/>
  <c r="AQ109" i="44"/>
  <c r="AR109" i="44" s="1"/>
  <c r="AS109" i="44" s="1"/>
  <c r="AT109" i="44"/>
  <c r="AQ156" i="44"/>
  <c r="AR156" i="44" s="1"/>
  <c r="AS156" i="44" s="1"/>
  <c r="AT156" i="44"/>
  <c r="AQ112" i="44"/>
  <c r="AR112" i="44" s="1"/>
  <c r="AS112" i="44" s="1"/>
  <c r="AT112" i="44"/>
  <c r="AQ106" i="44"/>
  <c r="AR106" i="44" s="1"/>
  <c r="AS106" i="44" s="1"/>
  <c r="AT106" i="44"/>
  <c r="AQ150" i="44"/>
  <c r="AR150" i="44" s="1"/>
  <c r="AS150" i="44" s="1"/>
  <c r="AT150" i="44"/>
  <c r="AQ134" i="44"/>
  <c r="AR134" i="44" s="1"/>
  <c r="AS134" i="44" s="1"/>
  <c r="AT134" i="44"/>
  <c r="AQ103" i="44"/>
  <c r="AR103" i="44" s="1"/>
  <c r="AS103" i="44" s="1"/>
  <c r="AT103" i="44"/>
  <c r="AQ123" i="44"/>
  <c r="AR123" i="44" s="1"/>
  <c r="AS123" i="44" s="1"/>
  <c r="AT123" i="44"/>
  <c r="AQ68" i="44"/>
  <c r="AR68" i="44" s="1"/>
  <c r="AS68" i="44" s="1"/>
  <c r="AT68" i="44"/>
  <c r="AQ117" i="44"/>
  <c r="AR117" i="44" s="1"/>
  <c r="AS117" i="44" s="1"/>
  <c r="AT117" i="44"/>
  <c r="AQ160" i="44"/>
  <c r="AR160" i="44" s="1"/>
  <c r="AS160" i="44" s="1"/>
  <c r="AT160" i="44"/>
  <c r="AQ104" i="44"/>
  <c r="AR104" i="44" s="1"/>
  <c r="AS104" i="44" s="1"/>
  <c r="AT104" i="44"/>
  <c r="AQ110" i="44"/>
  <c r="AR110" i="44" s="1"/>
  <c r="AS110" i="44" s="1"/>
  <c r="AT110" i="44"/>
  <c r="AU46" i="44"/>
  <c r="AQ124" i="44"/>
  <c r="AR124" i="44" s="1"/>
  <c r="AS124" i="44" s="1"/>
  <c r="AT124" i="44"/>
  <c r="AQ132" i="44"/>
  <c r="AR132" i="44" s="1"/>
  <c r="AS132" i="44" s="1"/>
  <c r="AT132" i="44"/>
  <c r="AQ141" i="44"/>
  <c r="AR141" i="44" s="1"/>
  <c r="AS141" i="44" s="1"/>
  <c r="AT141" i="44"/>
  <c r="AQ81" i="44"/>
  <c r="AR81" i="44" s="1"/>
  <c r="AS81" i="44" s="1"/>
  <c r="AT81" i="44"/>
  <c r="AQ142" i="44"/>
  <c r="AR142" i="44" s="1"/>
  <c r="AS142" i="44" s="1"/>
  <c r="AT142" i="44"/>
  <c r="AQ91" i="44"/>
  <c r="AR91" i="44" s="1"/>
  <c r="AS91" i="44" s="1"/>
  <c r="AT91" i="44"/>
  <c r="AQ144" i="44"/>
  <c r="AR144" i="44" s="1"/>
  <c r="AS144" i="44" s="1"/>
  <c r="AT144" i="44"/>
  <c r="AQ143" i="44"/>
  <c r="AR143" i="44" s="1"/>
  <c r="AS143" i="44" s="1"/>
  <c r="AT143" i="44"/>
  <c r="AQ56" i="44"/>
  <c r="AR56" i="44" s="1"/>
  <c r="AS56" i="44" s="1"/>
  <c r="AT56" i="44"/>
  <c r="AQ79" i="44"/>
  <c r="AR79" i="44" s="1"/>
  <c r="AS79" i="44" s="1"/>
  <c r="AT79" i="44"/>
  <c r="AQ140" i="44"/>
  <c r="AR140" i="44" s="1"/>
  <c r="AS140" i="44" s="1"/>
  <c r="AT140" i="44"/>
  <c r="AQ111" i="44"/>
  <c r="AR111" i="44" s="1"/>
  <c r="AS111" i="44" s="1"/>
  <c r="AT111" i="44"/>
  <c r="AQ86" i="44"/>
  <c r="AR86" i="44" s="1"/>
  <c r="AS86" i="44" s="1"/>
  <c r="AT86" i="44"/>
  <c r="AQ147" i="44"/>
  <c r="AR147" i="44" s="1"/>
  <c r="AS147" i="44" s="1"/>
  <c r="AT147" i="44"/>
  <c r="AQ146" i="44"/>
  <c r="AR146" i="44" s="1"/>
  <c r="AS146" i="44" s="1"/>
  <c r="AT146" i="44"/>
  <c r="AQ126" i="44"/>
  <c r="AR126" i="44" s="1"/>
  <c r="AS126" i="44" s="1"/>
  <c r="AT126" i="44"/>
  <c r="AQ63" i="44"/>
  <c r="AR63" i="44" s="1"/>
  <c r="AS63" i="44" s="1"/>
  <c r="AT63" i="44"/>
  <c r="AQ129" i="44"/>
  <c r="AR129" i="44" s="1"/>
  <c r="AS129" i="44" s="1"/>
  <c r="AT129" i="44"/>
  <c r="AQ96" i="44"/>
  <c r="AR96" i="44" s="1"/>
  <c r="AS96" i="44" s="1"/>
  <c r="AT96" i="44"/>
  <c r="AQ58" i="44"/>
  <c r="AR58" i="44" s="1"/>
  <c r="AS58" i="44" s="1"/>
  <c r="AT58" i="44"/>
  <c r="AQ80" i="44"/>
  <c r="AR80" i="44" s="1"/>
  <c r="AS80" i="44" s="1"/>
  <c r="AT80" i="44"/>
  <c r="AQ133" i="44"/>
  <c r="AR133" i="44" s="1"/>
  <c r="AS133" i="44" s="1"/>
  <c r="AT133" i="44"/>
  <c r="AQ87" i="44"/>
  <c r="AR87" i="44" s="1"/>
  <c r="AS87" i="44" s="1"/>
  <c r="AT87" i="44"/>
  <c r="AQ116" i="44"/>
  <c r="AR116" i="44" s="1"/>
  <c r="AS116" i="44" s="1"/>
  <c r="AT116" i="44"/>
  <c r="AQ162" i="44"/>
  <c r="AR162" i="44" s="1"/>
  <c r="AS162" i="44" s="1"/>
  <c r="AT162" i="44"/>
  <c r="AQ93" i="44"/>
  <c r="AR93" i="44" s="1"/>
  <c r="AS93" i="44" s="1"/>
  <c r="AT93" i="44"/>
  <c r="G46" i="27"/>
  <c r="F48" i="27"/>
  <c r="D46" i="27"/>
  <c r="D53" i="27"/>
  <c r="E53" i="27" s="1" a="1"/>
  <c r="E53" i="27" s="1"/>
  <c r="D34" i="27" a="1"/>
  <c r="D34" i="27" s="1"/>
  <c r="D44" i="27" s="1"/>
  <c r="E47" i="27"/>
  <c r="F35" i="27" a="1"/>
  <c r="F35" i="27" s="1"/>
  <c r="F45" i="27" s="1"/>
  <c r="D32" i="27" a="1"/>
  <c r="D32" i="27" s="1"/>
  <c r="D42" i="27" s="1"/>
  <c r="G35" i="27" a="1"/>
  <c r="G35" i="27" s="1"/>
  <c r="G45" i="27" s="1"/>
  <c r="C35" i="27" a="1"/>
  <c r="C35" i="27" s="1"/>
  <c r="C45" i="27" s="1"/>
  <c r="C38" i="27" a="1"/>
  <c r="C38" i="27" s="1"/>
  <c r="C48" i="27" s="1"/>
  <c r="D33" i="27" a="1"/>
  <c r="D33" i="27" s="1"/>
  <c r="D43" i="27" s="1"/>
  <c r="C37" i="27" a="1"/>
  <c r="C37" i="27" s="1"/>
  <c r="C47" i="27" s="1"/>
  <c r="C34" i="27" a="1"/>
  <c r="C34" i="27" s="1"/>
  <c r="C44" i="27" s="1"/>
  <c r="D35" i="27" a="1"/>
  <c r="D35" i="27" s="1"/>
  <c r="D45" i="27" s="1"/>
  <c r="D37" i="27" a="1"/>
  <c r="D37" i="27" s="1"/>
  <c r="D47" i="27" s="1"/>
  <c r="D38" i="27" a="1"/>
  <c r="D38" i="27" s="1"/>
  <c r="D48" i="27" s="1"/>
  <c r="G32" i="27" a="1"/>
  <c r="G32" i="27" s="1"/>
  <c r="G42" i="27" s="1"/>
  <c r="C32" i="27" a="1"/>
  <c r="C32" i="27" s="1"/>
  <c r="C42" i="27" s="1"/>
  <c r="C33" i="27" a="1"/>
  <c r="C33" i="27" s="1"/>
  <c r="C43" i="27" s="1"/>
  <c r="G33" i="27" a="1"/>
  <c r="G33" i="27" s="1"/>
  <c r="G43" i="27" s="1"/>
  <c r="G34" i="27" a="1"/>
  <c r="G34" i="27" s="1"/>
  <c r="G44" i="27" s="1"/>
  <c r="G38" i="27" a="1"/>
  <c r="G38" i="27" s="1"/>
  <c r="G48" i="27" s="1"/>
  <c r="G37" i="27" a="1"/>
  <c r="G37" i="27" s="1"/>
  <c r="G47" i="27" s="1"/>
  <c r="F32" i="27" a="1"/>
  <c r="F32" i="27" s="1"/>
  <c r="F42" i="27" s="1"/>
  <c r="E38" i="27" a="1"/>
  <c r="E38" i="27" s="1"/>
  <c r="E48" i="27" s="1"/>
  <c r="E36" i="27" a="1"/>
  <c r="E36" i="27" s="1"/>
  <c r="E46" i="27" s="1"/>
  <c r="E34" i="27" a="1"/>
  <c r="E34" i="27" s="1"/>
  <c r="E44" i="27" s="1"/>
  <c r="E32" i="27" a="1"/>
  <c r="E32" i="27" s="1"/>
  <c r="E42" i="27" s="1"/>
  <c r="E35" i="27" a="1"/>
  <c r="E35" i="27" s="1"/>
  <c r="E45" i="27" s="1"/>
  <c r="E33" i="27" a="1"/>
  <c r="E33" i="27" s="1"/>
  <c r="E43" i="27" s="1"/>
  <c r="F36" i="27" a="1"/>
  <c r="F36" i="27" s="1"/>
  <c r="F46" i="27" s="1"/>
  <c r="F33" i="27" a="1"/>
  <c r="F33" i="27" s="1"/>
  <c r="F43" i="27" s="1"/>
  <c r="F34" i="27" a="1"/>
  <c r="F34" i="27" s="1"/>
  <c r="F44" i="27" s="1"/>
  <c r="F37" i="27" a="1"/>
  <c r="F37" i="27" s="1"/>
  <c r="F47" i="27" s="1"/>
  <c r="R19" i="27"/>
  <c r="L19" i="27"/>
  <c r="C58" i="27"/>
  <c r="C69" i="27" s="1"/>
  <c r="L24" i="27"/>
  <c r="L22" i="27"/>
  <c r="C56" i="27"/>
  <c r="C66" i="27" s="1"/>
  <c r="C68" i="27" l="1"/>
  <c r="D68" i="27" s="1"/>
  <c r="C186" i="44"/>
  <c r="D186" i="44" s="1" a="1"/>
  <c r="P186" i="44" s="1"/>
  <c r="O18" i="44" s="1"/>
  <c r="D187" i="44" a="1"/>
  <c r="W187" i="44" s="1"/>
  <c r="AT118" i="44"/>
  <c r="AU118" i="44" s="1"/>
  <c r="AT155" i="44"/>
  <c r="AU155" i="44" s="1"/>
  <c r="AT51" i="44"/>
  <c r="AU51" i="44" s="1"/>
  <c r="AT165" i="44"/>
  <c r="AU165" i="44" s="1"/>
  <c r="AT69" i="44"/>
  <c r="AU69" i="44" s="1"/>
  <c r="AT71" i="44"/>
  <c r="AU71" i="44" s="1"/>
  <c r="D69" i="27"/>
  <c r="D70" i="27"/>
  <c r="C67" i="27"/>
  <c r="D67" i="27" s="1"/>
  <c r="D66" i="27"/>
  <c r="C65" i="27"/>
  <c r="D65" i="27" s="1"/>
  <c r="D64" i="27"/>
  <c r="AU126" i="44"/>
  <c r="AU58" i="44"/>
  <c r="AU96" i="44"/>
  <c r="AU140" i="44"/>
  <c r="AU135" i="44"/>
  <c r="AU131" i="44"/>
  <c r="AU64" i="44"/>
  <c r="AG189" i="44"/>
  <c r="M189" i="44"/>
  <c r="P189" i="44"/>
  <c r="AI189" i="44"/>
  <c r="AB189" i="44"/>
  <c r="I189" i="44"/>
  <c r="F189" i="44"/>
  <c r="L189" i="44"/>
  <c r="H189" i="44"/>
  <c r="AM189" i="44"/>
  <c r="G189" i="44"/>
  <c r="W189" i="44"/>
  <c r="AK189" i="44"/>
  <c r="X189" i="44"/>
  <c r="R189" i="44"/>
  <c r="Y189" i="44"/>
  <c r="AL189" i="44"/>
  <c r="Q189" i="44"/>
  <c r="U189" i="44"/>
  <c r="V189" i="44"/>
  <c r="AC189" i="44"/>
  <c r="T189" i="44"/>
  <c r="D189" i="44"/>
  <c r="K189" i="44"/>
  <c r="AF189" i="44"/>
  <c r="AN189" i="44"/>
  <c r="S189" i="44"/>
  <c r="E189" i="44"/>
  <c r="O189" i="44"/>
  <c r="AH189" i="44"/>
  <c r="J189" i="44"/>
  <c r="Z189" i="44"/>
  <c r="AJ189" i="44"/>
  <c r="AD189" i="44"/>
  <c r="AE189" i="44"/>
  <c r="AA189" i="44"/>
  <c r="N189" i="44"/>
  <c r="AJ188" i="44"/>
  <c r="AB188" i="44"/>
  <c r="Q188" i="44"/>
  <c r="F188" i="44"/>
  <c r="AM188" i="44"/>
  <c r="Y188" i="44"/>
  <c r="R188" i="44"/>
  <c r="M188" i="44"/>
  <c r="AH188" i="44"/>
  <c r="AF188" i="44"/>
  <c r="H188" i="44"/>
  <c r="L188" i="44"/>
  <c r="AA188" i="44"/>
  <c r="P188" i="44"/>
  <c r="AE188" i="44"/>
  <c r="AL188" i="44"/>
  <c r="S188" i="44"/>
  <c r="O188" i="44"/>
  <c r="AI188" i="44"/>
  <c r="D188" i="44"/>
  <c r="W188" i="44"/>
  <c r="AK188" i="44"/>
  <c r="K188" i="44"/>
  <c r="V188" i="44"/>
  <c r="T188" i="44"/>
  <c r="AG188" i="44"/>
  <c r="AD188" i="44"/>
  <c r="U188" i="44"/>
  <c r="G188" i="44"/>
  <c r="E188" i="44"/>
  <c r="AN188" i="44"/>
  <c r="Z188" i="44"/>
  <c r="J188" i="44"/>
  <c r="X188" i="44"/>
  <c r="N188" i="44"/>
  <c r="AC188" i="44"/>
  <c r="I188" i="44"/>
  <c r="AU111" i="44"/>
  <c r="AU133" i="44"/>
  <c r="AU79" i="44"/>
  <c r="AU132" i="44"/>
  <c r="AU93" i="44"/>
  <c r="AU136" i="44"/>
  <c r="AU120" i="44"/>
  <c r="AU91" i="44"/>
  <c r="AU78" i="44"/>
  <c r="AU106" i="44"/>
  <c r="AU157" i="44"/>
  <c r="AU113" i="44"/>
  <c r="AU98" i="44"/>
  <c r="AU92" i="44"/>
  <c r="AU66" i="44"/>
  <c r="AU158" i="44"/>
  <c r="AU134" i="44"/>
  <c r="AU65" i="44"/>
  <c r="AU110" i="44"/>
  <c r="AU150" i="44"/>
  <c r="AU67" i="44"/>
  <c r="AU117" i="44"/>
  <c r="AU72" i="44"/>
  <c r="AU52" i="44"/>
  <c r="AU70" i="44"/>
  <c r="AU128" i="44"/>
  <c r="AU95" i="44"/>
  <c r="AU115" i="44"/>
  <c r="AU149" i="44"/>
  <c r="AU87" i="44"/>
  <c r="AU141" i="44"/>
  <c r="AU97" i="44"/>
  <c r="AU100" i="44"/>
  <c r="AU129" i="44"/>
  <c r="AU143" i="44"/>
  <c r="AU104" i="44"/>
  <c r="AU156" i="44"/>
  <c r="AU105" i="44"/>
  <c r="AU57" i="44"/>
  <c r="AU130" i="44"/>
  <c r="AU109" i="44"/>
  <c r="AU50" i="44"/>
  <c r="AU145" i="44"/>
  <c r="AU90" i="44"/>
  <c r="AU146" i="44"/>
  <c r="AU68" i="44"/>
  <c r="AU60" i="44"/>
  <c r="AU137" i="44"/>
  <c r="AU152" i="44"/>
  <c r="AU116" i="44"/>
  <c r="AU147" i="44"/>
  <c r="AU81" i="44"/>
  <c r="AU123" i="44"/>
  <c r="AU88" i="44"/>
  <c r="AU153" i="44"/>
  <c r="AU119" i="44"/>
  <c r="AQ122" i="44"/>
  <c r="AR122" i="44" s="1"/>
  <c r="AS122" i="44" s="1"/>
  <c r="AT122" i="44"/>
  <c r="AQ151" i="44"/>
  <c r="AR151" i="44" s="1"/>
  <c r="AS151" i="44" s="1"/>
  <c r="AT151" i="44"/>
  <c r="AQ94" i="44"/>
  <c r="AR94" i="44" s="1"/>
  <c r="AS94" i="44" s="1"/>
  <c r="AT94" i="44"/>
  <c r="AU80" i="44"/>
  <c r="AU86" i="44"/>
  <c r="AU142" i="44"/>
  <c r="AU160" i="44"/>
  <c r="AU112" i="44"/>
  <c r="AU114" i="44"/>
  <c r="AQ48" i="44"/>
  <c r="AR48" i="44" s="1"/>
  <c r="AS48" i="44" s="1"/>
  <c r="AT48" i="44"/>
  <c r="AQ154" i="44"/>
  <c r="AR154" i="44" s="1"/>
  <c r="AS154" i="44" s="1"/>
  <c r="AT154" i="44"/>
  <c r="AQ121" i="44"/>
  <c r="AR121" i="44" s="1"/>
  <c r="AS121" i="44" s="1"/>
  <c r="AT121" i="44"/>
  <c r="AQ108" i="44"/>
  <c r="AR108" i="44" s="1"/>
  <c r="AS108" i="44" s="1"/>
  <c r="AT108" i="44"/>
  <c r="AQ77" i="44"/>
  <c r="AR77" i="44" s="1"/>
  <c r="AS77" i="44" s="1"/>
  <c r="AT77" i="44"/>
  <c r="AQ164" i="44"/>
  <c r="AR164" i="44" s="1"/>
  <c r="AS164" i="44" s="1"/>
  <c r="AT164" i="44"/>
  <c r="AQ83" i="44"/>
  <c r="AR83" i="44" s="1"/>
  <c r="AS83" i="44" s="1"/>
  <c r="AT83" i="44"/>
  <c r="AQ54" i="44"/>
  <c r="AR54" i="44" s="1"/>
  <c r="AS54" i="44" s="1"/>
  <c r="AT54" i="44"/>
  <c r="AU102" i="44"/>
  <c r="AU159" i="44"/>
  <c r="AU73" i="44"/>
  <c r="AU138" i="44"/>
  <c r="AQ148" i="44"/>
  <c r="AR148" i="44" s="1"/>
  <c r="AS148" i="44" s="1"/>
  <c r="AT148" i="44"/>
  <c r="AQ61" i="44"/>
  <c r="AR61" i="44" s="1"/>
  <c r="AS61" i="44" s="1"/>
  <c r="AT61" i="44"/>
  <c r="AU144" i="44"/>
  <c r="AQ89" i="44"/>
  <c r="AR89" i="44" s="1"/>
  <c r="AS89" i="44" s="1"/>
  <c r="AT89" i="44"/>
  <c r="AQ62" i="44"/>
  <c r="AR62" i="44" s="1"/>
  <c r="AS62" i="44" s="1"/>
  <c r="AT62" i="44"/>
  <c r="AQ99" i="44"/>
  <c r="AR99" i="44" s="1"/>
  <c r="AS99" i="44" s="1"/>
  <c r="AT99" i="44"/>
  <c r="AQ55" i="44"/>
  <c r="AR55" i="44" s="1"/>
  <c r="AS55" i="44" s="1"/>
  <c r="AT55" i="44"/>
  <c r="AQ161" i="44"/>
  <c r="AR161" i="44" s="1"/>
  <c r="AS161" i="44" s="1"/>
  <c r="AT161" i="44"/>
  <c r="AQ84" i="44"/>
  <c r="AR84" i="44" s="1"/>
  <c r="AS84" i="44" s="1"/>
  <c r="AT84" i="44"/>
  <c r="AU162" i="44"/>
  <c r="AU63" i="44"/>
  <c r="AU56" i="44"/>
  <c r="AU124" i="44"/>
  <c r="AU103" i="44"/>
  <c r="AU139" i="44"/>
  <c r="AU107" i="44"/>
  <c r="AQ82" i="44"/>
  <c r="AR82" i="44" s="1"/>
  <c r="AS82" i="44" s="1"/>
  <c r="AT82" i="44"/>
  <c r="D54" i="27"/>
  <c r="D55" i="27" s="1"/>
  <c r="P23" i="27" a="1"/>
  <c r="P23" i="27" s="1"/>
  <c r="R23" i="27" s="1"/>
  <c r="P22" i="27" a="1"/>
  <c r="P22" i="27" s="1"/>
  <c r="R22" i="27" s="1"/>
  <c r="C15" i="27" a="1"/>
  <c r="C15" i="27" s="1"/>
  <c r="P21" i="27" a="1"/>
  <c r="P21" i="27" s="1"/>
  <c r="R21" i="27" s="1"/>
  <c r="P24" i="27" a="1"/>
  <c r="P24" i="27" s="1"/>
  <c r="R24" i="27" s="1"/>
  <c r="P25" i="27" a="1"/>
  <c r="P25" i="27" s="1"/>
  <c r="R25" i="27" s="1"/>
  <c r="T187" i="44" l="1"/>
  <c r="AB187" i="44"/>
  <c r="Y187" i="44"/>
  <c r="J187" i="44"/>
  <c r="V187" i="44"/>
  <c r="F187" i="44"/>
  <c r="S186" i="44"/>
  <c r="Q18" i="44" s="1"/>
  <c r="X186" i="44"/>
  <c r="L187" i="44"/>
  <c r="AG187" i="44"/>
  <c r="AD186" i="44"/>
  <c r="AI186" i="44"/>
  <c r="P21" i="44" s="1"/>
  <c r="R186" i="44"/>
  <c r="P187" i="44"/>
  <c r="AN187" i="44"/>
  <c r="J186" i="44"/>
  <c r="T186" i="44"/>
  <c r="F186" i="44"/>
  <c r="N19" i="44" s="1"/>
  <c r="S187" i="44"/>
  <c r="X187" i="44"/>
  <c r="E186" i="44"/>
  <c r="N18" i="44" s="1"/>
  <c r="AM186" i="44"/>
  <c r="N187" i="44"/>
  <c r="Z187" i="44"/>
  <c r="AC187" i="44"/>
  <c r="G186" i="44"/>
  <c r="N20" i="44" s="1"/>
  <c r="K186" i="44"/>
  <c r="AF187" i="44"/>
  <c r="H187" i="44"/>
  <c r="O187" i="44"/>
  <c r="V186" i="44"/>
  <c r="O19" i="44" s="1"/>
  <c r="AJ186" i="44"/>
  <c r="AL187" i="44"/>
  <c r="AJ187" i="44"/>
  <c r="U187" i="44"/>
  <c r="I186" i="44"/>
  <c r="AA186" i="44"/>
  <c r="I187" i="44"/>
  <c r="AD187" i="44"/>
  <c r="G187" i="44"/>
  <c r="AF186" i="44"/>
  <c r="AL186" i="44"/>
  <c r="Q187" i="44"/>
  <c r="M187" i="44"/>
  <c r="R187" i="44"/>
  <c r="N186" i="44"/>
  <c r="O22" i="44" s="1"/>
  <c r="P22" i="44" s="1"/>
  <c r="Q22" i="44" s="1"/>
  <c r="W186" i="44"/>
  <c r="P19" i="44" s="1"/>
  <c r="AI187" i="44"/>
  <c r="E187" i="44"/>
  <c r="D186" i="44"/>
  <c r="O186" i="44"/>
  <c r="M186" i="44"/>
  <c r="AM187" i="44"/>
  <c r="AH187" i="44"/>
  <c r="AB186" i="44"/>
  <c r="O20" i="44" s="1"/>
  <c r="Z186" i="44"/>
  <c r="AE186" i="44"/>
  <c r="Q20" i="44" s="1"/>
  <c r="AK187" i="44"/>
  <c r="AA187" i="44"/>
  <c r="H186" i="44"/>
  <c r="N21" i="44" s="1"/>
  <c r="AH186" i="44"/>
  <c r="O21" i="44" s="1"/>
  <c r="AN186" i="44"/>
  <c r="Q186" i="44"/>
  <c r="P18" i="44" s="1"/>
  <c r="L186" i="44"/>
  <c r="K187" i="44"/>
  <c r="D187" i="44"/>
  <c r="AK186" i="44"/>
  <c r="Q21" i="44" s="1"/>
  <c r="AE187" i="44"/>
  <c r="Y186" i="44"/>
  <c r="Q19" i="44" s="1"/>
  <c r="U186" i="44"/>
  <c r="AC186" i="44"/>
  <c r="P20" i="44" s="1"/>
  <c r="AG186" i="44"/>
  <c r="AU108" i="44"/>
  <c r="AU61" i="44"/>
  <c r="AU99" i="44"/>
  <c r="AU89" i="44"/>
  <c r="AU77" i="44"/>
  <c r="AU55" i="44"/>
  <c r="AU122" i="44"/>
  <c r="AU94" i="44"/>
  <c r="AU154" i="44"/>
  <c r="B27" i="44"/>
  <c r="C27" i="44" s="1"/>
  <c r="AU54" i="44"/>
  <c r="AU148" i="44"/>
  <c r="AU151" i="44"/>
  <c r="AU62" i="44"/>
  <c r="AU82" i="44"/>
  <c r="AU121" i="44"/>
  <c r="AU48" i="44"/>
  <c r="AU83" i="44"/>
  <c r="AU164" i="44"/>
  <c r="B24" i="44"/>
  <c r="C24" i="44" s="1"/>
  <c r="AU84" i="44"/>
  <c r="AU161" i="44"/>
  <c r="E54" i="27" a="1"/>
  <c r="E54" i="27" s="1"/>
  <c r="E55" i="27" a="1"/>
  <c r="E55" i="27" s="1"/>
  <c r="D56" i="27"/>
  <c r="D57" i="27" s="1"/>
  <c r="P20" i="27" a="1"/>
  <c r="P20" i="27" s="1"/>
  <c r="R20" i="27" s="1"/>
  <c r="B19" i="44" l="1"/>
  <c r="E57" i="27" a="1"/>
  <c r="E57" i="27" s="1"/>
  <c r="E56" i="27" a="1"/>
  <c r="E56" i="27" s="1"/>
  <c r="D58" i="27"/>
  <c r="C19" i="44" l="1"/>
  <c r="B20" i="44" s="1"/>
  <c r="C20" i="44" s="1"/>
  <c r="B21" i="44" s="1"/>
  <c r="C21" i="44" s="1"/>
  <c r="B31" i="44" a="1"/>
  <c r="C35" i="44" s="1" a="1"/>
  <c r="E58" i="27" a="1"/>
  <c r="E58" i="27" s="1"/>
  <c r="D59" i="27"/>
  <c r="AB35" i="44" l="1"/>
  <c r="I35" i="44"/>
  <c r="T35" i="44"/>
  <c r="M35" i="44"/>
  <c r="E35" i="44"/>
  <c r="J35" i="44"/>
  <c r="X35" i="44"/>
  <c r="AR35" i="44"/>
  <c r="AH35" i="44"/>
  <c r="AC35" i="44"/>
  <c r="AE35" i="44"/>
  <c r="Q35" i="44"/>
  <c r="AN35" i="44"/>
  <c r="H35" i="44"/>
  <c r="AL35" i="44"/>
  <c r="AM35" i="44"/>
  <c r="W35" i="44"/>
  <c r="N35" i="44"/>
  <c r="S35" i="44"/>
  <c r="AI35" i="44"/>
  <c r="AS35" i="44"/>
  <c r="D35" i="44"/>
  <c r="G35" i="44"/>
  <c r="U35" i="44"/>
  <c r="C35" i="44"/>
  <c r="AQ35" i="44"/>
  <c r="L35" i="44"/>
  <c r="AT35" i="44"/>
  <c r="AA35" i="44"/>
  <c r="AG35" i="44"/>
  <c r="V35" i="44"/>
  <c r="F35" i="44"/>
  <c r="AD35" i="44"/>
  <c r="P35" i="44"/>
  <c r="AK35" i="44"/>
  <c r="R35" i="44"/>
  <c r="O35" i="44"/>
  <c r="AP35" i="44"/>
  <c r="K35" i="44"/>
  <c r="AJ35" i="44"/>
  <c r="Y35" i="44"/>
  <c r="AF35" i="44"/>
  <c r="Z35" i="44"/>
  <c r="AO35" i="44"/>
  <c r="AU35" i="44"/>
  <c r="B31" i="44"/>
  <c r="C31" i="44" s="1" a="1"/>
  <c r="AG31" i="44" s="1"/>
  <c r="C33" i="44" a="1"/>
  <c r="C32" i="44" a="1"/>
  <c r="C34" i="44" a="1"/>
  <c r="E59" i="27" a="1"/>
  <c r="E59" i="27" s="1"/>
  <c r="C16" i="27" s="1"/>
  <c r="C14" i="27" s="1"/>
  <c r="T31" i="44" l="1"/>
  <c r="H18" i="44" s="1"/>
  <c r="AQ31" i="44"/>
  <c r="R31" i="44"/>
  <c r="G18" i="44" s="1"/>
  <c r="V31" i="44"/>
  <c r="AA31" i="44"/>
  <c r="F31" i="44"/>
  <c r="E20" i="44" s="1"/>
  <c r="AD31" i="44"/>
  <c r="G20" i="44" s="1"/>
  <c r="D31" i="44"/>
  <c r="E18" i="44" s="1"/>
  <c r="U31" i="44"/>
  <c r="X31" i="44"/>
  <c r="G19" i="44" s="1"/>
  <c r="E31" i="44"/>
  <c r="E19" i="44" s="1"/>
  <c r="P31" i="44"/>
  <c r="Y31" i="44"/>
  <c r="AP31" i="44"/>
  <c r="G22" i="44" s="1"/>
  <c r="AT31" i="44"/>
  <c r="Z31" i="44"/>
  <c r="H19" i="44" s="1"/>
  <c r="K31" i="44"/>
  <c r="C31" i="44"/>
  <c r="S31" i="44"/>
  <c r="M31" i="44"/>
  <c r="AJ31" i="44"/>
  <c r="G21" i="44" s="1"/>
  <c r="G31" i="44"/>
  <c r="E21" i="44" s="1"/>
  <c r="I31" i="44"/>
  <c r="AB31" i="44"/>
  <c r="AN31" i="44"/>
  <c r="AR31" i="44"/>
  <c r="H22" i="44" s="1"/>
  <c r="AO31" i="44"/>
  <c r="F22" i="44" s="1"/>
  <c r="AS31" i="44"/>
  <c r="N31" i="44"/>
  <c r="AK31" i="44"/>
  <c r="AI31" i="44"/>
  <c r="F21" i="44" s="1"/>
  <c r="AF31" i="44"/>
  <c r="H20" i="44" s="1"/>
  <c r="J31" i="44"/>
  <c r="AU31" i="44"/>
  <c r="AL31" i="44"/>
  <c r="H21" i="44" s="1"/>
  <c r="AH31" i="44"/>
  <c r="W31" i="44"/>
  <c r="F19" i="44" s="1"/>
  <c r="AM31" i="44"/>
  <c r="Q31" i="44"/>
  <c r="F18" i="44" s="1"/>
  <c r="AC31" i="44"/>
  <c r="F20" i="44" s="1"/>
  <c r="O31" i="44"/>
  <c r="AE31" i="44"/>
  <c r="L31" i="44"/>
  <c r="H31" i="44"/>
  <c r="E22" i="44" s="1"/>
  <c r="E34" i="44"/>
  <c r="AQ34" i="44"/>
  <c r="AG34" i="44"/>
  <c r="AR34" i="44"/>
  <c r="AC34" i="44"/>
  <c r="AA34" i="44"/>
  <c r="Y34" i="44"/>
  <c r="AB34" i="44"/>
  <c r="V34" i="44"/>
  <c r="S34" i="44"/>
  <c r="AD34" i="44"/>
  <c r="Q34" i="44"/>
  <c r="AF34" i="44"/>
  <c r="K34" i="44"/>
  <c r="AE34" i="44"/>
  <c r="AO34" i="44"/>
  <c r="P34" i="44"/>
  <c r="H34" i="44"/>
  <c r="AS34" i="44"/>
  <c r="Z34" i="44"/>
  <c r="F34" i="44"/>
  <c r="J34" i="44"/>
  <c r="C34" i="44"/>
  <c r="AP34" i="44"/>
  <c r="AK34" i="44"/>
  <c r="AJ34" i="44"/>
  <c r="AU34" i="44"/>
  <c r="O34" i="44"/>
  <c r="X34" i="44"/>
  <c r="D34" i="44"/>
  <c r="AM34" i="44"/>
  <c r="I34" i="44"/>
  <c r="N34" i="44"/>
  <c r="AT34" i="44"/>
  <c r="L34" i="44"/>
  <c r="G34" i="44"/>
  <c r="W34" i="44"/>
  <c r="AN34" i="44"/>
  <c r="AI34" i="44"/>
  <c r="AL34" i="44"/>
  <c r="T34" i="44"/>
  <c r="M34" i="44"/>
  <c r="U34" i="44"/>
  <c r="R34" i="44"/>
  <c r="AH34" i="44"/>
  <c r="AO32" i="44"/>
  <c r="M32" i="44"/>
  <c r="AI32" i="44"/>
  <c r="AK32" i="44"/>
  <c r="AH32" i="44"/>
  <c r="L32" i="44"/>
  <c r="AF32" i="44"/>
  <c r="AE32" i="44"/>
  <c r="AS32" i="44"/>
  <c r="W32" i="44"/>
  <c r="U32" i="44"/>
  <c r="AC32" i="44"/>
  <c r="V32" i="44"/>
  <c r="Z32" i="44"/>
  <c r="S32" i="44"/>
  <c r="Y32" i="44"/>
  <c r="AM32" i="44"/>
  <c r="AT32" i="44"/>
  <c r="P32" i="44"/>
  <c r="J32" i="44"/>
  <c r="X32" i="44"/>
  <c r="C32" i="44"/>
  <c r="K32" i="44"/>
  <c r="N32" i="44"/>
  <c r="AJ32" i="44"/>
  <c r="R32" i="44"/>
  <c r="AL32" i="44"/>
  <c r="T32" i="44"/>
  <c r="AG32" i="44"/>
  <c r="Q32" i="44"/>
  <c r="I32" i="44"/>
  <c r="AA32" i="44"/>
  <c r="AQ32" i="44"/>
  <c r="AD32" i="44"/>
  <c r="G32" i="44"/>
  <c r="E32" i="44"/>
  <c r="AB32" i="44"/>
  <c r="AU32" i="44"/>
  <c r="F32" i="44"/>
  <c r="AP32" i="44"/>
  <c r="AR32" i="44"/>
  <c r="D32" i="44"/>
  <c r="H32" i="44"/>
  <c r="AN32" i="44"/>
  <c r="O32" i="44"/>
  <c r="U33" i="44"/>
  <c r="AR33" i="44"/>
  <c r="AA33" i="44"/>
  <c r="R33" i="44"/>
  <c r="AJ33" i="44"/>
  <c r="D33" i="44"/>
  <c r="K33" i="44"/>
  <c r="S33" i="44"/>
  <c r="AH33" i="44"/>
  <c r="E33" i="44"/>
  <c r="X33" i="44"/>
  <c r="AQ33" i="44"/>
  <c r="Q33" i="44"/>
  <c r="AI33" i="44"/>
  <c r="AE33" i="44"/>
  <c r="C33" i="44"/>
  <c r="W33" i="44"/>
  <c r="Y33" i="44"/>
  <c r="G33" i="44"/>
  <c r="Z33" i="44"/>
  <c r="J33" i="44"/>
  <c r="AS33" i="44"/>
  <c r="H33" i="44"/>
  <c r="T33" i="44"/>
  <c r="AP33" i="44"/>
  <c r="AM33" i="44"/>
  <c r="AN33" i="44"/>
  <c r="O33" i="44"/>
  <c r="AF33" i="44"/>
  <c r="AG33" i="44"/>
  <c r="AL33" i="44"/>
  <c r="AO33" i="44"/>
  <c r="V33" i="44"/>
  <c r="P33" i="44"/>
  <c r="L33" i="44"/>
  <c r="F33" i="44"/>
  <c r="AU33" i="44"/>
  <c r="AT33" i="44"/>
  <c r="I33" i="44"/>
  <c r="AB33" i="44"/>
  <c r="N33" i="44"/>
  <c r="AD33" i="44"/>
  <c r="AK33" i="44"/>
  <c r="M33" i="44"/>
  <c r="AC33" i="44"/>
  <c r="F23" i="44" l="1"/>
  <c r="G23" i="44" s="1"/>
  <c r="H23" i="44" s="1"/>
  <c r="AA18" i="44" s="1" a="1"/>
  <c r="AA18" i="44" s="1"/>
  <c r="X18" i="44" a="1"/>
  <c r="X18" i="44" s="1"/>
  <c r="Y18" i="44" l="1" a="1"/>
  <c r="Y18" i="44" s="1"/>
  <c r="Z18" i="44" a="1"/>
  <c r="Z18" i="4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NYX</author>
  </authors>
  <commentList>
    <comment ref="B19" authorId="0" shapeId="0" xr:uid="{F1FE2AD6-CE55-4800-A656-42A654582E01}">
      <text>
        <r>
          <rPr>
            <b/>
            <sz val="9"/>
            <color indexed="81"/>
            <rFont val="Tahoma"/>
            <family val="2"/>
          </rPr>
          <t>NYX:</t>
        </r>
        <r>
          <rPr>
            <sz val="9"/>
            <color indexed="81"/>
            <rFont val="Tahoma"/>
            <family val="2"/>
          </rPr>
          <t xml:space="preserve">
</t>
        </r>
        <r>
          <rPr>
            <b/>
            <sz val="9"/>
            <color indexed="81"/>
            <rFont val="Tahoma"/>
            <family val="2"/>
          </rPr>
          <t>retrieves least total time</t>
        </r>
        <r>
          <rPr>
            <sz val="9"/>
            <color indexed="81"/>
            <rFont val="Tahoma"/>
            <family val="2"/>
          </rPr>
          <t xml:space="preserve"> using </t>
        </r>
        <r>
          <rPr>
            <u/>
            <sz val="9"/>
            <color indexed="81"/>
            <rFont val="Tahoma"/>
            <family val="2"/>
          </rPr>
          <t>min()</t>
        </r>
        <r>
          <rPr>
            <sz val="9"/>
            <color indexed="81"/>
            <rFont val="Tahoma"/>
            <family val="2"/>
          </rPr>
          <t xml:space="preserve"> of purple col (AU)</t>
        </r>
      </text>
    </comment>
    <comment ref="C19" authorId="0" shapeId="0" xr:uid="{0D407238-635D-4104-9919-891AFD865EF0}">
      <text>
        <r>
          <rPr>
            <b/>
            <sz val="9"/>
            <color indexed="81"/>
            <rFont val="Tahoma"/>
            <family val="2"/>
          </rPr>
          <t>NYX:</t>
        </r>
        <r>
          <rPr>
            <sz val="9"/>
            <color indexed="81"/>
            <rFont val="Tahoma"/>
            <family val="2"/>
          </rPr>
          <t xml:space="preserve">
</t>
        </r>
        <r>
          <rPr>
            <b/>
            <sz val="9"/>
            <color indexed="81"/>
            <rFont val="Tahoma"/>
            <family val="2"/>
          </rPr>
          <t>count th</t>
        </r>
        <r>
          <rPr>
            <sz val="9"/>
            <color indexed="81"/>
            <rFont val="Tahoma"/>
            <family val="2"/>
          </rPr>
          <t>e</t>
        </r>
        <r>
          <rPr>
            <b/>
            <sz val="9"/>
            <color indexed="81"/>
            <rFont val="Tahoma"/>
            <family val="2"/>
          </rPr>
          <t xml:space="preserve"> number of routes</t>
        </r>
        <r>
          <rPr>
            <sz val="9"/>
            <color indexed="81"/>
            <rFont val="Tahoma"/>
            <family val="2"/>
          </rPr>
          <t xml:space="preserve"> with the same total time in the cell beside using</t>
        </r>
        <r>
          <rPr>
            <u/>
            <sz val="9"/>
            <color indexed="81"/>
            <rFont val="Tahoma"/>
            <family val="2"/>
          </rPr>
          <t xml:space="preserve"> countif</t>
        </r>
      </text>
    </comment>
    <comment ref="B20" authorId="0" shapeId="0" xr:uid="{D9A6C550-9CDD-4CBE-B762-5CCBEF6E6100}">
      <text>
        <r>
          <rPr>
            <b/>
            <sz val="9"/>
            <color indexed="81"/>
            <rFont val="Tahoma"/>
            <family val="2"/>
          </rPr>
          <t>NYX:</t>
        </r>
        <r>
          <rPr>
            <sz val="9"/>
            <color indexed="81"/>
            <rFont val="Tahoma"/>
            <family val="2"/>
          </rPr>
          <t xml:space="preserve">
</t>
        </r>
        <r>
          <rPr>
            <b/>
            <sz val="9"/>
            <color indexed="81"/>
            <rFont val="Tahoma"/>
            <family val="2"/>
          </rPr>
          <t>retrieves the 4th smallest total tim</t>
        </r>
        <r>
          <rPr>
            <sz val="9"/>
            <color indexed="81"/>
            <rFont val="Tahoma"/>
            <family val="2"/>
          </rPr>
          <t>e using</t>
        </r>
        <r>
          <rPr>
            <u/>
            <sz val="9"/>
            <color indexed="81"/>
            <rFont val="Tahoma"/>
            <family val="2"/>
          </rPr>
          <t xml:space="preserve"> small()</t>
        </r>
      </text>
    </comment>
    <comment ref="B30" authorId="0" shapeId="0" xr:uid="{85EEF59A-E0F1-4B23-B2BE-A54B04C311B3}">
      <text>
        <r>
          <rPr>
            <b/>
            <sz val="9"/>
            <color indexed="81"/>
            <rFont val="Tahoma"/>
            <family val="2"/>
          </rPr>
          <t>NYX:</t>
        </r>
        <r>
          <rPr>
            <sz val="9"/>
            <color indexed="81"/>
            <rFont val="Tahoma"/>
            <family val="2"/>
          </rPr>
          <t xml:space="preserve">
</t>
        </r>
        <r>
          <rPr>
            <b/>
            <sz val="9"/>
            <color indexed="81"/>
            <rFont val="Tahoma"/>
            <family val="2"/>
          </rPr>
          <t>retrieves the exact permutation number</t>
        </r>
        <r>
          <rPr>
            <sz val="9"/>
            <color indexed="81"/>
            <rFont val="Tahoma"/>
            <family val="2"/>
          </rPr>
          <t xml:space="preserve"> (row index) that has </t>
        </r>
        <r>
          <rPr>
            <b/>
            <sz val="9"/>
            <color indexed="81"/>
            <rFont val="Tahoma"/>
            <family val="2"/>
          </rPr>
          <t>total time</t>
        </r>
        <r>
          <rPr>
            <sz val="9"/>
            <color indexed="81"/>
            <rFont val="Tahoma"/>
            <family val="2"/>
          </rPr>
          <t xml:space="preserve"> </t>
        </r>
        <r>
          <rPr>
            <i/>
            <sz val="9"/>
            <color indexed="81"/>
            <rFont val="Tahoma"/>
            <family val="2"/>
          </rPr>
          <t>less</t>
        </r>
        <r>
          <rPr>
            <sz val="9"/>
            <color indexed="81"/>
            <rFont val="Tahoma"/>
            <family val="2"/>
          </rPr>
          <t xml:space="preserve"> than the total time indicated in cell B21
use</t>
        </r>
        <r>
          <rPr>
            <u/>
            <sz val="9"/>
            <color indexed="81"/>
            <rFont val="Tahoma"/>
            <family val="2"/>
          </rPr>
          <t xml:space="preserve"> filter()</t>
        </r>
      </text>
    </comment>
    <comment ref="C30" authorId="0" shapeId="0" xr:uid="{27685FD8-D302-4F1C-AC25-EB12B80EA6B4}">
      <text>
        <r>
          <rPr>
            <b/>
            <sz val="9"/>
            <color indexed="81"/>
            <rFont val="Tahoma"/>
            <family val="2"/>
          </rPr>
          <t>NYX:</t>
        </r>
        <r>
          <rPr>
            <sz val="9"/>
            <color indexed="81"/>
            <rFont val="Tahoma"/>
            <family val="2"/>
          </rPr>
          <t xml:space="preserve">
</t>
        </r>
        <r>
          <rPr>
            <u/>
            <sz val="9"/>
            <color indexed="81"/>
            <rFont val="Tahoma"/>
            <family val="2"/>
          </rPr>
          <t>array formula with index match</t>
        </r>
        <r>
          <rPr>
            <sz val="9"/>
            <color indexed="81"/>
            <rFont val="Tahoma"/>
            <family val="2"/>
          </rPr>
          <t xml:space="preserve"> to </t>
        </r>
        <r>
          <rPr>
            <b/>
            <sz val="9"/>
            <color indexed="81"/>
            <rFont val="Tahoma"/>
            <family val="2"/>
          </rPr>
          <t>display the rows for each permutation</t>
        </r>
        <r>
          <rPr>
            <sz val="9"/>
            <color indexed="81"/>
            <rFont val="Tahoma"/>
            <family val="2"/>
          </rPr>
          <t xml:space="preserve"> in column B31 to B38</t>
        </r>
      </text>
    </comment>
    <comment ref="O45" authorId="0" shapeId="0" xr:uid="{15480538-D2DB-4CE9-ADC5-A4F6B1E95A7D}">
      <text>
        <r>
          <rPr>
            <b/>
            <sz val="9"/>
            <color indexed="81"/>
            <rFont val="Tahoma"/>
            <family val="2"/>
          </rPr>
          <t xml:space="preserve">NYX:
Check if user takes lunch now
</t>
        </r>
        <r>
          <rPr>
            <sz val="9"/>
            <color indexed="81"/>
            <rFont val="Tahoma"/>
            <family val="2"/>
          </rPr>
          <t>using</t>
        </r>
        <r>
          <rPr>
            <u/>
            <sz val="9"/>
            <color indexed="81"/>
            <rFont val="Tahoma"/>
            <family val="2"/>
          </rPr>
          <t xml:space="preserve"> if-else</t>
        </r>
        <r>
          <rPr>
            <sz val="9"/>
            <color indexed="81"/>
            <rFont val="Tahoma"/>
            <family val="2"/>
          </rPr>
          <t xml:space="preserve">
if user indicates no lunch req (G4), then '0'
if want lunch, input "1"  if N46&gt; desired lunchtime (G5), else '0'
</t>
        </r>
      </text>
    </comment>
    <comment ref="P45" authorId="0" shapeId="0" xr:uid="{ECCEC86E-0FF4-4A9F-8CF0-EEE2468D6484}">
      <text>
        <r>
          <rPr>
            <b/>
            <sz val="9"/>
            <color indexed="81"/>
            <rFont val="Tahoma"/>
            <family val="2"/>
          </rPr>
          <t>NYX:</t>
        </r>
        <r>
          <rPr>
            <sz val="9"/>
            <color indexed="81"/>
            <rFont val="Tahoma"/>
            <family val="2"/>
          </rPr>
          <t xml:space="preserve">
</t>
        </r>
        <r>
          <rPr>
            <b/>
            <sz val="9"/>
            <color indexed="81"/>
            <rFont val="Tahoma"/>
            <family val="2"/>
          </rPr>
          <t>retrieves walking time from entrance to ride 1</t>
        </r>
        <r>
          <rPr>
            <sz val="9"/>
            <color indexed="81"/>
            <rFont val="Tahoma"/>
            <family val="2"/>
          </rPr>
          <t xml:space="preserve">
check user walk speed input, if walk at leisure speed, </t>
        </r>
        <r>
          <rPr>
            <u/>
            <sz val="9"/>
            <color indexed="81"/>
            <rFont val="Tahoma"/>
            <family val="2"/>
          </rPr>
          <t>index-match-match</t>
        </r>
        <r>
          <rPr>
            <sz val="9"/>
            <color indexed="81"/>
            <rFont val="Tahoma"/>
            <family val="2"/>
          </rPr>
          <t xml:space="preserve"> to leisure table, else reference to average pace table.</t>
        </r>
      </text>
    </comment>
    <comment ref="Q45" authorId="0" shapeId="0" xr:uid="{F054B004-12E4-47AB-8962-485BE42813AF}">
      <text>
        <r>
          <rPr>
            <b/>
            <sz val="9"/>
            <color indexed="81"/>
            <rFont val="Tahoma"/>
            <family val="2"/>
          </rPr>
          <t>NYX:</t>
        </r>
        <r>
          <rPr>
            <sz val="9"/>
            <color indexed="81"/>
            <rFont val="Tahoma"/>
            <family val="2"/>
          </rPr>
          <t xml:space="preserve">
</t>
        </r>
        <r>
          <rPr>
            <b/>
            <sz val="9"/>
            <color indexed="81"/>
            <rFont val="Tahoma"/>
            <family val="2"/>
          </rPr>
          <t xml:space="preserve">get arrival time at ride 1 by adding </t>
        </r>
        <r>
          <rPr>
            <sz val="9"/>
            <color indexed="81"/>
            <rFont val="Tahoma"/>
            <family val="2"/>
          </rPr>
          <t xml:space="preserve">usng </t>
        </r>
        <r>
          <rPr>
            <u/>
            <sz val="9"/>
            <color indexed="81"/>
            <rFont val="Tahoma"/>
            <family val="2"/>
          </rPr>
          <t xml:space="preserve"> if-else</t>
        </r>
        <r>
          <rPr>
            <b/>
            <sz val="9"/>
            <color indexed="81"/>
            <rFont val="Tahoma"/>
            <family val="2"/>
          </rPr>
          <t>:</t>
        </r>
        <r>
          <rPr>
            <sz val="9"/>
            <color indexed="81"/>
            <rFont val="Tahoma"/>
            <family val="2"/>
          </rPr>
          <t xml:space="preserve">
uss arrival time + lunch duration (O46*G6) + walk time from last ride to current ride
if the arrival time at this ride exceeds user departure time (D7), input ""</t>
        </r>
      </text>
    </comment>
    <comment ref="R45" authorId="0" shapeId="0" xr:uid="{E149DC8D-DFFD-415C-B655-49D5C72F634E}">
      <text>
        <r>
          <rPr>
            <b/>
            <sz val="9"/>
            <color indexed="81"/>
            <rFont val="Tahoma"/>
            <family val="2"/>
          </rPr>
          <t>NYX:</t>
        </r>
        <r>
          <rPr>
            <sz val="9"/>
            <color indexed="81"/>
            <rFont val="Tahoma"/>
            <family val="2"/>
          </rPr>
          <t xml:space="preserve">
</t>
        </r>
        <r>
          <rPr>
            <b/>
            <sz val="9"/>
            <color indexed="81"/>
            <rFont val="Tahoma"/>
            <family val="2"/>
          </rPr>
          <t>retrieves wait time at this ride at this time</t>
        </r>
        <r>
          <rPr>
            <sz val="9"/>
            <color indexed="81"/>
            <rFont val="Tahoma"/>
            <family val="2"/>
          </rPr>
          <t xml:space="preserve"> using</t>
        </r>
        <r>
          <rPr>
            <u/>
            <sz val="9"/>
            <color indexed="81"/>
            <rFont val="Tahoma"/>
            <family val="2"/>
          </rPr>
          <t xml:space="preserve"> index-match-match. </t>
        </r>
        <r>
          <rPr>
            <sz val="9"/>
            <color indexed="81"/>
            <rFont val="Tahoma"/>
            <family val="2"/>
          </rPr>
          <t xml:space="preserve">
Check weekend or weekday (D14), if weekend, index-match-match to weekend wait table, else reference to weekeday wait table.</t>
        </r>
      </text>
    </comment>
    <comment ref="S45" authorId="0" shapeId="0" xr:uid="{2E319FB4-09CD-4FE6-B5E1-59AAE3364E82}">
      <text>
        <r>
          <rPr>
            <b/>
            <sz val="9"/>
            <color indexed="81"/>
            <rFont val="Tahoma"/>
            <family val="2"/>
          </rPr>
          <t>NYX:
retrieves ride duration</t>
        </r>
        <r>
          <rPr>
            <sz val="9"/>
            <color indexed="81"/>
            <rFont val="Tahoma"/>
            <family val="2"/>
          </rPr>
          <t xml:space="preserve"> using</t>
        </r>
        <r>
          <rPr>
            <u/>
            <sz val="9"/>
            <color indexed="81"/>
            <rFont val="Tahoma"/>
            <family val="2"/>
          </rPr>
          <t xml:space="preserve"> vlookup</t>
        </r>
        <r>
          <rPr>
            <sz val="9"/>
            <color indexed="81"/>
            <rFont val="Tahoma"/>
            <family val="2"/>
          </rPr>
          <t xml:space="preserve"> on ride duration table.</t>
        </r>
      </text>
    </comment>
    <comment ref="T45" authorId="0" shapeId="0" xr:uid="{2E195B44-D046-4CA7-92EE-739227BCD0ED}">
      <text>
        <r>
          <rPr>
            <b/>
            <sz val="9"/>
            <color indexed="81"/>
            <rFont val="Tahoma"/>
            <family val="2"/>
          </rPr>
          <t>NYX:</t>
        </r>
        <r>
          <rPr>
            <sz val="9"/>
            <color indexed="81"/>
            <rFont val="Tahoma"/>
            <family val="2"/>
          </rPr>
          <t xml:space="preserve">
</t>
        </r>
        <r>
          <rPr>
            <b/>
            <sz val="9"/>
            <color indexed="81"/>
            <rFont val="Tahoma"/>
            <family val="2"/>
          </rPr>
          <t>retrieves ride end time</t>
        </r>
        <r>
          <rPr>
            <sz val="9"/>
            <color indexed="81"/>
            <rFont val="Tahoma"/>
            <family val="2"/>
          </rPr>
          <t xml:space="preserve"> by </t>
        </r>
        <r>
          <rPr>
            <u/>
            <sz val="9"/>
            <color indexed="81"/>
            <rFont val="Tahoma"/>
            <family val="2"/>
          </rPr>
          <t>addition</t>
        </r>
        <r>
          <rPr>
            <sz val="9"/>
            <color indexed="81"/>
            <rFont val="Tahoma"/>
            <family val="2"/>
          </rPr>
          <t xml:space="preserve">
arrival time at this ride (Q46) + wait time at this ride (R46) + play time at this ride (S46)</t>
        </r>
      </text>
    </comment>
    <comment ref="U45" authorId="0" shapeId="0" xr:uid="{C71F9489-3150-4D0D-B6D5-3552674E8A78}">
      <text>
        <r>
          <rPr>
            <b/>
            <sz val="9"/>
            <color indexed="81"/>
            <rFont val="Tahoma"/>
            <family val="2"/>
          </rPr>
          <t>NYX:</t>
        </r>
        <r>
          <rPr>
            <sz val="9"/>
            <color indexed="81"/>
            <rFont val="Tahoma"/>
            <family val="2"/>
          </rPr>
          <t xml:space="preserve">
if user indicates no lunch req, then '0'
if user alr had lunch as '1' earlier, then '0'.
input "1"  if N46&gt; desired lunchtime, else '0'</t>
        </r>
      </text>
    </comment>
    <comment ref="AS45" authorId="0" shapeId="0" xr:uid="{BF8396AA-2506-4622-B118-6847CB35E041}">
      <text>
        <r>
          <rPr>
            <b/>
            <sz val="9"/>
            <color indexed="81"/>
            <rFont val="Tahoma"/>
            <family val="2"/>
          </rPr>
          <t>NYX:</t>
        </r>
        <r>
          <rPr>
            <sz val="9"/>
            <color indexed="81"/>
            <rFont val="Tahoma"/>
            <family val="2"/>
          </rPr>
          <t xml:space="preserve">
</t>
        </r>
        <r>
          <rPr>
            <b/>
            <sz val="9"/>
            <color indexed="81"/>
            <rFont val="Tahoma"/>
            <family val="2"/>
          </rPr>
          <t>summing up all the walk time columns (green)</t>
        </r>
        <r>
          <rPr>
            <sz val="9"/>
            <color indexed="81"/>
            <rFont val="Tahoma"/>
            <family val="2"/>
          </rPr>
          <t xml:space="preserve">
if there is no ride 5 end time, display "incomplete' message (R5)
else
if total walk time is error (due to some empty green columns because time exceeds departure time)
display "incomplete" message (R5)
if all conditions are met sum up all the walk time
</t>
        </r>
      </text>
    </comment>
    <comment ref="AT45" authorId="0" shapeId="0" xr:uid="{D6363786-D9D0-4F44-8864-C25EC5EEA5BE}">
      <text>
        <r>
          <rPr>
            <b/>
            <sz val="9"/>
            <color indexed="81"/>
            <rFont val="Tahoma"/>
            <family val="2"/>
          </rPr>
          <t>NYX:</t>
        </r>
        <r>
          <rPr>
            <sz val="9"/>
            <color indexed="81"/>
            <rFont val="Tahoma"/>
            <family val="2"/>
          </rPr>
          <t xml:space="preserve">
</t>
        </r>
        <r>
          <rPr>
            <b/>
            <sz val="9"/>
            <color indexed="81"/>
            <rFont val="Tahoma"/>
            <family val="2"/>
          </rPr>
          <t>sum up all the wait times (red).</t>
        </r>
        <r>
          <rPr>
            <sz val="9"/>
            <color indexed="81"/>
            <rFont val="Tahoma"/>
            <family val="2"/>
          </rPr>
          <t xml:space="preserve">
If error (some red columns empty as ride arrival time exceeds departure time) display "incomplete" message (R5)</t>
        </r>
      </text>
    </comment>
    <comment ref="D46" authorId="0" shapeId="0" xr:uid="{43B9FFB9-0805-46EE-BE01-E9444C1A4973}">
      <text>
        <r>
          <rPr>
            <b/>
            <sz val="9"/>
            <color indexed="81"/>
            <rFont val="Tahoma"/>
            <family val="2"/>
          </rPr>
          <t>NYX:</t>
        </r>
        <r>
          <rPr>
            <sz val="9"/>
            <color indexed="81"/>
            <rFont val="Tahoma"/>
            <family val="2"/>
          </rPr>
          <t xml:space="preserve">
</t>
        </r>
        <r>
          <rPr>
            <b/>
            <sz val="9"/>
            <color indexed="81"/>
            <rFont val="Tahoma"/>
            <family val="2"/>
          </rPr>
          <t>show all route types</t>
        </r>
        <r>
          <rPr>
            <sz val="9"/>
            <color indexed="81"/>
            <rFont val="Tahoma"/>
            <family val="2"/>
          </rPr>
          <t xml:space="preserve"> 
if 5 inputs (D12), populate this 5! Table using </t>
        </r>
        <r>
          <rPr>
            <u/>
            <sz val="9"/>
            <color indexed="81"/>
            <rFont val="Tahoma"/>
            <family val="2"/>
          </rPr>
          <t>Vlookup()</t>
        </r>
        <r>
          <rPr>
            <sz val="9"/>
            <color indexed="81"/>
            <rFont val="Tahoma"/>
            <family val="2"/>
          </rPr>
          <t xml:space="preserve"> against table D9:H12
if less than 5 inputs, populate the other 4! And 3! Tables below</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595903C-8EE8-43F9-8439-60EB8025F474}" keepAlive="1" name="Query - Model 2 - Permutations" description="Connection to the 'Model 2 - Permutations' query in the workbook." type="5" refreshedVersion="0" background="1">
    <dbPr connection="Provider=Microsoft.Mashup.OleDb.1;Data Source=$Workbook$;Location=&quot;Model 2 - Permutations&quot;;Extended Properties=&quot;&quot;" command="SELECT * FROM [Model 2 - Permutation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
    <bk>
      <extLst>
        <ext uri="{3e2802c4-a4d2-4d8b-9148-e3be6c30e623}">
          <xlrd:rvb i="0"/>
        </ext>
      </extLst>
    </bk>
    <bk>
      <extLst>
        <ext uri="{3e2802c4-a4d2-4d8b-9148-e3be6c30e623}">
          <xlrd:rvb i="1"/>
        </ext>
      </extLst>
    </bk>
    <bk>
      <extLst>
        <ext uri="{3e2802c4-a4d2-4d8b-9148-e3be6c30e623}">
          <xlrd:rvb i="2"/>
        </ext>
      </extLst>
    </bk>
  </futureMetadata>
  <cellMetadata count="1">
    <bk>
      <rc t="1" v="0"/>
    </bk>
  </cellMetadata>
  <valueMetadata count="3">
    <bk>
      <rc t="2" v="0"/>
    </bk>
    <bk>
      <rc t="2" v="1"/>
    </bk>
    <bk>
      <rc t="2" v="2"/>
    </bk>
  </valueMetadata>
</metadata>
</file>

<file path=xl/sharedStrings.xml><?xml version="1.0" encoding="utf-8"?>
<sst xmlns="http://schemas.openxmlformats.org/spreadsheetml/2006/main" count="1153" uniqueCount="211">
  <si>
    <t>When are you visiting?</t>
  </si>
  <si>
    <t>Expected day of visiting</t>
  </si>
  <si>
    <t>Friday</t>
  </si>
  <si>
    <t>Expected time of arrival</t>
  </si>
  <si>
    <t>Expected time of departure</t>
  </si>
  <si>
    <t>Lunching in USS?</t>
  </si>
  <si>
    <t>Yes</t>
  </si>
  <si>
    <t>Desired Lunch Time</t>
  </si>
  <si>
    <t>Desired Lunch Duration</t>
  </si>
  <si>
    <t>What are your prioritised rides?</t>
  </si>
  <si>
    <t>(Please fill in order. Rides will be refreshed everytime you make new time selections)</t>
  </si>
  <si>
    <t>Ride 1</t>
  </si>
  <si>
    <t>Battlestar Galactica: Cylon</t>
  </si>
  <si>
    <t>Ride 2</t>
  </si>
  <si>
    <t>Battlestart Galactica: Human</t>
  </si>
  <si>
    <t>Ride 3</t>
  </si>
  <si>
    <t>Lights, Camera, Action!</t>
  </si>
  <si>
    <t>Ride 4</t>
  </si>
  <si>
    <t>Shrek 4D Adventure</t>
  </si>
  <si>
    <t>Ride 5</t>
  </si>
  <si>
    <t>Revenge of the Mummy</t>
  </si>
  <si>
    <t>What is your preferred pace of travel?</t>
  </si>
  <si>
    <t>Preferred Pace</t>
  </si>
  <si>
    <t>Leisurely</t>
  </si>
  <si>
    <t>Data Validation</t>
  </si>
  <si>
    <t>Fixed Lists</t>
  </si>
  <si>
    <t>Dependent Lists</t>
  </si>
  <si>
    <t>Preferred Plan</t>
  </si>
  <si>
    <t>Walking Pace</t>
  </si>
  <si>
    <t>Having Lunch</t>
  </si>
  <si>
    <t>Day of Visit</t>
  </si>
  <si>
    <t>Arrival Time</t>
  </si>
  <si>
    <t>Departure Time</t>
  </si>
  <si>
    <t>High-Level</t>
  </si>
  <si>
    <t>Average</t>
  </si>
  <si>
    <t>Detailed</t>
  </si>
  <si>
    <t>No</t>
  </si>
  <si>
    <t>Wednesday</t>
  </si>
  <si>
    <t>Thursday</t>
  </si>
  <si>
    <t>Saturday</t>
  </si>
  <si>
    <t>Sunday</t>
  </si>
  <si>
    <t>Lunch Time (Filtered)</t>
  </si>
  <si>
    <t>Lunch Time</t>
  </si>
  <si>
    <t>Lunch Duration (Filtered)</t>
  </si>
  <si>
    <t>Lunch Duration (Full)</t>
  </si>
  <si>
    <t>Remaining Hours</t>
  </si>
  <si>
    <t>Ride</t>
  </si>
  <si>
    <t>All Rides</t>
  </si>
  <si>
    <t>Filtered Rides</t>
  </si>
  <si>
    <t>Accelerator</t>
  </si>
  <si>
    <t>Canopy Flyer</t>
  </si>
  <si>
    <t>Dino-Soarin</t>
  </si>
  <si>
    <t>Enchanted Airways</t>
  </si>
  <si>
    <t>King Julien's Beach Party Go Round</t>
  </si>
  <si>
    <t>Magic Potion Spin</t>
  </si>
  <si>
    <t>Puss in Boots' Giant Journey</t>
  </si>
  <si>
    <t>Sesame Street Spaghetti Space Chase</t>
  </si>
  <si>
    <t>Transformers The Ride</t>
  </si>
  <si>
    <t>Treasure Hunters</t>
  </si>
  <si>
    <t>(This part can make invisible)</t>
  </si>
  <si>
    <t>Time Schedule</t>
  </si>
  <si>
    <t>Attraction</t>
  </si>
  <si>
    <t>Wait Time</t>
  </si>
  <si>
    <t>Route</t>
  </si>
  <si>
    <t>x</t>
  </si>
  <si>
    <t>y</t>
  </si>
  <si>
    <t>Entrance</t>
  </si>
  <si>
    <t>Lunch</t>
  </si>
  <si>
    <t/>
  </si>
  <si>
    <t>Exit</t>
  </si>
  <si>
    <t>All Rides (to be invisible)</t>
  </si>
  <si>
    <t>(Please fill in order and select min 3 rides. Rides will be refreshed everytime you make new time selections)</t>
  </si>
  <si>
    <t>Arrival time</t>
  </si>
  <si>
    <t>Wait time</t>
  </si>
  <si>
    <t>End time</t>
  </si>
  <si>
    <t>Model 1 - High Level Plan (Double Solver)</t>
  </si>
  <si>
    <t>User Inputs (linked from UI)</t>
  </si>
  <si>
    <t>Intermediary Lookup</t>
  </si>
  <si>
    <t>day of week</t>
  </si>
  <si>
    <t>Weeday/Weekend</t>
  </si>
  <si>
    <t>average or leisurely</t>
  </si>
  <si>
    <t>hh:mm</t>
  </si>
  <si>
    <t>Weekday</t>
  </si>
  <si>
    <t>hh:mm:ss</t>
  </si>
  <si>
    <t>Weekend</t>
  </si>
  <si>
    <t>Ride1</t>
  </si>
  <si>
    <t>Ride2</t>
  </si>
  <si>
    <t>Ride3</t>
  </si>
  <si>
    <t>Ride4</t>
  </si>
  <si>
    <t>Ride5</t>
  </si>
  <si>
    <t>Prioritised Rides</t>
  </si>
  <si>
    <t>Model</t>
  </si>
  <si>
    <t>Total Time</t>
  </si>
  <si>
    <t>Weekday/Weekend</t>
  </si>
  <si>
    <t>Total Wait Time</t>
  </si>
  <si>
    <t>Total Walk Time</t>
  </si>
  <si>
    <t>Lunch Time Constraints</t>
  </si>
  <si>
    <t>Total Attractions</t>
  </si>
  <si>
    <t>Max Attractions</t>
  </si>
  <si>
    <t>Check for over 1 hr Ride</t>
  </si>
  <si>
    <t>Added Constraints from First Solver Solution</t>
  </si>
  <si>
    <t>=</t>
  </si>
  <si>
    <t>&lt;=</t>
  </si>
  <si>
    <t>No. of Visits</t>
  </si>
  <si>
    <t>Min No. of Slots</t>
  </si>
  <si>
    <t>First Solver Solution</t>
  </si>
  <si>
    <t>Total Wait + Ride Time</t>
  </si>
  <si>
    <t>Location Mapping</t>
  </si>
  <si>
    <t>Attraction Schedule</t>
  </si>
  <si>
    <t>Location</t>
  </si>
  <si>
    <t>Walktime from last Location</t>
  </si>
  <si>
    <t>Model 2 - Detailed Plan (Permutations)</t>
  </si>
  <si>
    <t>https://blog.coupler.io/excel-vlookup-multiple-results/#Excel_FILTER_function</t>
  </si>
  <si>
    <t>https://exceljet.net/excel-functions/excel-filter-function</t>
  </si>
  <si>
    <t>Message Table</t>
  </si>
  <si>
    <t>weekday/weekend?</t>
  </si>
  <si>
    <t>Incomplete</t>
  </si>
  <si>
    <t>Ride No.</t>
  </si>
  <si>
    <t>Rides</t>
  </si>
  <si>
    <t>Offset for Cols for Final Output Table</t>
  </si>
  <si>
    <t>No. of Inputs</t>
  </si>
  <si>
    <t>Total Counts</t>
  </si>
  <si>
    <t>Output table (5 rides)</t>
  </si>
  <si>
    <t>Output table (4 rides)</t>
  </si>
  <si>
    <t>Output table (3 rides)</t>
  </si>
  <si>
    <t>Final Table</t>
  </si>
  <si>
    <t>Table to output</t>
  </si>
  <si>
    <t>Least Total Time</t>
  </si>
  <si>
    <t>Number of routes</t>
  </si>
  <si>
    <t>Least Wait Time</t>
  </si>
  <si>
    <t>Least Walk Time</t>
  </si>
  <si>
    <t>Results for 5 rides combination: Bottom few total time</t>
  </si>
  <si>
    <t>1/0</t>
  </si>
  <si>
    <t>Permutation</t>
  </si>
  <si>
    <t>USS arrival time</t>
  </si>
  <si>
    <t>Lunch?</t>
  </si>
  <si>
    <t>Entrance to ride 1</t>
  </si>
  <si>
    <t>Arrival time at Ride 1</t>
  </si>
  <si>
    <t>Wait time at ride 1</t>
  </si>
  <si>
    <t>Play time at Ride 1</t>
  </si>
  <si>
    <t>Ride 1 End time</t>
  </si>
  <si>
    <t>Walking time to Ride 2</t>
  </si>
  <si>
    <t>Arrival time at Ride 2</t>
  </si>
  <si>
    <t>Wait time at ride 2</t>
  </si>
  <si>
    <t>Play time at Ride 2</t>
  </si>
  <si>
    <t>Ride 2 End time</t>
  </si>
  <si>
    <t>Walking time to Ride 3</t>
  </si>
  <si>
    <t>Arrival time at Ride 3</t>
  </si>
  <si>
    <t>Wait time at ride 3</t>
  </si>
  <si>
    <t>Play time at Ride 3</t>
  </si>
  <si>
    <t>Ride 3 End time</t>
  </si>
  <si>
    <t>Walking time to Ride 4</t>
  </si>
  <si>
    <t>Arrival time at Ride 4</t>
  </si>
  <si>
    <t>Wait time at ride 4</t>
  </si>
  <si>
    <t>Play time at Ride 4</t>
  </si>
  <si>
    <t>Ride 4 End time</t>
  </si>
  <si>
    <t>Walking time to Ride 5</t>
  </si>
  <si>
    <t>Arrival time at Ride 5</t>
  </si>
  <si>
    <t>Wait time at ride 5</t>
  </si>
  <si>
    <t>Play time at Ride 5</t>
  </si>
  <si>
    <t>Ride 5 End time</t>
  </si>
  <si>
    <t>Total Walk time</t>
  </si>
  <si>
    <t>Total (Walk + Wait) Time</t>
  </si>
  <si>
    <t>Computation Table (5 rides)</t>
  </si>
  <si>
    <t>Number of Rides</t>
  </si>
  <si>
    <t>Least 2 Total Time</t>
  </si>
  <si>
    <t>RESULTS for 4 rides combinations: Bottom few total time</t>
  </si>
  <si>
    <t>Computation Table (4 Rides)</t>
  </si>
  <si>
    <t>RESULTS for 3 rides combinations: Bottom few total time</t>
  </si>
  <si>
    <t>Computation Table (3 Rides)</t>
  </si>
  <si>
    <t>Sensitivity Analyses of wait times if visitor numbers change by weekday and weekend</t>
  </si>
  <si>
    <t>12pm</t>
  </si>
  <si>
    <t>6pm</t>
  </si>
  <si>
    <t>Change in visitorship</t>
  </si>
  <si>
    <t>lunch</t>
  </si>
  <si>
    <t>1pm</t>
  </si>
  <si>
    <t>1hr</t>
  </si>
  <si>
    <t>% Change</t>
  </si>
  <si>
    <t xml:space="preserve">Notes: </t>
  </si>
  <si>
    <t xml:space="preserve">Friday was categorised under weekends. </t>
  </si>
  <si>
    <t>Documentation</t>
  </si>
  <si>
    <t>B7:B13</t>
  </si>
  <si>
    <t>&lt;Input&gt;</t>
  </si>
  <si>
    <t>M7:M13</t>
  </si>
  <si>
    <t>Master Wait Times</t>
  </si>
  <si>
    <t>Weekday Wait Time</t>
  </si>
  <si>
    <t>Time</t>
  </si>
  <si>
    <t>Weekend Wait Time</t>
  </si>
  <si>
    <t>(a) During the time of data collection, USS opening days and hours are from Wednesdays to Sundays, 11am to 6pm.</t>
  </si>
  <si>
    <t xml:space="preserve">(b) Actual ride wait times were collected over 13 days from the USS App (refer to Simulation - Wait Time Data: sheet Raw Data). Data from 11 days were eventually used. </t>
  </si>
  <si>
    <t xml:space="preserve">      Resampling was performed to simulate more data and the Wait Time tables were computed from the average of the simulated data (refer to workbook Simulation - Wait Time Data: sheets S1 - S15).</t>
  </si>
  <si>
    <t xml:space="preserve">      As there might be differences in wait times every refresh due to simulation, a snapshot of the Wait Time tables were taken for usage in the Final Model.</t>
  </si>
  <si>
    <t>(c) Weekdays include Wednesdays and Thursdays. Weekends include Fridays, Saturdays and Sundays.</t>
  </si>
  <si>
    <t>(d) All average wait times have been rounded up to the nearest 5 min.</t>
  </si>
  <si>
    <t>Master Ride Times</t>
  </si>
  <si>
    <t>Ride Time</t>
  </si>
  <si>
    <t>Duration</t>
  </si>
  <si>
    <t>(a) Ride durations are referenced from a Travel Blog, Prepare Travel Plans.</t>
  </si>
  <si>
    <t>(b) Ride duration for Magic Potion Spin is not available and a 5 min duration is assumed.</t>
  </si>
  <si>
    <t>(c) All ride duration have been rounded up to the nearest 1 min.</t>
  </si>
  <si>
    <t>Master Walk Times</t>
  </si>
  <si>
    <t>Distance</t>
  </si>
  <si>
    <t>m</t>
  </si>
  <si>
    <t>Average Walk Time</t>
  </si>
  <si>
    <t>Estimated walking speed</t>
  </si>
  <si>
    <t>m/s</t>
  </si>
  <si>
    <t>Leisurely Walk Time</t>
  </si>
  <si>
    <t>Percentage of average walking speed</t>
  </si>
  <si>
    <t xml:space="preserve">(a) Distances are collected from GoogleMaps. </t>
  </si>
  <si>
    <t>(b) An average walking speed and leisurely walking speed have been estimated. These parameters may be adjusted.</t>
  </si>
  <si>
    <t>(c) All walk times have been rounded up to the nearest 1 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</si>
</sst>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quot;$&quot;* #,##0.00_-;_-&quot;$&quot;* &quot;-&quot;??_-;_-@_-"/>
    <numFmt numFmtId="164" formatCode="[h]"/>
    <numFmt numFmtId="165" formatCode="h:mm:ss;@"/>
  </numFmts>
  <fonts count="53">
    <font>
      <sz val="12"/>
      <color theme="1"/>
      <name val="Calibri"/>
      <family val="2"/>
      <scheme val="minor"/>
    </font>
    <font>
      <b/>
      <sz val="12"/>
      <color theme="1"/>
      <name val="Calibri"/>
      <family val="2"/>
      <scheme val="minor"/>
    </font>
    <font>
      <sz val="12"/>
      <color rgb="FF000000"/>
      <name val="Calibri"/>
      <family val="2"/>
      <scheme val="minor"/>
    </font>
    <font>
      <sz val="10"/>
      <color theme="1"/>
      <name val="Arial"/>
      <family val="2"/>
    </font>
    <font>
      <b/>
      <sz val="12"/>
      <color theme="0"/>
      <name val="Calibri"/>
      <family val="2"/>
      <scheme val="minor"/>
    </font>
    <font>
      <b/>
      <i/>
      <sz val="12"/>
      <color rgb="FF920000"/>
      <name val="Calibri"/>
      <family val="2"/>
      <scheme val="minor"/>
    </font>
    <font>
      <i/>
      <sz val="12"/>
      <color theme="1"/>
      <name val="Calibri"/>
      <family val="2"/>
      <scheme val="minor"/>
    </font>
    <font>
      <b/>
      <i/>
      <sz val="12"/>
      <color theme="4" tint="-0.499984740745262"/>
      <name val="Calibri"/>
      <family val="2"/>
      <scheme val="minor"/>
    </font>
    <font>
      <i/>
      <sz val="12"/>
      <color theme="4" tint="-0.499984740745262"/>
      <name val="Calibri"/>
      <family val="2"/>
      <scheme val="minor"/>
    </font>
    <font>
      <sz val="12"/>
      <name val="Calibri"/>
      <family val="2"/>
      <scheme val="minor"/>
    </font>
    <font>
      <b/>
      <sz val="12"/>
      <name val="Calibri"/>
      <family val="2"/>
      <scheme val="minor"/>
    </font>
    <font>
      <sz val="11"/>
      <color rgb="FF000000"/>
      <name val="Calibri"/>
      <family val="2"/>
    </font>
    <font>
      <b/>
      <sz val="12"/>
      <color theme="1"/>
      <name val="Arial"/>
      <family val="2"/>
    </font>
    <font>
      <sz val="8"/>
      <name val="Calibri"/>
      <family val="2"/>
      <scheme val="minor"/>
    </font>
    <font>
      <b/>
      <i/>
      <sz val="12"/>
      <color theme="1"/>
      <name val="Calibri"/>
      <family val="2"/>
      <scheme val="minor"/>
    </font>
    <font>
      <i/>
      <sz val="10"/>
      <color theme="1"/>
      <name val="Arial"/>
      <family val="2"/>
    </font>
    <font>
      <b/>
      <sz val="11"/>
      <color rgb="FF000000"/>
      <name val="Calibri"/>
      <family val="2"/>
      <scheme val="minor"/>
    </font>
    <font>
      <sz val="11"/>
      <color rgb="FF000000"/>
      <name val="Calibri"/>
      <family val="2"/>
      <scheme val="minor"/>
    </font>
    <font>
      <sz val="10"/>
      <color rgb="FF000000"/>
      <name val="Arial"/>
      <family val="2"/>
    </font>
    <font>
      <b/>
      <sz val="10"/>
      <color rgb="FF000000"/>
      <name val="Arial"/>
      <family val="2"/>
    </font>
    <font>
      <sz val="11"/>
      <color rgb="FF444444"/>
      <name val="Calibri"/>
      <family val="2"/>
    </font>
    <font>
      <i/>
      <sz val="10"/>
      <color theme="1"/>
      <name val="Calibri"/>
      <family val="2"/>
      <scheme val="minor"/>
    </font>
    <font>
      <sz val="12"/>
      <color theme="1"/>
      <name val="Calibri"/>
      <family val="2"/>
      <scheme val="minor"/>
    </font>
    <font>
      <b/>
      <u/>
      <sz val="12"/>
      <color theme="1"/>
      <name val="Calibri"/>
      <family val="2"/>
      <scheme val="minor"/>
    </font>
    <font>
      <b/>
      <sz val="10"/>
      <color theme="1"/>
      <name val="Arial"/>
      <family val="2"/>
    </font>
    <font>
      <b/>
      <sz val="12"/>
      <color rgb="FFFFFF00"/>
      <name val="Calibri"/>
      <family val="2"/>
      <scheme val="minor"/>
    </font>
    <font>
      <sz val="12"/>
      <color theme="0"/>
      <name val="Calibri"/>
      <family val="2"/>
      <scheme val="minor"/>
    </font>
    <font>
      <sz val="12"/>
      <color rgb="FFFFFF00"/>
      <name val="Calibri"/>
      <family val="2"/>
      <scheme val="minor"/>
    </font>
    <font>
      <sz val="12"/>
      <color rgb="FFFF0000"/>
      <name val="Calibri"/>
      <family val="2"/>
      <scheme val="minor"/>
    </font>
    <font>
      <b/>
      <sz val="11"/>
      <color rgb="FFFFFFFF"/>
      <name val="Calibri"/>
      <family val="2"/>
    </font>
    <font>
      <sz val="11"/>
      <color rgb="FFFFFFFF"/>
      <name val="Calibri"/>
      <family val="2"/>
    </font>
    <font>
      <sz val="11"/>
      <color theme="0"/>
      <name val="Calibri"/>
      <family val="2"/>
    </font>
    <font>
      <b/>
      <sz val="11"/>
      <color rgb="FFFFFFFF"/>
      <name val="Calibri"/>
      <family val="2"/>
      <scheme val="minor"/>
    </font>
    <font>
      <b/>
      <sz val="9"/>
      <color indexed="81"/>
      <name val="Tahoma"/>
      <family val="2"/>
    </font>
    <font>
      <sz val="9"/>
      <color indexed="81"/>
      <name val="Tahoma"/>
      <family val="2"/>
    </font>
    <font>
      <u/>
      <sz val="9"/>
      <color indexed="81"/>
      <name val="Tahoma"/>
      <family val="2"/>
    </font>
    <font>
      <i/>
      <sz val="9"/>
      <color indexed="81"/>
      <name val="Tahoma"/>
      <family val="2"/>
    </font>
    <font>
      <sz val="12"/>
      <color theme="0"/>
      <name val="Avenir Book"/>
      <family val="2"/>
    </font>
    <font>
      <b/>
      <sz val="14"/>
      <color theme="0"/>
      <name val="Avenir Book"/>
      <family val="2"/>
    </font>
    <font>
      <sz val="11"/>
      <color theme="0"/>
      <name val="Avenir Book"/>
      <family val="2"/>
    </font>
    <font>
      <sz val="12"/>
      <color theme="1" tint="0.249977111117893"/>
      <name val="Calibri"/>
      <family val="2"/>
      <scheme val="minor"/>
    </font>
    <font>
      <sz val="12"/>
      <color rgb="FF1F3D73"/>
      <name val="Calibri"/>
      <family val="2"/>
      <scheme val="minor"/>
    </font>
    <font>
      <b/>
      <sz val="12"/>
      <color rgb="FF1F3D73"/>
      <name val="Calibri"/>
      <family val="2"/>
      <scheme val="minor"/>
    </font>
    <font>
      <sz val="12"/>
      <color theme="0" tint="-4.9989318521683403E-2"/>
      <name val="Avenir Book"/>
      <family val="2"/>
    </font>
    <font>
      <sz val="12"/>
      <color theme="1" tint="0.249977111117893"/>
      <name val="Avenir Book"/>
      <family val="2"/>
    </font>
    <font>
      <b/>
      <sz val="14"/>
      <color theme="0" tint="-4.9989318521683403E-2"/>
      <name val="Avenir Book"/>
      <family val="2"/>
    </font>
    <font>
      <b/>
      <sz val="12"/>
      <color rgb="FF1F3D73"/>
      <name val="Avenir Book"/>
      <family val="2"/>
    </font>
    <font>
      <sz val="12"/>
      <color rgb="FF1F3D73"/>
      <name val="Avenir Book"/>
      <family val="2"/>
    </font>
    <font>
      <i/>
      <sz val="11"/>
      <color indexed="16"/>
      <name val="Calibri"/>
      <family val="2"/>
      <scheme val="minor"/>
    </font>
    <font>
      <sz val="11"/>
      <color theme="1"/>
      <name val="Calibri"/>
      <family val="2"/>
      <scheme val="minor"/>
    </font>
    <font>
      <b/>
      <sz val="11"/>
      <color theme="1"/>
      <name val="Calibri"/>
      <family val="2"/>
      <scheme val="minor"/>
    </font>
    <font>
      <sz val="12"/>
      <color rgb="FF000000"/>
      <name val="Avenir"/>
    </font>
    <font>
      <sz val="12"/>
      <color rgb="FF000000"/>
      <name val="Calibri"/>
      <family val="2"/>
    </font>
  </fonts>
  <fills count="28">
    <fill>
      <patternFill patternType="none"/>
    </fill>
    <fill>
      <patternFill patternType="gray125"/>
    </fill>
    <fill>
      <patternFill patternType="solid">
        <fgColor theme="4" tint="0.79998168889431442"/>
        <bgColor indexed="64"/>
      </patternFill>
    </fill>
    <fill>
      <patternFill patternType="solid">
        <fgColor theme="3"/>
        <bgColor indexed="64"/>
      </patternFill>
    </fill>
    <fill>
      <patternFill patternType="solid">
        <fgColor theme="4" tint="-0.499984740745262"/>
        <bgColor indexed="64"/>
      </patternFill>
    </fill>
    <fill>
      <patternFill patternType="solid">
        <fgColor theme="4" tint="0.59999389629810485"/>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DDEBF7"/>
        <bgColor rgb="FF000000"/>
      </patternFill>
    </fill>
    <fill>
      <patternFill patternType="solid">
        <fgColor rgb="FFFFF2CC"/>
        <bgColor rgb="FF000000"/>
      </patternFill>
    </fill>
    <fill>
      <patternFill patternType="solid">
        <fgColor theme="7" tint="0.79998168889431442"/>
        <bgColor rgb="FF000000"/>
      </patternFill>
    </fill>
    <fill>
      <patternFill patternType="solid">
        <fgColor theme="1"/>
        <bgColor indexed="64"/>
      </patternFill>
    </fill>
    <fill>
      <patternFill patternType="solid">
        <fgColor theme="0"/>
        <bgColor indexed="64"/>
      </patternFill>
    </fill>
    <fill>
      <patternFill patternType="solid">
        <fgColor rgb="FF4472C4"/>
        <bgColor rgb="FF000000"/>
      </patternFill>
    </fill>
    <fill>
      <patternFill patternType="solid">
        <fgColor rgb="FFED7D31"/>
        <bgColor rgb="FF000000"/>
      </patternFill>
    </fill>
    <fill>
      <patternFill patternType="solid">
        <fgColor rgb="FF00B0F0"/>
        <bgColor indexed="64"/>
      </patternFill>
    </fill>
    <fill>
      <patternFill patternType="solid">
        <fgColor rgb="FF00B050"/>
        <bgColor indexed="64"/>
      </patternFill>
    </fill>
    <fill>
      <patternFill patternType="solid">
        <fgColor rgb="FFC00000"/>
        <bgColor indexed="64"/>
      </patternFill>
    </fill>
    <fill>
      <patternFill patternType="solid">
        <fgColor theme="7" tint="0.39997558519241921"/>
        <bgColor indexed="64"/>
      </patternFill>
    </fill>
    <fill>
      <patternFill patternType="solid">
        <fgColor rgb="FF7030A0"/>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rgb="FFFFCCFF"/>
        <bgColor indexed="64"/>
      </patternFill>
    </fill>
    <fill>
      <patternFill patternType="solid">
        <fgColor rgb="FFFFFF99"/>
        <bgColor indexed="64"/>
      </patternFill>
    </fill>
    <fill>
      <patternFill patternType="solid">
        <fgColor rgb="FF1F3D73"/>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1F3D73"/>
        <bgColor rgb="FF000000"/>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theme="0"/>
      </left>
      <right style="thin">
        <color theme="0"/>
      </right>
      <top style="thin">
        <color theme="0"/>
      </top>
      <bottom style="thin">
        <color theme="0"/>
      </bottom>
      <diagonal/>
    </border>
  </borders>
  <cellStyleXfs count="3">
    <xf numFmtId="0" fontId="0" fillId="0" borderId="0"/>
    <xf numFmtId="44" fontId="22" fillId="0" borderId="0" applyFont="0" applyFill="0" applyBorder="0" applyAlignment="0" applyProtection="0"/>
    <xf numFmtId="9" fontId="22" fillId="0" borderId="0" applyFont="0" applyFill="0" applyBorder="0" applyAlignment="0" applyProtection="0"/>
  </cellStyleXfs>
  <cellXfs count="176">
    <xf numFmtId="0" fontId="0" fillId="0" borderId="0" xfId="0"/>
    <xf numFmtId="0" fontId="0" fillId="4" borderId="6" xfId="0" applyFill="1" applyBorder="1" applyAlignment="1">
      <alignment horizontal="center"/>
    </xf>
    <xf numFmtId="20" fontId="0" fillId="2" borderId="4" xfId="0" applyNumberFormat="1" applyFill="1" applyBorder="1" applyAlignment="1">
      <alignment horizontal="center"/>
    </xf>
    <xf numFmtId="21" fontId="0" fillId="0" borderId="1" xfId="0" applyNumberFormat="1" applyBorder="1" applyAlignment="1">
      <alignment horizontal="center"/>
    </xf>
    <xf numFmtId="21" fontId="0" fillId="0" borderId="2" xfId="0" applyNumberFormat="1" applyBorder="1" applyAlignment="1">
      <alignment horizontal="center"/>
    </xf>
    <xf numFmtId="21" fontId="0" fillId="0" borderId="3" xfId="0" applyNumberFormat="1" applyBorder="1" applyAlignment="1">
      <alignment horizontal="center"/>
    </xf>
    <xf numFmtId="21" fontId="0" fillId="0" borderId="5" xfId="0" applyNumberFormat="1" applyBorder="1" applyAlignment="1">
      <alignment horizontal="center"/>
    </xf>
    <xf numFmtId="21" fontId="0" fillId="0" borderId="0" xfId="0" applyNumberFormat="1" applyAlignment="1">
      <alignment horizontal="left"/>
    </xf>
    <xf numFmtId="0" fontId="5" fillId="0" borderId="0" xfId="0" applyFont="1"/>
    <xf numFmtId="0" fontId="6" fillId="0" borderId="0" xfId="0" applyFont="1" applyAlignment="1">
      <alignment horizontal="center"/>
    </xf>
    <xf numFmtId="0" fontId="4" fillId="3" borderId="7" xfId="0" applyFont="1" applyFill="1" applyBorder="1" applyAlignment="1">
      <alignment horizontal="center"/>
    </xf>
    <xf numFmtId="0" fontId="4" fillId="3" borderId="8" xfId="0" applyFont="1" applyFill="1" applyBorder="1" applyAlignment="1">
      <alignment horizontal="center"/>
    </xf>
    <xf numFmtId="0" fontId="4" fillId="3" borderId="11" xfId="0" applyFont="1" applyFill="1" applyBorder="1" applyAlignment="1">
      <alignment horizontal="center"/>
    </xf>
    <xf numFmtId="0" fontId="4" fillId="3" borderId="10" xfId="0" applyFont="1" applyFill="1" applyBorder="1" applyAlignment="1">
      <alignment horizontal="center"/>
    </xf>
    <xf numFmtId="0" fontId="0" fillId="0" borderId="4" xfId="0" applyBorder="1"/>
    <xf numFmtId="0" fontId="4" fillId="3" borderId="6" xfId="0" applyFont="1" applyFill="1" applyBorder="1" applyAlignment="1">
      <alignment horizontal="center"/>
    </xf>
    <xf numFmtId="0" fontId="0" fillId="0" borderId="9" xfId="0" applyBorder="1"/>
    <xf numFmtId="20" fontId="0" fillId="0" borderId="0" xfId="0" applyNumberFormat="1" applyAlignment="1">
      <alignment horizontal="left"/>
    </xf>
    <xf numFmtId="0" fontId="0" fillId="0" borderId="0" xfId="0" applyAlignment="1">
      <alignment horizontal="center"/>
    </xf>
    <xf numFmtId="0" fontId="0" fillId="0" borderId="1" xfId="0" applyBorder="1" applyAlignment="1">
      <alignment horizontal="center"/>
    </xf>
    <xf numFmtId="0" fontId="4" fillId="3" borderId="1" xfId="0" applyFont="1" applyFill="1" applyBorder="1" applyAlignment="1">
      <alignment horizontal="left"/>
    </xf>
    <xf numFmtId="20" fontId="0" fillId="5" borderId="1" xfId="0" applyNumberFormat="1" applyFill="1" applyBorder="1"/>
    <xf numFmtId="0" fontId="2" fillId="0" borderId="1" xfId="0" applyFont="1" applyBorder="1" applyAlignment="1">
      <alignment horizontal="center"/>
    </xf>
    <xf numFmtId="0" fontId="5" fillId="0" borderId="0" xfId="0" applyFont="1" applyAlignment="1">
      <alignment horizontal="center"/>
    </xf>
    <xf numFmtId="0" fontId="7" fillId="0" borderId="0" xfId="0" applyFont="1"/>
    <xf numFmtId="0" fontId="6" fillId="0" borderId="0" xfId="0" applyFont="1" applyAlignment="1">
      <alignment horizontal="left"/>
    </xf>
    <xf numFmtId="0" fontId="8" fillId="0" borderId="0" xfId="0" applyFont="1"/>
    <xf numFmtId="20" fontId="0" fillId="5" borderId="4" xfId="0" applyNumberFormat="1" applyFill="1" applyBorder="1"/>
    <xf numFmtId="0" fontId="4" fillId="3" borderId="6" xfId="0" applyFont="1" applyFill="1" applyBorder="1" applyAlignment="1">
      <alignment horizontal="left"/>
    </xf>
    <xf numFmtId="20" fontId="0" fillId="5" borderId="9" xfId="0" applyNumberFormat="1" applyFill="1" applyBorder="1"/>
    <xf numFmtId="20" fontId="9" fillId="5" borderId="11" xfId="0" applyNumberFormat="1" applyFont="1" applyFill="1" applyBorder="1" applyAlignment="1">
      <alignment horizontal="center"/>
    </xf>
    <xf numFmtId="20" fontId="9" fillId="5" borderId="10" xfId="0" applyNumberFormat="1" applyFont="1" applyFill="1" applyBorder="1" applyAlignment="1">
      <alignment horizontal="center"/>
    </xf>
    <xf numFmtId="20" fontId="10" fillId="5" borderId="11" xfId="0" applyNumberFormat="1" applyFont="1" applyFill="1" applyBorder="1" applyAlignment="1">
      <alignment horizontal="center"/>
    </xf>
    <xf numFmtId="20" fontId="10" fillId="5" borderId="10" xfId="0" applyNumberFormat="1" applyFont="1" applyFill="1" applyBorder="1" applyAlignment="1">
      <alignment horizontal="center"/>
    </xf>
    <xf numFmtId="20" fontId="1" fillId="5" borderId="1" xfId="0" applyNumberFormat="1" applyFont="1" applyFill="1" applyBorder="1" applyAlignment="1">
      <alignment horizontal="center"/>
    </xf>
    <xf numFmtId="0" fontId="11" fillId="0" borderId="0" xfId="0" applyFont="1" applyAlignment="1">
      <alignment horizontal="center"/>
    </xf>
    <xf numFmtId="0" fontId="12" fillId="0" borderId="0" xfId="0" applyFont="1"/>
    <xf numFmtId="0" fontId="14" fillId="0" borderId="0" xfId="0" applyFont="1" applyAlignment="1">
      <alignment horizontal="center"/>
    </xf>
    <xf numFmtId="0" fontId="15" fillId="0" borderId="0" xfId="0" applyFont="1"/>
    <xf numFmtId="0" fontId="0" fillId="6" borderId="1" xfId="0" applyFill="1" applyBorder="1" applyAlignment="1">
      <alignment horizontal="center"/>
    </xf>
    <xf numFmtId="20" fontId="0" fillId="6" borderId="1" xfId="0" applyNumberFormat="1" applyFill="1" applyBorder="1" applyAlignment="1">
      <alignment horizontal="center"/>
    </xf>
    <xf numFmtId="21" fontId="0" fillId="6" borderId="1" xfId="0" applyNumberFormat="1" applyFill="1" applyBorder="1" applyAlignment="1">
      <alignment horizontal="center"/>
    </xf>
    <xf numFmtId="0" fontId="0" fillId="0" borderId="0" xfId="0" applyAlignment="1">
      <alignment horizontal="left"/>
    </xf>
    <xf numFmtId="0" fontId="7" fillId="0" borderId="0" xfId="0" applyFont="1" applyAlignment="1">
      <alignment horizontal="right"/>
    </xf>
    <xf numFmtId="0" fontId="7" fillId="0" borderId="0" xfId="0" applyFont="1" applyAlignment="1">
      <alignment horizontal="left"/>
    </xf>
    <xf numFmtId="9" fontId="0" fillId="7" borderId="1" xfId="0" applyNumberFormat="1" applyFill="1" applyBorder="1" applyAlignment="1">
      <alignment horizontal="center"/>
    </xf>
    <xf numFmtId="0" fontId="16" fillId="0" borderId="0" xfId="0" applyFont="1"/>
    <xf numFmtId="0" fontId="17" fillId="0" borderId="0" xfId="0" applyFont="1"/>
    <xf numFmtId="21" fontId="17" fillId="0" borderId="1" xfId="0" applyNumberFormat="1" applyFont="1" applyBorder="1" applyAlignment="1">
      <alignment horizontal="center"/>
    </xf>
    <xf numFmtId="0" fontId="18" fillId="0" borderId="1" xfId="0" applyFont="1" applyBorder="1" applyAlignment="1">
      <alignment horizontal="center"/>
    </xf>
    <xf numFmtId="0" fontId="18" fillId="0" borderId="0" xfId="0" applyFont="1" applyAlignment="1">
      <alignment horizontal="center"/>
    </xf>
    <xf numFmtId="0" fontId="18" fillId="8" borderId="0" xfId="0" applyFont="1" applyFill="1" applyAlignment="1">
      <alignment horizontal="left"/>
    </xf>
    <xf numFmtId="20" fontId="18" fillId="0" borderId="1" xfId="0" applyNumberFormat="1" applyFont="1" applyBorder="1" applyAlignment="1">
      <alignment horizontal="center"/>
    </xf>
    <xf numFmtId="0" fontId="18" fillId="9" borderId="1" xfId="0" applyFont="1" applyFill="1" applyBorder="1" applyAlignment="1">
      <alignment horizontal="center"/>
    </xf>
    <xf numFmtId="0" fontId="17" fillId="0" borderId="1" xfId="0" applyFont="1" applyBorder="1" applyAlignment="1">
      <alignment horizontal="center"/>
    </xf>
    <xf numFmtId="0" fontId="17" fillId="0" borderId="0" xfId="0" applyFont="1" applyAlignment="1">
      <alignment horizontal="right"/>
    </xf>
    <xf numFmtId="0" fontId="17" fillId="9" borderId="1" xfId="0" applyFont="1" applyFill="1" applyBorder="1" applyAlignment="1">
      <alignment horizontal="center"/>
    </xf>
    <xf numFmtId="0" fontId="16" fillId="0" borderId="1" xfId="0" applyFont="1" applyBorder="1" applyAlignment="1">
      <alignment horizontal="center"/>
    </xf>
    <xf numFmtId="0" fontId="17" fillId="0" borderId="0" xfId="0" applyFont="1" applyAlignment="1">
      <alignment horizontal="center"/>
    </xf>
    <xf numFmtId="0" fontId="19" fillId="0" borderId="1" xfId="0" applyFont="1" applyBorder="1" applyAlignment="1">
      <alignment horizontal="center"/>
    </xf>
    <xf numFmtId="0" fontId="19" fillId="0" borderId="3" xfId="0" applyFont="1" applyBorder="1" applyAlignment="1">
      <alignment horizontal="center"/>
    </xf>
    <xf numFmtId="0" fontId="1" fillId="0" borderId="0" xfId="0" applyFont="1"/>
    <xf numFmtId="0" fontId="17" fillId="10" borderId="1" xfId="0" applyFont="1" applyFill="1" applyBorder="1" applyAlignment="1">
      <alignment horizontal="center"/>
    </xf>
    <xf numFmtId="0" fontId="18" fillId="10" borderId="1" xfId="0" applyFont="1" applyFill="1" applyBorder="1" applyAlignment="1">
      <alignment horizontal="center"/>
    </xf>
    <xf numFmtId="21" fontId="0" fillId="7" borderId="1" xfId="0" applyNumberFormat="1" applyFill="1" applyBorder="1" applyAlignment="1">
      <alignment horizontal="center"/>
    </xf>
    <xf numFmtId="0" fontId="0" fillId="0" borderId="0" xfId="0" quotePrefix="1"/>
    <xf numFmtId="0" fontId="20" fillId="0" borderId="12" xfId="0" applyFont="1" applyBorder="1" applyAlignment="1">
      <alignment horizontal="center"/>
    </xf>
    <xf numFmtId="0" fontId="18" fillId="0" borderId="0" xfId="0" applyFont="1" applyAlignment="1">
      <alignment horizontal="left"/>
    </xf>
    <xf numFmtId="21" fontId="17" fillId="6" borderId="1" xfId="0" applyNumberFormat="1" applyFont="1" applyFill="1" applyBorder="1" applyAlignment="1">
      <alignment horizontal="center"/>
    </xf>
    <xf numFmtId="0" fontId="17" fillId="0" borderId="2" xfId="0" applyFont="1" applyBorder="1" applyAlignment="1">
      <alignment horizontal="center"/>
    </xf>
    <xf numFmtId="2" fontId="0" fillId="7" borderId="1" xfId="0" applyNumberFormat="1" applyFill="1" applyBorder="1" applyAlignment="1">
      <alignment horizontal="center"/>
    </xf>
    <xf numFmtId="165" fontId="0" fillId="0" borderId="0" xfId="0" applyNumberFormat="1"/>
    <xf numFmtId="0" fontId="0" fillId="0" borderId="1" xfId="0" applyBorder="1" applyAlignment="1">
      <alignment horizontal="center" vertical="center"/>
    </xf>
    <xf numFmtId="0" fontId="1" fillId="0" borderId="0" xfId="0" applyFont="1" applyAlignment="1">
      <alignment horizontal="left"/>
    </xf>
    <xf numFmtId="21" fontId="0" fillId="0" borderId="0" xfId="0" applyNumberFormat="1" applyAlignment="1">
      <alignment horizontal="center"/>
    </xf>
    <xf numFmtId="20" fontId="0" fillId="0" borderId="0" xfId="0" applyNumberFormat="1"/>
    <xf numFmtId="21" fontId="2" fillId="0" borderId="0" xfId="0" applyNumberFormat="1" applyFont="1" applyAlignment="1">
      <alignment horizontal="left"/>
    </xf>
    <xf numFmtId="0" fontId="21" fillId="0" borderId="0" xfId="0" quotePrefix="1" applyFont="1"/>
    <xf numFmtId="0" fontId="0" fillId="5" borderId="0" xfId="0" applyFill="1"/>
    <xf numFmtId="0" fontId="0" fillId="0" borderId="1" xfId="0" applyBorder="1"/>
    <xf numFmtId="0" fontId="6" fillId="0" borderId="0" xfId="0" applyFont="1" applyAlignment="1">
      <alignment horizontal="right"/>
    </xf>
    <xf numFmtId="21" fontId="0" fillId="0" borderId="0" xfId="0" applyNumberFormat="1"/>
    <xf numFmtId="0" fontId="23" fillId="0" borderId="0" xfId="0" applyFont="1"/>
    <xf numFmtId="0" fontId="0" fillId="0" borderId="0" xfId="0" applyAlignment="1">
      <alignment horizontal="right"/>
    </xf>
    <xf numFmtId="0" fontId="24" fillId="0" borderId="1" xfId="0" applyFont="1" applyBorder="1" applyAlignment="1">
      <alignment horizontal="center"/>
    </xf>
    <xf numFmtId="9" fontId="0" fillId="0" borderId="0" xfId="0" applyNumberFormat="1"/>
    <xf numFmtId="0" fontId="4" fillId="11" borderId="13" xfId="0" applyFont="1" applyFill="1" applyBorder="1" applyAlignment="1">
      <alignment horizontal="center"/>
    </xf>
    <xf numFmtId="0" fontId="25" fillId="11" borderId="13" xfId="0" applyFont="1" applyFill="1" applyBorder="1"/>
    <xf numFmtId="0" fontId="0" fillId="12" borderId="0" xfId="0" applyFill="1"/>
    <xf numFmtId="0" fontId="3" fillId="0" borderId="1" xfId="0" applyFont="1" applyBorder="1" applyAlignment="1">
      <alignment horizontal="center"/>
    </xf>
    <xf numFmtId="21" fontId="3" fillId="0" borderId="1" xfId="0" applyNumberFormat="1" applyFont="1" applyBorder="1" applyAlignment="1">
      <alignment horizontal="center"/>
    </xf>
    <xf numFmtId="21" fontId="26" fillId="11" borderId="13" xfId="0" applyNumberFormat="1" applyFont="1" applyFill="1" applyBorder="1" applyAlignment="1">
      <alignment horizontal="center"/>
    </xf>
    <xf numFmtId="0" fontId="27" fillId="11" borderId="13" xfId="0" applyFont="1" applyFill="1" applyBorder="1" applyAlignment="1">
      <alignment horizontal="center"/>
    </xf>
    <xf numFmtId="9" fontId="0" fillId="0" borderId="0" xfId="2" applyFont="1" applyBorder="1"/>
    <xf numFmtId="0" fontId="3" fillId="0" borderId="0" xfId="0" applyFont="1" applyAlignment="1">
      <alignment horizontal="center"/>
    </xf>
    <xf numFmtId="0" fontId="27" fillId="11" borderId="13" xfId="0" quotePrefix="1" applyFont="1" applyFill="1" applyBorder="1" applyAlignment="1">
      <alignment horizontal="center"/>
    </xf>
    <xf numFmtId="21" fontId="9" fillId="0" borderId="0" xfId="0" applyNumberFormat="1" applyFont="1" applyAlignment="1">
      <alignment horizontal="right"/>
    </xf>
    <xf numFmtId="0" fontId="28" fillId="0" borderId="0" xfId="0" applyFont="1" applyAlignment="1">
      <alignment horizontal="center"/>
    </xf>
    <xf numFmtId="21" fontId="3" fillId="0" borderId="0" xfId="0" applyNumberFormat="1" applyFont="1" applyAlignment="1">
      <alignment horizontal="center"/>
    </xf>
    <xf numFmtId="0" fontId="29" fillId="13" borderId="1" xfId="0" applyFont="1" applyFill="1" applyBorder="1" applyAlignment="1">
      <alignment horizontal="center" vertical="center"/>
    </xf>
    <xf numFmtId="0" fontId="30" fillId="13" borderId="1" xfId="0" applyFont="1" applyFill="1" applyBorder="1" applyAlignment="1">
      <alignment horizontal="center" vertical="center" wrapText="1"/>
    </xf>
    <xf numFmtId="0" fontId="30" fillId="14" borderId="1" xfId="0" applyFont="1" applyFill="1" applyBorder="1" applyAlignment="1">
      <alignment horizontal="center" vertical="center" wrapText="1"/>
    </xf>
    <xf numFmtId="0" fontId="11" fillId="15" borderId="1" xfId="0" applyFont="1" applyFill="1" applyBorder="1" applyAlignment="1">
      <alignment horizontal="center" vertical="center" wrapText="1"/>
    </xf>
    <xf numFmtId="0" fontId="31" fillId="11" borderId="1" xfId="0" applyFont="1" applyFill="1" applyBorder="1" applyAlignment="1">
      <alignment horizontal="center" vertical="center" wrapText="1"/>
    </xf>
    <xf numFmtId="0" fontId="30" fillId="16" borderId="1" xfId="0" applyFont="1" applyFill="1" applyBorder="1" applyAlignment="1">
      <alignment horizontal="center" vertical="center" wrapText="1"/>
    </xf>
    <xf numFmtId="0" fontId="30" fillId="17" borderId="1" xfId="0" applyFont="1" applyFill="1" applyBorder="1" applyAlignment="1">
      <alignment horizontal="center" vertical="center" wrapText="1"/>
    </xf>
    <xf numFmtId="0" fontId="11" fillId="0" borderId="1" xfId="0" applyFont="1" applyBorder="1" applyAlignment="1">
      <alignment horizontal="center" vertical="center" wrapText="1"/>
    </xf>
    <xf numFmtId="0" fontId="11" fillId="18" borderId="1" xfId="0" applyFont="1" applyFill="1" applyBorder="1" applyAlignment="1">
      <alignment horizontal="center" vertical="center" wrapText="1"/>
    </xf>
    <xf numFmtId="0" fontId="32" fillId="16" borderId="1" xfId="0" applyFont="1" applyFill="1" applyBorder="1" applyAlignment="1">
      <alignment horizontal="center" vertical="center" wrapText="1"/>
    </xf>
    <xf numFmtId="0" fontId="32" fillId="17" borderId="1" xfId="0" applyFont="1" applyFill="1" applyBorder="1" applyAlignment="1">
      <alignment horizontal="center" vertical="center" wrapText="1"/>
    </xf>
    <xf numFmtId="0" fontId="32" fillId="19" borderId="1" xfId="0" applyFont="1" applyFill="1" applyBorder="1" applyAlignment="1">
      <alignment horizontal="center" vertical="center" wrapText="1"/>
    </xf>
    <xf numFmtId="0" fontId="11" fillId="0" borderId="1" xfId="0" applyFont="1" applyBorder="1" applyAlignment="1">
      <alignment horizontal="center" vertical="center"/>
    </xf>
    <xf numFmtId="0" fontId="11" fillId="0" borderId="1" xfId="0" applyFont="1" applyBorder="1" applyAlignment="1">
      <alignment horizontal="center"/>
    </xf>
    <xf numFmtId="21" fontId="11" fillId="6" borderId="1" xfId="0" applyNumberFormat="1" applyFont="1" applyFill="1" applyBorder="1" applyAlignment="1">
      <alignment horizontal="center"/>
    </xf>
    <xf numFmtId="0" fontId="11" fillId="20" borderId="1" xfId="0" applyFont="1" applyFill="1" applyBorder="1" applyAlignment="1">
      <alignment horizontal="center"/>
    </xf>
    <xf numFmtId="21" fontId="11" fillId="21" borderId="1" xfId="0" applyNumberFormat="1" applyFont="1" applyFill="1" applyBorder="1" applyAlignment="1">
      <alignment horizontal="center"/>
    </xf>
    <xf numFmtId="21" fontId="11" fillId="22" borderId="1" xfId="0" applyNumberFormat="1" applyFont="1" applyFill="1" applyBorder="1" applyAlignment="1">
      <alignment horizontal="center"/>
    </xf>
    <xf numFmtId="21" fontId="11" fillId="23" borderId="1" xfId="0" applyNumberFormat="1" applyFont="1" applyFill="1" applyBorder="1" applyAlignment="1">
      <alignment horizontal="center"/>
    </xf>
    <xf numFmtId="21" fontId="11" fillId="0" borderId="1" xfId="0" applyNumberFormat="1" applyFont="1" applyBorder="1" applyAlignment="1">
      <alignment horizontal="center"/>
    </xf>
    <xf numFmtId="21" fontId="11" fillId="2" borderId="1" xfId="0" applyNumberFormat="1" applyFont="1" applyFill="1" applyBorder="1" applyAlignment="1">
      <alignment horizontal="center"/>
    </xf>
    <xf numFmtId="44" fontId="0" fillId="0" borderId="0" xfId="1" applyFont="1"/>
    <xf numFmtId="14" fontId="0" fillId="0" borderId="0" xfId="0" applyNumberFormat="1"/>
    <xf numFmtId="0" fontId="3" fillId="0" borderId="1" xfId="0" quotePrefix="1" applyFont="1" applyBorder="1" applyAlignment="1">
      <alignment horizontal="center"/>
    </xf>
    <xf numFmtId="20" fontId="0" fillId="0" borderId="0" xfId="0" applyNumberFormat="1" applyAlignment="1">
      <alignment horizontal="center"/>
    </xf>
    <xf numFmtId="21" fontId="17" fillId="0" borderId="0" xfId="0" applyNumberFormat="1" applyFont="1" applyAlignment="1">
      <alignment horizontal="center"/>
    </xf>
    <xf numFmtId="0" fontId="19" fillId="0" borderId="0" xfId="0" applyFont="1" applyAlignment="1">
      <alignment horizontal="center"/>
    </xf>
    <xf numFmtId="21" fontId="2" fillId="0" borderId="0" xfId="0" applyNumberFormat="1" applyFont="1" applyAlignment="1">
      <alignment horizontal="center"/>
    </xf>
    <xf numFmtId="20" fontId="18" fillId="0" borderId="0" xfId="0" applyNumberFormat="1" applyFont="1" applyAlignment="1">
      <alignment horizontal="center"/>
    </xf>
    <xf numFmtId="0" fontId="0" fillId="24" borderId="0" xfId="0" applyFill="1"/>
    <xf numFmtId="0" fontId="26" fillId="24" borderId="0" xfId="0" applyFont="1" applyFill="1"/>
    <xf numFmtId="0" fontId="37" fillId="24" borderId="0" xfId="0" applyFont="1" applyFill="1"/>
    <xf numFmtId="0" fontId="37" fillId="24" borderId="0" xfId="0" applyFont="1" applyFill="1" applyAlignment="1">
      <alignment horizontal="left"/>
    </xf>
    <xf numFmtId="0" fontId="37" fillId="24" borderId="0" xfId="0" applyFont="1" applyFill="1" applyAlignment="1">
      <alignment horizontal="right"/>
    </xf>
    <xf numFmtId="0" fontId="38" fillId="24" borderId="0" xfId="0" applyFont="1" applyFill="1" applyAlignment="1">
      <alignment horizontal="left"/>
    </xf>
    <xf numFmtId="0" fontId="41" fillId="24" borderId="0" xfId="0" applyFont="1" applyFill="1"/>
    <xf numFmtId="0" fontId="1" fillId="24" borderId="0" xfId="0" applyFont="1" applyFill="1"/>
    <xf numFmtId="0" fontId="42" fillId="24" borderId="0" xfId="0" applyFont="1" applyFill="1"/>
    <xf numFmtId="0" fontId="43" fillId="24" borderId="0" xfId="0" applyFont="1" applyFill="1"/>
    <xf numFmtId="0" fontId="43" fillId="24" borderId="0" xfId="0" applyFont="1" applyFill="1" applyAlignment="1">
      <alignment horizontal="left"/>
    </xf>
    <xf numFmtId="0" fontId="43" fillId="24" borderId="0" xfId="0" applyFont="1" applyFill="1" applyAlignment="1">
      <alignment horizontal="right"/>
    </xf>
    <xf numFmtId="0" fontId="43" fillId="24" borderId="0" xfId="0" applyFont="1" applyFill="1" applyAlignment="1">
      <alignment horizontal="center"/>
    </xf>
    <xf numFmtId="0" fontId="44" fillId="7" borderId="1" xfId="0" applyFont="1" applyFill="1" applyBorder="1" applyAlignment="1">
      <alignment horizontal="center"/>
    </xf>
    <xf numFmtId="20" fontId="44" fillId="7" borderId="1" xfId="0" applyNumberFormat="1" applyFont="1" applyFill="1" applyBorder="1" applyAlignment="1">
      <alignment horizontal="center"/>
    </xf>
    <xf numFmtId="0" fontId="39" fillId="24" borderId="0" xfId="0" applyFont="1" applyFill="1" applyAlignment="1">
      <alignment horizontal="center"/>
    </xf>
    <xf numFmtId="21" fontId="44" fillId="7" borderId="1" xfId="0" applyNumberFormat="1" applyFont="1" applyFill="1" applyBorder="1" applyAlignment="1">
      <alignment horizontal="center"/>
    </xf>
    <xf numFmtId="164" fontId="44" fillId="7" borderId="1" xfId="0" applyNumberFormat="1" applyFont="1" applyFill="1" applyBorder="1" applyAlignment="1">
      <alignment horizontal="center"/>
    </xf>
    <xf numFmtId="0" fontId="45" fillId="24" borderId="0" xfId="0" applyFont="1" applyFill="1" applyAlignment="1">
      <alignment horizontal="left"/>
    </xf>
    <xf numFmtId="21" fontId="0" fillId="24" borderId="0" xfId="0" applyNumberFormat="1" applyFill="1"/>
    <xf numFmtId="0" fontId="0" fillId="24" borderId="0" xfId="0" quotePrefix="1" applyFill="1"/>
    <xf numFmtId="0" fontId="40" fillId="24" borderId="0" xfId="0" applyFont="1" applyFill="1"/>
    <xf numFmtId="0" fontId="46" fillId="26" borderId="0" xfId="0" applyFont="1" applyFill="1" applyAlignment="1">
      <alignment horizontal="center" vertical="center"/>
    </xf>
    <xf numFmtId="0" fontId="47" fillId="25" borderId="0" xfId="0" applyFont="1" applyFill="1" applyAlignment="1">
      <alignment horizontal="center" vertical="center"/>
    </xf>
    <xf numFmtId="21" fontId="47" fillId="7" borderId="0" xfId="0" applyNumberFormat="1" applyFont="1" applyFill="1" applyAlignment="1">
      <alignment horizontal="center" vertical="center"/>
    </xf>
    <xf numFmtId="21" fontId="1" fillId="6" borderId="1" xfId="0" applyNumberFormat="1" applyFont="1" applyFill="1" applyBorder="1" applyAlignment="1">
      <alignment horizontal="center" vertical="center"/>
    </xf>
    <xf numFmtId="0" fontId="1" fillId="6" borderId="1" xfId="0" applyFont="1" applyFill="1" applyBorder="1" applyAlignment="1">
      <alignment horizontal="center" vertical="center"/>
    </xf>
    <xf numFmtId="21" fontId="1" fillId="6" borderId="1" xfId="0" applyNumberFormat="1" applyFont="1" applyFill="1" applyBorder="1" applyAlignment="1">
      <alignment horizontal="center"/>
    </xf>
    <xf numFmtId="0" fontId="1" fillId="6" borderId="1" xfId="0" applyFont="1" applyFill="1" applyBorder="1" applyAlignment="1">
      <alignment horizontal="center"/>
    </xf>
    <xf numFmtId="9" fontId="0" fillId="6" borderId="1" xfId="2" applyFont="1" applyFill="1" applyBorder="1" applyAlignment="1">
      <alignment horizontal="center"/>
    </xf>
    <xf numFmtId="9" fontId="0" fillId="6" borderId="1" xfId="0" applyNumberFormat="1" applyFill="1" applyBorder="1" applyAlignment="1">
      <alignment horizontal="center"/>
    </xf>
    <xf numFmtId="9" fontId="0" fillId="6" borderId="1" xfId="2" applyFont="1" applyFill="1" applyBorder="1" applyAlignment="1">
      <alignment horizontal="center" vertical="center"/>
    </xf>
    <xf numFmtId="9" fontId="0" fillId="6" borderId="1" xfId="0" applyNumberFormat="1" applyFill="1" applyBorder="1" applyAlignment="1">
      <alignment horizontal="center" vertical="center"/>
    </xf>
    <xf numFmtId="21" fontId="0" fillId="7" borderId="1" xfId="0" applyNumberFormat="1" applyFill="1" applyBorder="1" applyAlignment="1">
      <alignment horizontal="center" vertical="center"/>
    </xf>
    <xf numFmtId="0" fontId="3" fillId="0" borderId="0" xfId="0" applyFont="1" applyAlignment="1">
      <alignment horizontal="left"/>
    </xf>
    <xf numFmtId="0" fontId="3" fillId="0" borderId="0" xfId="0" quotePrefix="1" applyFont="1" applyAlignment="1">
      <alignment horizontal="center"/>
    </xf>
    <xf numFmtId="0" fontId="3" fillId="0" borderId="0" xfId="0" quotePrefix="1" applyFont="1" applyAlignment="1">
      <alignment horizontal="left"/>
    </xf>
    <xf numFmtId="0" fontId="48" fillId="0" borderId="0" xfId="0" applyFont="1"/>
    <xf numFmtId="0" fontId="49" fillId="0" borderId="0" xfId="0" applyFont="1"/>
    <xf numFmtId="0" fontId="49" fillId="0" borderId="0" xfId="0" applyFont="1" applyAlignment="1">
      <alignment wrapText="1"/>
    </xf>
    <xf numFmtId="0" fontId="50" fillId="0" borderId="0" xfId="0" applyFont="1"/>
    <xf numFmtId="0" fontId="49" fillId="0" borderId="0" xfId="0" applyFont="1" applyAlignment="1">
      <alignment horizontal="center"/>
    </xf>
    <xf numFmtId="0" fontId="49" fillId="0" borderId="0" xfId="0" applyFont="1" applyAlignment="1">
      <alignment horizontal="left"/>
    </xf>
    <xf numFmtId="0" fontId="50" fillId="0" borderId="0" xfId="0" applyFont="1" applyAlignment="1">
      <alignment horizontal="left"/>
    </xf>
    <xf numFmtId="0" fontId="41" fillId="27" borderId="0" xfId="0" applyFont="1" applyFill="1"/>
    <xf numFmtId="0" fontId="47" fillId="7" borderId="0" xfId="0" applyFont="1" applyFill="1" applyAlignment="1">
      <alignment horizontal="center" vertical="center"/>
    </xf>
    <xf numFmtId="20" fontId="47" fillId="25" borderId="0" xfId="0" applyNumberFormat="1" applyFont="1" applyFill="1" applyAlignment="1">
      <alignment horizontal="center" vertical="center"/>
    </xf>
    <xf numFmtId="0" fontId="49" fillId="0" borderId="0" xfId="0" applyFont="1" applyAlignment="1">
      <alignment horizontal="left" wrapText="1"/>
    </xf>
  </cellXfs>
  <cellStyles count="3">
    <cellStyle name="Currency" xfId="1" builtinId="4"/>
    <cellStyle name="Normal" xfId="0" builtinId="0"/>
    <cellStyle name="Percent" xfId="2" builtinId="5"/>
  </cellStyles>
  <dxfs count="115">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5" formatCode="h:mm"/>
      <fill>
        <patternFill patternType="solid">
          <fgColor indexed="64"/>
          <bgColor theme="4" tint="0.59999389629810485"/>
        </patternFill>
      </fill>
      <alignment horizontal="general"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dxf>
    <dxf>
      <border outline="0">
        <bottom style="thin">
          <color indexed="64"/>
        </bottom>
      </border>
    </dxf>
    <dxf>
      <font>
        <b val="0"/>
        <i val="0"/>
        <strike val="0"/>
        <condense val="0"/>
        <extend val="0"/>
        <outline val="0"/>
        <shadow val="0"/>
        <u val="none"/>
        <vertAlign val="baseline"/>
        <sz val="12"/>
        <color theme="1"/>
        <name val="Calibri"/>
        <family val="2"/>
        <scheme val="minor"/>
      </font>
      <numFmt numFmtId="25" formatCode="h:mm"/>
      <fill>
        <patternFill patternType="solid">
          <fgColor indexed="64"/>
          <bgColor theme="4" tint="0.59999389629810485"/>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numFmt numFmtId="25" formatCode="h:mm"/>
      <fill>
        <patternFill patternType="solid">
          <fgColor indexed="64"/>
          <bgColor theme="4" tint="0.59999389629810485"/>
        </patternFill>
      </fill>
      <alignment horizontal="general"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dxf>
    <dxf>
      <border outline="0">
        <bottom style="thin">
          <color indexed="64"/>
        </bottom>
      </border>
    </dxf>
    <dxf>
      <font>
        <b val="0"/>
        <i val="0"/>
        <strike val="0"/>
        <condense val="0"/>
        <extend val="0"/>
        <outline val="0"/>
        <shadow val="0"/>
        <u val="none"/>
        <vertAlign val="baseline"/>
        <sz val="12"/>
        <color theme="1"/>
        <name val="Calibri"/>
        <family val="2"/>
        <scheme val="minor"/>
      </font>
      <numFmt numFmtId="25" formatCode="h:mm"/>
      <fill>
        <patternFill patternType="solid">
          <fgColor indexed="64"/>
          <bgColor theme="4" tint="0.59999389629810485"/>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numFmt numFmtId="25" formatCode="h:mm"/>
      <fill>
        <patternFill patternType="solid">
          <fgColor indexed="64"/>
          <bgColor theme="4" tint="0.79998168889431442"/>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2"/>
        <name val="Calibri"/>
        <family val="2"/>
        <scheme val="minor"/>
      </font>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numFmt numFmtId="25" formatCode="h:mm"/>
      <fill>
        <patternFill patternType="solid">
          <fgColor indexed="64"/>
          <bgColor theme="4" tint="0.79998168889431442"/>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strike val="0"/>
        <outline val="0"/>
        <shadow val="0"/>
        <u val="none"/>
        <vertAlign val="baseline"/>
        <sz val="12"/>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2"/>
        <color theme="0"/>
        <name val="Calibri"/>
        <family val="2"/>
        <scheme val="minor"/>
      </font>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1F3D73"/>
      <color rgb="FFFF1791"/>
      <color rgb="FFF382DD"/>
      <color rgb="FFC79E37"/>
      <color rgb="FF2F509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26" Type="http://schemas.openxmlformats.org/officeDocument/2006/relationships/customXml" Target="../customXml/item4.xml"/><Relationship Id="rId3" Type="http://schemas.openxmlformats.org/officeDocument/2006/relationships/worksheet" Target="worksheets/sheet3.xml"/><Relationship Id="rId21"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connections" Target="connections.xml"/><Relationship Id="rId23" Type="http://schemas.openxmlformats.org/officeDocument/2006/relationships/customXml" Target="../customXml/item1.xml"/><Relationship Id="rId10" Type="http://schemas.openxmlformats.org/officeDocument/2006/relationships/worksheet" Target="worksheets/sheet10.xml"/><Relationship Id="rId19"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alcChain" Target="calcChain.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route</c:v>
          </c:tx>
          <c:spPr>
            <a:ln w="28575" cap="rnd">
              <a:solidFill>
                <a:srgbClr val="1F3D73"/>
              </a:solidFill>
              <a:round/>
            </a:ln>
            <a:effectLst/>
          </c:spPr>
          <c:marker>
            <c:symbol val="circle"/>
            <c:size val="13"/>
            <c:spPr>
              <a:solidFill>
                <a:schemeClr val="accent1">
                  <a:lumMod val="75000"/>
                </a:schemeClr>
              </a:solidFill>
              <a:ln w="9525">
                <a:noFill/>
              </a:ln>
              <a:effectLst/>
            </c:spPr>
          </c:marker>
          <c:dPt>
            <c:idx val="3"/>
            <c:marker>
              <c:symbol val="circle"/>
              <c:size val="13"/>
              <c:spPr>
                <a:solidFill>
                  <a:schemeClr val="accent1">
                    <a:lumMod val="75000"/>
                  </a:schemeClr>
                </a:solidFill>
                <a:ln w="9525">
                  <a:noFill/>
                </a:ln>
                <a:effectLst/>
              </c:spPr>
            </c:marker>
            <c:bubble3D val="0"/>
            <c:extLst>
              <c:ext xmlns:c16="http://schemas.microsoft.com/office/drawing/2014/chart" uri="{C3380CC4-5D6E-409C-BE32-E72D297353CC}">
                <c16:uniqueId val="{00000006-4875-4826-9E80-D67F6D74AECA}"/>
              </c:ext>
            </c:extLst>
          </c:dPt>
          <c:dPt>
            <c:idx val="4"/>
            <c:marker>
              <c:symbol val="circle"/>
              <c:size val="14"/>
              <c:spPr>
                <a:solidFill>
                  <a:schemeClr val="accent1">
                    <a:lumMod val="75000"/>
                  </a:schemeClr>
                </a:solidFill>
                <a:ln w="9525">
                  <a:noFill/>
                </a:ln>
                <a:effectLst/>
              </c:spPr>
            </c:marker>
            <c:bubble3D val="0"/>
            <c:spPr>
              <a:ln w="28575" cap="rnd">
                <a:solidFill>
                  <a:srgbClr val="1F3D73"/>
                </a:solidFill>
                <a:round/>
                <a:tailEnd type="none" w="lg" len="lg"/>
              </a:ln>
              <a:effectLst/>
            </c:spPr>
            <c:extLst>
              <c:ext xmlns:c16="http://schemas.microsoft.com/office/drawing/2014/chart" uri="{C3380CC4-5D6E-409C-BE32-E72D297353CC}">
                <c16:uniqueId val="{00000007-4875-4826-9E80-D67F6D74AECA}"/>
              </c:ext>
            </c:extLst>
          </c:dPt>
          <c:dPt>
            <c:idx val="8"/>
            <c:marker>
              <c:symbol val="circle"/>
              <c:size val="13"/>
              <c:spPr>
                <a:solidFill>
                  <a:schemeClr val="accent1">
                    <a:lumMod val="75000"/>
                  </a:schemeClr>
                </a:solidFill>
                <a:ln w="9525">
                  <a:noFill/>
                </a:ln>
                <a:effectLst/>
              </c:spPr>
            </c:marker>
            <c:bubble3D val="0"/>
            <c:extLst>
              <c:ext xmlns:c16="http://schemas.microsoft.com/office/drawing/2014/chart" uri="{C3380CC4-5D6E-409C-BE32-E72D297353CC}">
                <c16:uniqueId val="{00000009-4875-4826-9E80-D67F6D74AECA}"/>
              </c:ext>
            </c:extLst>
          </c:dPt>
          <c:dLbls>
            <c:dLbl>
              <c:idx val="0"/>
              <c:tx>
                <c:rich>
                  <a:bodyPr/>
                  <a:lstStyle/>
                  <a:p>
                    <a:fld id="{71EB17DA-36A7-4DC7-B072-6B16E08BC479}" type="CELLRANGE">
                      <a:rPr lang="en-US"/>
                      <a:pPr/>
                      <a:t>[CELLRANGE]</a:t>
                    </a:fld>
                    <a:endParaRPr lang="en-SG"/>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4875-4826-9E80-D67F6D74AECA}"/>
                </c:ext>
              </c:extLst>
            </c:dLbl>
            <c:dLbl>
              <c:idx val="1"/>
              <c:tx>
                <c:rich>
                  <a:bodyPr/>
                  <a:lstStyle/>
                  <a:p>
                    <a:fld id="{FB531D89-2498-4C0D-8A14-90CE46A897DE}" type="CELLRANGE">
                      <a:rPr lang="en-SG"/>
                      <a:pPr/>
                      <a:t>[CELLRANGE]</a:t>
                    </a:fld>
                    <a:endParaRPr lang="en-SG"/>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4875-4826-9E80-D67F6D74AECA}"/>
                </c:ext>
              </c:extLst>
            </c:dLbl>
            <c:dLbl>
              <c:idx val="2"/>
              <c:tx>
                <c:rich>
                  <a:bodyPr/>
                  <a:lstStyle/>
                  <a:p>
                    <a:fld id="{892CF66A-DA6E-4B00-A6BA-0D3429A69962}" type="CELLRANGE">
                      <a:rPr lang="en-SG"/>
                      <a:pPr/>
                      <a:t>[CELLRANGE]</a:t>
                    </a:fld>
                    <a:endParaRPr lang="en-SG"/>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4875-4826-9E80-D67F6D74AECA}"/>
                </c:ext>
              </c:extLst>
            </c:dLbl>
            <c:dLbl>
              <c:idx val="3"/>
              <c:tx>
                <c:rich>
                  <a:bodyPr/>
                  <a:lstStyle/>
                  <a:p>
                    <a:fld id="{45DAA6B9-9573-4438-B79B-BD4B41F9EBF2}" type="CELLRANGE">
                      <a:rPr lang="en-SG"/>
                      <a:pPr/>
                      <a:t>[CELLRANGE]</a:t>
                    </a:fld>
                    <a:endParaRPr lang="en-SG"/>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4875-4826-9E80-D67F6D74AECA}"/>
                </c:ext>
              </c:extLst>
            </c:dLbl>
            <c:dLbl>
              <c:idx val="4"/>
              <c:tx>
                <c:rich>
                  <a:bodyPr/>
                  <a:lstStyle/>
                  <a:p>
                    <a:fld id="{D1D55659-B946-461C-A243-B2BE950DEAA4}" type="CELLRANGE">
                      <a:rPr lang="en-SG"/>
                      <a:pPr/>
                      <a:t>[CELLRANGE]</a:t>
                    </a:fld>
                    <a:endParaRPr lang="en-SG"/>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4875-4826-9E80-D67F6D74AECA}"/>
                </c:ext>
              </c:extLst>
            </c:dLbl>
            <c:dLbl>
              <c:idx val="5"/>
              <c:tx>
                <c:rich>
                  <a:bodyPr/>
                  <a:lstStyle/>
                  <a:p>
                    <a:fld id="{72E49A85-BAF1-4FD0-809D-22439DD22D3F}" type="CELLRANGE">
                      <a:rPr lang="en-SG"/>
                      <a:pPr/>
                      <a:t>[CELLRANGE]</a:t>
                    </a:fld>
                    <a:endParaRPr lang="en-SG"/>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4875-4826-9E80-D67F6D74AECA}"/>
                </c:ext>
              </c:extLst>
            </c:dLbl>
            <c:dLbl>
              <c:idx val="6"/>
              <c:tx>
                <c:rich>
                  <a:bodyPr/>
                  <a:lstStyle/>
                  <a:p>
                    <a:fld id="{C82A7190-E8CD-4477-9F96-1007F87A2EDC}" type="CELLRANGE">
                      <a:rPr lang="en-SG"/>
                      <a:pPr/>
                      <a:t>[CELLRANGE]</a:t>
                    </a:fld>
                    <a:endParaRPr lang="en-SG"/>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4875-4826-9E80-D67F6D74AECA}"/>
                </c:ext>
              </c:extLst>
            </c:dLbl>
            <c:dLbl>
              <c:idx val="7"/>
              <c:tx>
                <c:rich>
                  <a:bodyPr/>
                  <a:lstStyle/>
                  <a:p>
                    <a:endParaRPr lang="en-SG"/>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8-4875-4826-9E80-D67F6D74AECA}"/>
                </c:ext>
              </c:extLst>
            </c:dLbl>
            <c:dLbl>
              <c:idx val="8"/>
              <c:tx>
                <c:rich>
                  <a:bodyPr/>
                  <a:lstStyle/>
                  <a:p>
                    <a:endParaRPr lang="en-SG"/>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9-4875-4826-9E80-D67F6D74AECA}"/>
                </c:ext>
              </c:extLst>
            </c:dLbl>
            <c:spPr>
              <a:solidFill>
                <a:schemeClr val="accent4">
                  <a:lumMod val="20000"/>
                  <a:lumOff val="80000"/>
                </a:schemeClr>
              </a:solidFill>
              <a:ln w="19050">
                <a:solidFill>
                  <a:srgbClr val="1F3D73"/>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'Schedule (High-Lvl)'!$M$7:$M$15</c:f>
              <c:numCache>
                <c:formatCode>General</c:formatCode>
                <c:ptCount val="9"/>
                <c:pt idx="0">
                  <c:v>3.2</c:v>
                </c:pt>
                <c:pt idx="1">
                  <c:v>5.5</c:v>
                </c:pt>
                <c:pt idx="2">
                  <c:v>3.3</c:v>
                </c:pt>
                <c:pt idx="3">
                  <c:v>5.8</c:v>
                </c:pt>
                <c:pt idx="4">
                  <c:v>5.7</c:v>
                </c:pt>
                <c:pt idx="5">
                  <c:v>5.7</c:v>
                </c:pt>
                <c:pt idx="6">
                  <c:v>3.7</c:v>
                </c:pt>
                <c:pt idx="7">
                  <c:v>#N/A</c:v>
                </c:pt>
                <c:pt idx="8">
                  <c:v>#N/A</c:v>
                </c:pt>
              </c:numCache>
            </c:numRef>
          </c:xVal>
          <c:yVal>
            <c:numRef>
              <c:f>'Schedule (High-Lvl)'!$N$7:$N$15</c:f>
              <c:numCache>
                <c:formatCode>General</c:formatCode>
                <c:ptCount val="9"/>
                <c:pt idx="0">
                  <c:v>0.5</c:v>
                </c:pt>
                <c:pt idx="1">
                  <c:v>6.2</c:v>
                </c:pt>
                <c:pt idx="2">
                  <c:v>7.2</c:v>
                </c:pt>
                <c:pt idx="3">
                  <c:v>6.5</c:v>
                </c:pt>
                <c:pt idx="4">
                  <c:v>4.5</c:v>
                </c:pt>
                <c:pt idx="5">
                  <c:v>5</c:v>
                </c:pt>
                <c:pt idx="6">
                  <c:v>0.5</c:v>
                </c:pt>
                <c:pt idx="7">
                  <c:v>#N/A</c:v>
                </c:pt>
                <c:pt idx="8">
                  <c:v>#N/A</c:v>
                </c:pt>
              </c:numCache>
            </c:numRef>
          </c:yVal>
          <c:smooth val="1"/>
          <c:extLst>
            <c:ext xmlns:c15="http://schemas.microsoft.com/office/drawing/2012/chart" uri="{02D57815-91ED-43cb-92C2-25804820EDAC}">
              <c15:datalabelsRange>
                <c15:f>'Schedule (High-Lvl)'!$O$7:$O$15</c15:f>
                <c15:dlblRangeCache>
                  <c:ptCount val="9"/>
                  <c:pt idx="0">
                    <c:v>1</c:v>
                  </c:pt>
                  <c:pt idx="1">
                    <c:v>2</c:v>
                  </c:pt>
                  <c:pt idx="2">
                    <c:v>3</c:v>
                  </c:pt>
                  <c:pt idx="3">
                    <c:v>4</c:v>
                  </c:pt>
                  <c:pt idx="4">
                    <c:v>5</c:v>
                  </c:pt>
                  <c:pt idx="5">
                    <c:v>6</c:v>
                  </c:pt>
                  <c:pt idx="6">
                    <c:v>7</c:v>
                  </c:pt>
                  <c:pt idx="7">
                    <c:v>8</c:v>
                  </c:pt>
                  <c:pt idx="8">
                    <c:v>9</c:v>
                  </c:pt>
                </c15:dlblRangeCache>
              </c15:datalabelsRange>
            </c:ext>
            <c:ext xmlns:c16="http://schemas.microsoft.com/office/drawing/2014/chart" uri="{C3380CC4-5D6E-409C-BE32-E72D297353CC}">
              <c16:uniqueId val="{00000000-4875-4826-9E80-D67F6D74AECA}"/>
            </c:ext>
          </c:extLst>
        </c:ser>
        <c:dLbls>
          <c:showLegendKey val="0"/>
          <c:showVal val="0"/>
          <c:showCatName val="0"/>
          <c:showSerName val="0"/>
          <c:showPercent val="0"/>
          <c:showBubbleSize val="0"/>
        </c:dLbls>
        <c:axId val="1759673503"/>
        <c:axId val="1759673919"/>
      </c:scatterChart>
      <c:valAx>
        <c:axId val="1759673503"/>
        <c:scaling>
          <c:orientation val="minMax"/>
          <c:max val="8"/>
          <c:min val="0"/>
        </c:scaling>
        <c:delete val="0"/>
        <c:axPos val="b"/>
        <c:majorGridlines>
          <c:spPr>
            <a:ln w="9525" cap="flat" cmpd="sng" algn="ctr">
              <a:noFill/>
              <a:round/>
            </a:ln>
            <a:effectLst/>
          </c:spPr>
        </c:majorGridlines>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rgbClr val="1F3D73"/>
                </a:solidFill>
                <a:latin typeface="+mn-lt"/>
                <a:ea typeface="+mn-ea"/>
                <a:cs typeface="+mn-cs"/>
              </a:defRPr>
            </a:pPr>
            <a:endParaRPr lang="en-US"/>
          </a:p>
        </c:txPr>
        <c:crossAx val="1759673919"/>
        <c:crosses val="autoZero"/>
        <c:crossBetween val="midCat"/>
      </c:valAx>
      <c:valAx>
        <c:axId val="1759673919"/>
        <c:scaling>
          <c:orientation val="minMax"/>
          <c:max val="10"/>
          <c:min val="0"/>
        </c:scaling>
        <c:delete val="0"/>
        <c:axPos val="l"/>
        <c:majorGridlines>
          <c:spPr>
            <a:ln w="9525" cap="flat" cmpd="sng" algn="ctr">
              <a:noFill/>
              <a:round/>
            </a:ln>
            <a:effectLst/>
          </c:spPr>
        </c:majorGridlines>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rgbClr val="1F3D73"/>
                </a:solidFill>
                <a:latin typeface="+mn-lt"/>
                <a:ea typeface="+mn-ea"/>
                <a:cs typeface="+mn-cs"/>
              </a:defRPr>
            </a:pPr>
            <a:endParaRPr lang="en-US"/>
          </a:p>
        </c:txPr>
        <c:crossAx val="175967350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blipFill dpi="0" rotWithShape="1">
      <a:blip xmlns:r="http://schemas.openxmlformats.org/officeDocument/2006/relationships" r:embed="rId3">
        <a:alphaModFix amt="80000"/>
      </a:blip>
      <a:srcRect/>
      <a:stretch>
        <a:fillRect/>
      </a:stretch>
    </a:blip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7291193959422573E-2"/>
          <c:y val="3.0830834718918568E-2"/>
          <c:w val="0.90286156175012799"/>
          <c:h val="0.90414898730528792"/>
        </c:manualLayout>
      </c:layout>
      <c:scatterChart>
        <c:scatterStyle val="smoothMarker"/>
        <c:varyColors val="0"/>
        <c:ser>
          <c:idx val="1"/>
          <c:order val="0"/>
          <c:spPr>
            <a:ln w="38100" cap="rnd">
              <a:solidFill>
                <a:srgbClr val="1F3D73"/>
              </a:solidFill>
              <a:round/>
              <a:tailEnd type="stealth"/>
            </a:ln>
            <a:effectLst/>
          </c:spPr>
          <c:marker>
            <c:symbol val="circle"/>
            <c:size val="14"/>
            <c:spPr>
              <a:solidFill>
                <a:schemeClr val="accent1">
                  <a:lumMod val="75000"/>
                </a:schemeClr>
              </a:solidFill>
              <a:ln w="0">
                <a:noFill/>
              </a:ln>
              <a:effectLst/>
            </c:spPr>
          </c:marker>
          <c:dPt>
            <c:idx val="6"/>
            <c:marker>
              <c:symbol val="circle"/>
              <c:size val="14"/>
              <c:spPr>
                <a:solidFill>
                  <a:schemeClr val="accent1">
                    <a:lumMod val="75000"/>
                  </a:schemeClr>
                </a:solidFill>
                <a:ln w="0">
                  <a:noFill/>
                </a:ln>
                <a:effectLst/>
              </c:spPr>
            </c:marker>
            <c:bubble3D val="0"/>
            <c:extLst>
              <c:ext xmlns:c16="http://schemas.microsoft.com/office/drawing/2014/chart" uri="{C3380CC4-5D6E-409C-BE32-E72D297353CC}">
                <c16:uniqueId val="{00000001-CAE4-4614-B7C9-3593CF7340E6}"/>
              </c:ext>
            </c:extLst>
          </c:dPt>
          <c:dPt>
            <c:idx val="8"/>
            <c:marker>
              <c:symbol val="circle"/>
              <c:size val="14"/>
              <c:spPr>
                <a:solidFill>
                  <a:schemeClr val="accent1">
                    <a:lumMod val="75000"/>
                  </a:schemeClr>
                </a:solidFill>
                <a:ln w="0">
                  <a:noFill/>
                </a:ln>
                <a:effectLst/>
              </c:spPr>
            </c:marker>
            <c:bubble3D val="0"/>
            <c:spPr>
              <a:ln w="38100" cap="rnd">
                <a:solidFill>
                  <a:srgbClr val="1F3D73"/>
                </a:solidFill>
                <a:round/>
                <a:tailEnd type="stealth" w="lg" len="lg"/>
              </a:ln>
              <a:effectLst/>
            </c:spPr>
            <c:extLst>
              <c:ext xmlns:c16="http://schemas.microsoft.com/office/drawing/2014/chart" uri="{C3380CC4-5D6E-409C-BE32-E72D297353CC}">
                <c16:uniqueId val="{00000009-CAE4-4614-B7C9-3593CF7340E6}"/>
              </c:ext>
            </c:extLst>
          </c:dPt>
          <c:dLbls>
            <c:dLbl>
              <c:idx val="0"/>
              <c:tx>
                <c:rich>
                  <a:bodyPr/>
                  <a:lstStyle/>
                  <a:p>
                    <a:fld id="{CABC344D-5EFB-4474-8B5C-4248466D100E}" type="CELLRANGE">
                      <a:rPr lang="en-US"/>
                      <a:pPr/>
                      <a:t>[CELLRANGE]</a:t>
                    </a:fld>
                    <a:endParaRPr lang="en-SG"/>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CAE4-4614-B7C9-3593CF7340E6}"/>
                </c:ext>
              </c:extLst>
            </c:dLbl>
            <c:dLbl>
              <c:idx val="1"/>
              <c:tx>
                <c:rich>
                  <a:bodyPr/>
                  <a:lstStyle/>
                  <a:p>
                    <a:fld id="{A18562AC-8421-4655-9D8B-EEBEB4E8FB4B}" type="CELLRANGE">
                      <a:rPr lang="en-SG"/>
                      <a:pPr/>
                      <a:t>[CELLRANGE]</a:t>
                    </a:fld>
                    <a:endParaRPr lang="en-SG"/>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CAE4-4614-B7C9-3593CF7340E6}"/>
                </c:ext>
              </c:extLst>
            </c:dLbl>
            <c:dLbl>
              <c:idx val="2"/>
              <c:tx>
                <c:rich>
                  <a:bodyPr/>
                  <a:lstStyle/>
                  <a:p>
                    <a:fld id="{93F1E693-63DA-4E6C-9D05-5C98923F60BA}" type="CELLRANGE">
                      <a:rPr lang="en-SG"/>
                      <a:pPr/>
                      <a:t>[CELLRANGE]</a:t>
                    </a:fld>
                    <a:endParaRPr lang="en-SG"/>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CAE4-4614-B7C9-3593CF7340E6}"/>
                </c:ext>
              </c:extLst>
            </c:dLbl>
            <c:dLbl>
              <c:idx val="3"/>
              <c:tx>
                <c:rich>
                  <a:bodyPr/>
                  <a:lstStyle/>
                  <a:p>
                    <a:fld id="{13EFB59B-2297-485A-A802-824616BD0026}" type="CELLRANGE">
                      <a:rPr lang="en-SG"/>
                      <a:pPr/>
                      <a:t>[CELLRANGE]</a:t>
                    </a:fld>
                    <a:endParaRPr lang="en-SG"/>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CAE4-4614-B7C9-3593CF7340E6}"/>
                </c:ext>
              </c:extLst>
            </c:dLbl>
            <c:dLbl>
              <c:idx val="4"/>
              <c:tx>
                <c:rich>
                  <a:bodyPr/>
                  <a:lstStyle/>
                  <a:p>
                    <a:fld id="{4F905556-ADF4-41CF-BD2B-FC4778EBA3CB}" type="CELLRANGE">
                      <a:rPr lang="en-SG"/>
                      <a:pPr/>
                      <a:t>[CELLRANGE]</a:t>
                    </a:fld>
                    <a:endParaRPr lang="en-SG"/>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CAE4-4614-B7C9-3593CF7340E6}"/>
                </c:ext>
              </c:extLst>
            </c:dLbl>
            <c:dLbl>
              <c:idx val="5"/>
              <c:tx>
                <c:rich>
                  <a:bodyPr/>
                  <a:lstStyle/>
                  <a:p>
                    <a:fld id="{EB062962-AF85-4EA3-A144-901A4C3B6897}" type="CELLRANGE">
                      <a:rPr lang="en-SG"/>
                      <a:pPr/>
                      <a:t>[CELLRANGE]</a:t>
                    </a:fld>
                    <a:endParaRPr lang="en-SG"/>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CAE4-4614-B7C9-3593CF7340E6}"/>
                </c:ext>
              </c:extLst>
            </c:dLbl>
            <c:dLbl>
              <c:idx val="6"/>
              <c:tx>
                <c:rich>
                  <a:bodyPr/>
                  <a:lstStyle/>
                  <a:p>
                    <a:fld id="{FA58E09E-A61D-4CC8-81CD-5D97EF762D84}" type="CELLRANGE">
                      <a:rPr lang="en-SG"/>
                      <a:pPr/>
                      <a:t>[CELLRANGE]</a:t>
                    </a:fld>
                    <a:endParaRPr lang="en-SG"/>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CAE4-4614-B7C9-3593CF7340E6}"/>
                </c:ext>
              </c:extLst>
            </c:dLbl>
            <c:dLbl>
              <c:idx val="7"/>
              <c:tx>
                <c:rich>
                  <a:bodyPr/>
                  <a:lstStyle/>
                  <a:p>
                    <a:endParaRPr lang="en-SG"/>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8-CAE4-4614-B7C9-3593CF7340E6}"/>
                </c:ext>
              </c:extLst>
            </c:dLbl>
            <c:dLbl>
              <c:idx val="8"/>
              <c:tx>
                <c:rich>
                  <a:bodyPr/>
                  <a:lstStyle/>
                  <a:p>
                    <a:endParaRPr lang="en-SG"/>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9-CAE4-4614-B7C9-3593CF7340E6}"/>
                </c:ext>
              </c:extLst>
            </c:dLbl>
            <c:dLbl>
              <c:idx val="9"/>
              <c:tx>
                <c:rich>
                  <a:bodyPr/>
                  <a:lstStyle/>
                  <a:p>
                    <a:endParaRPr lang="en-SG"/>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F49B-3548-A347-5B103F828D4B}"/>
                </c:ext>
              </c:extLst>
            </c:dLbl>
            <c:dLbl>
              <c:idx val="10"/>
              <c:tx>
                <c:rich>
                  <a:bodyPr/>
                  <a:lstStyle/>
                  <a:p>
                    <a:endParaRPr lang="en-SG"/>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F49B-3548-A347-5B103F828D4B}"/>
                </c:ext>
              </c:extLst>
            </c:dLbl>
            <c:spPr>
              <a:solidFill>
                <a:schemeClr val="accent4">
                  <a:lumMod val="20000"/>
                  <a:lumOff val="80000"/>
                </a:schemeClr>
              </a:solidFill>
              <a:ln w="15875">
                <a:solidFill>
                  <a:srgbClr val="1F3D73"/>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'Schedule (Detailed)'!$M$7:$M$17</c:f>
              <c:numCache>
                <c:formatCode>General</c:formatCode>
                <c:ptCount val="11"/>
                <c:pt idx="0">
                  <c:v>3.2</c:v>
                </c:pt>
                <c:pt idx="1">
                  <c:v>5.8</c:v>
                </c:pt>
                <c:pt idx="2">
                  <c:v>5.7</c:v>
                </c:pt>
                <c:pt idx="3">
                  <c:v>5.7</c:v>
                </c:pt>
                <c:pt idx="4">
                  <c:v>5.5</c:v>
                </c:pt>
                <c:pt idx="5">
                  <c:v>3.2</c:v>
                </c:pt>
                <c:pt idx="6">
                  <c:v>3.7</c:v>
                </c:pt>
                <c:pt idx="7">
                  <c:v>#N/A</c:v>
                </c:pt>
                <c:pt idx="8">
                  <c:v>#N/A</c:v>
                </c:pt>
                <c:pt idx="9">
                  <c:v>#N/A</c:v>
                </c:pt>
                <c:pt idx="10">
                  <c:v>#N/A</c:v>
                </c:pt>
              </c:numCache>
            </c:numRef>
          </c:xVal>
          <c:yVal>
            <c:numRef>
              <c:f>'Schedule (Detailed)'!$N$7:$N$17</c:f>
              <c:numCache>
                <c:formatCode>General</c:formatCode>
                <c:ptCount val="11"/>
                <c:pt idx="0">
                  <c:v>0.5</c:v>
                </c:pt>
                <c:pt idx="1">
                  <c:v>3.5</c:v>
                </c:pt>
                <c:pt idx="2">
                  <c:v>4.5</c:v>
                </c:pt>
                <c:pt idx="3">
                  <c:v>5</c:v>
                </c:pt>
                <c:pt idx="4">
                  <c:v>6.2</c:v>
                </c:pt>
                <c:pt idx="5">
                  <c:v>6.8</c:v>
                </c:pt>
                <c:pt idx="6">
                  <c:v>0.5</c:v>
                </c:pt>
                <c:pt idx="7">
                  <c:v>#N/A</c:v>
                </c:pt>
                <c:pt idx="8">
                  <c:v>#N/A</c:v>
                </c:pt>
                <c:pt idx="9">
                  <c:v>#N/A</c:v>
                </c:pt>
                <c:pt idx="10">
                  <c:v>#N/A</c:v>
                </c:pt>
              </c:numCache>
            </c:numRef>
          </c:yVal>
          <c:smooth val="1"/>
          <c:extLst>
            <c:ext xmlns:c15="http://schemas.microsoft.com/office/drawing/2012/chart" uri="{02D57815-91ED-43cb-92C2-25804820EDAC}">
              <c15:datalabelsRange>
                <c15:f>'Schedule (Detailed)'!$O$7:$O$17</c15:f>
                <c15:dlblRangeCache>
                  <c:ptCount val="11"/>
                  <c:pt idx="0">
                    <c:v>1</c:v>
                  </c:pt>
                  <c:pt idx="1">
                    <c:v>2</c:v>
                  </c:pt>
                  <c:pt idx="2">
                    <c:v>3</c:v>
                  </c:pt>
                  <c:pt idx="3">
                    <c:v>4</c:v>
                  </c:pt>
                  <c:pt idx="4">
                    <c:v>5</c:v>
                  </c:pt>
                  <c:pt idx="5">
                    <c:v>6</c:v>
                  </c:pt>
                  <c:pt idx="6">
                    <c:v>7</c:v>
                  </c:pt>
                  <c:pt idx="7">
                    <c:v>8</c:v>
                  </c:pt>
                  <c:pt idx="8">
                    <c:v>9</c:v>
                  </c:pt>
                  <c:pt idx="9">
                    <c:v>8</c:v>
                  </c:pt>
                  <c:pt idx="10">
                    <c:v>9</c:v>
                  </c:pt>
                </c15:dlblRangeCache>
              </c15:datalabelsRange>
            </c:ext>
            <c:ext xmlns:c16="http://schemas.microsoft.com/office/drawing/2014/chart" uri="{C3380CC4-5D6E-409C-BE32-E72D297353CC}">
              <c16:uniqueId val="{00000002-AFF2-4416-BDC1-D928AECC2C87}"/>
            </c:ext>
          </c:extLst>
        </c:ser>
        <c:dLbls>
          <c:showLegendKey val="0"/>
          <c:showVal val="0"/>
          <c:showCatName val="0"/>
          <c:showSerName val="0"/>
          <c:showPercent val="0"/>
          <c:showBubbleSize val="0"/>
        </c:dLbls>
        <c:axId val="1759673503"/>
        <c:axId val="1759673919"/>
      </c:scatterChart>
      <c:valAx>
        <c:axId val="1759673503"/>
        <c:scaling>
          <c:orientation val="minMax"/>
          <c:max val="8"/>
          <c:min val="0"/>
        </c:scaling>
        <c:delete val="0"/>
        <c:axPos val="b"/>
        <c:majorGridlines>
          <c:spPr>
            <a:ln w="9525" cap="flat" cmpd="sng" algn="ctr">
              <a:noFill/>
              <a:round/>
            </a:ln>
            <a:effectLst/>
          </c:spPr>
        </c:majorGridlines>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en-US"/>
          </a:p>
        </c:txPr>
        <c:crossAx val="1759673919"/>
        <c:crosses val="autoZero"/>
        <c:crossBetween val="midCat"/>
      </c:valAx>
      <c:valAx>
        <c:axId val="1759673919"/>
        <c:scaling>
          <c:orientation val="minMax"/>
          <c:max val="10"/>
          <c:min val="0"/>
        </c:scaling>
        <c:delete val="0"/>
        <c:axPos val="l"/>
        <c:majorGridlines>
          <c:spPr>
            <a:ln w="9525" cap="flat" cmpd="sng" algn="ctr">
              <a:noFill/>
              <a:round/>
            </a:ln>
            <a:effectLst/>
          </c:spPr>
        </c:majorGridlines>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en-US"/>
          </a:p>
        </c:txPr>
        <c:crossAx val="175967350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blipFill dpi="0" rotWithShape="1">
      <a:blip xmlns:r="http://schemas.openxmlformats.org/officeDocument/2006/relationships" r:embed="rId3">
        <a:alphaModFix amt="79000"/>
      </a:blip>
      <a:srcRect/>
      <a:stretch>
        <a:fillRect/>
      </a:stretch>
    </a:blip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SG" sz="1600" b="1"/>
              <a:t>Wait time sensitivity</a:t>
            </a:r>
            <a:r>
              <a:rPr lang="en-SG" sz="1600" b="1" baseline="0"/>
              <a:t> - </a:t>
            </a:r>
            <a:r>
              <a:rPr lang="en-SG" sz="1600" b="1"/>
              <a:t>Model 1</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'Sensitivity Analysis'!$B$7</c:f>
              <c:strCache>
                <c:ptCount val="1"/>
                <c:pt idx="0">
                  <c:v>-30%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'Sensitivity Analysis'!$C$6:$D$6</c:f>
              <c:strCache>
                <c:ptCount val="2"/>
                <c:pt idx="0">
                  <c:v>Weekday</c:v>
                </c:pt>
                <c:pt idx="1">
                  <c:v>Weekend</c:v>
                </c:pt>
              </c:strCache>
            </c:strRef>
          </c:cat>
          <c:val>
            <c:numRef>
              <c:f>'Sensitivity Analysis'!$C$7:$D$7</c:f>
              <c:numCache>
                <c:formatCode>h:mm:ss</c:formatCode>
                <c:ptCount val="2"/>
                <c:pt idx="0">
                  <c:v>9.2013888888888881E-2</c:v>
                </c:pt>
                <c:pt idx="1">
                  <c:v>8.715277777777776E-2</c:v>
                </c:pt>
              </c:numCache>
            </c:numRef>
          </c:val>
          <c:smooth val="0"/>
          <c:extLst>
            <c:ext xmlns:c16="http://schemas.microsoft.com/office/drawing/2014/chart" uri="{C3380CC4-5D6E-409C-BE32-E72D297353CC}">
              <c16:uniqueId val="{00000000-2081-4194-B87D-3E40A1B95BB1}"/>
            </c:ext>
          </c:extLst>
        </c:ser>
        <c:ser>
          <c:idx val="1"/>
          <c:order val="1"/>
          <c:tx>
            <c:strRef>
              <c:f>'Sensitivity Analysis'!$B$8</c:f>
              <c:strCache>
                <c:ptCount val="1"/>
                <c:pt idx="0">
                  <c:v>-20%</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'Sensitivity Analysis'!$C$6:$D$6</c:f>
              <c:strCache>
                <c:ptCount val="2"/>
                <c:pt idx="0">
                  <c:v>Weekday</c:v>
                </c:pt>
                <c:pt idx="1">
                  <c:v>Weekend</c:v>
                </c:pt>
              </c:strCache>
            </c:strRef>
          </c:cat>
          <c:val>
            <c:numRef>
              <c:f>'Sensitivity Analysis'!$C$8:$D$8</c:f>
              <c:numCache>
                <c:formatCode>h:mm:ss</c:formatCode>
                <c:ptCount val="2"/>
                <c:pt idx="0">
                  <c:v>0.10347222222222223</c:v>
                </c:pt>
                <c:pt idx="1">
                  <c:v>9.7916666666666666E-2</c:v>
                </c:pt>
              </c:numCache>
            </c:numRef>
          </c:val>
          <c:smooth val="0"/>
          <c:extLst>
            <c:ext xmlns:c16="http://schemas.microsoft.com/office/drawing/2014/chart" uri="{C3380CC4-5D6E-409C-BE32-E72D297353CC}">
              <c16:uniqueId val="{00000001-2081-4194-B87D-3E40A1B95BB1}"/>
            </c:ext>
          </c:extLst>
        </c:ser>
        <c:ser>
          <c:idx val="2"/>
          <c:order val="2"/>
          <c:tx>
            <c:strRef>
              <c:f>'Sensitivity Analysis'!$B$9</c:f>
              <c:strCache>
                <c:ptCount val="1"/>
                <c:pt idx="0">
                  <c:v>-10%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'Sensitivity Analysis'!$C$6:$D$6</c:f>
              <c:strCache>
                <c:ptCount val="2"/>
                <c:pt idx="0">
                  <c:v>Weekday</c:v>
                </c:pt>
                <c:pt idx="1">
                  <c:v>Weekend</c:v>
                </c:pt>
              </c:strCache>
            </c:strRef>
          </c:cat>
          <c:val>
            <c:numRef>
              <c:f>'Sensitivity Analysis'!$C$9:$D$9</c:f>
              <c:numCache>
                <c:formatCode>h:mm:ss</c:formatCode>
                <c:ptCount val="2"/>
                <c:pt idx="0">
                  <c:v>0.11493055555555555</c:v>
                </c:pt>
                <c:pt idx="1">
                  <c:v>0.10868055555555554</c:v>
                </c:pt>
              </c:numCache>
            </c:numRef>
          </c:val>
          <c:smooth val="0"/>
          <c:extLst>
            <c:ext xmlns:c16="http://schemas.microsoft.com/office/drawing/2014/chart" uri="{C3380CC4-5D6E-409C-BE32-E72D297353CC}">
              <c16:uniqueId val="{00000002-2081-4194-B87D-3E40A1B95BB1}"/>
            </c:ext>
          </c:extLst>
        </c:ser>
        <c:ser>
          <c:idx val="3"/>
          <c:order val="3"/>
          <c:tx>
            <c:strRef>
              <c:f>'Sensitivity Analysis'!$B$10</c:f>
              <c:strCache>
                <c:ptCount val="1"/>
                <c:pt idx="0">
                  <c:v>0%</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'Sensitivity Analysis'!$C$6:$D$6</c:f>
              <c:strCache>
                <c:ptCount val="2"/>
                <c:pt idx="0">
                  <c:v>Weekday</c:v>
                </c:pt>
                <c:pt idx="1">
                  <c:v>Weekend</c:v>
                </c:pt>
              </c:strCache>
            </c:strRef>
          </c:cat>
          <c:val>
            <c:numRef>
              <c:f>'Sensitivity Analysis'!$C$10:$D$10</c:f>
              <c:numCache>
                <c:formatCode>h:mm:ss</c:formatCode>
                <c:ptCount val="2"/>
                <c:pt idx="0">
                  <c:v>0.12638888888888888</c:v>
                </c:pt>
                <c:pt idx="1">
                  <c:v>0.11944444444444444</c:v>
                </c:pt>
              </c:numCache>
            </c:numRef>
          </c:val>
          <c:smooth val="0"/>
          <c:extLst>
            <c:ext xmlns:c16="http://schemas.microsoft.com/office/drawing/2014/chart" uri="{C3380CC4-5D6E-409C-BE32-E72D297353CC}">
              <c16:uniqueId val="{00000003-2081-4194-B87D-3E40A1B95BB1}"/>
            </c:ext>
          </c:extLst>
        </c:ser>
        <c:ser>
          <c:idx val="4"/>
          <c:order val="4"/>
          <c:tx>
            <c:strRef>
              <c:f>'Sensitivity Analysis'!$B$11</c:f>
              <c:strCache>
                <c:ptCount val="1"/>
                <c:pt idx="0">
                  <c:v>10%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'Sensitivity Analysis'!$C$6:$D$6</c:f>
              <c:strCache>
                <c:ptCount val="2"/>
                <c:pt idx="0">
                  <c:v>Weekday</c:v>
                </c:pt>
                <c:pt idx="1">
                  <c:v>Weekend</c:v>
                </c:pt>
              </c:strCache>
            </c:strRef>
          </c:cat>
          <c:val>
            <c:numRef>
              <c:f>'Sensitivity Analysis'!$C$11:$D$11</c:f>
              <c:numCache>
                <c:formatCode>h:mm:ss</c:formatCode>
                <c:ptCount val="2"/>
                <c:pt idx="0">
                  <c:v>0.13784722222222223</c:v>
                </c:pt>
                <c:pt idx="1">
                  <c:v>0.13020833333333334</c:v>
                </c:pt>
              </c:numCache>
            </c:numRef>
          </c:val>
          <c:smooth val="0"/>
          <c:extLst>
            <c:ext xmlns:c16="http://schemas.microsoft.com/office/drawing/2014/chart" uri="{C3380CC4-5D6E-409C-BE32-E72D297353CC}">
              <c16:uniqueId val="{00000004-2081-4194-B87D-3E40A1B95BB1}"/>
            </c:ext>
          </c:extLst>
        </c:ser>
        <c:ser>
          <c:idx val="5"/>
          <c:order val="5"/>
          <c:tx>
            <c:strRef>
              <c:f>'Sensitivity Analysis'!$B$12</c:f>
              <c:strCache>
                <c:ptCount val="1"/>
                <c:pt idx="0">
                  <c:v>20%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'Sensitivity Analysis'!$C$6:$D$6</c:f>
              <c:strCache>
                <c:ptCount val="2"/>
                <c:pt idx="0">
                  <c:v>Weekday</c:v>
                </c:pt>
                <c:pt idx="1">
                  <c:v>Weekend</c:v>
                </c:pt>
              </c:strCache>
            </c:strRef>
          </c:cat>
          <c:val>
            <c:numRef>
              <c:f>'Sensitivity Analysis'!$C$12:$D$12</c:f>
              <c:numCache>
                <c:formatCode>h:mm:ss</c:formatCode>
                <c:ptCount val="2"/>
                <c:pt idx="0">
                  <c:v>0.14930555555555552</c:v>
                </c:pt>
                <c:pt idx="1">
                  <c:v>0.14097222222222222</c:v>
                </c:pt>
              </c:numCache>
            </c:numRef>
          </c:val>
          <c:smooth val="0"/>
          <c:extLst>
            <c:ext xmlns:c16="http://schemas.microsoft.com/office/drawing/2014/chart" uri="{C3380CC4-5D6E-409C-BE32-E72D297353CC}">
              <c16:uniqueId val="{00000005-2081-4194-B87D-3E40A1B95BB1}"/>
            </c:ext>
          </c:extLst>
        </c:ser>
        <c:ser>
          <c:idx val="6"/>
          <c:order val="6"/>
          <c:tx>
            <c:strRef>
              <c:f>'Sensitivity Analysis'!$B$13</c:f>
              <c:strCache>
                <c:ptCount val="1"/>
                <c:pt idx="0">
                  <c:v>30%</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'Sensitivity Analysis'!$C$6:$D$6</c:f>
              <c:strCache>
                <c:ptCount val="2"/>
                <c:pt idx="0">
                  <c:v>Weekday</c:v>
                </c:pt>
                <c:pt idx="1">
                  <c:v>Weekend</c:v>
                </c:pt>
              </c:strCache>
            </c:strRef>
          </c:cat>
          <c:val>
            <c:numRef>
              <c:f>'Sensitivity Analysis'!$C$13:$D$13</c:f>
              <c:numCache>
                <c:formatCode>h:mm:ss</c:formatCode>
                <c:ptCount val="2"/>
                <c:pt idx="0">
                  <c:v>0.16076388888888887</c:v>
                </c:pt>
                <c:pt idx="1">
                  <c:v>0.15173611111111113</c:v>
                </c:pt>
              </c:numCache>
            </c:numRef>
          </c:val>
          <c:smooth val="0"/>
          <c:extLst>
            <c:ext xmlns:c16="http://schemas.microsoft.com/office/drawing/2014/chart" uri="{C3380CC4-5D6E-409C-BE32-E72D297353CC}">
              <c16:uniqueId val="{00000006-2081-4194-B87D-3E40A1B95BB1}"/>
            </c:ext>
          </c:extLst>
        </c:ser>
        <c:dLbls>
          <c:showLegendKey val="0"/>
          <c:showVal val="0"/>
          <c:showCatName val="0"/>
          <c:showSerName val="0"/>
          <c:showPercent val="0"/>
          <c:showBubbleSize val="0"/>
        </c:dLbls>
        <c:marker val="1"/>
        <c:smooth val="0"/>
        <c:axId val="403694896"/>
        <c:axId val="403713616"/>
      </c:lineChart>
      <c:catAx>
        <c:axId val="403694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713616"/>
        <c:crosses val="autoZero"/>
        <c:auto val="1"/>
        <c:lblAlgn val="ctr"/>
        <c:lblOffset val="100"/>
        <c:noMultiLvlLbl val="0"/>
      </c:catAx>
      <c:valAx>
        <c:axId val="403713616"/>
        <c:scaling>
          <c:orientation val="minMax"/>
        </c:scaling>
        <c:delete val="0"/>
        <c:axPos val="l"/>
        <c:majorGridlines>
          <c:spPr>
            <a:ln w="9525" cap="flat" cmpd="sng" algn="ctr">
              <a:solidFill>
                <a:schemeClr val="tx1">
                  <a:lumMod val="15000"/>
                  <a:lumOff val="85000"/>
                </a:schemeClr>
              </a:solidFill>
              <a:round/>
            </a:ln>
            <a:effectLst/>
          </c:spPr>
        </c:majorGridlines>
        <c:numFmt formatCode="h:mm:ss"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694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SG" sz="1600" b="1"/>
              <a:t>Wait time sensitivity - Model 2</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'Sensitivity Analysis'!$M$7</c:f>
              <c:strCache>
                <c:ptCount val="1"/>
                <c:pt idx="0">
                  <c:v>-30%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'Sensitivity Analysis'!$N$6:$O$6</c:f>
              <c:strCache>
                <c:ptCount val="2"/>
                <c:pt idx="0">
                  <c:v>Weekday</c:v>
                </c:pt>
                <c:pt idx="1">
                  <c:v>Weekend</c:v>
                </c:pt>
              </c:strCache>
            </c:strRef>
          </c:cat>
          <c:val>
            <c:numRef>
              <c:f>'Sensitivity Analysis'!$N$7:$O$7</c:f>
              <c:numCache>
                <c:formatCode>h:mm:ss</c:formatCode>
                <c:ptCount val="2"/>
                <c:pt idx="0">
                  <c:v>9.2013888888888881E-2</c:v>
                </c:pt>
                <c:pt idx="1">
                  <c:v>7.013888888888889E-2</c:v>
                </c:pt>
              </c:numCache>
            </c:numRef>
          </c:val>
          <c:smooth val="0"/>
          <c:extLst>
            <c:ext xmlns:c16="http://schemas.microsoft.com/office/drawing/2014/chart" uri="{C3380CC4-5D6E-409C-BE32-E72D297353CC}">
              <c16:uniqueId val="{00000000-373A-413A-A04A-77BCBC559DF6}"/>
            </c:ext>
          </c:extLst>
        </c:ser>
        <c:ser>
          <c:idx val="1"/>
          <c:order val="1"/>
          <c:tx>
            <c:strRef>
              <c:f>'Sensitivity Analysis'!$M$8</c:f>
              <c:strCache>
                <c:ptCount val="1"/>
                <c:pt idx="0">
                  <c:v>-20%</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'Sensitivity Analysis'!$N$6:$O$6</c:f>
              <c:strCache>
                <c:ptCount val="2"/>
                <c:pt idx="0">
                  <c:v>Weekday</c:v>
                </c:pt>
                <c:pt idx="1">
                  <c:v>Weekend</c:v>
                </c:pt>
              </c:strCache>
            </c:strRef>
          </c:cat>
          <c:val>
            <c:numRef>
              <c:f>'Sensitivity Analysis'!$N$8:$O$8</c:f>
              <c:numCache>
                <c:formatCode>h:mm:ss</c:formatCode>
                <c:ptCount val="2"/>
                <c:pt idx="0">
                  <c:v>9.583333333333334E-2</c:v>
                </c:pt>
                <c:pt idx="1">
                  <c:v>7.9166666666666677E-2</c:v>
                </c:pt>
              </c:numCache>
            </c:numRef>
          </c:val>
          <c:smooth val="0"/>
          <c:extLst>
            <c:ext xmlns:c16="http://schemas.microsoft.com/office/drawing/2014/chart" uri="{C3380CC4-5D6E-409C-BE32-E72D297353CC}">
              <c16:uniqueId val="{00000001-373A-413A-A04A-77BCBC559DF6}"/>
            </c:ext>
          </c:extLst>
        </c:ser>
        <c:ser>
          <c:idx val="2"/>
          <c:order val="2"/>
          <c:tx>
            <c:strRef>
              <c:f>'Sensitivity Analysis'!$M$9</c:f>
              <c:strCache>
                <c:ptCount val="1"/>
                <c:pt idx="0">
                  <c:v>-10%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'Sensitivity Analysis'!$N$6:$O$6</c:f>
              <c:strCache>
                <c:ptCount val="2"/>
                <c:pt idx="0">
                  <c:v>Weekday</c:v>
                </c:pt>
                <c:pt idx="1">
                  <c:v>Weekend</c:v>
                </c:pt>
              </c:strCache>
            </c:strRef>
          </c:cat>
          <c:val>
            <c:numRef>
              <c:f>'Sensitivity Analysis'!$N$9:$O$9</c:f>
              <c:numCache>
                <c:formatCode>h:mm:ss</c:formatCode>
                <c:ptCount val="2"/>
                <c:pt idx="0">
                  <c:v>9.9652777777777785E-2</c:v>
                </c:pt>
                <c:pt idx="1">
                  <c:v>9.4444444444444442E-2</c:v>
                </c:pt>
              </c:numCache>
            </c:numRef>
          </c:val>
          <c:smooth val="0"/>
          <c:extLst>
            <c:ext xmlns:c16="http://schemas.microsoft.com/office/drawing/2014/chart" uri="{C3380CC4-5D6E-409C-BE32-E72D297353CC}">
              <c16:uniqueId val="{00000002-373A-413A-A04A-77BCBC559DF6}"/>
            </c:ext>
          </c:extLst>
        </c:ser>
        <c:ser>
          <c:idx val="3"/>
          <c:order val="3"/>
          <c:tx>
            <c:strRef>
              <c:f>'Sensitivity Analysis'!$M$10</c:f>
              <c:strCache>
                <c:ptCount val="1"/>
                <c:pt idx="0">
                  <c:v>0%</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'Sensitivity Analysis'!$N$6:$O$6</c:f>
              <c:strCache>
                <c:ptCount val="2"/>
                <c:pt idx="0">
                  <c:v>Weekday</c:v>
                </c:pt>
                <c:pt idx="1">
                  <c:v>Weekend</c:v>
                </c:pt>
              </c:strCache>
            </c:strRef>
          </c:cat>
          <c:val>
            <c:numRef>
              <c:f>'Sensitivity Analysis'!$N$10:$O$10</c:f>
              <c:numCache>
                <c:formatCode>h:mm:ss</c:formatCode>
                <c:ptCount val="2"/>
                <c:pt idx="0">
                  <c:v>0.10972222222222221</c:v>
                </c:pt>
                <c:pt idx="1">
                  <c:v>0.10416666666666667</c:v>
                </c:pt>
              </c:numCache>
            </c:numRef>
          </c:val>
          <c:smooth val="0"/>
          <c:extLst>
            <c:ext xmlns:c16="http://schemas.microsoft.com/office/drawing/2014/chart" uri="{C3380CC4-5D6E-409C-BE32-E72D297353CC}">
              <c16:uniqueId val="{00000003-373A-413A-A04A-77BCBC559DF6}"/>
            </c:ext>
          </c:extLst>
        </c:ser>
        <c:ser>
          <c:idx val="4"/>
          <c:order val="4"/>
          <c:tx>
            <c:strRef>
              <c:f>'Sensitivity Analysis'!$M$11</c:f>
              <c:strCache>
                <c:ptCount val="1"/>
                <c:pt idx="0">
                  <c:v>10%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'Sensitivity Analysis'!$N$6:$O$6</c:f>
              <c:strCache>
                <c:ptCount val="2"/>
                <c:pt idx="0">
                  <c:v>Weekday</c:v>
                </c:pt>
                <c:pt idx="1">
                  <c:v>Weekend</c:v>
                </c:pt>
              </c:strCache>
            </c:strRef>
          </c:cat>
          <c:val>
            <c:numRef>
              <c:f>'Sensitivity Analysis'!$N$11:$O$11</c:f>
              <c:numCache>
                <c:formatCode>h:mm:ss</c:formatCode>
                <c:ptCount val="2"/>
                <c:pt idx="0">
                  <c:v>0.11979166666666667</c:v>
                </c:pt>
                <c:pt idx="1">
                  <c:v>0.11979166666666667</c:v>
                </c:pt>
              </c:numCache>
            </c:numRef>
          </c:val>
          <c:smooth val="0"/>
          <c:extLst>
            <c:ext xmlns:c16="http://schemas.microsoft.com/office/drawing/2014/chart" uri="{C3380CC4-5D6E-409C-BE32-E72D297353CC}">
              <c16:uniqueId val="{00000004-373A-413A-A04A-77BCBC559DF6}"/>
            </c:ext>
          </c:extLst>
        </c:ser>
        <c:ser>
          <c:idx val="5"/>
          <c:order val="5"/>
          <c:tx>
            <c:strRef>
              <c:f>'Sensitivity Analysis'!$M$12</c:f>
              <c:strCache>
                <c:ptCount val="1"/>
                <c:pt idx="0">
                  <c:v>20%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'Sensitivity Analysis'!$N$6:$O$6</c:f>
              <c:strCache>
                <c:ptCount val="2"/>
                <c:pt idx="0">
                  <c:v>Weekday</c:v>
                </c:pt>
                <c:pt idx="1">
                  <c:v>Weekend</c:v>
                </c:pt>
              </c:strCache>
            </c:strRef>
          </c:cat>
          <c:val>
            <c:numRef>
              <c:f>'Sensitivity Analysis'!$N$12:$O$12</c:f>
              <c:numCache>
                <c:formatCode>h:mm:ss</c:formatCode>
                <c:ptCount val="2"/>
                <c:pt idx="0">
                  <c:v>0.1444444444444444</c:v>
                </c:pt>
                <c:pt idx="1">
                  <c:v>0.12986111111111109</c:v>
                </c:pt>
              </c:numCache>
            </c:numRef>
          </c:val>
          <c:smooth val="0"/>
          <c:extLst>
            <c:ext xmlns:c16="http://schemas.microsoft.com/office/drawing/2014/chart" uri="{C3380CC4-5D6E-409C-BE32-E72D297353CC}">
              <c16:uniqueId val="{00000005-373A-413A-A04A-77BCBC559DF6}"/>
            </c:ext>
          </c:extLst>
        </c:ser>
        <c:ser>
          <c:idx val="6"/>
          <c:order val="6"/>
          <c:tx>
            <c:strRef>
              <c:f>'Sensitivity Analysis'!$M$13</c:f>
              <c:strCache>
                <c:ptCount val="1"/>
                <c:pt idx="0">
                  <c:v>30%</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'Sensitivity Analysis'!$N$6:$O$6</c:f>
              <c:strCache>
                <c:ptCount val="2"/>
                <c:pt idx="0">
                  <c:v>Weekday</c:v>
                </c:pt>
                <c:pt idx="1">
                  <c:v>Weekend</c:v>
                </c:pt>
              </c:strCache>
            </c:strRef>
          </c:cat>
          <c:val>
            <c:numRef>
              <c:f>'Sensitivity Analysis'!$N$13:$O$13</c:f>
              <c:numCache>
                <c:formatCode>h:mm:ss</c:formatCode>
                <c:ptCount val="2"/>
                <c:pt idx="0">
                  <c:v>0.1534722222222222</c:v>
                </c:pt>
                <c:pt idx="1">
                  <c:v>0.13993055555555556</c:v>
                </c:pt>
              </c:numCache>
            </c:numRef>
          </c:val>
          <c:smooth val="0"/>
          <c:extLst>
            <c:ext xmlns:c16="http://schemas.microsoft.com/office/drawing/2014/chart" uri="{C3380CC4-5D6E-409C-BE32-E72D297353CC}">
              <c16:uniqueId val="{00000006-373A-413A-A04A-77BCBC559DF6}"/>
            </c:ext>
          </c:extLst>
        </c:ser>
        <c:dLbls>
          <c:showLegendKey val="0"/>
          <c:showVal val="0"/>
          <c:showCatName val="0"/>
          <c:showSerName val="0"/>
          <c:showPercent val="0"/>
          <c:showBubbleSize val="0"/>
        </c:dLbls>
        <c:marker val="1"/>
        <c:smooth val="0"/>
        <c:axId val="1190319280"/>
        <c:axId val="1190342160"/>
      </c:lineChart>
      <c:catAx>
        <c:axId val="1190319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0342160"/>
        <c:crosses val="autoZero"/>
        <c:auto val="1"/>
        <c:lblAlgn val="ctr"/>
        <c:lblOffset val="100"/>
        <c:noMultiLvlLbl val="0"/>
      </c:catAx>
      <c:valAx>
        <c:axId val="1190342160"/>
        <c:scaling>
          <c:orientation val="minMax"/>
        </c:scaling>
        <c:delete val="0"/>
        <c:axPos val="l"/>
        <c:majorGridlines>
          <c:spPr>
            <a:ln w="9525" cap="flat" cmpd="sng" algn="ctr">
              <a:solidFill>
                <a:schemeClr val="tx1">
                  <a:lumMod val="15000"/>
                  <a:lumOff val="85000"/>
                </a:schemeClr>
              </a:solidFill>
              <a:round/>
            </a:ln>
            <a:effectLst/>
          </c:spPr>
        </c:majorGridlines>
        <c:numFmt formatCode="h:mm:ss"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0319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UI (Detailed)'!A1"/><Relationship Id="rId2" Type="http://schemas.openxmlformats.org/officeDocument/2006/relationships/hyperlink" Target="#'UI (High-Lvl)'!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hyperlink" Target="#Welcome!A1"/><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openxmlformats.org/officeDocument/2006/relationships/hyperlink" Target="#Welcome!A1"/><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771071</xdr:colOff>
      <xdr:row>26</xdr:row>
      <xdr:rowOff>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b="4782"/>
        <a:stretch/>
      </xdr:blipFill>
      <xdr:spPr>
        <a:xfrm>
          <a:off x="0" y="0"/>
          <a:ext cx="7502071" cy="5283200"/>
        </a:xfrm>
        <a:prstGeom prst="rect">
          <a:avLst/>
        </a:prstGeom>
      </xdr:spPr>
    </xdr:pic>
    <xdr:clientData/>
  </xdr:twoCellAnchor>
  <xdr:twoCellAnchor>
    <xdr:from>
      <xdr:col>0</xdr:col>
      <xdr:colOff>190500</xdr:colOff>
      <xdr:row>2</xdr:row>
      <xdr:rowOff>127000</xdr:rowOff>
    </xdr:from>
    <xdr:to>
      <xdr:col>5</xdr:col>
      <xdr:colOff>21771</xdr:colOff>
      <xdr:row>23</xdr:row>
      <xdr:rowOff>190500</xdr:rowOff>
    </xdr:to>
    <xdr:sp macro="" textlink="">
      <xdr:nvSpPr>
        <xdr:cNvPr id="3" name="Rounded Rectangle 3">
          <a:extLst>
            <a:ext uri="{FF2B5EF4-FFF2-40B4-BE49-F238E27FC236}">
              <a16:creationId xmlns:a16="http://schemas.microsoft.com/office/drawing/2014/main" id="{00000000-0008-0000-0000-000003000000}"/>
            </a:ext>
          </a:extLst>
        </xdr:cNvPr>
        <xdr:cNvSpPr/>
      </xdr:nvSpPr>
      <xdr:spPr>
        <a:xfrm>
          <a:off x="190500" y="533400"/>
          <a:ext cx="3196771" cy="4330700"/>
        </a:xfrm>
        <a:prstGeom prst="roundRect">
          <a:avLst>
            <a:gd name="adj" fmla="val 6705"/>
          </a:avLst>
        </a:prstGeom>
        <a:solidFill>
          <a:schemeClr val="bg1">
            <a:alpha val="84265"/>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800" b="1">
              <a:solidFill>
                <a:schemeClr val="tx1">
                  <a:lumMod val="75000"/>
                  <a:lumOff val="25000"/>
                </a:schemeClr>
              </a:solidFill>
              <a:latin typeface="Avenir Book" panose="02000503020000020003" pitchFamily="2" charset="0"/>
            </a:rPr>
            <a:t>THEME</a:t>
          </a:r>
          <a:r>
            <a:rPr lang="en-GB" sz="1800" b="1" baseline="0">
              <a:solidFill>
                <a:schemeClr val="tx1">
                  <a:lumMod val="75000"/>
                  <a:lumOff val="25000"/>
                </a:schemeClr>
              </a:solidFill>
              <a:latin typeface="Avenir Book" panose="02000503020000020003" pitchFamily="2" charset="0"/>
            </a:rPr>
            <a:t> PARK ROUTE GENERATOR</a:t>
          </a:r>
        </a:p>
        <a:p>
          <a:pPr algn="ctr"/>
          <a:endParaRPr lang="en-GB" sz="1800" b="1" baseline="0">
            <a:solidFill>
              <a:schemeClr val="tx1">
                <a:lumMod val="75000"/>
                <a:lumOff val="25000"/>
              </a:schemeClr>
            </a:solidFill>
            <a:latin typeface="Avenir Book" panose="02000503020000020003" pitchFamily="2" charset="0"/>
          </a:endParaRPr>
        </a:p>
        <a:p>
          <a:pPr algn="ctr"/>
          <a:r>
            <a:rPr lang="en-GB" sz="1300" b="1" baseline="0">
              <a:solidFill>
                <a:schemeClr val="tx1">
                  <a:lumMod val="75000"/>
                  <a:lumOff val="25000"/>
                </a:schemeClr>
              </a:solidFill>
              <a:latin typeface="Avenir Book" panose="02000503020000020003" pitchFamily="2" charset="0"/>
            </a:rPr>
            <a:t>This generator helps you plan and optimise your route around Universal Studios Singapore, so you can minimise wait time, and maximise fun! </a:t>
          </a:r>
        </a:p>
        <a:p>
          <a:pPr algn="ctr"/>
          <a:endParaRPr lang="en-GB" sz="1300" b="1" baseline="0">
            <a:solidFill>
              <a:schemeClr val="tx1">
                <a:lumMod val="75000"/>
                <a:lumOff val="25000"/>
              </a:schemeClr>
            </a:solidFill>
            <a:latin typeface="Avenir Book" panose="02000503020000020003" pitchFamily="2" charset="0"/>
          </a:endParaRPr>
        </a:p>
        <a:p>
          <a:pPr algn="ctr"/>
          <a:r>
            <a:rPr lang="en-GB" sz="1300" b="1" baseline="0">
              <a:solidFill>
                <a:schemeClr val="tx1">
                  <a:lumMod val="75000"/>
                  <a:lumOff val="25000"/>
                </a:schemeClr>
              </a:solidFill>
              <a:latin typeface="Avenir Book" panose="02000503020000020003" pitchFamily="2" charset="0"/>
            </a:rPr>
            <a:t>Click on one of the buttons below to begin, and have a wonderful journey! </a:t>
          </a:r>
          <a:endParaRPr lang="en-GB" sz="1300" b="1">
            <a:solidFill>
              <a:schemeClr val="tx1">
                <a:lumMod val="75000"/>
                <a:lumOff val="25000"/>
              </a:schemeClr>
            </a:solidFill>
            <a:latin typeface="Avenir Book" panose="02000503020000020003" pitchFamily="2" charset="0"/>
          </a:endParaRPr>
        </a:p>
      </xdr:txBody>
    </xdr:sp>
    <xdr:clientData/>
  </xdr:twoCellAnchor>
  <xdr:twoCellAnchor>
    <xdr:from>
      <xdr:col>0</xdr:col>
      <xdr:colOff>653143</xdr:colOff>
      <xdr:row>16</xdr:row>
      <xdr:rowOff>50800</xdr:rowOff>
    </xdr:from>
    <xdr:to>
      <xdr:col>4</xdr:col>
      <xdr:colOff>203200</xdr:colOff>
      <xdr:row>19</xdr:row>
      <xdr:rowOff>61692</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00000000-0008-0000-0000-000004000000}"/>
            </a:ext>
          </a:extLst>
        </xdr:cNvPr>
        <xdr:cNvSpPr/>
      </xdr:nvSpPr>
      <xdr:spPr>
        <a:xfrm>
          <a:off x="653143" y="3302000"/>
          <a:ext cx="2242457" cy="620492"/>
        </a:xfrm>
        <a:prstGeom prst="roundRect">
          <a:avLst/>
        </a:prstGeom>
        <a:solidFill>
          <a:srgbClr val="1F3D73"/>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SG" sz="1200">
              <a:latin typeface="Avenir Book" panose="02000503020000020003" pitchFamily="2" charset="0"/>
            </a:rPr>
            <a:t>I like to keep my schedule loose and flexible!</a:t>
          </a:r>
        </a:p>
      </xdr:txBody>
    </xdr:sp>
    <xdr:clientData/>
  </xdr:twoCellAnchor>
  <xdr:twoCellAnchor>
    <xdr:from>
      <xdr:col>0</xdr:col>
      <xdr:colOff>645885</xdr:colOff>
      <xdr:row>19</xdr:row>
      <xdr:rowOff>196876</xdr:rowOff>
    </xdr:from>
    <xdr:to>
      <xdr:col>4</xdr:col>
      <xdr:colOff>203200</xdr:colOff>
      <xdr:row>23</xdr:row>
      <xdr:rowOff>12700</xdr:rowOff>
    </xdr:to>
    <xdr:sp macro="" textlink="">
      <xdr:nvSpPr>
        <xdr:cNvPr id="5" name="Rectangle: Rounded Corners 4">
          <a:hlinkClick xmlns:r="http://schemas.openxmlformats.org/officeDocument/2006/relationships" r:id="rId3"/>
          <a:extLst>
            <a:ext uri="{FF2B5EF4-FFF2-40B4-BE49-F238E27FC236}">
              <a16:creationId xmlns:a16="http://schemas.microsoft.com/office/drawing/2014/main" id="{00000000-0008-0000-0000-000005000000}"/>
            </a:ext>
          </a:extLst>
        </xdr:cNvPr>
        <xdr:cNvSpPr/>
      </xdr:nvSpPr>
      <xdr:spPr>
        <a:xfrm>
          <a:off x="645885" y="4057676"/>
          <a:ext cx="2249715" cy="628624"/>
        </a:xfrm>
        <a:prstGeom prst="roundRect">
          <a:avLst/>
        </a:prstGeom>
        <a:solidFill>
          <a:srgbClr val="1F3D73"/>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SG" sz="1200">
              <a:latin typeface="Avenir Book" panose="02000503020000020003" pitchFamily="2" charset="0"/>
            </a:rPr>
            <a:t>I like to keep my schedule tight and</a:t>
          </a:r>
          <a:r>
            <a:rPr lang="en-SG" sz="1200" baseline="0">
              <a:latin typeface="Avenir Book" panose="02000503020000020003" pitchFamily="2" charset="0"/>
            </a:rPr>
            <a:t> precise!</a:t>
          </a:r>
          <a:endParaRPr lang="en-SG" sz="1200">
            <a:latin typeface="Avenir Book" panose="02000503020000020003" pitchFamily="2"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12700</xdr:colOff>
      <xdr:row>25</xdr:row>
      <xdr:rowOff>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041900" cy="5448300"/>
        </a:xfrm>
        <a:prstGeom prst="rect">
          <a:avLst/>
        </a:prstGeom>
      </xdr:spPr>
    </xdr:pic>
    <xdr:clientData/>
  </xdr:twoCellAnchor>
  <xdr:twoCellAnchor>
    <xdr:from>
      <xdr:col>1</xdr:col>
      <xdr:colOff>330200</xdr:colOff>
      <xdr:row>19</xdr:row>
      <xdr:rowOff>165100</xdr:rowOff>
    </xdr:from>
    <xdr:to>
      <xdr:col>6</xdr:col>
      <xdr:colOff>101600</xdr:colOff>
      <xdr:row>23</xdr:row>
      <xdr:rowOff>190500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68400" y="4368800"/>
          <a:ext cx="3962400" cy="850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600" b="1" spc="50">
              <a:solidFill>
                <a:schemeClr val="bg1">
                  <a:lumMod val="95000"/>
                </a:schemeClr>
              </a:solidFill>
              <a:latin typeface="Avenir Book" panose="02000503020000020003" pitchFamily="2" charset="0"/>
            </a:rPr>
            <a:t>Tell</a:t>
          </a:r>
          <a:r>
            <a:rPr lang="en-GB" sz="1600" b="1" spc="50" baseline="0">
              <a:solidFill>
                <a:schemeClr val="bg1">
                  <a:lumMod val="95000"/>
                </a:schemeClr>
              </a:solidFill>
              <a:latin typeface="Avenir Book" panose="02000503020000020003" pitchFamily="2" charset="0"/>
            </a:rPr>
            <a:t> us more about your plans so our minions can better serve you! </a:t>
          </a:r>
          <a:endParaRPr lang="en-GB" sz="1600" b="1" spc="50">
            <a:solidFill>
              <a:schemeClr val="bg1">
                <a:lumMod val="95000"/>
              </a:schemeClr>
            </a:solidFill>
            <a:latin typeface="Avenir Book" panose="02000503020000020003" pitchFamily="2" charset="0"/>
          </a:endParaRPr>
        </a:p>
      </xdr:txBody>
    </xdr:sp>
    <xdr:clientData/>
  </xdr:twoCellAnchor>
  <mc:AlternateContent xmlns:mc="http://schemas.openxmlformats.org/markup-compatibility/2006">
    <mc:Choice xmlns:a14="http://schemas.microsoft.com/office/drawing/2010/main" Requires="a14">
      <xdr:twoCellAnchor>
        <xdr:from>
          <xdr:col>8</xdr:col>
          <xdr:colOff>266700</xdr:colOff>
          <xdr:row>21</xdr:row>
          <xdr:rowOff>104775</xdr:rowOff>
        </xdr:from>
        <xdr:to>
          <xdr:col>8</xdr:col>
          <xdr:colOff>2133600</xdr:colOff>
          <xdr:row>23</xdr:row>
          <xdr:rowOff>47625</xdr:rowOff>
        </xdr:to>
        <xdr:sp macro="" textlink="">
          <xdr:nvSpPr>
            <xdr:cNvPr id="13319" name="Button 7" descr="Go minion! " hidden="1">
              <a:extLst>
                <a:ext uri="{63B3BB69-23CF-44E3-9099-C40C66FF867C}">
                  <a14:compatExt spid="_x0000_s13319"/>
                </a:ext>
                <a:ext uri="{FF2B5EF4-FFF2-40B4-BE49-F238E27FC236}">
                  <a16:creationId xmlns:a16="http://schemas.microsoft.com/office/drawing/2014/main" id="{00000000-0008-0000-0100-0000073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SG" sz="1200" b="0" i="0" u="none" strike="noStrike" baseline="0">
                  <a:solidFill>
                    <a:srgbClr val="000000"/>
                  </a:solidFill>
                  <a:latin typeface="Avenir"/>
                </a:rPr>
                <a:t>Give me my schedule!</a:t>
              </a:r>
            </a:p>
          </xdr:txBody>
        </xdr:sp>
        <xdr:clientData fPrintsWithSheet="0"/>
      </xdr:twoCellAnchor>
    </mc:Choice>
    <mc:Fallback/>
  </mc:AlternateContent>
  <xdr:twoCellAnchor editAs="oneCell">
    <xdr:from>
      <xdr:col>0</xdr:col>
      <xdr:colOff>63500</xdr:colOff>
      <xdr:row>18</xdr:row>
      <xdr:rowOff>63500</xdr:rowOff>
    </xdr:from>
    <xdr:to>
      <xdr:col>1</xdr:col>
      <xdr:colOff>513662</xdr:colOff>
      <xdr:row>24</xdr:row>
      <xdr:rowOff>114300</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4013200"/>
          <a:ext cx="1288362" cy="1371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4</xdr:col>
      <xdr:colOff>555173</xdr:colOff>
      <xdr:row>21</xdr:row>
      <xdr:rowOff>39519</xdr:rowOff>
    </xdr:to>
    <xdr:graphicFrame macro="">
      <xdr:nvGraphicFramePr>
        <xdr:cNvPr id="5" name="Chart 4">
          <a:extLst>
            <a:ext uri="{FF2B5EF4-FFF2-40B4-BE49-F238E27FC236}">
              <a16:creationId xmlns:a16="http://schemas.microsoft.com/office/drawing/2014/main" id="{00000000-0008-0000-03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44174</xdr:colOff>
      <xdr:row>17</xdr:row>
      <xdr:rowOff>11043</xdr:rowOff>
    </xdr:from>
    <xdr:to>
      <xdr:col>8</xdr:col>
      <xdr:colOff>118324</xdr:colOff>
      <xdr:row>18</xdr:row>
      <xdr:rowOff>132522</xdr:rowOff>
    </xdr:to>
    <xdr:sp macro="" textlink="">
      <xdr:nvSpPr>
        <xdr:cNvPr id="2" name="Rectangle: Rounded Corners 4">
          <a:hlinkClick xmlns:r="http://schemas.openxmlformats.org/officeDocument/2006/relationships" r:id="rId2"/>
          <a:extLst>
            <a:ext uri="{FF2B5EF4-FFF2-40B4-BE49-F238E27FC236}">
              <a16:creationId xmlns:a16="http://schemas.microsoft.com/office/drawing/2014/main" id="{00000000-0008-0000-0300-000002000000}"/>
            </a:ext>
          </a:extLst>
        </xdr:cNvPr>
        <xdr:cNvSpPr/>
      </xdr:nvSpPr>
      <xdr:spPr>
        <a:xfrm>
          <a:off x="6504609" y="3500782"/>
          <a:ext cx="2249715" cy="320262"/>
        </a:xfrm>
        <a:prstGeom prst="roundRect">
          <a:avLst/>
        </a:prstGeom>
        <a:solidFill>
          <a:schemeClr val="accent4">
            <a:lumMod val="20000"/>
            <a:lumOff val="8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SG" sz="1100">
              <a:solidFill>
                <a:srgbClr val="1F3D73"/>
              </a:solidFill>
              <a:latin typeface="Avenir Book" panose="02000503020000020003" pitchFamily="2" charset="0"/>
            </a:rPr>
            <a:t>Changed</a:t>
          </a:r>
          <a:r>
            <a:rPr lang="en-SG" sz="1100" baseline="0">
              <a:solidFill>
                <a:srgbClr val="1F3D73"/>
              </a:solidFill>
              <a:latin typeface="Avenir Book" panose="02000503020000020003" pitchFamily="2" charset="0"/>
            </a:rPr>
            <a:t> your mind?</a:t>
          </a:r>
          <a:endParaRPr lang="en-SG" sz="1100">
            <a:solidFill>
              <a:srgbClr val="1F3D73"/>
            </a:solidFill>
            <a:latin typeface="Avenir Book" panose="02000503020000020003" pitchFamily="2" charset="0"/>
          </a:endParaRPr>
        </a:p>
      </xdr:txBody>
    </xdr:sp>
    <xdr:clientData/>
  </xdr:twoCellAnchor>
  <xdr:twoCellAnchor>
    <xdr:from>
      <xdr:col>6</xdr:col>
      <xdr:colOff>1137479</xdr:colOff>
      <xdr:row>2</xdr:row>
      <xdr:rowOff>33960</xdr:rowOff>
    </xdr:from>
    <xdr:to>
      <xdr:col>8</xdr:col>
      <xdr:colOff>322075</xdr:colOff>
      <xdr:row>3</xdr:row>
      <xdr:rowOff>123885</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6338957" y="431525"/>
          <a:ext cx="2619118" cy="2887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SG" sz="1600" b="1">
              <a:solidFill>
                <a:schemeClr val="bg1"/>
              </a:solidFill>
            </a:rPr>
            <a:t>You're</a:t>
          </a:r>
          <a:r>
            <a:rPr lang="en-SG" sz="1600" b="1" baseline="0">
              <a:solidFill>
                <a:schemeClr val="bg1"/>
              </a:solidFill>
            </a:rPr>
            <a:t> all set! </a:t>
          </a:r>
          <a:endParaRPr lang="en-SG" sz="1600" b="1">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242272</xdr:colOff>
      <xdr:row>26</xdr:row>
      <xdr:rowOff>25400</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271472" cy="52614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180975</xdr:colOff>
          <xdr:row>22</xdr:row>
          <xdr:rowOff>28575</xdr:rowOff>
        </xdr:from>
        <xdr:to>
          <xdr:col>8</xdr:col>
          <xdr:colOff>2143125</xdr:colOff>
          <xdr:row>23</xdr:row>
          <xdr:rowOff>104775</xdr:rowOff>
        </xdr:to>
        <xdr:sp macro="" textlink="">
          <xdr:nvSpPr>
            <xdr:cNvPr id="15377" name="Button 17" hidden="1">
              <a:extLst>
                <a:ext uri="{63B3BB69-23CF-44E3-9099-C40C66FF867C}">
                  <a14:compatExt spid="_x0000_s15377"/>
                </a:ext>
                <a:ext uri="{FF2B5EF4-FFF2-40B4-BE49-F238E27FC236}">
                  <a16:creationId xmlns:a16="http://schemas.microsoft.com/office/drawing/2014/main" id="{00000000-0008-0000-0400-00001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200" b="0" i="0" u="none" strike="noStrike" baseline="0">
                  <a:solidFill>
                    <a:srgbClr val="000000"/>
                  </a:solidFill>
                  <a:latin typeface="Calibri"/>
                  <a:cs typeface="Calibri"/>
                </a:rPr>
                <a:t>Give me my itinerary!</a:t>
              </a:r>
            </a:p>
          </xdr:txBody>
        </xdr:sp>
        <xdr:clientData fPrintsWithSheet="0"/>
      </xdr:twoCellAnchor>
    </mc:Choice>
    <mc:Fallback/>
  </mc:AlternateContent>
  <xdr:twoCellAnchor>
    <xdr:from>
      <xdr:col>0</xdr:col>
      <xdr:colOff>622300</xdr:colOff>
      <xdr:row>20</xdr:row>
      <xdr:rowOff>101600</xdr:rowOff>
    </xdr:from>
    <xdr:to>
      <xdr:col>5</xdr:col>
      <xdr:colOff>393700</xdr:colOff>
      <xdr:row>24</xdr:row>
      <xdr:rowOff>139700</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622300" y="4165600"/>
          <a:ext cx="3962400" cy="850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600" b="1" spc="50">
              <a:solidFill>
                <a:schemeClr val="bg1">
                  <a:lumMod val="95000"/>
                </a:schemeClr>
              </a:solidFill>
              <a:latin typeface="Avenir Book" panose="02000503020000020003" pitchFamily="2" charset="0"/>
            </a:rPr>
            <a:t>Details</a:t>
          </a:r>
          <a:r>
            <a:rPr lang="en-GB" sz="1600" b="1" spc="50" baseline="0">
              <a:solidFill>
                <a:schemeClr val="bg1">
                  <a:lumMod val="95000"/>
                </a:schemeClr>
              </a:solidFill>
              <a:latin typeface="Avenir Book" panose="02000503020000020003" pitchFamily="2" charset="0"/>
            </a:rPr>
            <a:t>... please...</a:t>
          </a:r>
          <a:endParaRPr lang="en-GB" sz="1600" b="1" spc="50">
            <a:solidFill>
              <a:schemeClr val="bg1">
                <a:lumMod val="95000"/>
              </a:schemeClr>
            </a:solidFill>
            <a:latin typeface="Avenir Book" panose="02000503020000020003" pitchFamily="2" charset="0"/>
          </a:endParaRPr>
        </a:p>
      </xdr:txBody>
    </xdr:sp>
    <xdr:clientData/>
  </xdr:twoCellAnchor>
  <xdr:twoCellAnchor editAs="oneCell">
    <xdr:from>
      <xdr:col>0</xdr:col>
      <xdr:colOff>381000</xdr:colOff>
      <xdr:row>16</xdr:row>
      <xdr:rowOff>190500</xdr:rowOff>
    </xdr:from>
    <xdr:to>
      <xdr:col>1</xdr:col>
      <xdr:colOff>355045</xdr:colOff>
      <xdr:row>25</xdr:row>
      <xdr:rowOff>152400</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81000" y="3441700"/>
          <a:ext cx="812245" cy="18796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4</xdr:col>
      <xdr:colOff>555173</xdr:colOff>
      <xdr:row>19</xdr:row>
      <xdr:rowOff>174802</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1943653</xdr:colOff>
      <xdr:row>15</xdr:row>
      <xdr:rowOff>187739</xdr:rowOff>
    </xdr:from>
    <xdr:to>
      <xdr:col>8</xdr:col>
      <xdr:colOff>753324</xdr:colOff>
      <xdr:row>17</xdr:row>
      <xdr:rowOff>110435</xdr:rowOff>
    </xdr:to>
    <xdr:sp macro="" textlink="">
      <xdr:nvSpPr>
        <xdr:cNvPr id="4" name="Rectangle: Rounded Corners 4">
          <a:hlinkClick xmlns:r="http://schemas.openxmlformats.org/officeDocument/2006/relationships" r:id="rId2"/>
          <a:extLst>
            <a:ext uri="{FF2B5EF4-FFF2-40B4-BE49-F238E27FC236}">
              <a16:creationId xmlns:a16="http://schemas.microsoft.com/office/drawing/2014/main" id="{00000000-0008-0000-0600-000004000000}"/>
            </a:ext>
          </a:extLst>
        </xdr:cNvPr>
        <xdr:cNvSpPr/>
      </xdr:nvSpPr>
      <xdr:spPr>
        <a:xfrm>
          <a:off x="7584110" y="3674717"/>
          <a:ext cx="2238671" cy="320261"/>
        </a:xfrm>
        <a:prstGeom prst="roundRect">
          <a:avLst/>
        </a:prstGeom>
        <a:solidFill>
          <a:schemeClr val="accent4">
            <a:lumMod val="20000"/>
            <a:lumOff val="8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SG" sz="1100">
              <a:solidFill>
                <a:srgbClr val="1F3D73"/>
              </a:solidFill>
              <a:latin typeface="Avenir Book" panose="02000503020000020003" pitchFamily="2" charset="0"/>
            </a:rPr>
            <a:t>Changed</a:t>
          </a:r>
          <a:r>
            <a:rPr lang="en-SG" sz="1100" baseline="0">
              <a:solidFill>
                <a:srgbClr val="1F3D73"/>
              </a:solidFill>
              <a:latin typeface="Avenir Book" panose="02000503020000020003" pitchFamily="2" charset="0"/>
            </a:rPr>
            <a:t> your mind?</a:t>
          </a:r>
          <a:endParaRPr lang="en-SG" sz="1100">
            <a:solidFill>
              <a:srgbClr val="1F3D73"/>
            </a:solidFill>
            <a:latin typeface="Avenir Book" panose="02000503020000020003" pitchFamily="2" charset="0"/>
          </a:endParaRPr>
        </a:p>
      </xdr:txBody>
    </xdr:sp>
    <xdr:clientData/>
  </xdr:twoCellAnchor>
  <xdr:twoCellAnchor>
    <xdr:from>
      <xdr:col>6</xdr:col>
      <xdr:colOff>1744869</xdr:colOff>
      <xdr:row>1</xdr:row>
      <xdr:rowOff>187739</xdr:rowOff>
    </xdr:from>
    <xdr:to>
      <xdr:col>8</xdr:col>
      <xdr:colOff>929465</xdr:colOff>
      <xdr:row>3</xdr:row>
      <xdr:rowOff>78882</xdr:rowOff>
    </xdr:to>
    <xdr:sp macro="" textlink="">
      <xdr:nvSpPr>
        <xdr:cNvPr id="5" name="TextBox 4">
          <a:extLst>
            <a:ext uri="{FF2B5EF4-FFF2-40B4-BE49-F238E27FC236}">
              <a16:creationId xmlns:a16="http://schemas.microsoft.com/office/drawing/2014/main" id="{00000000-0008-0000-0600-000005000000}"/>
            </a:ext>
          </a:extLst>
        </xdr:cNvPr>
        <xdr:cNvSpPr txBox="1"/>
      </xdr:nvSpPr>
      <xdr:spPr>
        <a:xfrm>
          <a:off x="7388086" y="386522"/>
          <a:ext cx="2619118" cy="2887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SG" sz="1600" b="1">
              <a:solidFill>
                <a:schemeClr val="bg1"/>
              </a:solidFill>
            </a:rPr>
            <a:t>You're</a:t>
          </a:r>
          <a:r>
            <a:rPr lang="en-SG" sz="1600" b="1" baseline="0">
              <a:solidFill>
                <a:schemeClr val="bg1"/>
              </a:solidFill>
            </a:rPr>
            <a:t> all set! </a:t>
          </a:r>
          <a:endParaRPr lang="en-SG" sz="1600" b="1">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85725</xdr:colOff>
          <xdr:row>12</xdr:row>
          <xdr:rowOff>152400</xdr:rowOff>
        </xdr:from>
        <xdr:to>
          <xdr:col>6</xdr:col>
          <xdr:colOff>1457325</xdr:colOff>
          <xdr:row>14</xdr:row>
          <xdr:rowOff>9525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7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200" b="0" i="0" u="none" strike="noStrike" baseline="0">
                  <a:solidFill>
                    <a:srgbClr val="000000"/>
                  </a:solidFill>
                  <a:latin typeface="Calibri"/>
                  <a:cs typeface="Calibri"/>
                </a:rPr>
                <a:t>Run Model</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339725</xdr:colOff>
      <xdr:row>14</xdr:row>
      <xdr:rowOff>22225</xdr:rowOff>
    </xdr:from>
    <xdr:to>
      <xdr:col>10</xdr:col>
      <xdr:colOff>631825</xdr:colOff>
      <xdr:row>35</xdr:row>
      <xdr:rowOff>63500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6350</xdr:colOff>
      <xdr:row>13</xdr:row>
      <xdr:rowOff>196850</xdr:rowOff>
    </xdr:from>
    <xdr:to>
      <xdr:col>21</xdr:col>
      <xdr:colOff>635000</xdr:colOff>
      <xdr:row>35</xdr:row>
      <xdr:rowOff>63500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3">
  <rv s="0">
    <v>8</v>
    <v>1</v>
  </rv>
  <rv s="1">
    <v>0</v>
    <v>8</v>
    <v>23</v>
    <v>1</v>
  </rv>
  <rv s="1">
    <v>0</v>
    <v>8</v>
    <v>5</v>
    <v>1</v>
  </rv>
</rvData>
</file>

<file path=xl/richData/rdrichvaluestructure.xml><?xml version="1.0" encoding="utf-8"?>
<rvStructures xmlns="http://schemas.microsoft.com/office/spreadsheetml/2017/richdata" count="2">
  <s t="_error">
    <k n="errorType" t="i"/>
    <k n="propagated" t="b"/>
  </s>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EAC47FB-75CC-4D3E-AEBD-ACD9D817F3CE}" name="Tbl_Wait_Wkday" displayName="Tbl_Wait_Wkday" ref="B5:Q12" totalsRowShown="0" headerRowDxfId="91" dataDxfId="90" tableBorderDxfId="89">
  <autoFilter ref="B5:Q12" xr:uid="{CEAC47FB-75CC-4D3E-AEBD-ACD9D817F3C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1C445700-4D10-444A-8E79-C2A808AC9F6C}" name="Time" dataDxfId="88"/>
    <tableColumn id="2" xr3:uid="{05D930ED-4769-4B8E-857B-77EC5BEF2BC5}" name="Accelerator" dataDxfId="87"/>
    <tableColumn id="3" xr3:uid="{B9D790DA-C97C-4E4B-A5E8-E983FBA1321D}" name="Battlestar Galactica: Cylon" dataDxfId="86"/>
    <tableColumn id="4" xr3:uid="{CA79F162-681E-4ECB-A1EC-89071F2D10F1}" name="Battlestart Galactica: Human" dataDxfId="85"/>
    <tableColumn id="5" xr3:uid="{48041F53-CFB1-4E8A-B79F-170FBCDAE00A}" name="Canopy Flyer" dataDxfId="84"/>
    <tableColumn id="6" xr3:uid="{77841C5F-58C3-4E7A-970E-AAD6C17A81A5}" name="Dino-Soarin" dataDxfId="83"/>
    <tableColumn id="7" xr3:uid="{93C87D83-3B94-471D-A554-3421545FD157}" name="Enchanted Airways" dataDxfId="82"/>
    <tableColumn id="8" xr3:uid="{5395B079-8094-4D33-A414-9B990384900A}" name="King Julien's Beach Party Go Round" dataDxfId="81"/>
    <tableColumn id="9" xr3:uid="{E927D62F-6F35-4F9A-97AB-38E4C17B4426}" name="Lights, Camera, Action!" dataDxfId="80"/>
    <tableColumn id="10" xr3:uid="{E17355C1-27C0-4D53-82E6-E445F4173C3F}" name="Magic Potion Spin" dataDxfId="79"/>
    <tableColumn id="11" xr3:uid="{CFF384E5-9FC0-4307-8427-381237C28D1E}" name="Puss in Boots' Giant Journey" dataDxfId="78"/>
    <tableColumn id="12" xr3:uid="{9572AEC6-B789-49F7-BCF4-64AD41A01D36}" name="Revenge of the Mummy" dataDxfId="77"/>
    <tableColumn id="13" xr3:uid="{5443B72A-593A-4507-8007-09944668179D}" name="Sesame Street Spaghetti Space Chase" dataDxfId="76"/>
    <tableColumn id="14" xr3:uid="{036C55D7-7E0E-4DF2-BE88-501FFA60DCCE}" name="Shrek 4D Adventure" dataDxfId="75"/>
    <tableColumn id="15" xr3:uid="{5F3DB065-0FC2-4C8E-B0D6-EC226EEA0454}" name="Transformers The Ride" dataDxfId="74"/>
    <tableColumn id="16" xr3:uid="{FBDAF947-E05A-4CDC-B9B4-1C7E633D9015}" name="Treasure Hunters" dataDxfId="73"/>
  </tableColumns>
  <tableStyleInfo name="TableStyleMedium2"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A0DC89E-BE08-4B5D-88E7-B077E9FAE77F}" name="Tbl_Wait_Wkend" displayName="Tbl_Wait_Wkend" ref="B16:Q23" totalsRowShown="0" headerRowDxfId="72" dataDxfId="70" headerRowBorderDxfId="71" tableBorderDxfId="69" totalsRowBorderDxfId="68">
  <autoFilter ref="B16:Q23" xr:uid="{0A0DC89E-BE08-4B5D-88E7-B077E9FAE77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501C879A-6E31-4B56-BEAD-F812DD055242}" name="Time" dataDxfId="67"/>
    <tableColumn id="2" xr3:uid="{A673B296-25F1-4222-B76D-32BBDC1A7EF8}" name="Accelerator" dataDxfId="66"/>
    <tableColumn id="3" xr3:uid="{8962FB14-9E45-432B-B163-BC9C2AC17835}" name="Battlestar Galactica: Cylon" dataDxfId="65"/>
    <tableColumn id="4" xr3:uid="{62C8DC5E-D22D-4F98-AF5F-27BE0920B47A}" name="Battlestart Galactica: Human" dataDxfId="64"/>
    <tableColumn id="5" xr3:uid="{8AC8E537-BF9C-4209-89E3-BCB4FBB03273}" name="Canopy Flyer" dataDxfId="63"/>
    <tableColumn id="6" xr3:uid="{D70C1121-C230-4FB0-90A4-5038BA4251A4}" name="Dino-Soarin" dataDxfId="62"/>
    <tableColumn id="7" xr3:uid="{E6C55738-3C1E-49B8-BEE4-225307D408B1}" name="Enchanted Airways" dataDxfId="61"/>
    <tableColumn id="8" xr3:uid="{ECD9ACE2-A916-4610-9F1A-6CB27B915585}" name="King Julien's Beach Party Go Round" dataDxfId="60"/>
    <tableColumn id="9" xr3:uid="{3BB3BE26-5816-439E-8D86-E4E41323FA04}" name="Lights, Camera, Action!" dataDxfId="59"/>
    <tableColumn id="10" xr3:uid="{67DDFB3F-C3F0-4533-86F3-A1D588643025}" name="Magic Potion Spin" dataDxfId="58"/>
    <tableColumn id="11" xr3:uid="{3ABC7A42-EAAD-48AD-8410-DD64A33161B8}" name="Puss in Boots' Giant Journey" dataDxfId="57"/>
    <tableColumn id="12" xr3:uid="{781588D5-0DE5-407A-9B04-4DF1379D5CFA}" name="Revenge of the Mummy" dataDxfId="56"/>
    <tableColumn id="13" xr3:uid="{C6480E4C-3337-425D-B44B-DD8F00F46B61}" name="Sesame Street Spaghetti Space Chase" dataDxfId="55"/>
    <tableColumn id="14" xr3:uid="{F0688E85-C3BE-4A09-99C9-63B98CC7EEDA}" name="Shrek 4D Adventure" dataDxfId="54"/>
    <tableColumn id="15" xr3:uid="{05D87229-8F92-42E6-83FF-E67948882AFD}" name="Transformers The Ride" dataDxfId="53"/>
    <tableColumn id="16" xr3:uid="{AA588C0B-38CE-4195-8AB3-45E2D43658AE}" name="Treasure Hunters" dataDxfId="52"/>
  </tableColumns>
  <tableStyleInfo name="TableStyleMedium2"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4FAAC72-A24C-479F-BD9B-85D85DE32968}" name="Tbl_Ride" displayName="Tbl_Ride" ref="B4:C19" totalsRowShown="0" headerRowDxfId="51" headerRowBorderDxfId="50" tableBorderDxfId="49" totalsRowBorderDxfId="48">
  <autoFilter ref="B4:C19" xr:uid="{A4FAAC72-A24C-479F-BD9B-85D85DE32968}">
    <filterColumn colId="0" hiddenButton="1"/>
    <filterColumn colId="1" hiddenButton="1"/>
  </autoFilter>
  <tableColumns count="2">
    <tableColumn id="1" xr3:uid="{A0F53564-BC2B-4667-B1D4-7167AB17F836}" name="Ride" dataDxfId="47"/>
    <tableColumn id="2" xr3:uid="{1E6D2DFC-C35E-4FA4-9792-155E5A4DC766}" name="Duration" dataDxfId="46"/>
  </tableColumns>
  <tableStyleInfo name="TableStyleMedium2"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CF81B13-5855-4133-A00F-A2DC26CFE878}" name="Tbl_Walk_Avg" displayName="Tbl_Walk_Avg" ref="B28:S45" totalsRowShown="0" headerRowDxfId="45" dataDxfId="43" headerRowBorderDxfId="44" tableBorderDxfId="42" totalsRowBorderDxfId="41">
  <autoFilter ref="B28:S45" xr:uid="{9CF81B13-5855-4133-A00F-A2DC26CFE8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FB7843AF-2728-46C0-94AC-FCC1D5824D81}" name="Ride" dataDxfId="40"/>
    <tableColumn id="2" xr3:uid="{3B34F099-504B-4E1E-90AD-720D4074ACE9}" name="Entrance" dataDxfId="39">
      <calculatedColumnFormula>CEILING(TIME(0,0,C6/$C$25),TIME(0,1,0))</calculatedColumnFormula>
    </tableColumn>
    <tableColumn id="3" xr3:uid="{77D1809C-4142-42BD-A950-DEAC55665212}" name="Exit" dataDxfId="38">
      <calculatedColumnFormula>CEILING(TIME(0,0,D6/$C$25),TIME(0,1,0))</calculatedColumnFormula>
    </tableColumn>
    <tableColumn id="4" xr3:uid="{1663DC3A-0C74-411F-9569-67D7C88C6EB9}" name="Accelerator" dataDxfId="37">
      <calculatedColumnFormula>CEILING(TIME(0,0,E6/$C$25),TIME(0,1,0))</calculatedColumnFormula>
    </tableColumn>
    <tableColumn id="5" xr3:uid="{628DF6D3-1C89-4A6B-8415-A63725420C6C}" name="Battlestar Galactica: Cylon" dataDxfId="36">
      <calculatedColumnFormula>CEILING(TIME(0,0,F6/$C$25),TIME(0,1,0))</calculatedColumnFormula>
    </tableColumn>
    <tableColumn id="6" xr3:uid="{0B486700-B8AE-4F51-9021-1F3936939C2F}" name="Battlestart Galactica: Human" dataDxfId="35">
      <calculatedColumnFormula>CEILING(TIME(0,0,G6/$C$25),TIME(0,1,0))</calculatedColumnFormula>
    </tableColumn>
    <tableColumn id="7" xr3:uid="{DB830502-AB45-4063-94B9-78177E579032}" name="Canopy Flyer" dataDxfId="34">
      <calculatedColumnFormula>CEILING(TIME(0,0,H6/$C$25),TIME(0,1,0))</calculatedColumnFormula>
    </tableColumn>
    <tableColumn id="8" xr3:uid="{BD4493F0-9A84-4474-81C0-BA72FB80A753}" name="Dino-Soarin" dataDxfId="33">
      <calculatedColumnFormula>CEILING(TIME(0,0,I6/$C$25),TIME(0,1,0))</calculatedColumnFormula>
    </tableColumn>
    <tableColumn id="9" xr3:uid="{AEADDD49-AF8B-4045-BBB8-DBED6C18FDD2}" name="Enchanted Airways" dataDxfId="32">
      <calculatedColumnFormula>CEILING(TIME(0,0,J6/$C$25),TIME(0,1,0))</calculatedColumnFormula>
    </tableColumn>
    <tableColumn id="10" xr3:uid="{211ED9B9-E011-4AB7-8DD5-604A987F0F54}" name="King Julien's Beach Party Go Round" dataDxfId="31">
      <calculatedColumnFormula>CEILING(TIME(0,0,K6/$C$25),TIME(0,1,0))</calculatedColumnFormula>
    </tableColumn>
    <tableColumn id="11" xr3:uid="{B387797C-398B-468A-A05D-ADDB3E94E2B9}" name="Lights, Camera, Action!" dataDxfId="30">
      <calculatedColumnFormula>CEILING(TIME(0,0,L6/$C$25),TIME(0,1,0))</calculatedColumnFormula>
    </tableColumn>
    <tableColumn id="12" xr3:uid="{255C6B31-0C3E-4AFC-8877-9E4FA69E41F5}" name="Magic Potion Spin" dataDxfId="29">
      <calculatedColumnFormula>CEILING(TIME(0,0,M6/$C$25),TIME(0,1,0))</calculatedColumnFormula>
    </tableColumn>
    <tableColumn id="13" xr3:uid="{03D566C3-F7EB-42F5-B635-E7A626D81A57}" name="Puss in Boots' Giant Journey" dataDxfId="28">
      <calculatedColumnFormula>CEILING(TIME(0,0,N6/$C$25),TIME(0,1,0))</calculatedColumnFormula>
    </tableColumn>
    <tableColumn id="14" xr3:uid="{E4164A9E-BE14-4582-8105-2FD8CB7CB387}" name="Revenge of the Mummy" dataDxfId="27">
      <calculatedColumnFormula>CEILING(TIME(0,0,O6/$C$25),TIME(0,1,0))</calculatedColumnFormula>
    </tableColumn>
    <tableColumn id="15" xr3:uid="{1F569D7E-E804-42CD-80EE-F456C108A9FC}" name="Sesame Street Spaghetti Space Chase" dataDxfId="26">
      <calculatedColumnFormula>CEILING(TIME(0,0,P6/$C$25),TIME(0,1,0))</calculatedColumnFormula>
    </tableColumn>
    <tableColumn id="16" xr3:uid="{341EA6E8-5636-41E1-81A7-5EB3744A1D60}" name="Shrek 4D Adventure" dataDxfId="25">
      <calculatedColumnFormula>CEILING(TIME(0,0,Q6/$C$25),TIME(0,1,0))</calculatedColumnFormula>
    </tableColumn>
    <tableColumn id="17" xr3:uid="{CAC53D00-0FD5-4BCE-A3B7-068296A3AA03}" name="Transformers The Ride" dataDxfId="24">
      <calculatedColumnFormula>CEILING(TIME(0,0,R6/$C$25),TIME(0,1,0))</calculatedColumnFormula>
    </tableColumn>
    <tableColumn id="18" xr3:uid="{3725D934-B246-404D-A975-1E0D28AC9773}" name="Treasure Hunters" dataDxfId="23">
      <calculatedColumnFormula>CEILING(TIME(0,0,S6/$C$25),TIME(0,1,0))</calculatedColumnFormula>
    </tableColumn>
  </tableColumns>
  <tableStyleInfo name="TableStyleMedium2"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75A7CE1-D76E-41B1-ABD3-7DE435114A57}" name="Tbl_Walk_Leisure" displayName="Tbl_Walk_Leisure" ref="B52:S69" totalsRowShown="0" headerRowDxfId="22" dataDxfId="20" headerRowBorderDxfId="21" tableBorderDxfId="19" totalsRowBorderDxfId="18">
  <autoFilter ref="B52:S69" xr:uid="{C75A7CE1-D76E-41B1-ABD3-7DE435114A5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B701E166-9BAC-47F5-BBDE-36B981DD986E}" name="Ride" dataDxfId="17"/>
    <tableColumn id="2" xr3:uid="{0700C799-7E3D-4D00-9DB8-2BAC9D511409}" name="Entrance" dataDxfId="16">
      <calculatedColumnFormula>CEILING(TIME(0,0,C6/$C$49),TIME(0,1,0))</calculatedColumnFormula>
    </tableColumn>
    <tableColumn id="3" xr3:uid="{BE7D59CE-C828-4DAB-989C-33F4DB8E54FD}" name="Exit" dataDxfId="15">
      <calculatedColumnFormula>CEILING(TIME(0,0,D6/$C$49),TIME(0,1,0))</calculatedColumnFormula>
    </tableColumn>
    <tableColumn id="4" xr3:uid="{17C58DD5-0EAD-42B8-9E5A-F6AB446085B5}" name="Accelerator" dataDxfId="14">
      <calculatedColumnFormula>CEILING(TIME(0,0,E6/$C$49),TIME(0,1,0))</calculatedColumnFormula>
    </tableColumn>
    <tableColumn id="5" xr3:uid="{76B679EC-2005-4354-B193-DAF8862E9513}" name="Battlestar Galactica: Cylon" dataDxfId="13">
      <calculatedColumnFormula>CEILING(TIME(0,0,F6/$C$49),TIME(0,1,0))</calculatedColumnFormula>
    </tableColumn>
    <tableColumn id="6" xr3:uid="{D74DD223-04DB-430E-BAF0-4CCEEE259631}" name="Battlestart Galactica: Human" dataDxfId="12">
      <calculatedColumnFormula>CEILING(TIME(0,0,G6/$C$49),TIME(0,1,0))</calculatedColumnFormula>
    </tableColumn>
    <tableColumn id="7" xr3:uid="{E455DF48-8861-4004-B3FC-03C64E36593F}" name="Canopy Flyer" dataDxfId="11">
      <calculatedColumnFormula>CEILING(TIME(0,0,H6/$C$49),TIME(0,1,0))</calculatedColumnFormula>
    </tableColumn>
    <tableColumn id="8" xr3:uid="{0710BE23-D2F9-49C6-8D3B-8B9788EA0C32}" name="Dino-Soarin" dataDxfId="10">
      <calculatedColumnFormula>CEILING(TIME(0,0,I6/$C$49),TIME(0,1,0))</calculatedColumnFormula>
    </tableColumn>
    <tableColumn id="9" xr3:uid="{0E71B791-F4EC-416A-9D25-0696FA1ED2FF}" name="Enchanted Airways" dataDxfId="9">
      <calculatedColumnFormula>CEILING(TIME(0,0,J6/$C$49),TIME(0,1,0))</calculatedColumnFormula>
    </tableColumn>
    <tableColumn id="10" xr3:uid="{4B6A6156-7041-48A0-B566-026950144DE1}" name="King Julien's Beach Party Go Round" dataDxfId="8">
      <calculatedColumnFormula>CEILING(TIME(0,0,K6/$C$49),TIME(0,1,0))</calculatedColumnFormula>
    </tableColumn>
    <tableColumn id="11" xr3:uid="{ADEA17F0-85D5-4BB3-810A-A9F56FED17E8}" name="Lights, Camera, Action!" dataDxfId="7">
      <calculatedColumnFormula>CEILING(TIME(0,0,L6/$C$49),TIME(0,1,0))</calculatedColumnFormula>
    </tableColumn>
    <tableColumn id="12" xr3:uid="{923333BB-0C58-4EAE-9285-CCB8BB0F05BB}" name="Magic Potion Spin" dataDxfId="6">
      <calculatedColumnFormula>CEILING(TIME(0,0,M6/$C$49),TIME(0,1,0))</calculatedColumnFormula>
    </tableColumn>
    <tableColumn id="13" xr3:uid="{8DF70357-0210-4F46-B955-7722BCA41EB9}" name="Puss in Boots' Giant Journey" dataDxfId="5">
      <calculatedColumnFormula>CEILING(TIME(0,0,N6/$C$49),TIME(0,1,0))</calculatedColumnFormula>
    </tableColumn>
    <tableColumn id="14" xr3:uid="{57F8A6DF-00BB-48AD-BCA8-13788615A7F4}" name="Revenge of the Mummy" dataDxfId="4">
      <calculatedColumnFormula>CEILING(TIME(0,0,O6/$C$49),TIME(0,1,0))</calculatedColumnFormula>
    </tableColumn>
    <tableColumn id="15" xr3:uid="{0A9B8FD5-ABAB-4D35-A2C2-452340F444C2}" name="Sesame Street Spaghetti Space Chase" dataDxfId="3">
      <calculatedColumnFormula>CEILING(TIME(0,0,P6/$C$49),TIME(0,1,0))</calculatedColumnFormula>
    </tableColumn>
    <tableColumn id="16" xr3:uid="{A2600023-AC6A-4AAD-81EC-ABB3CF439866}" name="Shrek 4D Adventure" dataDxfId="2">
      <calculatedColumnFormula>CEILING(TIME(0,0,Q6/$C$49),TIME(0,1,0))</calculatedColumnFormula>
    </tableColumn>
    <tableColumn id="17" xr3:uid="{9A957879-234E-4887-B971-598675841132}" name="Transformers The Ride" dataDxfId="1">
      <calculatedColumnFormula>CEILING(TIME(0,0,R6/$C$49),TIME(0,1,0))</calculatedColumnFormula>
    </tableColumn>
    <tableColumn id="18" xr3:uid="{D50B352F-3561-4253-8B26-06C5E0AAC204}" name="Treasure Hunters" dataDxfId="0">
      <calculatedColumnFormula>CEILING(TIME(0,0,S6/$C$49),TIME(0,1,0))</calculatedColumnFormula>
    </tableColumn>
  </tableColumns>
  <tableStyleInfo name="TableStyleMedium2"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92A349-02EE-4B43-988F-3A6B1E306E1C}">
  <sheetPr codeName="Sheet2"/>
  <dimension ref="A1:K26"/>
  <sheetViews>
    <sheetView showGridLines="0" showRowColHeaders="0" tabSelected="1" zoomScaleNormal="100" workbookViewId="0"/>
  </sheetViews>
  <sheetFormatPr defaultColWidth="0" defaultRowHeight="15.75" zeroHeight="1"/>
  <cols>
    <col min="1" max="10" width="8.875" customWidth="1"/>
    <col min="11" max="11" width="10.125" customWidth="1"/>
    <col min="12" max="16384" width="8.875" hidden="1"/>
  </cols>
  <sheetData>
    <row r="1"/>
    <row r="2"/>
    <row r="3"/>
    <row r="4"/>
    <row r="5"/>
    <row r="6"/>
    <row r="7"/>
    <row r="8"/>
    <row r="9"/>
    <row r="10"/>
    <row r="11"/>
    <row r="12"/>
    <row r="13"/>
    <row r="14"/>
    <row r="15"/>
    <row r="16"/>
    <row r="17"/>
    <row r="18"/>
    <row r="19"/>
    <row r="20"/>
    <row r="21"/>
    <row r="22"/>
    <row r="23"/>
    <row r="24"/>
    <row r="25"/>
    <row r="26" ht="15.95" customHeight="1"/>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84F75D-80D4-4E4C-AC0A-3AFDA61468B4}">
  <sheetPr codeName="Sheet11"/>
  <dimension ref="A1:N26"/>
  <sheetViews>
    <sheetView showGridLines="0" showRowColHeaders="0" workbookViewId="0">
      <selection activeCell="K10" sqref="K10"/>
    </sheetView>
  </sheetViews>
  <sheetFormatPr defaultColWidth="0" defaultRowHeight="15.75" zeroHeight="1"/>
  <cols>
    <col min="1" max="6" width="11" customWidth="1"/>
    <col min="7" max="7" width="8.125" customWidth="1"/>
    <col min="8" max="8" width="23.875" customWidth="1"/>
    <col min="9" max="9" width="36.375" bestFit="1" customWidth="1"/>
    <col min="10" max="12" width="11" customWidth="1"/>
    <col min="13" max="13" width="11" hidden="1" customWidth="1"/>
    <col min="14" max="14" width="10.875" hidden="1" customWidth="1"/>
    <col min="15" max="16384" width="11" hidden="1"/>
  </cols>
  <sheetData>
    <row r="1" spans="7:12">
      <c r="G1" s="128"/>
      <c r="H1" s="129"/>
      <c r="I1" s="129"/>
      <c r="J1" s="129"/>
      <c r="K1" s="129"/>
      <c r="L1" s="128"/>
    </row>
    <row r="2" spans="7:12" ht="18">
      <c r="G2" s="128"/>
      <c r="H2" s="133" t="s">
        <v>0</v>
      </c>
      <c r="I2" s="129"/>
      <c r="J2" s="129"/>
      <c r="K2" s="129"/>
      <c r="L2" s="128"/>
    </row>
    <row r="3" spans="7:12">
      <c r="G3" s="128"/>
      <c r="H3" s="132" t="s">
        <v>1</v>
      </c>
      <c r="I3" s="141" t="s">
        <v>2</v>
      </c>
      <c r="J3" s="129"/>
      <c r="K3" s="129"/>
      <c r="L3" s="128"/>
    </row>
    <row r="4" spans="7:12">
      <c r="G4" s="128"/>
      <c r="H4" s="132" t="s">
        <v>3</v>
      </c>
      <c r="I4" s="142">
        <v>0.5</v>
      </c>
      <c r="J4" s="129"/>
      <c r="K4" s="129"/>
      <c r="L4" s="128"/>
    </row>
    <row r="5" spans="7:12">
      <c r="G5" s="128"/>
      <c r="H5" s="132" t="s">
        <v>4</v>
      </c>
      <c r="I5" s="142">
        <v>0.75</v>
      </c>
      <c r="J5" s="129"/>
      <c r="K5" s="129"/>
      <c r="L5" s="128"/>
    </row>
    <row r="6" spans="7:12">
      <c r="G6" s="128"/>
      <c r="H6" s="132"/>
      <c r="I6" s="143"/>
      <c r="J6" s="129"/>
      <c r="K6" s="129"/>
      <c r="L6" s="128"/>
    </row>
    <row r="7" spans="7:12">
      <c r="G7" s="128"/>
      <c r="H7" s="132" t="s">
        <v>5</v>
      </c>
      <c r="I7" s="142" t="s">
        <v>6</v>
      </c>
      <c r="J7" s="129"/>
      <c r="K7" s="129"/>
      <c r="L7" s="128"/>
    </row>
    <row r="8" spans="7:12">
      <c r="G8" s="128"/>
      <c r="H8" s="132" t="s">
        <v>7</v>
      </c>
      <c r="I8" s="142">
        <v>0.54166666666666696</v>
      </c>
      <c r="J8" s="129"/>
      <c r="K8" s="129"/>
      <c r="L8" s="128"/>
    </row>
    <row r="9" spans="7:12">
      <c r="G9" s="128"/>
      <c r="H9" s="132" t="s">
        <v>8</v>
      </c>
      <c r="I9" s="144">
        <v>4.1666666666666664E-2</v>
      </c>
      <c r="J9" s="129"/>
      <c r="K9" s="129"/>
      <c r="L9" s="128"/>
    </row>
    <row r="10" spans="7:12">
      <c r="G10" s="128"/>
      <c r="H10" s="130"/>
      <c r="I10" s="143"/>
      <c r="J10" s="129"/>
      <c r="K10" s="129"/>
      <c r="L10" s="128"/>
    </row>
    <row r="11" spans="7:12" ht="18">
      <c r="G11" s="128"/>
      <c r="H11" s="133" t="s">
        <v>9</v>
      </c>
      <c r="I11" s="143"/>
      <c r="J11" s="129"/>
      <c r="K11" s="129"/>
      <c r="L11" s="128"/>
    </row>
    <row r="12" spans="7:12">
      <c r="G12" s="128"/>
      <c r="H12" s="131" t="s">
        <v>10</v>
      </c>
      <c r="I12" s="143"/>
      <c r="J12" s="129"/>
      <c r="K12" s="129"/>
      <c r="L12" s="128"/>
    </row>
    <row r="13" spans="7:12">
      <c r="G13" s="128"/>
      <c r="H13" s="132" t="s">
        <v>11</v>
      </c>
      <c r="I13" s="141" t="s">
        <v>12</v>
      </c>
      <c r="J13" s="129"/>
      <c r="K13" s="129"/>
      <c r="L13" s="128"/>
    </row>
    <row r="14" spans="7:12">
      <c r="G14" s="128"/>
      <c r="H14" s="132" t="s">
        <v>13</v>
      </c>
      <c r="I14" s="141" t="s">
        <v>14</v>
      </c>
      <c r="J14" s="129"/>
      <c r="K14" s="129"/>
      <c r="L14" s="128"/>
    </row>
    <row r="15" spans="7:12">
      <c r="G15" s="128"/>
      <c r="H15" s="132" t="s">
        <v>15</v>
      </c>
      <c r="I15" s="141" t="s">
        <v>58</v>
      </c>
      <c r="J15" s="129"/>
      <c r="K15" s="129"/>
      <c r="L15" s="128"/>
    </row>
    <row r="16" spans="7:12">
      <c r="G16" s="128"/>
      <c r="H16" s="132" t="s">
        <v>17</v>
      </c>
      <c r="I16" s="141" t="s">
        <v>20</v>
      </c>
      <c r="J16" s="129"/>
      <c r="K16" s="129"/>
      <c r="L16" s="128"/>
    </row>
    <row r="17" spans="7:12">
      <c r="G17" s="128"/>
      <c r="H17" s="132" t="s">
        <v>19</v>
      </c>
      <c r="I17" s="141" t="s">
        <v>51</v>
      </c>
      <c r="J17" s="129"/>
      <c r="K17" s="129"/>
      <c r="L17" s="128"/>
    </row>
    <row r="18" spans="7:12">
      <c r="G18" s="128"/>
      <c r="H18" s="130"/>
      <c r="I18" s="130"/>
      <c r="J18" s="129"/>
      <c r="K18" s="129"/>
      <c r="L18" s="128"/>
    </row>
    <row r="19" spans="7:12" ht="18">
      <c r="G19" s="128"/>
      <c r="H19" s="133" t="s">
        <v>21</v>
      </c>
      <c r="I19" s="130"/>
      <c r="J19" s="129"/>
      <c r="K19" s="129"/>
      <c r="L19" s="128"/>
    </row>
    <row r="20" spans="7:12">
      <c r="G20" s="128"/>
      <c r="H20" s="132" t="s">
        <v>22</v>
      </c>
      <c r="I20" s="145" t="s">
        <v>23</v>
      </c>
      <c r="J20" s="129"/>
      <c r="K20" s="129"/>
      <c r="L20" s="128"/>
    </row>
    <row r="21" spans="7:12">
      <c r="G21" s="128"/>
      <c r="H21" s="129"/>
      <c r="I21" s="129"/>
      <c r="J21" s="129"/>
      <c r="K21" s="129"/>
      <c r="L21" s="128"/>
    </row>
    <row r="22" spans="7:12">
      <c r="G22" s="128"/>
      <c r="H22" s="129"/>
      <c r="I22" s="129"/>
      <c r="J22" s="129"/>
      <c r="K22" s="129"/>
      <c r="L22" s="128"/>
    </row>
    <row r="23" spans="7:12">
      <c r="G23" s="128"/>
      <c r="H23" s="129"/>
      <c r="I23" s="129"/>
      <c r="J23" s="134"/>
      <c r="K23" s="129"/>
      <c r="L23" s="128"/>
    </row>
    <row r="24" spans="7:12" ht="18.95" customHeight="1">
      <c r="G24" s="128"/>
      <c r="H24" s="129"/>
      <c r="I24" s="129"/>
      <c r="J24" s="129"/>
      <c r="K24" s="129"/>
      <c r="L24" s="128"/>
    </row>
    <row r="25" spans="7:12" ht="17.100000000000001" customHeight="1">
      <c r="G25" s="128"/>
      <c r="H25" s="129"/>
      <c r="I25" s="129"/>
      <c r="J25" s="129"/>
      <c r="K25" s="129"/>
      <c r="L25" s="128"/>
    </row>
    <row r="26" spans="7:12" hidden="1">
      <c r="G26" s="128"/>
      <c r="H26" s="128"/>
      <c r="I26" s="128"/>
      <c r="J26" s="128"/>
      <c r="K26" s="128"/>
      <c r="L26" s="128"/>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9" r:id="rId4" name="Button 7">
              <controlPr defaultSize="0" print="0" autoFill="0" autoPict="0" macro="[0]!Model1_UI" altText="Go minion! ">
                <anchor moveWithCells="1" sizeWithCells="1">
                  <from>
                    <xdr:col>8</xdr:col>
                    <xdr:colOff>266700</xdr:colOff>
                    <xdr:row>21</xdr:row>
                    <xdr:rowOff>104775</xdr:rowOff>
                  </from>
                  <to>
                    <xdr:col>8</xdr:col>
                    <xdr:colOff>2133600</xdr:colOff>
                    <xdr:row>23</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2">
        <x14:dataValidation type="list" allowBlank="1" showInputMessage="1" showErrorMessage="1" xr:uid="{C499FED9-A215-4CF5-93EC-FFD68C20D472}">
          <x14:formula1>
            <xm:f>'UI Validation (High-Lvl)'!$C$9:$G$9</xm:f>
          </x14:formula1>
          <xm:sqref>I3</xm:sqref>
        </x14:dataValidation>
        <x14:dataValidation type="list" allowBlank="1" showInputMessage="1" showErrorMessage="1" xr:uid="{F225E91B-01D7-4F69-A06D-EE63D6133225}">
          <x14:formula1>
            <xm:f>_xlfn.ANCHORARRAY('UI Validation (High-Lvl)'!$J$6)</xm:f>
          </x14:formula1>
          <xm:sqref>I4</xm:sqref>
        </x14:dataValidation>
        <x14:dataValidation type="list" allowBlank="1" showInputMessage="1" showErrorMessage="1" xr:uid="{FA2EBDD1-A4B5-4BED-A89E-1229C268EEA9}">
          <x14:formula1>
            <xm:f>_xlfn.ANCHORARRAY('UI Validation (High-Lvl)'!$K$6)</xm:f>
          </x14:formula1>
          <xm:sqref>I5</xm:sqref>
        </x14:dataValidation>
        <x14:dataValidation type="list" allowBlank="1" showInputMessage="1" showErrorMessage="1" xr:uid="{ED3DB928-BDAB-4D65-AD6E-33FE07664ACF}">
          <x14:formula1>
            <xm:f>'UI Validation (High-Lvl)'!$D$6:$D$7</xm:f>
          </x14:formula1>
          <xm:sqref>I7</xm:sqref>
        </x14:dataValidation>
        <x14:dataValidation type="list" allowBlank="1" showInputMessage="1" showErrorMessage="1" xr:uid="{78CA718F-41A8-4D71-99EC-D99228A262F9}">
          <x14:formula1>
            <xm:f>_xlfn.ANCHORARRAY('UI Validation (High-Lvl)'!$J$21)</xm:f>
          </x14:formula1>
          <xm:sqref>I8</xm:sqref>
        </x14:dataValidation>
        <x14:dataValidation type="list" allowBlank="1" showInputMessage="1" showErrorMessage="1" xr:uid="{DF0C10E7-68C0-4FB2-8A4D-A495FBCFFE67}">
          <x14:formula1>
            <xm:f>_xlfn.ANCHORARRAY('UI Validation (High-Lvl)'!$J$30)</xm:f>
          </x14:formula1>
          <xm:sqref>I9</xm:sqref>
        </x14:dataValidation>
        <x14:dataValidation type="list" allowBlank="1" showInputMessage="1" showErrorMessage="1" xr:uid="{727D0C85-9521-44A9-839C-3C2DF51DFDB0}">
          <x14:formula1>
            <xm:f>'UI Validation (High-Lvl)'!$C$6:$C$7</xm:f>
          </x14:formula1>
          <xm:sqref>I20</xm:sqref>
        </x14:dataValidation>
        <x14:dataValidation type="list" allowBlank="1" showInputMessage="1" showErrorMessage="1" xr:uid="{2256D56D-9CC2-42E6-A971-02906244E5CD}">
          <x14:formula1>
            <xm:f>_xlfn.ANCHORARRAY('UI Validation (High-Lvl)'!$M$37)</xm:f>
          </x14:formula1>
          <xm:sqref>I17</xm:sqref>
        </x14:dataValidation>
        <x14:dataValidation type="list" allowBlank="1" showInputMessage="1" showErrorMessage="1" xr:uid="{01920949-0B8E-48D1-AC9B-8BF5DAA281C8}">
          <x14:formula1>
            <xm:f>_xlfn.ANCHORARRAY('UI Validation (High-Lvl)'!$I$37)</xm:f>
          </x14:formula1>
          <xm:sqref>I13</xm:sqref>
        </x14:dataValidation>
        <x14:dataValidation type="list" allowBlank="1" showInputMessage="1" showErrorMessage="1" xr:uid="{76BBAB8B-8160-45F9-A4F0-78C85FC3C66C}">
          <x14:formula1>
            <xm:f>_xlfn.ANCHORARRAY('UI Validation (High-Lvl)'!$J$37)</xm:f>
          </x14:formula1>
          <xm:sqref>I14</xm:sqref>
        </x14:dataValidation>
        <x14:dataValidation type="list" allowBlank="1" showInputMessage="1" showErrorMessage="1" xr:uid="{CBE5DD56-7B1E-4E65-B7AF-7DFD45F6444E}">
          <x14:formula1>
            <xm:f>_xlfn.ANCHORARRAY('UI Validation (High-Lvl)'!$K$37)</xm:f>
          </x14:formula1>
          <xm:sqref>I15</xm:sqref>
        </x14:dataValidation>
        <x14:dataValidation type="list" allowBlank="1" showInputMessage="1" showErrorMessage="1" xr:uid="{C845A610-6CF7-48A9-9D10-864E65093A91}">
          <x14:formula1>
            <xm:f>_xlfn.ANCHORARRAY('UI Validation (High-Lvl)'!$L$37)</xm:f>
          </x14:formula1>
          <xm:sqref>I16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D704E-F104-4FF1-8BFA-9B9258CEA4B7}">
  <sheetPr codeName="Sheet3"/>
  <dimension ref="B2:M51"/>
  <sheetViews>
    <sheetView workbookViewId="0">
      <selection activeCell="C54" sqref="C54"/>
    </sheetView>
  </sheetViews>
  <sheetFormatPr defaultColWidth="8.875" defaultRowHeight="15.75"/>
  <cols>
    <col min="2" max="2" width="22.625" customWidth="1"/>
    <col min="3" max="3" width="13.375" customWidth="1"/>
    <col min="4" max="4" width="12.625" customWidth="1"/>
    <col min="5" max="6" width="12.125" customWidth="1"/>
    <col min="7" max="7" width="10.375" customWidth="1"/>
    <col min="8" max="8" width="16.625" customWidth="1"/>
    <col min="9" max="9" width="37.375" customWidth="1"/>
    <col min="10" max="10" width="29.125" customWidth="1"/>
    <col min="11" max="11" width="21.875" customWidth="1"/>
    <col min="12" max="12" width="18.125" customWidth="1"/>
    <col min="13" max="13" width="14.125" customWidth="1"/>
  </cols>
  <sheetData>
    <row r="2" spans="2:11">
      <c r="B2" s="61" t="s">
        <v>24</v>
      </c>
    </row>
    <row r="4" spans="2:11">
      <c r="B4" s="61" t="s">
        <v>25</v>
      </c>
      <c r="C4" s="61"/>
      <c r="D4" s="61"/>
      <c r="E4" s="61"/>
      <c r="F4" s="61"/>
      <c r="G4" s="61"/>
      <c r="I4" s="61" t="s">
        <v>26</v>
      </c>
    </row>
    <row r="5" spans="2:11">
      <c r="B5" s="61" t="s">
        <v>27</v>
      </c>
      <c r="C5" s="61" t="s">
        <v>28</v>
      </c>
      <c r="D5" s="61" t="s">
        <v>29</v>
      </c>
      <c r="F5" s="61"/>
      <c r="G5" s="61"/>
      <c r="H5" s="61"/>
      <c r="I5" s="61" t="s">
        <v>30</v>
      </c>
      <c r="J5" s="61" t="s">
        <v>31</v>
      </c>
      <c r="K5" s="61" t="s">
        <v>32</v>
      </c>
    </row>
    <row r="6" spans="2:11">
      <c r="B6" t="s">
        <v>33</v>
      </c>
      <c r="C6" s="42" t="s">
        <v>34</v>
      </c>
      <c r="D6" t="s">
        <v>6</v>
      </c>
      <c r="I6" t="str">
        <f>'UI (High-Lvl)'!I3</f>
        <v>Friday</v>
      </c>
      <c r="J6" s="17" cm="1">
        <f t="array" aca="1" ref="J6:J13" ca="1">OFFSET($B$9,1,MATCH($I$6,$C$9:$G$9,0),COUNTA(OFFSET($B$9,1,MATCH($I$6,$C$9:$G$9,0),9)))</f>
        <v>0.45833333333333331</v>
      </c>
      <c r="K6" s="17" cm="1">
        <f t="array" aca="1" ref="K6:K11" ca="1">_xlfn._xlws.FILTER(_xlfn.ANCHORARRAY(J6),_xlfn.ANCHORARRAY(J6)&gt;'UI (High-Lvl)'!I4)</f>
        <v>0.54166666666666696</v>
      </c>
    </row>
    <row r="7" spans="2:11">
      <c r="B7" t="s">
        <v>35</v>
      </c>
      <c r="C7" s="42" t="s">
        <v>23</v>
      </c>
      <c r="D7" t="s">
        <v>36</v>
      </c>
      <c r="J7" s="17">
        <f ca="1"/>
        <v>0.5</v>
      </c>
      <c r="K7" s="17">
        <f ca="1"/>
        <v>0.58333333333333304</v>
      </c>
    </row>
    <row r="8" spans="2:11">
      <c r="J8" s="17">
        <f ca="1"/>
        <v>0.54166666666666696</v>
      </c>
      <c r="K8" s="17">
        <f ca="1"/>
        <v>0.625</v>
      </c>
    </row>
    <row r="9" spans="2:11">
      <c r="B9" s="61" t="s">
        <v>30</v>
      </c>
      <c r="C9" s="73" t="s">
        <v>37</v>
      </c>
      <c r="D9" s="73" t="s">
        <v>38</v>
      </c>
      <c r="E9" s="73" t="s">
        <v>2</v>
      </c>
      <c r="F9" s="73" t="s">
        <v>39</v>
      </c>
      <c r="G9" s="73" t="s">
        <v>40</v>
      </c>
      <c r="J9" s="17">
        <f ca="1"/>
        <v>0.58333333333333304</v>
      </c>
      <c r="K9" s="17">
        <f ca="1"/>
        <v>0.66666666666666596</v>
      </c>
    </row>
    <row r="10" spans="2:11">
      <c r="C10" s="17">
        <v>0.45833333333333331</v>
      </c>
      <c r="D10" s="17">
        <v>0.45833333333333331</v>
      </c>
      <c r="E10" s="17">
        <v>0.45833333333333331</v>
      </c>
      <c r="F10" s="17">
        <v>0.45833333333333331</v>
      </c>
      <c r="G10" s="17">
        <v>0.45833333333333331</v>
      </c>
      <c r="J10" s="17">
        <f ca="1"/>
        <v>0.625</v>
      </c>
      <c r="K10" s="17">
        <f ca="1"/>
        <v>0.70833333333333304</v>
      </c>
    </row>
    <row r="11" spans="2:11">
      <c r="C11" s="17">
        <v>0.5</v>
      </c>
      <c r="D11" s="17">
        <v>0.5</v>
      </c>
      <c r="E11" s="17">
        <v>0.5</v>
      </c>
      <c r="F11" s="17">
        <v>0.5</v>
      </c>
      <c r="G11" s="17">
        <v>0.5</v>
      </c>
      <c r="J11" s="17">
        <f ca="1"/>
        <v>0.66666666666666596</v>
      </c>
      <c r="K11" s="17">
        <f ca="1"/>
        <v>0.75</v>
      </c>
    </row>
    <row r="12" spans="2:11">
      <c r="C12" s="17">
        <v>0.54166666666666696</v>
      </c>
      <c r="D12" s="17">
        <v>0.54166666666666696</v>
      </c>
      <c r="E12" s="17">
        <v>0.54166666666666696</v>
      </c>
      <c r="F12" s="17">
        <v>0.54166666666666696</v>
      </c>
      <c r="G12" s="17">
        <v>0.54166666666666696</v>
      </c>
      <c r="J12" s="17">
        <f ca="1"/>
        <v>0.70833333333333304</v>
      </c>
      <c r="K12" s="17"/>
    </row>
    <row r="13" spans="2:11">
      <c r="C13" s="17">
        <v>0.58333333333333304</v>
      </c>
      <c r="D13" s="17">
        <v>0.58333333333333304</v>
      </c>
      <c r="E13" s="17">
        <v>0.58333333333333304</v>
      </c>
      <c r="F13" s="17">
        <v>0.58333333333333304</v>
      </c>
      <c r="G13" s="17">
        <v>0.58333333333333304</v>
      </c>
      <c r="J13" s="17">
        <f ca="1"/>
        <v>0.75</v>
      </c>
      <c r="K13" s="17"/>
    </row>
    <row r="14" spans="2:11">
      <c r="C14" s="17">
        <v>0.625</v>
      </c>
      <c r="D14" s="17">
        <v>0.625</v>
      </c>
      <c r="E14" s="17">
        <v>0.625</v>
      </c>
      <c r="F14" s="17">
        <v>0.625</v>
      </c>
      <c r="G14" s="17">
        <v>0.625</v>
      </c>
      <c r="J14" s="17"/>
      <c r="K14" s="17"/>
    </row>
    <row r="15" spans="2:11">
      <c r="C15" s="17">
        <v>0.66666666666666596</v>
      </c>
      <c r="D15" s="17">
        <v>0.66666666666666596</v>
      </c>
      <c r="E15" s="17">
        <v>0.66666666666666596</v>
      </c>
      <c r="F15" s="17">
        <v>0.66666666666666596</v>
      </c>
      <c r="G15" s="17">
        <v>0.66666666666666596</v>
      </c>
      <c r="J15" s="17"/>
      <c r="K15" s="17"/>
    </row>
    <row r="16" spans="2:11">
      <c r="C16" s="17">
        <v>0.70833333333333304</v>
      </c>
      <c r="D16" s="17">
        <v>0.70833333333333304</v>
      </c>
      <c r="E16" s="17">
        <v>0.70833333333333304</v>
      </c>
      <c r="F16" s="17">
        <v>0.70833333333333304</v>
      </c>
      <c r="G16" s="17">
        <v>0.70833333333333304</v>
      </c>
      <c r="J16" s="17"/>
      <c r="K16" s="17"/>
    </row>
    <row r="17" spans="2:11">
      <c r="C17" s="17">
        <v>0.75</v>
      </c>
      <c r="D17" s="17">
        <v>0.75</v>
      </c>
      <c r="E17" s="17">
        <v>0.75</v>
      </c>
      <c r="F17" s="17">
        <v>0.75</v>
      </c>
      <c r="G17" s="17">
        <v>0.75</v>
      </c>
      <c r="J17" s="17"/>
      <c r="K17" s="17"/>
    </row>
    <row r="18" spans="2:11">
      <c r="E18" s="42"/>
      <c r="J18" s="17"/>
      <c r="K18" s="17"/>
    </row>
    <row r="19" spans="2:11">
      <c r="E19" s="42"/>
    </row>
    <row r="20" spans="2:11">
      <c r="B20" s="61" t="s">
        <v>29</v>
      </c>
      <c r="C20" s="61" t="s">
        <v>6</v>
      </c>
      <c r="D20" s="61"/>
      <c r="E20" s="42"/>
      <c r="I20" s="61" t="s">
        <v>29</v>
      </c>
      <c r="J20" s="61" t="s">
        <v>41</v>
      </c>
      <c r="K20" s="61"/>
    </row>
    <row r="21" spans="2:11">
      <c r="B21" s="61" t="s">
        <v>42</v>
      </c>
      <c r="C21" s="17" cm="1">
        <f t="array" aca="1" ref="C21:C26" ca="1">_xlfn._xlws.FILTER(_xlfn.ANCHORARRAY($J$6),(_xlfn.ANCHORARRAY($J$6)&gt;='UI (High-Lvl)'!I4)*(_xlfn.ANCHORARRAY($J$6)&lt;'UI (High-Lvl)'!I5),"")</f>
        <v>0.5</v>
      </c>
      <c r="D21" s="74"/>
      <c r="E21" s="42"/>
      <c r="I21" s="75" t="str">
        <f>'UI (High-Lvl)'!I7</f>
        <v>Yes</v>
      </c>
      <c r="J21" s="17" cm="1">
        <f t="array" aca="1" ref="J21:J26" ca="1">IF($I$21="Yes",_xlfn.ANCHORARRAY(C21),"")</f>
        <v>0.5</v>
      </c>
      <c r="K21" s="77"/>
    </row>
    <row r="22" spans="2:11">
      <c r="C22" s="17">
        <f ca="1"/>
        <v>0.54166666666666696</v>
      </c>
      <c r="E22" s="42"/>
      <c r="J22" s="17">
        <f ca="1"/>
        <v>0.54166666666666696</v>
      </c>
    </row>
    <row r="23" spans="2:11">
      <c r="C23" s="17">
        <f ca="1"/>
        <v>0.58333333333333304</v>
      </c>
      <c r="J23" s="17">
        <f ca="1"/>
        <v>0.58333333333333304</v>
      </c>
    </row>
    <row r="24" spans="2:11">
      <c r="C24" s="17">
        <f ca="1"/>
        <v>0.625</v>
      </c>
      <c r="J24" s="17">
        <f ca="1"/>
        <v>0.625</v>
      </c>
    </row>
    <row r="25" spans="2:11">
      <c r="C25" s="17">
        <f ca="1"/>
        <v>0.66666666666666596</v>
      </c>
      <c r="J25" s="17">
        <f ca="1"/>
        <v>0.66666666666666596</v>
      </c>
    </row>
    <row r="26" spans="2:11">
      <c r="C26" s="17">
        <f ca="1"/>
        <v>0.70833333333333304</v>
      </c>
      <c r="J26" s="17">
        <f ca="1"/>
        <v>0.70833333333333304</v>
      </c>
    </row>
    <row r="27" spans="2:11">
      <c r="C27" s="17"/>
      <c r="J27" s="17"/>
    </row>
    <row r="29" spans="2:11">
      <c r="B29" s="61" t="s">
        <v>29</v>
      </c>
      <c r="C29" s="61" t="s">
        <v>6</v>
      </c>
      <c r="D29" s="61"/>
      <c r="I29" s="61" t="s">
        <v>29</v>
      </c>
      <c r="J29" s="61" t="s">
        <v>43</v>
      </c>
      <c r="K29" s="77"/>
    </row>
    <row r="30" spans="2:11">
      <c r="B30" s="61" t="s">
        <v>44</v>
      </c>
      <c r="C30" s="76">
        <f>TIME(1,0,0)</f>
        <v>4.1666666666666664E-2</v>
      </c>
      <c r="I30" s="75" t="str">
        <f>'UI (High-Lvl)'!I7</f>
        <v>Yes</v>
      </c>
      <c r="J30" s="76" cm="1">
        <f t="array" ref="J30:J31">IF($I$30="Yes",_xlfn._xlws.FILTER($C$30:$C$31,$C$30:$C$31-TIME(0,1,0)&lt;='UI (High-Lvl)'!I5-'UI (High-Lvl)'!I8,""),"")</f>
        <v>4.1666666666666664E-2</v>
      </c>
    </row>
    <row r="31" spans="2:11">
      <c r="C31" s="76">
        <f>TIME(2,0,0)</f>
        <v>8.3333333333333329E-2</v>
      </c>
      <c r="J31" s="76">
        <v>8.3333333333333329E-2</v>
      </c>
    </row>
    <row r="32" spans="2:11">
      <c r="J32" s="17"/>
    </row>
    <row r="33" spans="2:13">
      <c r="J33" s="17"/>
    </row>
    <row r="34" spans="2:13">
      <c r="H34" s="61" t="s">
        <v>45</v>
      </c>
      <c r="I34" s="76">
        <f>'UI (High-Lvl)'!I5-'UI (High-Lvl)'!I4-IF('UI (High-Lvl)'!I7="Yes",'UI (High-Lvl)'!I9,TIME(0,0,0))</f>
        <v>0.20833333333333334</v>
      </c>
      <c r="J34" s="17"/>
    </row>
    <row r="35" spans="2:13">
      <c r="H35" s="61" t="s">
        <v>46</v>
      </c>
      <c r="I35" s="76">
        <v>4.1666666666666664E-2</v>
      </c>
      <c r="J35" s="76">
        <v>8.3333333333333329E-2</v>
      </c>
      <c r="K35" s="76">
        <v>0.125</v>
      </c>
      <c r="L35" s="76">
        <v>0.16666666666666666</v>
      </c>
      <c r="M35" s="76">
        <v>0.20833333333333334</v>
      </c>
    </row>
    <row r="36" spans="2:13">
      <c r="B36" s="61" t="s">
        <v>47</v>
      </c>
      <c r="H36" s="61"/>
      <c r="I36" s="61" t="s">
        <v>48</v>
      </c>
      <c r="J36" s="17"/>
    </row>
    <row r="37" spans="2:13">
      <c r="B37" s="42" t="s">
        <v>49</v>
      </c>
      <c r="I37" t="str" cm="1">
        <f t="array" ref="I37:I46">IF(I35-TIME(0,1,0)&lt;=$I$34,_xlfn._xlws.FILTER($B$37:$B$51,COUNTIF('UI (High-Lvl)'!$I$13:$I$17,'UI Validation (High-Lvl)'!$B$37:$B$51)=0),"")</f>
        <v>Accelerator</v>
      </c>
      <c r="J37" t="str" cm="1">
        <f t="array" ref="J37:J46">IF(J35-TIME(0,1,0)&lt;=$I$34,_xlfn._xlws.FILTER($B$37:$B$51,COUNTIF('UI (High-Lvl)'!$I$13:$I$17,'UI Validation (High-Lvl)'!$B$37:$B$51)=0),"")</f>
        <v>Accelerator</v>
      </c>
      <c r="K37" t="str" cm="1">
        <f t="array" ref="K37:K46">IF(K35-TIME(0,1,0)&lt;=$I$34,_xlfn._xlws.FILTER($B$37:$B$51,COUNTIF('UI (High-Lvl)'!$I$13:$I$17,'UI Validation (High-Lvl)'!$B$37:$B$51)=0),"")</f>
        <v>Accelerator</v>
      </c>
      <c r="L37" t="str" cm="1">
        <f t="array" ref="L37:L46">IF(L35-TIME(0,1,0)&lt;=$I$34,_xlfn._xlws.FILTER($B$37:$B$51,COUNTIF('UI (High-Lvl)'!$I$13:$I$17,'UI Validation (High-Lvl)'!$B$37:$B$51)=0),"")</f>
        <v>Accelerator</v>
      </c>
      <c r="M37" t="str" cm="1">
        <f t="array" ref="M37:M46">IF(M35-TIME(0,1,0)&lt;=$I$34,_xlfn._xlws.FILTER($B$37:$B$51,COUNTIF('UI (High-Lvl)'!$I$13:$I$17,'UI Validation (High-Lvl)'!$B$37:$B$51)=0),"")</f>
        <v>Accelerator</v>
      </c>
    </row>
    <row r="38" spans="2:13">
      <c r="B38" s="42" t="s">
        <v>12</v>
      </c>
      <c r="I38" t="str">
        <v>Canopy Flyer</v>
      </c>
      <c r="J38" t="str">
        <v>Canopy Flyer</v>
      </c>
      <c r="K38" t="str">
        <v>Canopy Flyer</v>
      </c>
      <c r="L38" t="str">
        <v>Canopy Flyer</v>
      </c>
      <c r="M38" t="str">
        <v>Canopy Flyer</v>
      </c>
    </row>
    <row r="39" spans="2:13">
      <c r="B39" s="42" t="s">
        <v>14</v>
      </c>
      <c r="I39" t="str">
        <v>Enchanted Airways</v>
      </c>
      <c r="J39" t="str">
        <v>Enchanted Airways</v>
      </c>
      <c r="K39" t="str">
        <v>Enchanted Airways</v>
      </c>
      <c r="L39" t="str">
        <v>Enchanted Airways</v>
      </c>
      <c r="M39" t="str">
        <v>Enchanted Airways</v>
      </c>
    </row>
    <row r="40" spans="2:13">
      <c r="B40" s="42" t="s">
        <v>50</v>
      </c>
      <c r="I40" t="str">
        <v>King Julien's Beach Party Go Round</v>
      </c>
      <c r="J40" t="str">
        <v>King Julien's Beach Party Go Round</v>
      </c>
      <c r="K40" t="str">
        <v>King Julien's Beach Party Go Round</v>
      </c>
      <c r="L40" t="str">
        <v>King Julien's Beach Party Go Round</v>
      </c>
      <c r="M40" t="str">
        <v>King Julien's Beach Party Go Round</v>
      </c>
    </row>
    <row r="41" spans="2:13">
      <c r="B41" s="42" t="s">
        <v>51</v>
      </c>
      <c r="I41" t="str">
        <v>Lights, Camera, Action!</v>
      </c>
      <c r="J41" t="str">
        <v>Lights, Camera, Action!</v>
      </c>
      <c r="K41" t="str">
        <v>Lights, Camera, Action!</v>
      </c>
      <c r="L41" t="str">
        <v>Lights, Camera, Action!</v>
      </c>
      <c r="M41" t="str">
        <v>Lights, Camera, Action!</v>
      </c>
    </row>
    <row r="42" spans="2:13">
      <c r="B42" s="42" t="s">
        <v>52</v>
      </c>
      <c r="I42" t="str">
        <v>Magic Potion Spin</v>
      </c>
      <c r="J42" t="str">
        <v>Magic Potion Spin</v>
      </c>
      <c r="K42" t="str">
        <v>Magic Potion Spin</v>
      </c>
      <c r="L42" t="str">
        <v>Magic Potion Spin</v>
      </c>
      <c r="M42" t="str">
        <v>Magic Potion Spin</v>
      </c>
    </row>
    <row r="43" spans="2:13">
      <c r="B43" s="42" t="s">
        <v>53</v>
      </c>
      <c r="I43" t="str">
        <v>Puss in Boots' Giant Journey</v>
      </c>
      <c r="J43" t="str">
        <v>Puss in Boots' Giant Journey</v>
      </c>
      <c r="K43" t="str">
        <v>Puss in Boots' Giant Journey</v>
      </c>
      <c r="L43" t="str">
        <v>Puss in Boots' Giant Journey</v>
      </c>
      <c r="M43" t="str">
        <v>Puss in Boots' Giant Journey</v>
      </c>
    </row>
    <row r="44" spans="2:13">
      <c r="B44" t="s">
        <v>16</v>
      </c>
      <c r="I44" t="str">
        <v>Sesame Street Spaghetti Space Chase</v>
      </c>
      <c r="J44" t="str">
        <v>Sesame Street Spaghetti Space Chase</v>
      </c>
      <c r="K44" t="str">
        <v>Sesame Street Spaghetti Space Chase</v>
      </c>
      <c r="L44" t="str">
        <v>Sesame Street Spaghetti Space Chase</v>
      </c>
      <c r="M44" t="str">
        <v>Sesame Street Spaghetti Space Chase</v>
      </c>
    </row>
    <row r="45" spans="2:13">
      <c r="B45" t="s">
        <v>54</v>
      </c>
      <c r="I45" t="str">
        <v>Shrek 4D Adventure</v>
      </c>
      <c r="J45" t="str">
        <v>Shrek 4D Adventure</v>
      </c>
      <c r="K45" t="str">
        <v>Shrek 4D Adventure</v>
      </c>
      <c r="L45" t="str">
        <v>Shrek 4D Adventure</v>
      </c>
      <c r="M45" t="str">
        <v>Shrek 4D Adventure</v>
      </c>
    </row>
    <row r="46" spans="2:13">
      <c r="B46" t="s">
        <v>55</v>
      </c>
      <c r="I46" t="str">
        <v>Transformers The Ride</v>
      </c>
      <c r="J46" t="str">
        <v>Transformers The Ride</v>
      </c>
      <c r="K46" t="str">
        <v>Transformers The Ride</v>
      </c>
      <c r="L46" t="str">
        <v>Transformers The Ride</v>
      </c>
      <c r="M46" t="str">
        <v>Transformers The Ride</v>
      </c>
    </row>
    <row r="47" spans="2:13">
      <c r="B47" t="s">
        <v>20</v>
      </c>
    </row>
    <row r="48" spans="2:13">
      <c r="B48" t="s">
        <v>56</v>
      </c>
    </row>
    <row r="49" spans="2:8">
      <c r="B49" t="s">
        <v>18</v>
      </c>
    </row>
    <row r="50" spans="2:8">
      <c r="B50" t="s">
        <v>57</v>
      </c>
    </row>
    <row r="51" spans="2:8">
      <c r="B51" t="s">
        <v>58</v>
      </c>
      <c r="H51" s="6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EB3A94-F016-4237-8DE7-816C2C7998FE}">
  <sheetPr codeName="Sheet13"/>
  <dimension ref="A1:O43"/>
  <sheetViews>
    <sheetView showGridLines="0" showRowColHeaders="0" zoomScale="115" zoomScaleNormal="115" workbookViewId="0">
      <selection activeCell="H15" sqref="H15"/>
    </sheetView>
  </sheetViews>
  <sheetFormatPr defaultColWidth="8.875" defaultRowHeight="15.75" zeroHeight="1"/>
  <cols>
    <col min="1" max="1" width="31.125" bestFit="1" customWidth="1"/>
    <col min="2" max="2" width="7.625" customWidth="1"/>
    <col min="3" max="3" width="8.625" customWidth="1"/>
    <col min="4" max="5" width="8.875" customWidth="1"/>
    <col min="6" max="6" width="3" customWidth="1"/>
    <col min="7" max="7" width="16.5" customWidth="1"/>
    <col min="8" max="8" width="36.375" bestFit="1" customWidth="1"/>
    <col min="9" max="9" width="18.375" customWidth="1"/>
    <col min="10" max="10" width="10" customWidth="1"/>
    <col min="11" max="11" width="8.875" customWidth="1"/>
    <col min="12" max="12" width="19.125" customWidth="1"/>
    <col min="13" max="15" width="8.375" customWidth="1"/>
    <col min="16" max="16" width="5.375" customWidth="1"/>
  </cols>
  <sheetData>
    <row r="1" spans="1:15">
      <c r="A1" s="128"/>
      <c r="B1" s="128"/>
      <c r="C1" s="128"/>
      <c r="D1" s="128"/>
      <c r="E1" s="128"/>
      <c r="F1" s="128"/>
      <c r="G1" s="128"/>
      <c r="H1" s="128"/>
      <c r="I1" s="128"/>
      <c r="J1" s="128"/>
      <c r="K1" s="128"/>
      <c r="L1" s="128"/>
      <c r="M1" s="128"/>
      <c r="N1" s="128"/>
      <c r="O1" s="128"/>
    </row>
    <row r="2" spans="1:15">
      <c r="A2" s="128"/>
      <c r="B2" s="128"/>
      <c r="C2" s="128"/>
      <c r="D2" s="128"/>
      <c r="E2" s="128"/>
      <c r="F2" s="128"/>
      <c r="G2" s="128"/>
      <c r="H2" s="128"/>
      <c r="I2" s="128"/>
      <c r="J2" s="128"/>
      <c r="K2" s="128"/>
      <c r="L2" s="128"/>
      <c r="M2" s="128"/>
      <c r="N2" s="128"/>
      <c r="O2" s="128"/>
    </row>
    <row r="3" spans="1:15">
      <c r="A3" s="128"/>
      <c r="B3" s="128"/>
      <c r="C3" s="128"/>
      <c r="D3" s="128"/>
      <c r="E3" s="128"/>
      <c r="F3" s="128"/>
      <c r="G3" s="128"/>
      <c r="H3" s="128"/>
      <c r="I3" s="128"/>
      <c r="J3" s="128"/>
      <c r="K3" s="128"/>
      <c r="L3" s="128"/>
      <c r="M3" s="128"/>
      <c r="N3" s="128"/>
      <c r="O3" s="128"/>
    </row>
    <row r="4" spans="1:15">
      <c r="A4" s="128"/>
      <c r="B4" s="128"/>
      <c r="C4" s="128"/>
      <c r="D4" s="128"/>
      <c r="E4" s="128"/>
      <c r="F4" s="128"/>
      <c r="G4" s="128"/>
      <c r="H4" s="128"/>
      <c r="I4" s="128"/>
      <c r="J4" s="128"/>
      <c r="K4" s="134"/>
      <c r="L4" s="134"/>
      <c r="M4" s="134"/>
      <c r="N4" s="134"/>
      <c r="O4" s="134"/>
    </row>
    <row r="5" spans="1:15">
      <c r="A5" s="128"/>
      <c r="B5" s="128"/>
      <c r="C5" s="128"/>
      <c r="D5" s="128"/>
      <c r="E5" s="128"/>
      <c r="F5" s="128"/>
      <c r="G5" s="128"/>
      <c r="H5" s="128"/>
      <c r="I5" s="128"/>
      <c r="J5" s="128"/>
      <c r="K5" s="134"/>
      <c r="L5" s="134" t="s">
        <v>59</v>
      </c>
      <c r="M5" s="134"/>
      <c r="N5" s="134"/>
      <c r="O5" s="134"/>
    </row>
    <row r="6" spans="1:15" ht="24" customHeight="1">
      <c r="A6" s="128"/>
      <c r="B6" s="128"/>
      <c r="C6" s="128"/>
      <c r="D6" s="128"/>
      <c r="E6" s="128"/>
      <c r="F6" s="128"/>
      <c r="G6" s="150" t="s">
        <v>60</v>
      </c>
      <c r="H6" s="150" t="s">
        <v>61</v>
      </c>
      <c r="I6" s="150" t="s">
        <v>62</v>
      </c>
      <c r="J6" s="128"/>
      <c r="K6" s="134"/>
      <c r="L6" s="136" t="s">
        <v>63</v>
      </c>
      <c r="M6" s="136" t="s">
        <v>64</v>
      </c>
      <c r="N6" s="136" t="s">
        <v>65</v>
      </c>
      <c r="O6" s="134"/>
    </row>
    <row r="7" spans="1:15">
      <c r="A7" s="128"/>
      <c r="B7" s="128"/>
      <c r="C7" s="128"/>
      <c r="D7" s="128"/>
      <c r="E7" s="128"/>
      <c r="F7" s="128"/>
      <c r="G7" s="151"/>
      <c r="H7" s="173" t="s">
        <v>66</v>
      </c>
      <c r="I7" s="173"/>
      <c r="J7" s="128"/>
      <c r="K7" s="134"/>
      <c r="L7" s="134" t="str" cm="1">
        <f t="array" ref="L7:L13">_xlfn._xlws.FILTER($H$7:$H$17,IF(ISNUMBER(MATCH($H$7:$H$17,$A$27:$A$43,0)),1,0))</f>
        <v>Entrance</v>
      </c>
      <c r="M7" s="134">
        <f>VLOOKUP(L7,$A$26:$C$43,2,FALSE)</f>
        <v>3.2</v>
      </c>
      <c r="N7" s="134">
        <f>VLOOKUP(L7,$A$26:$C$43,3,FALSE)</f>
        <v>0.5</v>
      </c>
      <c r="O7" s="134">
        <v>1</v>
      </c>
    </row>
    <row r="8" spans="1:15">
      <c r="A8" s="128"/>
      <c r="B8" s="128"/>
      <c r="C8" s="128"/>
      <c r="D8" s="128"/>
      <c r="E8" s="128"/>
      <c r="F8" s="128"/>
      <c r="G8" s="174">
        <v>0.5</v>
      </c>
      <c r="H8" s="173" t="s">
        <v>20</v>
      </c>
      <c r="I8" s="152">
        <v>6.9444444444444441E-3</v>
      </c>
      <c r="J8" s="128"/>
      <c r="K8" s="134"/>
      <c r="L8" s="134" t="str">
        <v>Revenge of the Mummy</v>
      </c>
      <c r="M8" s="134">
        <f t="shared" ref="M8:M12" si="0">VLOOKUP(L8,$A$26:$C$43,2,FALSE)</f>
        <v>5.5</v>
      </c>
      <c r="N8" s="134">
        <f t="shared" ref="N8:N13" si="1">VLOOKUP(L8,$A$26:$C$43,3,FALSE)</f>
        <v>6.2</v>
      </c>
      <c r="O8" s="134">
        <v>2</v>
      </c>
    </row>
    <row r="9" spans="1:15">
      <c r="A9" s="128"/>
      <c r="B9" s="128"/>
      <c r="C9" s="128"/>
      <c r="D9" s="128"/>
      <c r="E9" s="128"/>
      <c r="F9" s="128"/>
      <c r="G9" s="174">
        <v>0.54166666666666696</v>
      </c>
      <c r="H9" s="173" t="s">
        <v>67</v>
      </c>
      <c r="I9" s="152" t="s">
        <v>68</v>
      </c>
      <c r="J9" s="128"/>
      <c r="K9" s="134"/>
      <c r="L9" s="134" t="str">
        <v>Dino-Soarin</v>
      </c>
      <c r="M9" s="134">
        <f t="shared" si="0"/>
        <v>3.3</v>
      </c>
      <c r="N9" s="134">
        <f t="shared" si="1"/>
        <v>7.2</v>
      </c>
      <c r="O9" s="134">
        <v>3</v>
      </c>
    </row>
    <row r="10" spans="1:15">
      <c r="A10" s="128"/>
      <c r="B10" s="128"/>
      <c r="C10" s="128"/>
      <c r="D10" s="128"/>
      <c r="E10" s="128"/>
      <c r="F10" s="128"/>
      <c r="G10" s="174">
        <v>0.58333333333333304</v>
      </c>
      <c r="H10" s="173" t="s">
        <v>51</v>
      </c>
      <c r="I10" s="152">
        <v>2.0833333333333332E-2</v>
      </c>
      <c r="J10" s="128"/>
      <c r="K10" s="134"/>
      <c r="L10" s="134" t="str">
        <v>Treasure Hunters</v>
      </c>
      <c r="M10" s="134">
        <f t="shared" si="0"/>
        <v>5.8</v>
      </c>
      <c r="N10" s="134">
        <f>VLOOKUP(L10,$A$26:$C$43,3,FALSE)</f>
        <v>6.5</v>
      </c>
      <c r="O10" s="134">
        <v>4</v>
      </c>
    </row>
    <row r="11" spans="1:15">
      <c r="A11" s="128"/>
      <c r="B11" s="128"/>
      <c r="C11" s="128"/>
      <c r="D11" s="128"/>
      <c r="E11" s="128"/>
      <c r="F11" s="128"/>
      <c r="G11" s="174">
        <v>0.625</v>
      </c>
      <c r="H11" s="173" t="s">
        <v>58</v>
      </c>
      <c r="I11" s="152">
        <v>2.7777777777777776E-2</v>
      </c>
      <c r="J11" s="128"/>
      <c r="K11" s="134"/>
      <c r="L11" s="134" t="str">
        <v>Battlestar Galactica: Cylon</v>
      </c>
      <c r="M11" s="134">
        <f t="shared" si="0"/>
        <v>5.7</v>
      </c>
      <c r="N11" s="134">
        <f t="shared" si="1"/>
        <v>4.5</v>
      </c>
      <c r="O11" s="134">
        <v>5</v>
      </c>
    </row>
    <row r="12" spans="1:15">
      <c r="A12" s="128"/>
      <c r="B12" s="128"/>
      <c r="C12" s="128"/>
      <c r="D12" s="128"/>
      <c r="E12" s="128"/>
      <c r="F12" s="128"/>
      <c r="G12" s="174">
        <v>0.66666666666666596</v>
      </c>
      <c r="H12" s="173" t="s">
        <v>12</v>
      </c>
      <c r="I12" s="152">
        <v>2.7777777777777776E-2</v>
      </c>
      <c r="J12" s="128"/>
      <c r="K12" s="134"/>
      <c r="L12" s="134" t="str">
        <v>Battlestart Galactica: Human</v>
      </c>
      <c r="M12" s="134">
        <f t="shared" si="0"/>
        <v>5.7</v>
      </c>
      <c r="N12" s="134">
        <f t="shared" si="1"/>
        <v>5</v>
      </c>
      <c r="O12" s="134">
        <v>6</v>
      </c>
    </row>
    <row r="13" spans="1:15">
      <c r="A13" s="128"/>
      <c r="B13" s="128"/>
      <c r="C13" s="128"/>
      <c r="D13" s="128"/>
      <c r="E13" s="128"/>
      <c r="F13" s="128"/>
      <c r="G13" s="174">
        <v>0.70833333333333304</v>
      </c>
      <c r="H13" s="173" t="s">
        <v>14</v>
      </c>
      <c r="I13" s="152">
        <v>2.4305555555555552E-2</v>
      </c>
      <c r="J13" s="128"/>
      <c r="K13" s="134"/>
      <c r="L13" s="134" t="str">
        <v>Exit</v>
      </c>
      <c r="M13" s="134">
        <f>VLOOKUP(L13,$A$26:$C$43,2,FALSE)</f>
        <v>3.7</v>
      </c>
      <c r="N13" s="134">
        <f t="shared" si="1"/>
        <v>0.5</v>
      </c>
      <c r="O13" s="134">
        <v>7</v>
      </c>
    </row>
    <row r="14" spans="1:15">
      <c r="A14" s="128"/>
      <c r="B14" s="128"/>
      <c r="C14" s="128"/>
      <c r="D14" s="128"/>
      <c r="E14" s="128"/>
      <c r="F14" s="128"/>
      <c r="G14" s="174"/>
      <c r="H14" s="173" t="s">
        <v>69</v>
      </c>
      <c r="I14" s="152"/>
      <c r="J14" s="128"/>
      <c r="K14" s="134"/>
      <c r="L14" s="134"/>
      <c r="M14" s="134" t="e">
        <f>VLOOKUP(L14,$A$26:$C$43,2,FALSE)</f>
        <v>#N/A</v>
      </c>
      <c r="N14" s="134" t="e">
        <f>VLOOKUP(L14,$A$26:$C$43,3,FALSE)</f>
        <v>#N/A</v>
      </c>
      <c r="O14" s="134">
        <v>8</v>
      </c>
    </row>
    <row r="15" spans="1:15">
      <c r="A15" s="128"/>
      <c r="B15" s="128"/>
      <c r="C15" s="128"/>
      <c r="D15" s="128"/>
      <c r="E15" s="128"/>
      <c r="F15" s="128"/>
      <c r="G15" s="151"/>
      <c r="H15" s="173"/>
      <c r="I15" s="173"/>
      <c r="J15" s="128"/>
      <c r="K15" s="134"/>
      <c r="L15" s="134"/>
      <c r="M15" s="134" t="e">
        <f>VLOOKUP(L15,$A$26:$C$43,2,FALSE)</f>
        <v>#N/A</v>
      </c>
      <c r="N15" s="134" t="e">
        <f>VLOOKUP(L15,$A$26:$C$43,3,FALSE)</f>
        <v>#N/A</v>
      </c>
      <c r="O15" s="134">
        <v>9</v>
      </c>
    </row>
    <row r="16" spans="1:15">
      <c r="A16" s="128"/>
      <c r="B16" s="128"/>
      <c r="C16" s="128"/>
      <c r="D16" s="128"/>
      <c r="E16" s="128"/>
      <c r="F16" s="128"/>
      <c r="G16" s="128"/>
      <c r="H16" s="128"/>
      <c r="I16" s="128"/>
      <c r="J16" s="128"/>
      <c r="K16" s="134"/>
      <c r="L16" s="134"/>
      <c r="M16" s="134"/>
      <c r="N16" s="134"/>
      <c r="O16" s="134"/>
    </row>
    <row r="17" spans="1:15">
      <c r="A17" s="128"/>
      <c r="B17" s="128"/>
      <c r="C17" s="128"/>
      <c r="D17" s="128"/>
      <c r="E17" s="128"/>
      <c r="F17" s="128"/>
      <c r="G17" s="128"/>
      <c r="H17" s="128"/>
      <c r="I17" s="128"/>
      <c r="J17" s="128"/>
      <c r="K17" s="134"/>
      <c r="L17" s="134"/>
      <c r="M17" s="134"/>
      <c r="N17" s="134"/>
      <c r="O17" s="134"/>
    </row>
    <row r="18" spans="1:15">
      <c r="A18" s="128"/>
      <c r="B18" s="128"/>
      <c r="C18" s="128"/>
      <c r="D18" s="128"/>
      <c r="E18" s="128"/>
      <c r="F18" s="128"/>
      <c r="G18" s="128"/>
      <c r="H18" s="128"/>
      <c r="I18" s="128"/>
      <c r="J18" s="128"/>
      <c r="K18" s="134"/>
      <c r="L18" s="134"/>
      <c r="M18" s="134"/>
      <c r="N18" s="134"/>
      <c r="O18" s="134"/>
    </row>
    <row r="19" spans="1:15">
      <c r="A19" s="128"/>
      <c r="B19" s="128"/>
      <c r="C19" s="128"/>
      <c r="D19" s="128"/>
      <c r="E19" s="128"/>
      <c r="F19" s="128"/>
      <c r="G19" s="128"/>
      <c r="H19" s="128"/>
      <c r="I19" s="128"/>
      <c r="J19" s="128"/>
      <c r="K19" s="134"/>
      <c r="L19" s="134"/>
      <c r="M19" s="134"/>
      <c r="N19" s="134"/>
      <c r="O19" s="134"/>
    </row>
    <row r="20" spans="1:15">
      <c r="A20" s="128"/>
      <c r="B20" s="128"/>
      <c r="C20" s="128"/>
      <c r="D20" s="128"/>
      <c r="E20" s="128"/>
      <c r="F20" s="128"/>
      <c r="G20" s="128"/>
      <c r="H20" s="128"/>
      <c r="I20" s="128"/>
      <c r="J20" s="128"/>
      <c r="K20" s="134"/>
      <c r="L20" s="134"/>
      <c r="M20" s="134"/>
      <c r="N20" s="134"/>
      <c r="O20" s="134"/>
    </row>
    <row r="21" spans="1:15">
      <c r="A21" s="128"/>
      <c r="B21" s="128"/>
      <c r="C21" s="128"/>
      <c r="D21" s="128"/>
      <c r="E21" s="128"/>
      <c r="F21" s="128"/>
      <c r="G21" s="128"/>
      <c r="H21" s="128"/>
      <c r="I21" s="128"/>
      <c r="J21" s="128"/>
      <c r="K21" s="128"/>
      <c r="L21" s="128"/>
      <c r="M21" s="128"/>
      <c r="N21" s="128"/>
      <c r="O21" s="128"/>
    </row>
    <row r="22" spans="1:15">
      <c r="A22" s="128"/>
      <c r="B22" s="128"/>
      <c r="C22" s="128"/>
      <c r="D22" s="128"/>
      <c r="E22" s="128"/>
      <c r="F22" s="128"/>
      <c r="G22" s="128"/>
      <c r="H22" s="128"/>
      <c r="I22" s="128"/>
      <c r="J22" s="128"/>
      <c r="K22" s="128"/>
      <c r="L22" s="128"/>
      <c r="M22" s="128"/>
      <c r="N22" s="128"/>
      <c r="O22" s="128"/>
    </row>
    <row r="23" spans="1:15">
      <c r="A23" s="128"/>
      <c r="B23" s="128"/>
      <c r="C23" s="128"/>
      <c r="D23" s="128"/>
      <c r="E23" s="128"/>
      <c r="F23" s="128"/>
      <c r="G23" s="128"/>
      <c r="H23" s="128"/>
      <c r="I23" s="128"/>
      <c r="J23" s="128"/>
      <c r="K23" s="128"/>
      <c r="L23" s="128"/>
      <c r="M23" s="128"/>
      <c r="N23" s="128"/>
      <c r="O23" s="128"/>
    </row>
    <row r="24" spans="1:15">
      <c r="A24" s="128"/>
      <c r="B24" s="128"/>
      <c r="C24" s="128"/>
      <c r="D24" s="128"/>
      <c r="E24" s="128"/>
      <c r="F24" s="128"/>
      <c r="G24" s="128"/>
      <c r="H24" s="128"/>
      <c r="I24" s="128"/>
      <c r="J24" s="128"/>
      <c r="K24" s="128"/>
      <c r="L24" s="128"/>
      <c r="M24" s="128"/>
      <c r="N24" s="128"/>
      <c r="O24" s="128"/>
    </row>
    <row r="25" spans="1:15" hidden="1">
      <c r="A25" t="s">
        <v>70</v>
      </c>
    </row>
    <row r="26" spans="1:15" hidden="1">
      <c r="A26" s="78" t="s">
        <v>46</v>
      </c>
      <c r="B26" s="78" t="s">
        <v>64</v>
      </c>
      <c r="C26" s="78" t="s">
        <v>65</v>
      </c>
    </row>
    <row r="27" spans="1:15" hidden="1">
      <c r="A27" t="s">
        <v>49</v>
      </c>
      <c r="B27" s="42">
        <v>5.7</v>
      </c>
      <c r="C27" s="42">
        <v>4</v>
      </c>
    </row>
    <row r="28" spans="1:15" hidden="1">
      <c r="A28" t="s">
        <v>12</v>
      </c>
      <c r="B28" s="42">
        <v>5.7</v>
      </c>
      <c r="C28" s="42">
        <v>4.5</v>
      </c>
    </row>
    <row r="29" spans="1:15" hidden="1">
      <c r="A29" t="s">
        <v>14</v>
      </c>
      <c r="B29" s="42">
        <v>5.7</v>
      </c>
      <c r="C29" s="42">
        <v>5</v>
      </c>
    </row>
    <row r="30" spans="1:15" hidden="1">
      <c r="A30" t="s">
        <v>50</v>
      </c>
      <c r="B30" s="42">
        <v>3.2</v>
      </c>
      <c r="C30" s="42">
        <v>6.8</v>
      </c>
    </row>
    <row r="31" spans="1:15" hidden="1">
      <c r="A31" t="s">
        <v>51</v>
      </c>
      <c r="B31" s="42">
        <v>3.3</v>
      </c>
      <c r="C31" s="42">
        <v>7.2</v>
      </c>
    </row>
    <row r="32" spans="1:15" hidden="1">
      <c r="A32" t="s">
        <v>52</v>
      </c>
      <c r="B32" s="42">
        <v>2.5</v>
      </c>
      <c r="C32" s="42">
        <v>5</v>
      </c>
    </row>
    <row r="33" spans="1:3" hidden="1">
      <c r="A33" t="s">
        <v>53</v>
      </c>
      <c r="B33" s="42">
        <v>2.8</v>
      </c>
      <c r="C33" s="42">
        <v>4</v>
      </c>
    </row>
    <row r="34" spans="1:3" hidden="1">
      <c r="A34" t="s">
        <v>16</v>
      </c>
      <c r="B34" s="42">
        <v>5.2</v>
      </c>
      <c r="C34" s="42">
        <v>3</v>
      </c>
    </row>
    <row r="35" spans="1:3" hidden="1">
      <c r="A35" t="s">
        <v>54</v>
      </c>
      <c r="B35" s="42">
        <v>1.5</v>
      </c>
      <c r="C35" s="42">
        <v>6.5</v>
      </c>
    </row>
    <row r="36" spans="1:3" hidden="1">
      <c r="A36" t="s">
        <v>55</v>
      </c>
      <c r="B36" s="42">
        <v>2.2000000000000002</v>
      </c>
      <c r="C36" s="42">
        <v>7.5</v>
      </c>
    </row>
    <row r="37" spans="1:3" hidden="1">
      <c r="A37" t="s">
        <v>20</v>
      </c>
      <c r="B37" s="42">
        <v>5.5</v>
      </c>
      <c r="C37" s="42">
        <v>6.2</v>
      </c>
    </row>
    <row r="38" spans="1:3" hidden="1">
      <c r="A38" t="s">
        <v>56</v>
      </c>
      <c r="B38" s="42">
        <v>4.8</v>
      </c>
      <c r="C38" s="42">
        <v>2.7</v>
      </c>
    </row>
    <row r="39" spans="1:3" hidden="1">
      <c r="A39" t="s">
        <v>18</v>
      </c>
      <c r="B39" s="42">
        <v>1.8</v>
      </c>
      <c r="C39" s="42">
        <v>5.8</v>
      </c>
    </row>
    <row r="40" spans="1:3" hidden="1">
      <c r="A40" t="s">
        <v>57</v>
      </c>
      <c r="B40" s="42">
        <v>5.8</v>
      </c>
      <c r="C40" s="42">
        <v>3.5</v>
      </c>
    </row>
    <row r="41" spans="1:3" hidden="1">
      <c r="A41" t="s">
        <v>58</v>
      </c>
      <c r="B41" s="42">
        <v>5.8</v>
      </c>
      <c r="C41" s="42">
        <v>6.5</v>
      </c>
    </row>
    <row r="42" spans="1:3" hidden="1">
      <c r="A42" t="s">
        <v>66</v>
      </c>
      <c r="B42" s="42">
        <v>3.2</v>
      </c>
      <c r="C42" s="42">
        <v>0.5</v>
      </c>
    </row>
    <row r="43" spans="1:3" hidden="1">
      <c r="A43" t="s">
        <v>69</v>
      </c>
      <c r="B43" s="42">
        <v>3.7</v>
      </c>
      <c r="C43" s="42">
        <v>0.5</v>
      </c>
    </row>
  </sheetData>
  <pageMargins left="0.7" right="0.7" top="0.75" bottom="0.75" header="0.3" footer="0.3"/>
  <ignoredErrors>
    <ignoredError sqref="M14:M15" evalError="1"/>
  </ignoredErrors>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91C86-9F7B-48AD-A097-D1DA591FE8CC}">
  <sheetPr codeName="Sheet12"/>
  <dimension ref="A1:N26"/>
  <sheetViews>
    <sheetView showGridLines="0" showRowColHeaders="0" zoomScaleNormal="100" workbookViewId="0">
      <selection activeCell="I16" sqref="I16"/>
    </sheetView>
  </sheetViews>
  <sheetFormatPr defaultColWidth="0" defaultRowHeight="15.75" zeroHeight="1"/>
  <cols>
    <col min="1" max="7" width="11" customWidth="1"/>
    <col min="8" max="8" width="23.875" customWidth="1"/>
    <col min="9" max="9" width="36.375" bestFit="1" customWidth="1"/>
    <col min="10" max="11" width="11" customWidth="1"/>
    <col min="12" max="12" width="21.375" customWidth="1"/>
    <col min="13" max="13" width="11" hidden="1" customWidth="1"/>
    <col min="14" max="14" width="10.875" hidden="1" customWidth="1"/>
    <col min="15" max="16384" width="11" hidden="1"/>
  </cols>
  <sheetData>
    <row r="1" spans="7:12">
      <c r="G1" s="128"/>
      <c r="H1" s="128"/>
      <c r="I1" s="128"/>
      <c r="J1" s="128"/>
      <c r="K1" s="128"/>
      <c r="L1" s="128"/>
    </row>
    <row r="2" spans="7:12" ht="18">
      <c r="G2" s="128"/>
      <c r="H2" s="146" t="s">
        <v>0</v>
      </c>
      <c r="I2" s="137"/>
      <c r="J2" s="128"/>
      <c r="K2" s="128"/>
      <c r="L2" s="128"/>
    </row>
    <row r="3" spans="7:12">
      <c r="G3" s="128"/>
      <c r="H3" s="139" t="s">
        <v>1</v>
      </c>
      <c r="I3" s="141" t="s">
        <v>37</v>
      </c>
      <c r="J3" s="128"/>
      <c r="K3" s="128"/>
      <c r="L3" s="128"/>
    </row>
    <row r="4" spans="7:12">
      <c r="G4" s="128"/>
      <c r="H4" s="139" t="s">
        <v>3</v>
      </c>
      <c r="I4" s="142">
        <v>0.5</v>
      </c>
      <c r="J4" s="128"/>
      <c r="K4" s="128"/>
      <c r="L4" s="128"/>
    </row>
    <row r="5" spans="7:12">
      <c r="G5" s="128"/>
      <c r="H5" s="139" t="s">
        <v>4</v>
      </c>
      <c r="I5" s="142">
        <v>0.75</v>
      </c>
      <c r="J5" s="128"/>
      <c r="K5" s="128"/>
      <c r="L5" s="128"/>
    </row>
    <row r="6" spans="7:12">
      <c r="G6" s="128"/>
      <c r="H6" s="139"/>
      <c r="I6" s="140"/>
      <c r="J6" s="128"/>
      <c r="K6" s="128"/>
      <c r="L6" s="128"/>
    </row>
    <row r="7" spans="7:12">
      <c r="G7" s="128"/>
      <c r="H7" s="139" t="s">
        <v>5</v>
      </c>
      <c r="I7" s="142" t="s">
        <v>6</v>
      </c>
      <c r="J7" s="128"/>
      <c r="K7" s="128"/>
      <c r="L7" s="128"/>
    </row>
    <row r="8" spans="7:12">
      <c r="G8" s="128"/>
      <c r="H8" s="139" t="s">
        <v>7</v>
      </c>
      <c r="I8" s="142">
        <v>0.54166666666666696</v>
      </c>
      <c r="J8" s="128"/>
      <c r="K8" s="128"/>
      <c r="L8" s="128"/>
    </row>
    <row r="9" spans="7:12">
      <c r="G9" s="128"/>
      <c r="H9" s="139" t="s">
        <v>8</v>
      </c>
      <c r="I9" s="144">
        <v>8.3333333333333329E-2</v>
      </c>
      <c r="J9" s="128"/>
      <c r="K9" s="128"/>
      <c r="L9" s="128"/>
    </row>
    <row r="10" spans="7:12">
      <c r="G10" s="128"/>
      <c r="H10" s="137"/>
      <c r="I10" s="140"/>
      <c r="J10" s="128"/>
      <c r="K10" s="128"/>
      <c r="L10" s="128"/>
    </row>
    <row r="11" spans="7:12" ht="18">
      <c r="G11" s="128"/>
      <c r="H11" s="146" t="s">
        <v>9</v>
      </c>
      <c r="I11" s="140"/>
      <c r="J11" s="128"/>
      <c r="K11" s="128"/>
      <c r="L11" s="128"/>
    </row>
    <row r="12" spans="7:12">
      <c r="G12" s="128"/>
      <c r="H12" s="138" t="s">
        <v>71</v>
      </c>
      <c r="I12" s="140"/>
      <c r="J12" s="128"/>
      <c r="K12" s="128"/>
      <c r="L12" s="128"/>
    </row>
    <row r="13" spans="7:12">
      <c r="G13" s="128"/>
      <c r="H13" s="139" t="s">
        <v>11</v>
      </c>
      <c r="I13" s="141" t="s">
        <v>12</v>
      </c>
      <c r="J13" s="128"/>
      <c r="K13" s="128"/>
      <c r="L13" s="128"/>
    </row>
    <row r="14" spans="7:12">
      <c r="G14" s="128"/>
      <c r="H14" s="139" t="s">
        <v>13</v>
      </c>
      <c r="I14" s="141" t="s">
        <v>14</v>
      </c>
      <c r="J14" s="128"/>
      <c r="K14" s="128"/>
      <c r="L14" s="128"/>
    </row>
    <row r="15" spans="7:12">
      <c r="G15" s="128"/>
      <c r="H15" s="139" t="s">
        <v>15</v>
      </c>
      <c r="I15" s="141" t="s">
        <v>52</v>
      </c>
      <c r="J15" s="128"/>
      <c r="K15" s="128"/>
      <c r="L15" s="128"/>
    </row>
    <row r="16" spans="7:12">
      <c r="G16" s="128"/>
      <c r="H16" s="139" t="s">
        <v>17</v>
      </c>
      <c r="I16" s="141" t="s">
        <v>20</v>
      </c>
      <c r="J16" s="128"/>
      <c r="K16" s="128"/>
      <c r="L16" s="128"/>
    </row>
    <row r="17" spans="7:12">
      <c r="G17" s="128"/>
      <c r="H17" s="139" t="s">
        <v>19</v>
      </c>
      <c r="I17" s="141" t="s">
        <v>57</v>
      </c>
      <c r="J17" s="128"/>
      <c r="K17" s="128"/>
      <c r="L17" s="128"/>
    </row>
    <row r="18" spans="7:12">
      <c r="G18" s="128"/>
      <c r="H18" s="137"/>
      <c r="I18" s="137"/>
      <c r="J18" s="128"/>
      <c r="K18" s="128"/>
      <c r="L18" s="128"/>
    </row>
    <row r="19" spans="7:12" ht="18">
      <c r="G19" s="128"/>
      <c r="H19" s="146" t="s">
        <v>21</v>
      </c>
      <c r="I19" s="137"/>
      <c r="J19" s="128"/>
      <c r="K19" s="128"/>
      <c r="L19" s="128"/>
    </row>
    <row r="20" spans="7:12">
      <c r="G20" s="128"/>
      <c r="H20" s="132" t="s">
        <v>22</v>
      </c>
      <c r="I20" s="145" t="s">
        <v>23</v>
      </c>
      <c r="J20" s="128"/>
      <c r="K20" s="128"/>
      <c r="L20" s="128"/>
    </row>
    <row r="21" spans="7:12">
      <c r="G21" s="128"/>
      <c r="H21" s="128"/>
      <c r="I21" s="128"/>
      <c r="J21" s="128"/>
      <c r="K21" s="128"/>
      <c r="L21" s="128"/>
    </row>
    <row r="22" spans="7:12">
      <c r="G22" s="128"/>
      <c r="H22" s="128"/>
      <c r="I22" s="128"/>
      <c r="J22" s="128"/>
      <c r="K22" s="128"/>
      <c r="L22" s="128"/>
    </row>
    <row r="23" spans="7:12">
      <c r="G23" s="128"/>
      <c r="H23" s="128"/>
      <c r="I23" s="128"/>
      <c r="J23" s="134"/>
      <c r="K23" s="128"/>
      <c r="L23" s="128"/>
    </row>
    <row r="24" spans="7:12">
      <c r="G24" s="128"/>
      <c r="H24" s="128"/>
      <c r="I24" s="128"/>
      <c r="J24" s="128"/>
      <c r="K24" s="128"/>
      <c r="L24" s="128"/>
    </row>
    <row r="25" spans="7:12">
      <c r="G25" s="128"/>
      <c r="H25" s="128"/>
      <c r="I25" s="128"/>
      <c r="J25" s="128"/>
      <c r="K25" s="128"/>
      <c r="L25" s="128"/>
    </row>
    <row r="26" spans="7:12">
      <c r="G26" s="128"/>
      <c r="H26" s="128"/>
      <c r="I26" s="128"/>
      <c r="J26" s="128"/>
      <c r="K26" s="128"/>
      <c r="L26" s="12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77" r:id="rId3" name="Button 17">
              <controlPr defaultSize="0" print="0" autoFill="0" autoPict="0" macro="[0]!Model2_UI">
                <anchor moveWithCells="1" sizeWithCells="1">
                  <from>
                    <xdr:col>8</xdr:col>
                    <xdr:colOff>180975</xdr:colOff>
                    <xdr:row>22</xdr:row>
                    <xdr:rowOff>28575</xdr:rowOff>
                  </from>
                  <to>
                    <xdr:col>8</xdr:col>
                    <xdr:colOff>2143125</xdr:colOff>
                    <xdr:row>23</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4BD09DF2-E001-44F1-BD32-5CB6F13526B1}">
          <x14:formula1>
            <xm:f>_xlfn.ANCHORARRAY('UI Validation (Detailed)'!$I$37)</xm:f>
          </x14:formula1>
          <xm:sqref>I15 I13 I14 I16 I17</xm:sqref>
        </x14:dataValidation>
        <x14:dataValidation type="list" allowBlank="1" showInputMessage="1" showErrorMessage="1" xr:uid="{9301DE42-CF61-42FF-95E1-65868B97A2BD}">
          <x14:formula1>
            <xm:f>'UI Validation (Detailed)'!$C$6:$C$7</xm:f>
          </x14:formula1>
          <xm:sqref>I20</xm:sqref>
        </x14:dataValidation>
        <x14:dataValidation type="list" allowBlank="1" showInputMessage="1" showErrorMessage="1" xr:uid="{7612DE76-D52D-46B0-B6E1-56ADB1D7EE2A}">
          <x14:formula1>
            <xm:f>_xlfn.ANCHORARRAY('UI Validation (Detailed)'!$J$30)</xm:f>
          </x14:formula1>
          <xm:sqref>I9</xm:sqref>
        </x14:dataValidation>
        <x14:dataValidation type="list" allowBlank="1" showInputMessage="1" showErrorMessage="1" xr:uid="{BB3A9DA9-5803-42DC-A2B6-8FB1112F8147}">
          <x14:formula1>
            <xm:f>_xlfn.ANCHORARRAY('UI Validation (Detailed)'!$J$21)</xm:f>
          </x14:formula1>
          <xm:sqref>I8</xm:sqref>
        </x14:dataValidation>
        <x14:dataValidation type="list" allowBlank="1" showInputMessage="1" showErrorMessage="1" xr:uid="{15AC8E1C-1584-4B65-B885-F06BCB5B5B11}">
          <x14:formula1>
            <xm:f>'UI Validation (Detailed)'!$D$6:$D$7</xm:f>
          </x14:formula1>
          <xm:sqref>I7</xm:sqref>
        </x14:dataValidation>
        <x14:dataValidation type="list" allowBlank="1" showInputMessage="1" showErrorMessage="1" xr:uid="{F94558E3-C928-45C1-B5B9-10F4FB8C347C}">
          <x14:formula1>
            <xm:f>_xlfn.ANCHORARRAY('UI Validation (Detailed)'!$K$6)</xm:f>
          </x14:formula1>
          <xm:sqref>I5</xm:sqref>
        </x14:dataValidation>
        <x14:dataValidation type="list" allowBlank="1" showInputMessage="1" showErrorMessage="1" xr:uid="{D6045DDD-ACF3-460F-BAD0-E845AD3727A7}">
          <x14:formula1>
            <xm:f>_xlfn.ANCHORARRAY('UI Validation (Detailed)'!$J$6)</xm:f>
          </x14:formula1>
          <xm:sqref>I4</xm:sqref>
        </x14:dataValidation>
        <x14:dataValidation type="list" allowBlank="1" showInputMessage="1" showErrorMessage="1" xr:uid="{83DCC308-0151-4A2F-97BE-8FBDF9A25020}">
          <x14:formula1>
            <xm:f>'UI Validation (Detailed)'!$C$9:$G$9</xm:f>
          </x14:formula1>
          <xm:sqref>I3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7F554E-2931-460D-BA6E-1F7ACE215D73}">
  <sheetPr codeName="Sheet10"/>
  <dimension ref="B2:M51"/>
  <sheetViews>
    <sheetView topLeftCell="A6" workbookViewId="0">
      <selection activeCell="B68" sqref="B68"/>
    </sheetView>
  </sheetViews>
  <sheetFormatPr defaultColWidth="8.875" defaultRowHeight="15.75"/>
  <cols>
    <col min="2" max="2" width="22.625" customWidth="1"/>
    <col min="3" max="3" width="13.375" customWidth="1"/>
    <col min="4" max="4" width="12.625" customWidth="1"/>
    <col min="5" max="6" width="12.125" customWidth="1"/>
    <col min="7" max="7" width="10.375" customWidth="1"/>
    <col min="8" max="8" width="16.625" customWidth="1"/>
    <col min="9" max="9" width="47.125" bestFit="1" customWidth="1"/>
    <col min="10" max="10" width="29.125" customWidth="1"/>
    <col min="11" max="11" width="21.875" customWidth="1"/>
    <col min="12" max="12" width="18.125" customWidth="1"/>
    <col min="13" max="13" width="14.125" customWidth="1"/>
  </cols>
  <sheetData>
    <row r="2" spans="2:11">
      <c r="B2" s="61" t="s">
        <v>24</v>
      </c>
    </row>
    <row r="4" spans="2:11">
      <c r="B4" s="61" t="s">
        <v>25</v>
      </c>
      <c r="C4" s="61"/>
      <c r="D4" s="61"/>
      <c r="E4" s="61"/>
      <c r="F4" s="61"/>
      <c r="G4" s="61"/>
      <c r="I4" s="61" t="s">
        <v>26</v>
      </c>
    </row>
    <row r="5" spans="2:11">
      <c r="B5" s="61" t="s">
        <v>27</v>
      </c>
      <c r="C5" s="61" t="s">
        <v>28</v>
      </c>
      <c r="D5" s="61" t="s">
        <v>29</v>
      </c>
      <c r="F5" s="61"/>
      <c r="G5" s="61"/>
      <c r="H5" s="61"/>
      <c r="I5" s="61" t="s">
        <v>30</v>
      </c>
      <c r="J5" s="61" t="s">
        <v>31</v>
      </c>
      <c r="K5" s="61" t="s">
        <v>32</v>
      </c>
    </row>
    <row r="6" spans="2:11">
      <c r="B6" t="s">
        <v>33</v>
      </c>
      <c r="C6" s="42" t="s">
        <v>34</v>
      </c>
      <c r="D6" t="s">
        <v>6</v>
      </c>
      <c r="I6" t="str">
        <f>'UI (Detailed)'!I3</f>
        <v>Wednesday</v>
      </c>
      <c r="J6" s="17" cm="1">
        <f t="array" aca="1" ref="J6:J13" ca="1">OFFSET($B$9,1,MATCH($I$6,$C$9:$G$9,0),COUNTA(OFFSET($B$9,1,MATCH($I$6,$C$9:$G$9,0),9)))</f>
        <v>0.45833333333333331</v>
      </c>
      <c r="K6" s="17" cm="1">
        <f t="array" aca="1" ref="K6:K11" ca="1">_xlfn._xlws.FILTER(_xlfn.ANCHORARRAY(J6),_xlfn.ANCHORARRAY(J6)&gt;'UI (Detailed)'!$I$4)</f>
        <v>0.54166666666666696</v>
      </c>
    </row>
    <row r="7" spans="2:11">
      <c r="B7" t="s">
        <v>35</v>
      </c>
      <c r="C7" s="42" t="s">
        <v>23</v>
      </c>
      <c r="D7" t="s">
        <v>36</v>
      </c>
      <c r="J7" s="17">
        <f ca="1"/>
        <v>0.5</v>
      </c>
      <c r="K7" s="17">
        <f ca="1"/>
        <v>0.58333333333333304</v>
      </c>
    </row>
    <row r="8" spans="2:11">
      <c r="J8" s="17">
        <f ca="1"/>
        <v>0.54166666666666696</v>
      </c>
      <c r="K8" s="17">
        <f ca="1"/>
        <v>0.625</v>
      </c>
    </row>
    <row r="9" spans="2:11">
      <c r="B9" s="61" t="s">
        <v>30</v>
      </c>
      <c r="C9" s="73" t="s">
        <v>37</v>
      </c>
      <c r="D9" s="73" t="s">
        <v>38</v>
      </c>
      <c r="E9" s="73" t="s">
        <v>2</v>
      </c>
      <c r="F9" s="73" t="s">
        <v>39</v>
      </c>
      <c r="G9" s="73" t="s">
        <v>40</v>
      </c>
      <c r="J9" s="17">
        <f ca="1"/>
        <v>0.58333333333333304</v>
      </c>
      <c r="K9" s="17">
        <f ca="1"/>
        <v>0.66666666666666596</v>
      </c>
    </row>
    <row r="10" spans="2:11">
      <c r="C10" s="17">
        <v>0.45833333333333331</v>
      </c>
      <c r="D10" s="17">
        <v>0.45833333333333331</v>
      </c>
      <c r="E10" s="17">
        <v>0.45833333333333331</v>
      </c>
      <c r="F10" s="17">
        <v>0.45833333333333331</v>
      </c>
      <c r="G10" s="17">
        <v>0.45833333333333331</v>
      </c>
      <c r="J10" s="17">
        <f ca="1"/>
        <v>0.625</v>
      </c>
      <c r="K10" s="17">
        <f ca="1"/>
        <v>0.70833333333333304</v>
      </c>
    </row>
    <row r="11" spans="2:11">
      <c r="C11" s="17">
        <v>0.5</v>
      </c>
      <c r="D11" s="17">
        <v>0.5</v>
      </c>
      <c r="E11" s="17">
        <v>0.5</v>
      </c>
      <c r="F11" s="17">
        <v>0.5</v>
      </c>
      <c r="G11" s="17">
        <v>0.5</v>
      </c>
      <c r="J11" s="17">
        <f ca="1"/>
        <v>0.66666666666666596</v>
      </c>
      <c r="K11" s="17">
        <f ca="1"/>
        <v>0.75</v>
      </c>
    </row>
    <row r="12" spans="2:11">
      <c r="C12" s="17">
        <v>0.54166666666666696</v>
      </c>
      <c r="D12" s="17">
        <v>0.54166666666666696</v>
      </c>
      <c r="E12" s="17">
        <v>0.54166666666666696</v>
      </c>
      <c r="F12" s="17">
        <v>0.54166666666666696</v>
      </c>
      <c r="G12" s="17">
        <v>0.54166666666666696</v>
      </c>
      <c r="J12" s="17">
        <f ca="1"/>
        <v>0.70833333333333304</v>
      </c>
      <c r="K12" s="17"/>
    </row>
    <row r="13" spans="2:11">
      <c r="C13" s="17">
        <v>0.58333333333333304</v>
      </c>
      <c r="D13" s="17">
        <v>0.58333333333333304</v>
      </c>
      <c r="E13" s="17">
        <v>0.58333333333333304</v>
      </c>
      <c r="F13" s="17">
        <v>0.58333333333333304</v>
      </c>
      <c r="G13" s="17">
        <v>0.58333333333333304</v>
      </c>
      <c r="J13" s="17">
        <f ca="1"/>
        <v>0.75</v>
      </c>
      <c r="K13" s="17"/>
    </row>
    <row r="14" spans="2:11">
      <c r="C14" s="17">
        <v>0.625</v>
      </c>
      <c r="D14" s="17">
        <v>0.625</v>
      </c>
      <c r="E14" s="17">
        <v>0.625</v>
      </c>
      <c r="F14" s="17">
        <v>0.625</v>
      </c>
      <c r="G14" s="17">
        <v>0.625</v>
      </c>
      <c r="J14" s="17"/>
      <c r="K14" s="17"/>
    </row>
    <row r="15" spans="2:11">
      <c r="C15" s="17">
        <v>0.66666666666666596</v>
      </c>
      <c r="D15" s="17">
        <v>0.66666666666666596</v>
      </c>
      <c r="E15" s="17">
        <v>0.66666666666666596</v>
      </c>
      <c r="F15" s="17">
        <v>0.66666666666666596</v>
      </c>
      <c r="G15" s="17">
        <v>0.66666666666666596</v>
      </c>
      <c r="J15" s="17"/>
      <c r="K15" s="17"/>
    </row>
    <row r="16" spans="2:11">
      <c r="C16" s="17">
        <v>0.70833333333333304</v>
      </c>
      <c r="D16" s="17">
        <v>0.70833333333333304</v>
      </c>
      <c r="E16" s="17">
        <v>0.70833333333333304</v>
      </c>
      <c r="F16" s="17">
        <v>0.70833333333333304</v>
      </c>
      <c r="G16" s="17">
        <v>0.70833333333333304</v>
      </c>
      <c r="J16" s="17"/>
      <c r="K16" s="17"/>
    </row>
    <row r="17" spans="2:11">
      <c r="C17" s="17">
        <v>0.75</v>
      </c>
      <c r="D17" s="17">
        <v>0.75</v>
      </c>
      <c r="E17" s="17">
        <v>0.75</v>
      </c>
      <c r="F17" s="17">
        <v>0.75</v>
      </c>
      <c r="G17" s="17">
        <v>0.75</v>
      </c>
      <c r="J17" s="17"/>
      <c r="K17" s="17"/>
    </row>
    <row r="18" spans="2:11">
      <c r="E18" s="42"/>
      <c r="J18" s="17"/>
      <c r="K18" s="17"/>
    </row>
    <row r="19" spans="2:11">
      <c r="E19" s="42"/>
    </row>
    <row r="20" spans="2:11">
      <c r="B20" s="61" t="s">
        <v>29</v>
      </c>
      <c r="C20" s="61" t="s">
        <v>6</v>
      </c>
      <c r="D20" s="61"/>
      <c r="E20" s="42"/>
      <c r="I20" s="61" t="s">
        <v>29</v>
      </c>
      <c r="J20" s="61" t="s">
        <v>41</v>
      </c>
      <c r="K20" s="61"/>
    </row>
    <row r="21" spans="2:11">
      <c r="B21" s="61" t="s">
        <v>42</v>
      </c>
      <c r="C21" s="17" cm="1">
        <f t="array" aca="1" ref="C21:C26" ca="1">_xlfn._xlws.FILTER(_xlfn.ANCHORARRAY($J$6),(_xlfn.ANCHORARRAY($J$6)&gt;='UI (Detailed)'!I4)*(_xlfn.ANCHORARRAY($J$6)&lt;'UI (Detailed)'!I5),"")</f>
        <v>0.5</v>
      </c>
      <c r="D21" s="74"/>
      <c r="E21" s="42"/>
      <c r="I21" s="75" t="str">
        <f>'UI (Detailed)'!I7</f>
        <v>Yes</v>
      </c>
      <c r="J21" s="17" cm="1">
        <f t="array" aca="1" ref="J21:J26" ca="1">IF($I$21="Yes",_xlfn.ANCHORARRAY(C21),"")</f>
        <v>0.5</v>
      </c>
      <c r="K21" s="77"/>
    </row>
    <row r="22" spans="2:11">
      <c r="C22" s="17">
        <f ca="1"/>
        <v>0.54166666666666696</v>
      </c>
      <c r="E22" s="42"/>
      <c r="J22" s="17">
        <f ca="1"/>
        <v>0.54166666666666696</v>
      </c>
    </row>
    <row r="23" spans="2:11">
      <c r="C23" s="17">
        <f ca="1"/>
        <v>0.58333333333333304</v>
      </c>
      <c r="J23" s="17">
        <f ca="1"/>
        <v>0.58333333333333304</v>
      </c>
    </row>
    <row r="24" spans="2:11">
      <c r="C24" s="17">
        <f ca="1"/>
        <v>0.625</v>
      </c>
      <c r="J24" s="17">
        <f ca="1"/>
        <v>0.625</v>
      </c>
    </row>
    <row r="25" spans="2:11">
      <c r="C25" s="17">
        <f ca="1"/>
        <v>0.66666666666666596</v>
      </c>
      <c r="J25" s="17">
        <f ca="1"/>
        <v>0.66666666666666596</v>
      </c>
    </row>
    <row r="26" spans="2:11">
      <c r="C26" s="17">
        <f ca="1"/>
        <v>0.70833333333333304</v>
      </c>
      <c r="J26" s="17">
        <f ca="1"/>
        <v>0.70833333333333304</v>
      </c>
    </row>
    <row r="27" spans="2:11">
      <c r="C27" s="17"/>
      <c r="J27" s="17"/>
    </row>
    <row r="29" spans="2:11">
      <c r="B29" s="61" t="s">
        <v>29</v>
      </c>
      <c r="C29" s="61" t="s">
        <v>6</v>
      </c>
      <c r="D29" s="61"/>
      <c r="I29" s="61" t="s">
        <v>29</v>
      </c>
      <c r="J29" s="61" t="s">
        <v>43</v>
      </c>
      <c r="K29" s="77"/>
    </row>
    <row r="30" spans="2:11">
      <c r="B30" s="61" t="s">
        <v>44</v>
      </c>
      <c r="C30" s="76">
        <f>TIME(1,0,0)</f>
        <v>4.1666666666666664E-2</v>
      </c>
      <c r="I30" s="75" t="str">
        <f>'UI (Detailed)'!I7</f>
        <v>Yes</v>
      </c>
      <c r="J30" s="76" cm="1">
        <f t="array" ref="J30:J31">IF($I$30="Yes",_xlfn._xlws.FILTER($C$30:$C$31,$C$30:$C$31-TIME(0,1,0)&lt;='UI (Detailed)'!I5-'UI (Detailed)'!I8,""),"")</f>
        <v>4.1666666666666664E-2</v>
      </c>
    </row>
    <row r="31" spans="2:11">
      <c r="C31" s="76">
        <f>TIME(2,0,0)</f>
        <v>8.3333333333333329E-2</v>
      </c>
      <c r="J31" s="76">
        <v>8.3333333333333329E-2</v>
      </c>
    </row>
    <row r="32" spans="2:11">
      <c r="J32" s="17"/>
    </row>
    <row r="33" spans="2:13">
      <c r="J33" s="17"/>
    </row>
    <row r="34" spans="2:13">
      <c r="H34" s="61" t="s">
        <v>45</v>
      </c>
      <c r="I34" s="76">
        <f>'UI (Detailed)'!I5-'UI (Detailed)'!I4-IF('UI (Detailed)'!I7="Yes",'UI (Detailed)'!I9,TIME(0,0,0))</f>
        <v>0.16666666666666669</v>
      </c>
      <c r="J34" s="17"/>
    </row>
    <row r="35" spans="2:13">
      <c r="H35" s="61" t="s">
        <v>46</v>
      </c>
      <c r="I35" s="76">
        <v>4.1666666666666664E-2</v>
      </c>
      <c r="J35" s="76"/>
      <c r="K35" s="76"/>
      <c r="L35" s="76"/>
      <c r="M35" s="76"/>
    </row>
    <row r="36" spans="2:13">
      <c r="B36" s="61" t="s">
        <v>47</v>
      </c>
      <c r="H36" s="61"/>
      <c r="I36" s="61" t="s">
        <v>48</v>
      </c>
      <c r="J36" s="17"/>
    </row>
    <row r="37" spans="2:13">
      <c r="B37" s="42" t="s">
        <v>49</v>
      </c>
      <c r="I37" t="str" cm="1">
        <f t="array" ref="I37:I46">IF(I35-TIME(0,1,0)&lt;=$I$34,_xlfn._xlws.FILTER($B$37:$B$51,COUNTIF('UI (Detailed)'!$I$13:$I$17,'UI Validation (Detailed)'!$B$37:$B$51)=0),"")</f>
        <v>Accelerator</v>
      </c>
    </row>
    <row r="38" spans="2:13">
      <c r="B38" s="42" t="s">
        <v>12</v>
      </c>
      <c r="I38" t="str">
        <v>Canopy Flyer</v>
      </c>
    </row>
    <row r="39" spans="2:13">
      <c r="B39" s="42" t="s">
        <v>14</v>
      </c>
      <c r="I39" t="str">
        <v>Dino-Soarin</v>
      </c>
    </row>
    <row r="40" spans="2:13">
      <c r="B40" s="42" t="s">
        <v>50</v>
      </c>
      <c r="I40" t="str">
        <v>King Julien's Beach Party Go Round</v>
      </c>
    </row>
    <row r="41" spans="2:13">
      <c r="B41" s="42" t="s">
        <v>51</v>
      </c>
      <c r="I41" t="str">
        <v>Lights, Camera, Action!</v>
      </c>
    </row>
    <row r="42" spans="2:13">
      <c r="B42" s="42" t="s">
        <v>52</v>
      </c>
      <c r="I42" t="str">
        <v>Magic Potion Spin</v>
      </c>
    </row>
    <row r="43" spans="2:13">
      <c r="B43" s="42" t="s">
        <v>53</v>
      </c>
      <c r="I43" t="str">
        <v>Puss in Boots' Giant Journey</v>
      </c>
    </row>
    <row r="44" spans="2:13">
      <c r="B44" t="s">
        <v>16</v>
      </c>
      <c r="I44" t="str">
        <v>Sesame Street Spaghetti Space Chase</v>
      </c>
    </row>
    <row r="45" spans="2:13">
      <c r="B45" t="s">
        <v>54</v>
      </c>
      <c r="I45" t="str">
        <v>Shrek 4D Adventure</v>
      </c>
    </row>
    <row r="46" spans="2:13">
      <c r="B46" t="s">
        <v>55</v>
      </c>
      <c r="I46" t="str">
        <v>Treasure Hunters</v>
      </c>
    </row>
    <row r="47" spans="2:13">
      <c r="B47" t="s">
        <v>20</v>
      </c>
    </row>
    <row r="48" spans="2:13">
      <c r="B48" t="s">
        <v>56</v>
      </c>
    </row>
    <row r="49" spans="2:8">
      <c r="B49" t="s">
        <v>18</v>
      </c>
    </row>
    <row r="50" spans="2:8">
      <c r="B50" t="s">
        <v>57</v>
      </c>
    </row>
    <row r="51" spans="2:8">
      <c r="B51" t="s">
        <v>58</v>
      </c>
      <c r="H51" s="61"/>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67C559-4929-403F-991D-CE30B09FD209}">
  <sheetPr codeName="Sheet14"/>
  <dimension ref="A1:P43"/>
  <sheetViews>
    <sheetView showGridLines="0" showRowColHeaders="0" zoomScale="110" zoomScaleNormal="110" workbookViewId="0">
      <selection activeCell="G24" sqref="G24"/>
    </sheetView>
  </sheetViews>
  <sheetFormatPr defaultColWidth="0" defaultRowHeight="15.75" zeroHeight="1"/>
  <cols>
    <col min="1" max="1" width="31.125" bestFit="1" customWidth="1"/>
    <col min="2" max="2" width="7.625" customWidth="1"/>
    <col min="3" max="3" width="8.625" customWidth="1"/>
    <col min="4" max="6" width="8.875" customWidth="1"/>
    <col min="7" max="7" width="36.375" bestFit="1" customWidth="1"/>
    <col min="8" max="10" width="15" customWidth="1"/>
    <col min="11" max="11" width="8.875" customWidth="1"/>
    <col min="12" max="12" width="24.125" bestFit="1" customWidth="1"/>
    <col min="13" max="15" width="8.875" customWidth="1"/>
    <col min="16" max="16" width="0" hidden="1" customWidth="1"/>
    <col min="17" max="16384" width="8.875" hidden="1"/>
  </cols>
  <sheetData>
    <row r="1" spans="7:16" s="128" customFormat="1">
      <c r="L1" s="149"/>
      <c r="M1" s="149"/>
      <c r="N1" s="149"/>
      <c r="O1" s="149"/>
    </row>
    <row r="2" spans="7:16" s="128" customFormat="1">
      <c r="L2" s="134"/>
      <c r="M2" s="134"/>
      <c r="N2" s="134"/>
      <c r="O2" s="134"/>
    </row>
    <row r="3" spans="7:16" s="128" customFormat="1">
      <c r="G3" s="135"/>
      <c r="H3" s="135"/>
      <c r="I3" s="135"/>
      <c r="J3" s="135"/>
      <c r="L3" s="134"/>
      <c r="M3" s="134"/>
      <c r="N3" s="134"/>
      <c r="O3" s="134"/>
    </row>
    <row r="4" spans="7:16" s="128" customFormat="1">
      <c r="H4" s="147"/>
      <c r="I4" s="147"/>
      <c r="J4" s="147"/>
      <c r="L4" s="134"/>
      <c r="M4" s="134"/>
      <c r="N4" s="134"/>
      <c r="O4" s="134"/>
    </row>
    <row r="5" spans="7:16" s="128" customFormat="1">
      <c r="G5" s="135"/>
      <c r="H5" s="135"/>
      <c r="I5" s="135"/>
      <c r="J5" s="135"/>
      <c r="L5" s="134" t="s">
        <v>59</v>
      </c>
      <c r="M5" s="134"/>
      <c r="N5" s="134"/>
      <c r="O5" s="134"/>
    </row>
    <row r="6" spans="7:16" s="128" customFormat="1" ht="24" customHeight="1">
      <c r="G6" s="150" t="s">
        <v>61</v>
      </c>
      <c r="H6" s="150" t="s">
        <v>72</v>
      </c>
      <c r="I6" s="150" t="s">
        <v>73</v>
      </c>
      <c r="J6" s="150" t="s">
        <v>74</v>
      </c>
      <c r="L6" s="136" t="s">
        <v>63</v>
      </c>
      <c r="M6" s="136" t="s">
        <v>64</v>
      </c>
      <c r="N6" s="136" t="s">
        <v>65</v>
      </c>
      <c r="O6" s="134"/>
    </row>
    <row r="7" spans="7:16" s="128" customFormat="1" ht="20.100000000000001" customHeight="1">
      <c r="G7" s="151" t="s">
        <v>66</v>
      </c>
      <c r="H7" s="152"/>
      <c r="I7" s="152"/>
      <c r="J7" s="152"/>
      <c r="K7" s="134"/>
      <c r="L7" s="134" t="s">
        <v>66</v>
      </c>
      <c r="M7" s="134">
        <v>3.2</v>
      </c>
      <c r="N7" s="134">
        <v>0.5</v>
      </c>
      <c r="O7" s="134">
        <v>1</v>
      </c>
      <c r="P7" s="148"/>
    </row>
    <row r="8" spans="7:16" s="128" customFormat="1" ht="20.100000000000001" customHeight="1">
      <c r="G8" s="151" t="s">
        <v>52</v>
      </c>
      <c r="H8" s="152">
        <v>0.50486111111111109</v>
      </c>
      <c r="I8" s="152">
        <v>1.3888888888888888E-2</v>
      </c>
      <c r="J8" s="152">
        <v>0.51944444444444438</v>
      </c>
      <c r="K8" s="134"/>
      <c r="L8" s="134" t="s">
        <v>57</v>
      </c>
      <c r="M8" s="134">
        <v>5.8</v>
      </c>
      <c r="N8" s="134">
        <v>3.5</v>
      </c>
      <c r="O8" s="134">
        <v>2</v>
      </c>
    </row>
    <row r="9" spans="7:16" s="128" customFormat="1" ht="20.100000000000001" customHeight="1">
      <c r="G9" s="151" t="s">
        <v>20</v>
      </c>
      <c r="H9" s="152">
        <v>0.52430555555555547</v>
      </c>
      <c r="I9" s="152">
        <v>1.0416666666666666E-2</v>
      </c>
      <c r="J9" s="152">
        <v>0.53680555555555542</v>
      </c>
      <c r="K9" s="134"/>
      <c r="L9" s="134" t="s">
        <v>12</v>
      </c>
      <c r="M9" s="134">
        <v>5.7</v>
      </c>
      <c r="N9" s="134">
        <v>4.5</v>
      </c>
      <c r="O9" s="134">
        <v>3</v>
      </c>
    </row>
    <row r="10" spans="7:16" s="128" customFormat="1" ht="20.100000000000001" customHeight="1">
      <c r="G10" s="151" t="s">
        <v>12</v>
      </c>
      <c r="H10" s="152">
        <v>0.53958333333333319</v>
      </c>
      <c r="I10" s="152">
        <v>1.7361111111111112E-2</v>
      </c>
      <c r="J10" s="152">
        <v>0.55833333333333324</v>
      </c>
      <c r="K10" s="134"/>
      <c r="L10" s="134" t="s">
        <v>14</v>
      </c>
      <c r="M10" s="134">
        <v>5.7</v>
      </c>
      <c r="N10" s="134">
        <v>5</v>
      </c>
      <c r="O10" s="134">
        <v>4</v>
      </c>
    </row>
    <row r="11" spans="7:16" s="128" customFormat="1" ht="20.100000000000001" customHeight="1">
      <c r="G11" s="151" t="s">
        <v>67</v>
      </c>
      <c r="H11" s="152">
        <v>0.55833333333333324</v>
      </c>
      <c r="I11" s="152">
        <v>8.3333333333333329E-2</v>
      </c>
      <c r="J11" s="152">
        <v>0.64166666666666661</v>
      </c>
      <c r="K11" s="134"/>
      <c r="L11" s="134" t="s">
        <v>20</v>
      </c>
      <c r="M11" s="134">
        <v>5.5</v>
      </c>
      <c r="N11" s="134">
        <v>6.2</v>
      </c>
      <c r="O11" s="134">
        <v>5</v>
      </c>
    </row>
    <row r="12" spans="7:16" s="128" customFormat="1" ht="20.100000000000001" customHeight="1">
      <c r="G12" s="151" t="s">
        <v>57</v>
      </c>
      <c r="H12" s="152">
        <v>0.64444444444444438</v>
      </c>
      <c r="I12" s="152">
        <v>2.4305555555555552E-2</v>
      </c>
      <c r="J12" s="152">
        <v>0.67222222222222217</v>
      </c>
      <c r="K12" s="134"/>
      <c r="L12" s="134" t="s">
        <v>50</v>
      </c>
      <c r="M12" s="134">
        <v>3.2</v>
      </c>
      <c r="N12" s="134">
        <v>6.8</v>
      </c>
      <c r="O12" s="134">
        <v>6</v>
      </c>
    </row>
    <row r="13" spans="7:16" s="128" customFormat="1" ht="20.100000000000001" customHeight="1">
      <c r="G13" s="151" t="s">
        <v>14</v>
      </c>
      <c r="H13" s="152">
        <v>0.67499999999999993</v>
      </c>
      <c r="I13" s="152">
        <v>4.1666666666666664E-2</v>
      </c>
      <c r="J13" s="152">
        <v>0.71805555555555545</v>
      </c>
      <c r="K13" s="134"/>
      <c r="L13" s="134" t="s">
        <v>69</v>
      </c>
      <c r="M13" s="134">
        <v>3.7</v>
      </c>
      <c r="N13" s="134">
        <v>0.5</v>
      </c>
      <c r="O13" s="134">
        <v>7</v>
      </c>
    </row>
    <row r="14" spans="7:16" s="128" customFormat="1" ht="20.100000000000001" customHeight="1">
      <c r="G14" s="151" t="s">
        <v>69</v>
      </c>
      <c r="H14" s="152"/>
      <c r="I14" s="152"/>
      <c r="J14" s="152"/>
      <c r="K14" s="134"/>
      <c r="L14" s="134"/>
      <c r="M14" s="134" t="e">
        <v>#N/A</v>
      </c>
      <c r="N14" s="134" t="e">
        <v>#N/A</v>
      </c>
      <c r="O14" s="134">
        <v>8</v>
      </c>
    </row>
    <row r="15" spans="7:16" s="128" customFormat="1">
      <c r="H15" s="147"/>
      <c r="I15" s="147"/>
      <c r="J15" s="147"/>
      <c r="K15" s="134"/>
      <c r="L15" s="134"/>
      <c r="M15" s="134" t="e">
        <v>#N/A</v>
      </c>
      <c r="N15" s="134" t="e">
        <v>#N/A</v>
      </c>
      <c r="O15" s="134">
        <v>9</v>
      </c>
    </row>
    <row r="16" spans="7:16" s="128" customFormat="1">
      <c r="H16" s="147"/>
      <c r="I16" s="147"/>
      <c r="J16" s="147"/>
      <c r="K16" s="134"/>
      <c r="L16" s="172"/>
      <c r="M16" s="172" t="e">
        <v>#N/A</v>
      </c>
      <c r="N16" s="172" t="e">
        <v>#N/A</v>
      </c>
      <c r="O16" s="172">
        <v>8</v>
      </c>
    </row>
    <row r="17" spans="1:15" s="128" customFormat="1">
      <c r="H17" s="147"/>
      <c r="I17" s="147"/>
      <c r="J17" s="147"/>
      <c r="K17" s="134"/>
      <c r="L17" s="172"/>
      <c r="M17" s="172" t="e">
        <v>#N/A</v>
      </c>
      <c r="N17" s="172" t="e">
        <v>#N/A</v>
      </c>
      <c r="O17" s="172">
        <v>9</v>
      </c>
    </row>
    <row r="18" spans="1:15" s="128" customFormat="1">
      <c r="H18" s="147"/>
      <c r="I18" s="147"/>
      <c r="J18" s="147"/>
      <c r="K18" s="134"/>
      <c r="L18" s="134"/>
      <c r="M18" s="134"/>
      <c r="N18" s="134"/>
      <c r="O18" s="134"/>
    </row>
    <row r="19" spans="1:15" s="128" customFormat="1">
      <c r="H19" s="147"/>
      <c r="I19" s="147"/>
      <c r="J19" s="147"/>
      <c r="K19" s="134"/>
      <c r="L19" s="134"/>
      <c r="M19" s="134"/>
      <c r="N19" s="134"/>
      <c r="O19" s="134"/>
    </row>
    <row r="20" spans="1:15" s="128" customFormat="1">
      <c r="G20" s="147"/>
      <c r="I20" s="147"/>
      <c r="K20" s="134"/>
      <c r="L20" s="134"/>
      <c r="M20" s="134"/>
      <c r="N20" s="134"/>
      <c r="O20" s="134"/>
    </row>
    <row r="21" spans="1:15" s="128" customFormat="1">
      <c r="H21" s="147"/>
      <c r="I21" s="147"/>
      <c r="J21" s="147"/>
      <c r="K21" s="134"/>
      <c r="L21" s="134"/>
      <c r="M21" s="134"/>
      <c r="N21" s="134"/>
      <c r="O21" s="134"/>
    </row>
    <row r="22" spans="1:15" s="128" customFormat="1">
      <c r="H22" s="147"/>
      <c r="I22" s="147"/>
      <c r="J22" s="147"/>
      <c r="K22" s="134"/>
      <c r="L22" s="134"/>
      <c r="M22" s="134"/>
      <c r="N22" s="134"/>
      <c r="O22" s="134"/>
    </row>
    <row r="23" spans="1:15" s="128" customFormat="1">
      <c r="H23" s="147"/>
      <c r="I23" s="147"/>
      <c r="J23" s="147"/>
    </row>
    <row r="24" spans="1:15" s="128" customFormat="1">
      <c r="H24" s="147"/>
      <c r="I24" s="147"/>
      <c r="J24" s="147"/>
    </row>
    <row r="25" spans="1:15" hidden="1">
      <c r="A25" t="s">
        <v>70</v>
      </c>
      <c r="H25" s="81"/>
      <c r="I25" s="81"/>
      <c r="J25" s="81"/>
    </row>
    <row r="26" spans="1:15" hidden="1">
      <c r="A26" s="78" t="s">
        <v>46</v>
      </c>
      <c r="B26" s="78" t="s">
        <v>64</v>
      </c>
      <c r="C26" s="78" t="s">
        <v>65</v>
      </c>
      <c r="H26" s="81"/>
      <c r="I26" s="81"/>
      <c r="J26" s="81"/>
    </row>
    <row r="27" spans="1:15" hidden="1">
      <c r="A27" t="s">
        <v>49</v>
      </c>
      <c r="B27" s="42">
        <v>5.7</v>
      </c>
      <c r="C27" s="42">
        <v>4</v>
      </c>
    </row>
    <row r="28" spans="1:15" hidden="1">
      <c r="A28" t="s">
        <v>12</v>
      </c>
      <c r="B28" s="42">
        <v>5.7</v>
      </c>
      <c r="C28" s="42">
        <v>4.5</v>
      </c>
    </row>
    <row r="29" spans="1:15" hidden="1">
      <c r="A29" t="s">
        <v>14</v>
      </c>
      <c r="B29" s="42">
        <v>5.7</v>
      </c>
      <c r="C29" s="42">
        <v>5</v>
      </c>
    </row>
    <row r="30" spans="1:15" hidden="1">
      <c r="A30" t="s">
        <v>50</v>
      </c>
      <c r="B30" s="42">
        <v>3.2</v>
      </c>
      <c r="C30" s="42">
        <v>6.8</v>
      </c>
    </row>
    <row r="31" spans="1:15" hidden="1">
      <c r="A31" t="s">
        <v>51</v>
      </c>
      <c r="B31" s="42">
        <v>3.3</v>
      </c>
      <c r="C31" s="42">
        <v>7.2</v>
      </c>
    </row>
    <row r="32" spans="1:15" hidden="1">
      <c r="A32" t="s">
        <v>52</v>
      </c>
      <c r="B32" s="42">
        <v>2.5</v>
      </c>
      <c r="C32" s="42">
        <v>5</v>
      </c>
    </row>
    <row r="33" spans="1:3" hidden="1">
      <c r="A33" t="s">
        <v>53</v>
      </c>
      <c r="B33" s="42">
        <v>2.8</v>
      </c>
      <c r="C33" s="42">
        <v>4</v>
      </c>
    </row>
    <row r="34" spans="1:3" hidden="1">
      <c r="A34" t="s">
        <v>16</v>
      </c>
      <c r="B34" s="42">
        <v>5.2</v>
      </c>
      <c r="C34" s="42">
        <v>3</v>
      </c>
    </row>
    <row r="35" spans="1:3" hidden="1">
      <c r="A35" t="s">
        <v>54</v>
      </c>
      <c r="B35" s="42">
        <v>1.5</v>
      </c>
      <c r="C35" s="42">
        <v>6.5</v>
      </c>
    </row>
    <row r="36" spans="1:3" hidden="1">
      <c r="A36" t="s">
        <v>55</v>
      </c>
      <c r="B36" s="42">
        <v>2.2000000000000002</v>
      </c>
      <c r="C36" s="42">
        <v>7.5</v>
      </c>
    </row>
    <row r="37" spans="1:3" hidden="1">
      <c r="A37" t="s">
        <v>20</v>
      </c>
      <c r="B37" s="42">
        <v>5.5</v>
      </c>
      <c r="C37" s="42">
        <v>6.2</v>
      </c>
    </row>
    <row r="38" spans="1:3" hidden="1">
      <c r="A38" t="s">
        <v>56</v>
      </c>
      <c r="B38" s="42">
        <v>4.8</v>
      </c>
      <c r="C38" s="42">
        <v>2.7</v>
      </c>
    </row>
    <row r="39" spans="1:3" hidden="1">
      <c r="A39" t="s">
        <v>18</v>
      </c>
      <c r="B39" s="42">
        <v>1.8</v>
      </c>
      <c r="C39" s="42">
        <v>5.8</v>
      </c>
    </row>
    <row r="40" spans="1:3" hidden="1">
      <c r="A40" t="s">
        <v>57</v>
      </c>
      <c r="B40" s="42">
        <v>5.8</v>
      </c>
      <c r="C40" s="42">
        <v>3.5</v>
      </c>
    </row>
    <row r="41" spans="1:3" hidden="1">
      <c r="A41" t="s">
        <v>58</v>
      </c>
      <c r="B41" s="42">
        <v>5.8</v>
      </c>
      <c r="C41" s="42">
        <v>6.5</v>
      </c>
    </row>
    <row r="42" spans="1:3" hidden="1">
      <c r="A42" t="s">
        <v>66</v>
      </c>
      <c r="B42" s="42">
        <v>3.2</v>
      </c>
      <c r="C42" s="42">
        <v>0.5</v>
      </c>
    </row>
    <row r="43" spans="1:3" hidden="1">
      <c r="A43" t="s">
        <v>69</v>
      </c>
      <c r="B43" s="42">
        <v>3.7</v>
      </c>
      <c r="C43" s="42">
        <v>0.5</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B6AA76-88A3-4753-9E82-8E5BC9A59E79}">
  <sheetPr codeName="Sheet4">
    <tabColor theme="1" tint="4.9989318521683403E-2"/>
  </sheetPr>
  <dimension ref="B1:U83"/>
  <sheetViews>
    <sheetView showGridLines="0" topLeftCell="A44" zoomScale="90" zoomScaleNormal="90" workbookViewId="0">
      <selection activeCell="B64" sqref="B64:D69"/>
    </sheetView>
  </sheetViews>
  <sheetFormatPr defaultColWidth="8.875" defaultRowHeight="15.75"/>
  <cols>
    <col min="1" max="1" width="5.125" customWidth="1"/>
    <col min="2" max="2" width="22.5" customWidth="1"/>
    <col min="3" max="3" width="27.125" customWidth="1"/>
    <col min="4" max="4" width="25.5" customWidth="1"/>
    <col min="5" max="5" width="24.125" customWidth="1"/>
    <col min="6" max="6" width="24.125" bestFit="1" customWidth="1"/>
    <col min="7" max="7" width="24.625" customWidth="1"/>
    <col min="8" max="8" width="17.875" customWidth="1"/>
    <col min="9" max="9" width="7" customWidth="1"/>
    <col min="10" max="10" width="19.375" customWidth="1"/>
    <col min="11" max="11" width="9" customWidth="1"/>
    <col min="12" max="12" width="10.625" customWidth="1"/>
    <col min="13" max="13" width="5.125" customWidth="1"/>
    <col min="14" max="14" width="14.625" customWidth="1"/>
    <col min="15" max="15" width="7.125" customWidth="1"/>
    <col min="16" max="16" width="34.375" customWidth="1"/>
    <col min="17" max="17" width="22.125" customWidth="1"/>
    <col min="18" max="18" width="35.375" bestFit="1" customWidth="1"/>
    <col min="19" max="22" width="22.625" customWidth="1"/>
  </cols>
  <sheetData>
    <row r="1" spans="2:14">
      <c r="B1" s="36" t="s">
        <v>75</v>
      </c>
    </row>
    <row r="3" spans="2:14">
      <c r="B3" s="8" t="s">
        <v>76</v>
      </c>
      <c r="C3" s="35"/>
      <c r="D3" s="35"/>
      <c r="E3" s="35"/>
      <c r="F3" s="35"/>
      <c r="J3" s="8" t="s">
        <v>77</v>
      </c>
      <c r="K3" s="8"/>
    </row>
    <row r="4" spans="2:14">
      <c r="B4" s="24" t="s">
        <v>30</v>
      </c>
      <c r="C4" s="39" t="str">
        <f>'UI (High-Lvl)'!$I$3</f>
        <v>Friday</v>
      </c>
      <c r="D4" s="38" t="s">
        <v>78</v>
      </c>
      <c r="E4" s="24" t="s">
        <v>5</v>
      </c>
      <c r="F4" s="40" t="str">
        <f>'UI (High-Lvl)'!$I$7</f>
        <v>Yes</v>
      </c>
      <c r="G4" s="38"/>
      <c r="J4" s="44" t="s">
        <v>79</v>
      </c>
      <c r="K4" s="43"/>
      <c r="M4" s="43"/>
      <c r="N4" s="43"/>
    </row>
    <row r="5" spans="2:14">
      <c r="B5" s="24" t="s">
        <v>28</v>
      </c>
      <c r="C5" s="39" t="str">
        <f>'UI (High-Lvl)'!$I$20</f>
        <v>Leisurely</v>
      </c>
      <c r="D5" s="38" t="s">
        <v>80</v>
      </c>
      <c r="E5" s="24" t="s">
        <v>7</v>
      </c>
      <c r="F5" s="40">
        <f>'UI (High-Lvl)'!$I$8</f>
        <v>0.54166666666666696</v>
      </c>
      <c r="G5" s="38" t="s">
        <v>81</v>
      </c>
      <c r="J5" s="54" t="s">
        <v>37</v>
      </c>
      <c r="K5" s="54" t="s">
        <v>82</v>
      </c>
      <c r="M5" s="58"/>
      <c r="N5" s="58"/>
    </row>
    <row r="6" spans="2:14">
      <c r="B6" s="24" t="s">
        <v>31</v>
      </c>
      <c r="C6" s="40">
        <f>'UI (High-Lvl)'!$I$4</f>
        <v>0.5</v>
      </c>
      <c r="D6" s="38" t="s">
        <v>81</v>
      </c>
      <c r="E6" s="24" t="s">
        <v>8</v>
      </c>
      <c r="F6" s="41">
        <f>'UI (High-Lvl)'!I9</f>
        <v>4.1666666666666664E-2</v>
      </c>
      <c r="G6" s="38" t="s">
        <v>83</v>
      </c>
      <c r="J6" s="19" t="s">
        <v>38</v>
      </c>
      <c r="K6" s="54" t="s">
        <v>82</v>
      </c>
      <c r="M6" s="18"/>
      <c r="N6" s="58"/>
    </row>
    <row r="7" spans="2:14">
      <c r="B7" s="24" t="s">
        <v>32</v>
      </c>
      <c r="C7" s="40">
        <f>'UI (High-Lvl)'!$I$5</f>
        <v>0.75</v>
      </c>
      <c r="D7" s="38" t="s">
        <v>81</v>
      </c>
      <c r="J7" s="19" t="s">
        <v>2</v>
      </c>
      <c r="K7" s="54" t="s">
        <v>84</v>
      </c>
      <c r="M7" s="18"/>
      <c r="N7" s="58"/>
    </row>
    <row r="8" spans="2:14">
      <c r="B8" s="8"/>
      <c r="C8" s="35"/>
      <c r="D8" s="35"/>
      <c r="E8" s="35"/>
      <c r="F8" s="35"/>
      <c r="J8" s="19" t="s">
        <v>39</v>
      </c>
      <c r="K8" s="54" t="s">
        <v>84</v>
      </c>
      <c r="M8" s="18"/>
      <c r="N8" s="58"/>
    </row>
    <row r="9" spans="2:14">
      <c r="C9" s="37" t="s">
        <v>85</v>
      </c>
      <c r="D9" s="37" t="s">
        <v>86</v>
      </c>
      <c r="E9" s="37" t="s">
        <v>87</v>
      </c>
      <c r="F9" s="37" t="s">
        <v>88</v>
      </c>
      <c r="G9" s="37" t="s">
        <v>89</v>
      </c>
      <c r="J9" s="54" t="s">
        <v>40</v>
      </c>
      <c r="K9" s="54" t="s">
        <v>84</v>
      </c>
      <c r="M9" s="58"/>
      <c r="N9" s="58"/>
    </row>
    <row r="10" spans="2:14">
      <c r="B10" s="24" t="s">
        <v>90</v>
      </c>
      <c r="C10" s="39" t="str">
        <f>'UI (High-Lvl)'!$I$13</f>
        <v>Battlestar Galactica: Cylon</v>
      </c>
      <c r="D10" s="39" t="str">
        <f>'UI (High-Lvl)'!$I$14</f>
        <v>Battlestart Galactica: Human</v>
      </c>
      <c r="E10" s="39" t="str">
        <f>'UI (High-Lvl)'!$I$15</f>
        <v>Treasure Hunters</v>
      </c>
      <c r="F10" s="39" t="str">
        <f>'UI (High-Lvl)'!$I$16</f>
        <v>Revenge of the Mummy</v>
      </c>
      <c r="G10" s="39" t="str">
        <f>'UI (High-Lvl)'!$I$17</f>
        <v>Dino-Soarin</v>
      </c>
    </row>
    <row r="12" spans="2:14">
      <c r="B12" s="8" t="s">
        <v>91</v>
      </c>
    </row>
    <row r="14" spans="2:14">
      <c r="B14" s="47" t="s">
        <v>92</v>
      </c>
      <c r="C14" s="68">
        <f>SUM(C15:C16)</f>
        <v>0.12569444444444444</v>
      </c>
      <c r="D14" s="55" t="s">
        <v>93</v>
      </c>
      <c r="E14" s="39" t="str">
        <f>VLOOKUP($C$4,$J$5:$K$9,2,FALSE)</f>
        <v>Weekend</v>
      </c>
      <c r="F14" s="47"/>
      <c r="G14" s="47"/>
      <c r="H14" s="47"/>
    </row>
    <row r="15" spans="2:14">
      <c r="B15" s="47" t="s">
        <v>94</v>
      </c>
      <c r="C15" s="68" cm="1">
        <f t="array" ref="C15">SUMPRODUCT($C$19:$G$25*$C$32:$G$38)</f>
        <v>0.10763888888888888</v>
      </c>
      <c r="D15" s="47"/>
      <c r="E15" s="47"/>
      <c r="F15" s="47"/>
      <c r="G15" s="47"/>
      <c r="H15" s="47"/>
    </row>
    <row r="16" spans="2:14">
      <c r="B16" s="47" t="s">
        <v>95</v>
      </c>
      <c r="C16" s="68">
        <f>SUM($E$52:$E$60)</f>
        <v>1.8055555555555554E-2</v>
      </c>
      <c r="D16" s="47"/>
      <c r="E16" s="47"/>
      <c r="F16" s="47"/>
      <c r="G16" s="47"/>
      <c r="H16" s="47"/>
    </row>
    <row r="17" spans="2:21">
      <c r="B17" s="46"/>
      <c r="C17" s="47"/>
      <c r="D17" s="47"/>
      <c r="E17" s="47"/>
      <c r="F17" s="47"/>
      <c r="G17" s="47"/>
      <c r="H17" s="47"/>
    </row>
    <row r="18" spans="2:21">
      <c r="B18" s="49" t="s">
        <v>60</v>
      </c>
      <c r="C18" s="49" t="str">
        <f>C10</f>
        <v>Battlestar Galactica: Cylon</v>
      </c>
      <c r="D18" s="49" t="str">
        <f>D10</f>
        <v>Battlestart Galactica: Human</v>
      </c>
      <c r="E18" s="49" t="str">
        <f>E10</f>
        <v>Treasure Hunters</v>
      </c>
      <c r="F18" s="49" t="str">
        <f>F10</f>
        <v>Revenge of the Mummy</v>
      </c>
      <c r="G18" s="49" t="str">
        <f>G10</f>
        <v>Dino-Soarin</v>
      </c>
      <c r="H18" s="49" t="s">
        <v>67</v>
      </c>
      <c r="I18" s="47"/>
      <c r="J18" s="47" t="s">
        <v>96</v>
      </c>
      <c r="K18" s="47"/>
      <c r="L18" s="50" t="s">
        <v>97</v>
      </c>
      <c r="M18" s="47"/>
      <c r="N18" s="67" t="s">
        <v>98</v>
      </c>
      <c r="O18" s="47"/>
      <c r="P18" t="s">
        <v>99</v>
      </c>
      <c r="R18" s="51" t="s">
        <v>100</v>
      </c>
    </row>
    <row r="19" spans="2:21">
      <c r="B19" s="52">
        <v>0.45833333333333331</v>
      </c>
      <c r="C19" s="53">
        <v>0</v>
      </c>
      <c r="D19" s="53">
        <v>0</v>
      </c>
      <c r="E19" s="53">
        <v>0</v>
      </c>
      <c r="F19" s="53">
        <v>0</v>
      </c>
      <c r="G19" s="53">
        <v>0</v>
      </c>
      <c r="H19" s="53">
        <v>0</v>
      </c>
      <c r="I19" s="55" t="s">
        <v>101</v>
      </c>
      <c r="J19" s="66">
        <f t="shared" ref="J19:J25" si="0">IF($F$4="Yes",MAX(IF(B19=$F$5,1,0),IF(AND(IF(B18=$F$5,1,0)=1,HOUR($F$6)=2),1,0)),0)</f>
        <v>0</v>
      </c>
      <c r="K19" s="55"/>
      <c r="L19" s="54">
        <f t="shared" ref="L19:L25" si="1">SUM(C19:H19)</f>
        <v>0</v>
      </c>
      <c r="M19" s="55" t="s">
        <v>102</v>
      </c>
      <c r="N19" s="54">
        <f>IF(OR(($C$6&gt;B19),($C$7&lt;=B19)),0,1)</f>
        <v>0</v>
      </c>
      <c r="P19" s="19">
        <v>1</v>
      </c>
      <c r="Q19" s="55" t="s">
        <v>102</v>
      </c>
      <c r="R19" s="72">
        <f t="shared" ref="R19:R25" si="2">IF(AND(P19=0,J19=0),0,1)</f>
        <v>1</v>
      </c>
    </row>
    <row r="20" spans="2:21">
      <c r="B20" s="52">
        <v>0.5</v>
      </c>
      <c r="C20" s="56">
        <v>0</v>
      </c>
      <c r="D20" s="56">
        <v>0</v>
      </c>
      <c r="E20" s="53">
        <v>0</v>
      </c>
      <c r="F20" s="56">
        <v>1</v>
      </c>
      <c r="G20" s="53">
        <v>0</v>
      </c>
      <c r="H20" s="53">
        <v>0</v>
      </c>
      <c r="I20" s="55" t="s">
        <v>101</v>
      </c>
      <c r="J20" s="66">
        <f t="shared" si="0"/>
        <v>0</v>
      </c>
      <c r="K20" s="55"/>
      <c r="L20" s="54">
        <f t="shared" si="1"/>
        <v>1</v>
      </c>
      <c r="M20" s="55" t="s">
        <v>102</v>
      </c>
      <c r="N20" s="54">
        <f t="shared" ref="N20:N25" si="3">IF(OR(($C$6&gt;B20),($C$7&lt;=B20)),0,1)</f>
        <v>1</v>
      </c>
      <c r="P20" s="19" cm="1">
        <f t="array" ref="P20">IF(SUMPRODUCT(Q32:U32*C42:G42)&gt;TIME(1,0,0),0,1)</f>
        <v>1</v>
      </c>
      <c r="Q20" s="55" t="s">
        <v>102</v>
      </c>
      <c r="R20" s="72">
        <f t="shared" si="2"/>
        <v>1</v>
      </c>
    </row>
    <row r="21" spans="2:21">
      <c r="B21" s="52">
        <v>0.54166666666666696</v>
      </c>
      <c r="C21" s="56">
        <v>0</v>
      </c>
      <c r="D21" s="56">
        <v>0</v>
      </c>
      <c r="E21" s="53">
        <v>0</v>
      </c>
      <c r="F21" s="56">
        <v>0</v>
      </c>
      <c r="G21" s="53">
        <v>0</v>
      </c>
      <c r="H21" s="53">
        <v>1</v>
      </c>
      <c r="I21" s="55" t="s">
        <v>101</v>
      </c>
      <c r="J21" s="66">
        <f>IF($F$4="Yes",MAX(IF(B21=$F$5,1,0),IF(AND(IF(B20=$F$5,1,0)=1,HOUR($F$6)=2),1,0)),0)</f>
        <v>1</v>
      </c>
      <c r="K21" s="55"/>
      <c r="L21" s="54">
        <f t="shared" si="1"/>
        <v>1</v>
      </c>
      <c r="M21" s="55" t="s">
        <v>102</v>
      </c>
      <c r="N21" s="54">
        <f t="shared" si="3"/>
        <v>1</v>
      </c>
      <c r="P21" s="19" cm="1">
        <f t="array" ref="P21">IF(SUMPRODUCT(Q33:U33*C43:G43)&gt;TIME(1,0,0),0,1)</f>
        <v>1</v>
      </c>
      <c r="Q21" s="55" t="s">
        <v>102</v>
      </c>
      <c r="R21" s="72">
        <f t="shared" si="2"/>
        <v>1</v>
      </c>
    </row>
    <row r="22" spans="2:21">
      <c r="B22" s="52">
        <v>0.58333333333333304</v>
      </c>
      <c r="C22" s="62">
        <v>0</v>
      </c>
      <c r="D22" s="62">
        <v>0</v>
      </c>
      <c r="E22" s="63">
        <v>0</v>
      </c>
      <c r="F22" s="62">
        <v>0</v>
      </c>
      <c r="G22" s="63">
        <v>1</v>
      </c>
      <c r="H22" s="53">
        <v>0</v>
      </c>
      <c r="I22" s="55" t="s">
        <v>101</v>
      </c>
      <c r="J22" s="66">
        <f t="shared" si="0"/>
        <v>0</v>
      </c>
      <c r="K22" s="55"/>
      <c r="L22" s="54">
        <f t="shared" si="1"/>
        <v>1</v>
      </c>
      <c r="M22" s="55" t="s">
        <v>102</v>
      </c>
      <c r="N22" s="54">
        <f t="shared" si="3"/>
        <v>1</v>
      </c>
      <c r="P22" s="19" cm="1">
        <f t="array" ref="P22">IF(SUMPRODUCT(Q34:U34*C44:G44)&gt;TIME(1,0,0),0,1)</f>
        <v>1</v>
      </c>
      <c r="Q22" s="55" t="s">
        <v>102</v>
      </c>
      <c r="R22" s="72">
        <f t="shared" si="2"/>
        <v>1</v>
      </c>
    </row>
    <row r="23" spans="2:21">
      <c r="B23" s="52">
        <v>0.625</v>
      </c>
      <c r="C23" s="63">
        <v>0</v>
      </c>
      <c r="D23" s="62">
        <v>0</v>
      </c>
      <c r="E23" s="63">
        <v>1</v>
      </c>
      <c r="F23" s="63">
        <v>0</v>
      </c>
      <c r="G23" s="63">
        <v>0</v>
      </c>
      <c r="H23" s="53">
        <v>0</v>
      </c>
      <c r="I23" s="55" t="s">
        <v>101</v>
      </c>
      <c r="J23" s="66">
        <f t="shared" si="0"/>
        <v>0</v>
      </c>
      <c r="K23" s="55"/>
      <c r="L23" s="54">
        <f t="shared" si="1"/>
        <v>1</v>
      </c>
      <c r="M23" s="55" t="s">
        <v>102</v>
      </c>
      <c r="N23" s="54">
        <f t="shared" si="3"/>
        <v>1</v>
      </c>
      <c r="P23" s="19" cm="1">
        <f t="array" ref="P23">IF(SUMPRODUCT(Q35:U35*C45:G45)&gt;TIME(1,0,0),0,1)</f>
        <v>1</v>
      </c>
      <c r="Q23" s="55" t="s">
        <v>102</v>
      </c>
      <c r="R23" s="72">
        <f t="shared" si="2"/>
        <v>1</v>
      </c>
    </row>
    <row r="24" spans="2:21">
      <c r="B24" s="52">
        <v>0.66666666666666596</v>
      </c>
      <c r="C24" s="63">
        <v>1</v>
      </c>
      <c r="D24" s="62">
        <v>0</v>
      </c>
      <c r="E24" s="62">
        <v>0</v>
      </c>
      <c r="F24" s="63">
        <v>0</v>
      </c>
      <c r="G24" s="62">
        <v>0</v>
      </c>
      <c r="H24" s="53">
        <v>0</v>
      </c>
      <c r="I24" s="55" t="s">
        <v>101</v>
      </c>
      <c r="J24" s="66">
        <f t="shared" si="0"/>
        <v>0</v>
      </c>
      <c r="K24" s="55"/>
      <c r="L24" s="54">
        <f t="shared" si="1"/>
        <v>1</v>
      </c>
      <c r="M24" s="55" t="s">
        <v>102</v>
      </c>
      <c r="N24" s="54">
        <f t="shared" si="3"/>
        <v>1</v>
      </c>
      <c r="P24" s="19" cm="1">
        <f t="array" ref="P24">IF(SUMPRODUCT(Q36:U36*C46:G46)&gt;TIME(1,0,0),0,1)</f>
        <v>1</v>
      </c>
      <c r="Q24" s="55" t="s">
        <v>102</v>
      </c>
      <c r="R24" s="72">
        <f t="shared" si="2"/>
        <v>1</v>
      </c>
    </row>
    <row r="25" spans="2:21">
      <c r="B25" s="52">
        <v>0.70833333333333304</v>
      </c>
      <c r="C25" s="63">
        <v>0</v>
      </c>
      <c r="D25" s="62">
        <v>1</v>
      </c>
      <c r="E25" s="62">
        <v>0</v>
      </c>
      <c r="F25" s="63">
        <v>0</v>
      </c>
      <c r="G25" s="62">
        <v>0</v>
      </c>
      <c r="H25" s="53">
        <v>0</v>
      </c>
      <c r="I25" s="55" t="s">
        <v>101</v>
      </c>
      <c r="J25" s="66">
        <f t="shared" si="0"/>
        <v>0</v>
      </c>
      <c r="K25" s="55"/>
      <c r="L25" s="54">
        <f t="shared" si="1"/>
        <v>1</v>
      </c>
      <c r="M25" s="55" t="s">
        <v>102</v>
      </c>
      <c r="N25" s="54">
        <f t="shared" si="3"/>
        <v>1</v>
      </c>
      <c r="P25" s="19" cm="1">
        <f t="array" ref="P25">IF(SUMPRODUCT(Q37:U37*C47:G47)&gt;TIME(1,0,0),0,1)</f>
        <v>1</v>
      </c>
      <c r="Q25" s="55" t="s">
        <v>102</v>
      </c>
      <c r="R25" s="72">
        <f t="shared" si="2"/>
        <v>1</v>
      </c>
    </row>
    <row r="26" spans="2:21">
      <c r="B26" s="50" t="s">
        <v>103</v>
      </c>
      <c r="C26" s="57">
        <f t="shared" ref="C26:G26" si="4">SUM(C19:C25)</f>
        <v>1</v>
      </c>
      <c r="D26" s="57">
        <f t="shared" si="4"/>
        <v>1</v>
      </c>
      <c r="E26" s="57">
        <f t="shared" si="4"/>
        <v>1</v>
      </c>
      <c r="F26" s="57">
        <f t="shared" si="4"/>
        <v>1</v>
      </c>
      <c r="G26" s="57">
        <f t="shared" si="4"/>
        <v>1</v>
      </c>
      <c r="R26" s="61"/>
    </row>
    <row r="27" spans="2:21">
      <c r="B27" s="47"/>
      <c r="C27" s="58" t="s">
        <v>101</v>
      </c>
      <c r="D27" s="58" t="s">
        <v>101</v>
      </c>
      <c r="E27" s="58" t="s">
        <v>101</v>
      </c>
      <c r="F27" s="58" t="s">
        <v>101</v>
      </c>
      <c r="G27" s="58" t="s">
        <v>101</v>
      </c>
      <c r="H27" s="58"/>
      <c r="J27" s="58"/>
      <c r="R27" s="61"/>
    </row>
    <row r="28" spans="2:21">
      <c r="B28" s="50" t="s">
        <v>104</v>
      </c>
      <c r="C28" s="54">
        <f t="shared" ref="C28:F28" si="5">IF(C18=0,0,1)</f>
        <v>1</v>
      </c>
      <c r="D28" s="54">
        <f>IF(D18=0,0,1)</f>
        <v>1</v>
      </c>
      <c r="E28" s="54">
        <f t="shared" si="5"/>
        <v>1</v>
      </c>
      <c r="F28" s="54">
        <f t="shared" si="5"/>
        <v>1</v>
      </c>
      <c r="G28" s="54">
        <f>IF(G18=0,0,1)</f>
        <v>1</v>
      </c>
      <c r="J28" s="71"/>
      <c r="R28" s="61"/>
    </row>
    <row r="29" spans="2:21">
      <c r="T29" s="61"/>
    </row>
    <row r="30" spans="2:21">
      <c r="B30" s="46" t="s">
        <v>94</v>
      </c>
      <c r="C30" s="47"/>
      <c r="D30" s="47"/>
      <c r="E30" s="47"/>
      <c r="P30" s="46" t="s">
        <v>105</v>
      </c>
      <c r="Q30" s="46"/>
      <c r="R30" s="61"/>
    </row>
    <row r="31" spans="2:21">
      <c r="B31" s="59" t="s">
        <v>60</v>
      </c>
      <c r="C31" s="59" t="str">
        <f>C10</f>
        <v>Battlestar Galactica: Cylon</v>
      </c>
      <c r="D31" s="59" t="str">
        <f>D10</f>
        <v>Battlestart Galactica: Human</v>
      </c>
      <c r="E31" s="59" t="str">
        <f>E10</f>
        <v>Treasure Hunters</v>
      </c>
      <c r="F31" s="59" t="str">
        <f>F10</f>
        <v>Revenge of the Mummy</v>
      </c>
      <c r="G31" s="59" t="str">
        <f>G10</f>
        <v>Dino-Soarin</v>
      </c>
      <c r="P31" s="49" t="s">
        <v>60</v>
      </c>
      <c r="Q31" s="49" t="str">
        <f>C18</f>
        <v>Battlestar Galactica: Cylon</v>
      </c>
      <c r="R31" s="49" t="str">
        <f>D18</f>
        <v>Battlestart Galactica: Human</v>
      </c>
      <c r="S31" s="49" t="str">
        <f>E18</f>
        <v>Treasure Hunters</v>
      </c>
      <c r="T31" s="49" t="str">
        <f>F18</f>
        <v>Revenge of the Mummy</v>
      </c>
      <c r="U31" s="49" t="str">
        <f>G18</f>
        <v>Dino-Soarin</v>
      </c>
    </row>
    <row r="32" spans="2:21">
      <c r="B32" s="52">
        <v>0.45833333333333331</v>
      </c>
      <c r="C32" s="48" cm="1">
        <f t="array" ref="C32">_xlfn.IFNA(_xlfn.IFS($E$14="Weekday",INDEX(Tbl_Wait_Wkday[],MATCH($B32,Tbl_Wait_Wkday[[Time]:[Time]],0),MATCH(C$31,Tbl_Wait_Wkday[#Headers],0)),$E$14="Weekend",INDEX(Tbl_Wait_Wkend[],MATCH($B32,Tbl_Wait_Wkend[[Time]:[Time]],0),MATCH(C$31,Tbl_Wait_Wkend[#Headers],0))),0)</f>
        <v>6.9444444444444441E-3</v>
      </c>
      <c r="D32" s="48" cm="1">
        <f t="array" ref="D32">_xlfn.IFNA(_xlfn.IFS($E$14="Weekday",INDEX(Tbl_Wait_Wkday[],MATCH($B32,Tbl_Wait_Wkday[[Time]:[Time]],0),MATCH(D$31,Tbl_Wait_Wkday[#Headers],0)),$E$14="Weekend",INDEX(Tbl_Wait_Wkend[],MATCH($B32,Tbl_Wait_Wkend[[Time]:[Time]],0),MATCH(D$31,Tbl_Wait_Wkend[#Headers],0))),0)</f>
        <v>6.9444444444444441E-3</v>
      </c>
      <c r="E32" s="48" cm="1">
        <f t="array" ref="E32">_xlfn.IFNA(_xlfn.IFS($E$14="Weekday",INDEX(Tbl_Wait_Wkday[],MATCH($B32,Tbl_Wait_Wkday[[Time]:[Time]],0),MATCH(E$31,Tbl_Wait_Wkday[#Headers],0)),$E$14="Weekend",INDEX(Tbl_Wait_Wkend[],MATCH($B32,Tbl_Wait_Wkend[[Time]:[Time]],0),MATCH(E$31,Tbl_Wait_Wkend[#Headers],0))),0)</f>
        <v>3.472222222222222E-3</v>
      </c>
      <c r="F32" s="48" cm="1">
        <f t="array" ref="F32">_xlfn.IFNA(_xlfn.IFS($E$14="Weekday",INDEX(Tbl_Wait_Wkday[],MATCH($B32,Tbl_Wait_Wkday[[Time]:[Time]],0),MATCH(F$31,Tbl_Wait_Wkday[#Headers],0)),$E$14="Weekend",INDEX(Tbl_Wait_Wkend[],MATCH($B32,Tbl_Wait_Wkend[[Time]:[Time]],0),MATCH(F$31,Tbl_Wait_Wkend[#Headers],0))),0)</f>
        <v>3.472222222222222E-3</v>
      </c>
      <c r="G32" s="48" cm="1">
        <f t="array" ref="G32">_xlfn.IFNA(_xlfn.IFS($E$14="Weekday",INDEX(Tbl_Wait_Wkday[],MATCH($B32,Tbl_Wait_Wkday[[Time]:[Time]],0),MATCH(G$31,Tbl_Wait_Wkday[#Headers],0)),$E$14="Weekend",INDEX(Tbl_Wait_Wkend[],MATCH($B32,Tbl_Wait_Wkend[[Time]:[Time]],0),MATCH(G$31,Tbl_Wait_Wkend[#Headers],0))),0)</f>
        <v>3.472222222222222E-3</v>
      </c>
      <c r="P32" s="52">
        <v>0.45833333333333331</v>
      </c>
      <c r="Q32" s="53">
        <v>0</v>
      </c>
      <c r="R32" s="53">
        <v>0</v>
      </c>
      <c r="S32" s="53">
        <v>0</v>
      </c>
      <c r="T32" s="53">
        <v>0</v>
      </c>
      <c r="U32" s="53">
        <v>0</v>
      </c>
    </row>
    <row r="33" spans="2:21">
      <c r="B33" s="52">
        <v>0.5</v>
      </c>
      <c r="C33" s="48" cm="1">
        <f t="array" ref="C33">_xlfn.IFNA(_xlfn.IFS($E$14="Weekday",INDEX(Tbl_Wait_Wkday[],MATCH($B33,Tbl_Wait_Wkday[[Time]:[Time]],0),MATCH(C$31,Tbl_Wait_Wkday[#Headers],0)),$E$14="Weekend",INDEX(Tbl_Wait_Wkend[],MATCH($B33,Tbl_Wait_Wkend[[Time]:[Time]],0),MATCH(C$31,Tbl_Wait_Wkend[#Headers],0))),0)</f>
        <v>1.3888888888888888E-2</v>
      </c>
      <c r="D33" s="48" cm="1">
        <f t="array" ref="D33">_xlfn.IFNA(_xlfn.IFS($E$14="Weekday",INDEX(Tbl_Wait_Wkday[],MATCH($B33,Tbl_Wait_Wkday[[Time]:[Time]],0),MATCH(D$31,Tbl_Wait_Wkday[#Headers],0)),$E$14="Weekend",INDEX(Tbl_Wait_Wkend[],MATCH($B33,Tbl_Wait_Wkend[[Time]:[Time]],0),MATCH(D$31,Tbl_Wait_Wkend[#Headers],0))),0)</f>
        <v>1.7361111111111112E-2</v>
      </c>
      <c r="E33" s="48" cm="1">
        <f t="array" ref="E33">_xlfn.IFNA(_xlfn.IFS($E$14="Weekday",INDEX(Tbl_Wait_Wkday[],MATCH($B33,Tbl_Wait_Wkday[[Time]:[Time]],0),MATCH(E$31,Tbl_Wait_Wkday[#Headers],0)),$E$14="Weekend",INDEX(Tbl_Wait_Wkend[],MATCH($B33,Tbl_Wait_Wkend[[Time]:[Time]],0),MATCH(E$31,Tbl_Wait_Wkend[#Headers],0))),0)</f>
        <v>1.7361111111111112E-2</v>
      </c>
      <c r="F33" s="48" cm="1">
        <f t="array" ref="F33">_xlfn.IFNA(_xlfn.IFS($E$14="Weekday",INDEX(Tbl_Wait_Wkday[],MATCH($B33,Tbl_Wait_Wkday[[Time]:[Time]],0),MATCH(F$31,Tbl_Wait_Wkday[#Headers],0)),$E$14="Weekend",INDEX(Tbl_Wait_Wkend[],MATCH($B33,Tbl_Wait_Wkend[[Time]:[Time]],0),MATCH(F$31,Tbl_Wait_Wkend[#Headers],0))),0)</f>
        <v>6.9444444444444441E-3</v>
      </c>
      <c r="G33" s="48" cm="1">
        <f t="array" ref="G33">_xlfn.IFNA(_xlfn.IFS($E$14="Weekday",INDEX(Tbl_Wait_Wkday[],MATCH($B33,Tbl_Wait_Wkday[[Time]:[Time]],0),MATCH(G$31,Tbl_Wait_Wkday[#Headers],0)),$E$14="Weekend",INDEX(Tbl_Wait_Wkend[],MATCH($B33,Tbl_Wait_Wkend[[Time]:[Time]],0),MATCH(G$31,Tbl_Wait_Wkend[#Headers],0))),0)</f>
        <v>1.0416666666666666E-2</v>
      </c>
      <c r="P33" s="52">
        <v>0.5</v>
      </c>
      <c r="Q33" s="56">
        <v>0</v>
      </c>
      <c r="R33" s="56">
        <v>0</v>
      </c>
      <c r="S33" s="53">
        <v>0</v>
      </c>
      <c r="T33" s="56">
        <v>1</v>
      </c>
      <c r="U33" s="53">
        <v>0</v>
      </c>
    </row>
    <row r="34" spans="2:21">
      <c r="B34" s="52">
        <v>0.54166666666666696</v>
      </c>
      <c r="C34" s="48" cm="1">
        <f t="array" ref="C34">_xlfn.IFNA(_xlfn.IFS($E$14="Weekday",INDEX(Tbl_Wait_Wkday[],MATCH($B34,Tbl_Wait_Wkday[[Time]:[Time]],0),MATCH(C$31,Tbl_Wait_Wkday[#Headers],0)),$E$14="Weekend",INDEX(Tbl_Wait_Wkend[],MATCH($B34,Tbl_Wait_Wkend[[Time]:[Time]],0),MATCH(C$31,Tbl_Wait_Wkend[#Headers],0))),0)</f>
        <v>2.7777777777777776E-2</v>
      </c>
      <c r="D34" s="48" cm="1">
        <f t="array" ref="D34">_xlfn.IFNA(_xlfn.IFS($E$14="Weekday",INDEX(Tbl_Wait_Wkday[],MATCH($B34,Tbl_Wait_Wkday[[Time]:[Time]],0),MATCH(D$31,Tbl_Wait_Wkday[#Headers],0)),$E$14="Weekend",INDEX(Tbl_Wait_Wkend[],MATCH($B34,Tbl_Wait_Wkend[[Time]:[Time]],0),MATCH(D$31,Tbl_Wait_Wkend[#Headers],0))),0)</f>
        <v>3.4722222222222224E-2</v>
      </c>
      <c r="E34" s="48" cm="1">
        <f t="array" ref="E34">_xlfn.IFNA(_xlfn.IFS($E$14="Weekday",INDEX(Tbl_Wait_Wkday[],MATCH($B34,Tbl_Wait_Wkday[[Time]:[Time]],0),MATCH(E$31,Tbl_Wait_Wkday[#Headers],0)),$E$14="Weekend",INDEX(Tbl_Wait_Wkend[],MATCH($B34,Tbl_Wait_Wkend[[Time]:[Time]],0),MATCH(E$31,Tbl_Wait_Wkend[#Headers],0))),0)</f>
        <v>1.7361111111111112E-2</v>
      </c>
      <c r="F34" s="48" cm="1">
        <f t="array" ref="F34">_xlfn.IFNA(_xlfn.IFS($E$14="Weekday",INDEX(Tbl_Wait_Wkday[],MATCH($B34,Tbl_Wait_Wkday[[Time]:[Time]],0),MATCH(F$31,Tbl_Wait_Wkday[#Headers],0)),$E$14="Weekend",INDEX(Tbl_Wait_Wkend[],MATCH($B34,Tbl_Wait_Wkend[[Time]:[Time]],0),MATCH(F$31,Tbl_Wait_Wkend[#Headers],0))),0)</f>
        <v>1.7361111111111112E-2</v>
      </c>
      <c r="G34" s="48" cm="1">
        <f t="array" ref="G34">_xlfn.IFNA(_xlfn.IFS($E$14="Weekday",INDEX(Tbl_Wait_Wkday[],MATCH($B34,Tbl_Wait_Wkday[[Time]:[Time]],0),MATCH(G$31,Tbl_Wait_Wkday[#Headers],0)),$E$14="Weekend",INDEX(Tbl_Wait_Wkend[],MATCH($B34,Tbl_Wait_Wkend[[Time]:[Time]],0),MATCH(G$31,Tbl_Wait_Wkend[#Headers],0))),0)</f>
        <v>1.7361111111111112E-2</v>
      </c>
      <c r="P34" s="52">
        <v>0.54166666666666696</v>
      </c>
      <c r="Q34" s="56">
        <v>0</v>
      </c>
      <c r="R34" s="56">
        <v>0</v>
      </c>
      <c r="S34" s="53">
        <v>0</v>
      </c>
      <c r="T34" s="56">
        <v>0</v>
      </c>
      <c r="U34" s="53">
        <v>0</v>
      </c>
    </row>
    <row r="35" spans="2:21">
      <c r="B35" s="52">
        <v>0.58333333333333304</v>
      </c>
      <c r="C35" s="48" cm="1">
        <f t="array" ref="C35">_xlfn.IFNA(_xlfn.IFS($E$14="Weekday",INDEX(Tbl_Wait_Wkday[],MATCH($B35,Tbl_Wait_Wkday[[Time]:[Time]],0),MATCH(C$31,Tbl_Wait_Wkday[#Headers],0)),$E$14="Weekend",INDEX(Tbl_Wait_Wkend[],MATCH($B35,Tbl_Wait_Wkend[[Time]:[Time]],0),MATCH(C$31,Tbl_Wait_Wkend[#Headers],0))),0)</f>
        <v>3.125E-2</v>
      </c>
      <c r="D35" s="48" cm="1">
        <f t="array" ref="D35">_xlfn.IFNA(_xlfn.IFS($E$14="Weekday",INDEX(Tbl_Wait_Wkday[],MATCH($B35,Tbl_Wait_Wkday[[Time]:[Time]],0),MATCH(D$31,Tbl_Wait_Wkday[#Headers],0)),$E$14="Weekend",INDEX(Tbl_Wait_Wkend[],MATCH($B35,Tbl_Wait_Wkend[[Time]:[Time]],0),MATCH(D$31,Tbl_Wait_Wkend[#Headers],0))),0)</f>
        <v>3.4722222222222224E-2</v>
      </c>
      <c r="E35" s="48" cm="1">
        <f t="array" ref="E35">_xlfn.IFNA(_xlfn.IFS($E$14="Weekday",INDEX(Tbl_Wait_Wkday[],MATCH($B35,Tbl_Wait_Wkday[[Time]:[Time]],0),MATCH(E$31,Tbl_Wait_Wkday[#Headers],0)),$E$14="Weekend",INDEX(Tbl_Wait_Wkend[],MATCH($B35,Tbl_Wait_Wkend[[Time]:[Time]],0),MATCH(E$31,Tbl_Wait_Wkend[#Headers],0))),0)</f>
        <v>2.4305555555555552E-2</v>
      </c>
      <c r="F35" s="48" cm="1">
        <f t="array" ref="F35">_xlfn.IFNA(_xlfn.IFS($E$14="Weekday",INDEX(Tbl_Wait_Wkday[],MATCH($B35,Tbl_Wait_Wkday[[Time]:[Time]],0),MATCH(F$31,Tbl_Wait_Wkday[#Headers],0)),$E$14="Weekend",INDEX(Tbl_Wait_Wkend[],MATCH($B35,Tbl_Wait_Wkend[[Time]:[Time]],0),MATCH(F$31,Tbl_Wait_Wkend[#Headers],0))),0)</f>
        <v>2.0833333333333332E-2</v>
      </c>
      <c r="G35" s="48" cm="1">
        <f t="array" ref="G35">_xlfn.IFNA(_xlfn.IFS($E$14="Weekday",INDEX(Tbl_Wait_Wkday[],MATCH($B35,Tbl_Wait_Wkday[[Time]:[Time]],0),MATCH(G$31,Tbl_Wait_Wkday[#Headers],0)),$E$14="Weekend",INDEX(Tbl_Wait_Wkend[],MATCH($B35,Tbl_Wait_Wkend[[Time]:[Time]],0),MATCH(G$31,Tbl_Wait_Wkend[#Headers],0))),0)</f>
        <v>2.0833333333333332E-2</v>
      </c>
      <c r="P35" s="52">
        <v>0.58333333333333304</v>
      </c>
      <c r="Q35" s="62">
        <v>0</v>
      </c>
      <c r="R35" s="62">
        <v>0</v>
      </c>
      <c r="S35" s="63">
        <v>0</v>
      </c>
      <c r="T35" s="62">
        <v>0</v>
      </c>
      <c r="U35" s="63">
        <v>1</v>
      </c>
    </row>
    <row r="36" spans="2:21">
      <c r="B36" s="52">
        <v>0.625</v>
      </c>
      <c r="C36" s="48" cm="1">
        <f t="array" ref="C36">_xlfn.IFNA(_xlfn.IFS($E$14="Weekday",INDEX(Tbl_Wait_Wkday[],MATCH($B36,Tbl_Wait_Wkday[[Time]:[Time]],0),MATCH(C$31,Tbl_Wait_Wkday[#Headers],0)),$E$14="Weekend",INDEX(Tbl_Wait_Wkend[],MATCH($B36,Tbl_Wait_Wkend[[Time]:[Time]],0),MATCH(C$31,Tbl_Wait_Wkend[#Headers],0))),0)</f>
        <v>3.4722222222222224E-2</v>
      </c>
      <c r="D36" s="48" cm="1">
        <f t="array" ref="D36">_xlfn.IFNA(_xlfn.IFS($E$14="Weekday",INDEX(Tbl_Wait_Wkday[],MATCH($B36,Tbl_Wait_Wkday[[Time]:[Time]],0),MATCH(D$31,Tbl_Wait_Wkday[#Headers],0)),$E$14="Weekend",INDEX(Tbl_Wait_Wkend[],MATCH($B36,Tbl_Wait_Wkend[[Time]:[Time]],0),MATCH(D$31,Tbl_Wait_Wkend[#Headers],0))),0)</f>
        <v>3.8194444444444441E-2</v>
      </c>
      <c r="E36" s="48" cm="1">
        <f t="array" ref="E36">_xlfn.IFNA(_xlfn.IFS($E$14="Weekday",INDEX(Tbl_Wait_Wkday[],MATCH($B36,Tbl_Wait_Wkday[[Time]:[Time]],0),MATCH(E$31,Tbl_Wait_Wkday[#Headers],0)),$E$14="Weekend",INDEX(Tbl_Wait_Wkend[],MATCH($B36,Tbl_Wait_Wkend[[Time]:[Time]],0),MATCH(E$31,Tbl_Wait_Wkend[#Headers],0))),0)</f>
        <v>2.7777777777777776E-2</v>
      </c>
      <c r="F36" s="48" cm="1">
        <f t="array" ref="F36">_xlfn.IFNA(_xlfn.IFS($E$14="Weekday",INDEX(Tbl_Wait_Wkday[],MATCH($B36,Tbl_Wait_Wkday[[Time]:[Time]],0),MATCH(F$31,Tbl_Wait_Wkday[#Headers],0)),$E$14="Weekend",INDEX(Tbl_Wait_Wkend[],MATCH($B36,Tbl_Wait_Wkend[[Time]:[Time]],0),MATCH(F$31,Tbl_Wait_Wkend[#Headers],0))),0)</f>
        <v>2.7777777777777776E-2</v>
      </c>
      <c r="G36" s="48" cm="1">
        <f t="array" ref="G36">_xlfn.IFNA(_xlfn.IFS($E$14="Weekday",INDEX(Tbl_Wait_Wkday[],MATCH($B36,Tbl_Wait_Wkday[[Time]:[Time]],0),MATCH(G$31,Tbl_Wait_Wkday[#Headers],0)),$E$14="Weekend",INDEX(Tbl_Wait_Wkend[],MATCH($B36,Tbl_Wait_Wkend[[Time]:[Time]],0),MATCH(G$31,Tbl_Wait_Wkend[#Headers],0))),0)</f>
        <v>2.4305555555555552E-2</v>
      </c>
      <c r="P36" s="52">
        <v>0.625</v>
      </c>
      <c r="Q36" s="63">
        <v>0</v>
      </c>
      <c r="R36" s="62">
        <v>0</v>
      </c>
      <c r="S36" s="63">
        <v>1</v>
      </c>
      <c r="T36" s="63">
        <v>0</v>
      </c>
      <c r="U36" s="63">
        <v>0</v>
      </c>
    </row>
    <row r="37" spans="2:21">
      <c r="B37" s="52">
        <v>0.66666666666666596</v>
      </c>
      <c r="C37" s="48" cm="1">
        <f t="array" ref="C37">_xlfn.IFNA(_xlfn.IFS($E$14="Weekday",INDEX(Tbl_Wait_Wkday[],MATCH($B37,Tbl_Wait_Wkday[[Time]:[Time]],0),MATCH(C$31,Tbl_Wait_Wkday[#Headers],0)),$E$14="Weekend",INDEX(Tbl_Wait_Wkend[],MATCH($B37,Tbl_Wait_Wkend[[Time]:[Time]],0),MATCH(C$31,Tbl_Wait_Wkend[#Headers],0))),0)</f>
        <v>2.7777777777777776E-2</v>
      </c>
      <c r="D37" s="48" cm="1">
        <f t="array" ref="D37">_xlfn.IFNA(_xlfn.IFS($E$14="Weekday",INDEX(Tbl_Wait_Wkday[],MATCH($B37,Tbl_Wait_Wkday[[Time]:[Time]],0),MATCH(D$31,Tbl_Wait_Wkday[#Headers],0)),$E$14="Weekend",INDEX(Tbl_Wait_Wkend[],MATCH($B37,Tbl_Wait_Wkend[[Time]:[Time]],0),MATCH(D$31,Tbl_Wait_Wkend[#Headers],0))),0)</f>
        <v>3.4722222222222224E-2</v>
      </c>
      <c r="E37" s="48" cm="1">
        <f t="array" ref="E37">_xlfn.IFNA(_xlfn.IFS($E$14="Weekday",INDEX(Tbl_Wait_Wkday[],MATCH($B37,Tbl_Wait_Wkday[[Time]:[Time]],0),MATCH(E$31,Tbl_Wait_Wkday[#Headers],0)),$E$14="Weekend",INDEX(Tbl_Wait_Wkend[],MATCH($B37,Tbl_Wait_Wkend[[Time]:[Time]],0),MATCH(E$31,Tbl_Wait_Wkend[#Headers],0))),0)</f>
        <v>2.7777777777777776E-2</v>
      </c>
      <c r="F37" s="48" cm="1">
        <f t="array" ref="F37">_xlfn.IFNA(_xlfn.IFS($E$14="Weekday",INDEX(Tbl_Wait_Wkday[],MATCH($B37,Tbl_Wait_Wkday[[Time]:[Time]],0),MATCH(F$31,Tbl_Wait_Wkday[#Headers],0)),$E$14="Weekend",INDEX(Tbl_Wait_Wkend[],MATCH($B37,Tbl_Wait_Wkend[[Time]:[Time]],0),MATCH(F$31,Tbl_Wait_Wkend[#Headers],0))),0)</f>
        <v>2.7777777777777776E-2</v>
      </c>
      <c r="G37" s="48" cm="1">
        <f t="array" ref="G37">_xlfn.IFNA(_xlfn.IFS($E$14="Weekday",INDEX(Tbl_Wait_Wkday[],MATCH($B37,Tbl_Wait_Wkday[[Time]:[Time]],0),MATCH(G$31,Tbl_Wait_Wkday[#Headers],0)),$E$14="Weekend",INDEX(Tbl_Wait_Wkend[],MATCH($B37,Tbl_Wait_Wkend[[Time]:[Time]],0),MATCH(G$31,Tbl_Wait_Wkend[#Headers],0))),0)</f>
        <v>2.4305555555555552E-2</v>
      </c>
      <c r="P37" s="52">
        <v>0.66666666666666596</v>
      </c>
      <c r="Q37" s="63">
        <v>1</v>
      </c>
      <c r="R37" s="62">
        <v>0</v>
      </c>
      <c r="S37" s="62">
        <v>0</v>
      </c>
      <c r="T37" s="63">
        <v>0</v>
      </c>
      <c r="U37" s="62">
        <v>0</v>
      </c>
    </row>
    <row r="38" spans="2:21">
      <c r="B38" s="52">
        <v>0.70833333333333304</v>
      </c>
      <c r="C38" s="48" cm="1">
        <f t="array" ref="C38">_xlfn.IFNA(_xlfn.IFS($E$14="Weekday",INDEX(Tbl_Wait_Wkday[],MATCH($B38,Tbl_Wait_Wkday[[Time]:[Time]],0),MATCH(C$31,Tbl_Wait_Wkday[#Headers],0)),$E$14="Weekend",INDEX(Tbl_Wait_Wkend[],MATCH($B38,Tbl_Wait_Wkend[[Time]:[Time]],0),MATCH(C$31,Tbl_Wait_Wkend[#Headers],0))),0)</f>
        <v>2.4305555555555552E-2</v>
      </c>
      <c r="D38" s="48" cm="1">
        <f t="array" ref="D38">_xlfn.IFNA(_xlfn.IFS($E$14="Weekday",INDEX(Tbl_Wait_Wkday[],MATCH($B38,Tbl_Wait_Wkday[[Time]:[Time]],0),MATCH(D$31,Tbl_Wait_Wkday[#Headers],0)),$E$14="Weekend",INDEX(Tbl_Wait_Wkend[],MATCH($B38,Tbl_Wait_Wkend[[Time]:[Time]],0),MATCH(D$31,Tbl_Wait_Wkend[#Headers],0))),0)</f>
        <v>2.4305555555555552E-2</v>
      </c>
      <c r="E38" s="48" cm="1">
        <f t="array" ref="E38">_xlfn.IFNA(_xlfn.IFS($E$14="Weekday",INDEX(Tbl_Wait_Wkday[],MATCH($B38,Tbl_Wait_Wkday[[Time]:[Time]],0),MATCH(E$31,Tbl_Wait_Wkday[#Headers],0)),$E$14="Weekend",INDEX(Tbl_Wait_Wkend[],MATCH($B38,Tbl_Wait_Wkend[[Time]:[Time]],0),MATCH(E$31,Tbl_Wait_Wkend[#Headers],0))),0)</f>
        <v>2.4305555555555552E-2</v>
      </c>
      <c r="F38" s="48" cm="1">
        <f t="array" ref="F38">_xlfn.IFNA(_xlfn.IFS($E$14="Weekday",INDEX(Tbl_Wait_Wkday[],MATCH($B38,Tbl_Wait_Wkday[[Time]:[Time]],0),MATCH(F$31,Tbl_Wait_Wkday[#Headers],0)),$E$14="Weekend",INDEX(Tbl_Wait_Wkend[],MATCH($B38,Tbl_Wait_Wkend[[Time]:[Time]],0),MATCH(F$31,Tbl_Wait_Wkend[#Headers],0))),0)</f>
        <v>2.0833333333333332E-2</v>
      </c>
      <c r="G38" s="48" cm="1">
        <f t="array" ref="G38">_xlfn.IFNA(_xlfn.IFS($E$14="Weekday",INDEX(Tbl_Wait_Wkday[],MATCH($B38,Tbl_Wait_Wkday[[Time]:[Time]],0),MATCH(G$31,Tbl_Wait_Wkday[#Headers],0)),$E$14="Weekend",INDEX(Tbl_Wait_Wkend[],MATCH($B38,Tbl_Wait_Wkend[[Time]:[Time]],0),MATCH(G$31,Tbl_Wait_Wkend[#Headers],0))),0)</f>
        <v>2.4305555555555552E-2</v>
      </c>
      <c r="P38" s="52">
        <v>0.70833333333333304</v>
      </c>
      <c r="Q38" s="63">
        <v>0</v>
      </c>
      <c r="R38" s="62">
        <v>1</v>
      </c>
      <c r="S38" s="62">
        <v>0</v>
      </c>
      <c r="T38" s="63">
        <v>0</v>
      </c>
      <c r="U38" s="62">
        <v>0</v>
      </c>
    </row>
    <row r="40" spans="2:21">
      <c r="B40" s="46" t="s">
        <v>106</v>
      </c>
    </row>
    <row r="41" spans="2:21">
      <c r="B41" s="59" t="s">
        <v>60</v>
      </c>
      <c r="C41" s="59" t="str">
        <f>C18</f>
        <v>Battlestar Galactica: Cylon</v>
      </c>
      <c r="D41" s="59" t="str">
        <f>D18</f>
        <v>Battlestart Galactica: Human</v>
      </c>
      <c r="E41" s="59" t="str">
        <f>E18</f>
        <v>Treasure Hunters</v>
      </c>
      <c r="F41" s="59" t="str">
        <f>F18</f>
        <v>Revenge of the Mummy</v>
      </c>
      <c r="G41" s="59" t="str">
        <f>G18</f>
        <v>Dino-Soarin</v>
      </c>
    </row>
    <row r="42" spans="2:21">
      <c r="B42" s="52">
        <v>0.45833333333333331</v>
      </c>
      <c r="C42" s="48">
        <f>_xlfn.IFNA(C32+LOOKUP(C$41,Tbl_Ride[],Tbl_Ride[[Duration]:[Duration]]),0)</f>
        <v>8.3333333333333332E-3</v>
      </c>
      <c r="D42" s="48">
        <f>_xlfn.IFNA(D32+LOOKUP(D$41,Tbl_Ride[],Tbl_Ride[[Duration]:[Duration]]),0)</f>
        <v>8.3333333333333332E-3</v>
      </c>
      <c r="E42" s="48">
        <f>_xlfn.IFNA(E32+LOOKUP(E$41,Tbl_Ride[],Tbl_Ride[[Duration]:[Duration]]),0)</f>
        <v>6.2500000000000003E-3</v>
      </c>
      <c r="F42" s="48">
        <f>_xlfn.IFNA(F32+LOOKUP(F$41,Tbl_Ride[],Tbl_Ride[[Duration]:[Duration]]),0)</f>
        <v>5.5555555555555549E-3</v>
      </c>
      <c r="G42" s="48">
        <f>_xlfn.IFNA(G32+LOOKUP(G$41,Tbl_Ride[],Tbl_Ride[[Duration]:[Duration]]),0)</f>
        <v>4.8611111111111112E-3</v>
      </c>
    </row>
    <row r="43" spans="2:21">
      <c r="B43" s="52">
        <v>0.5</v>
      </c>
      <c r="C43" s="48">
        <f>_xlfn.IFNA(C33+LOOKUP(C$41,Tbl_Ride[],Tbl_Ride[[Duration]:[Duration]]),0)</f>
        <v>1.5277777777777777E-2</v>
      </c>
      <c r="D43" s="48">
        <f>_xlfn.IFNA(D33+LOOKUP(D$41,Tbl_Ride[],Tbl_Ride[[Duration]:[Duration]]),0)</f>
        <v>1.8749999999999999E-2</v>
      </c>
      <c r="E43" s="48">
        <f>_xlfn.IFNA(E33+LOOKUP(E$41,Tbl_Ride[],Tbl_Ride[[Duration]:[Duration]]),0)</f>
        <v>2.013888888888889E-2</v>
      </c>
      <c r="F43" s="48">
        <f>_xlfn.IFNA(F33+LOOKUP(F$41,Tbl_Ride[],Tbl_Ride[[Duration]:[Duration]]),0)</f>
        <v>9.0277777777777769E-3</v>
      </c>
      <c r="G43" s="48">
        <f>_xlfn.IFNA(G33+LOOKUP(G$41,Tbl_Ride[],Tbl_Ride[[Duration]:[Duration]]),0)</f>
        <v>1.1805555555555555E-2</v>
      </c>
    </row>
    <row r="44" spans="2:21">
      <c r="B44" s="52">
        <v>0.54166666666666696</v>
      </c>
      <c r="C44" s="48">
        <f>_xlfn.IFNA(C34+LOOKUP(C$41,Tbl_Ride[],Tbl_Ride[[Duration]:[Duration]]),0)</f>
        <v>2.9166666666666664E-2</v>
      </c>
      <c r="D44" s="48">
        <f>_xlfn.IFNA(D34+LOOKUP(D$41,Tbl_Ride[],Tbl_Ride[[Duration]:[Duration]]),0)</f>
        <v>3.6111111111111115E-2</v>
      </c>
      <c r="E44" s="48">
        <f>_xlfn.IFNA(E34+LOOKUP(E$41,Tbl_Ride[],Tbl_Ride[[Duration]:[Duration]]),0)</f>
        <v>2.013888888888889E-2</v>
      </c>
      <c r="F44" s="48">
        <f>_xlfn.IFNA(F34+LOOKUP(F$41,Tbl_Ride[],Tbl_Ride[[Duration]:[Duration]]),0)</f>
        <v>1.9444444444444445E-2</v>
      </c>
      <c r="G44" s="48">
        <f>_xlfn.IFNA(G34+LOOKUP(G$41,Tbl_Ride[],Tbl_Ride[[Duration]:[Duration]]),0)</f>
        <v>1.8749999999999999E-2</v>
      </c>
    </row>
    <row r="45" spans="2:21">
      <c r="B45" s="52">
        <v>0.58333333333333304</v>
      </c>
      <c r="C45" s="48">
        <f>_xlfn.IFNA(C35+LOOKUP(C$41,Tbl_Ride[],Tbl_Ride[[Duration]:[Duration]]),0)</f>
        <v>3.2638888888888891E-2</v>
      </c>
      <c r="D45" s="48">
        <f>_xlfn.IFNA(D35+LOOKUP(D$41,Tbl_Ride[],Tbl_Ride[[Duration]:[Duration]]),0)</f>
        <v>3.6111111111111115E-2</v>
      </c>
      <c r="E45" s="48">
        <f>_xlfn.IFNA(E35+LOOKUP(E$41,Tbl_Ride[],Tbl_Ride[[Duration]:[Duration]]),0)</f>
        <v>2.7083333333333331E-2</v>
      </c>
      <c r="F45" s="48">
        <f>_xlfn.IFNA(F35+LOOKUP(F$41,Tbl_Ride[],Tbl_Ride[[Duration]:[Duration]]),0)</f>
        <v>2.2916666666666665E-2</v>
      </c>
      <c r="G45" s="48">
        <f>_xlfn.IFNA(G35+LOOKUP(G$41,Tbl_Ride[],Tbl_Ride[[Duration]:[Duration]]),0)</f>
        <v>2.222222222222222E-2</v>
      </c>
    </row>
    <row r="46" spans="2:21">
      <c r="B46" s="52">
        <v>0.625</v>
      </c>
      <c r="C46" s="48">
        <f>_xlfn.IFNA(C36+LOOKUP(C$41,Tbl_Ride[],Tbl_Ride[[Duration]:[Duration]]),0)</f>
        <v>3.6111111111111115E-2</v>
      </c>
      <c r="D46" s="48">
        <f>_xlfn.IFNA(D36+LOOKUP(D$41,Tbl_Ride[],Tbl_Ride[[Duration]:[Duration]]),0)</f>
        <v>3.9583333333333331E-2</v>
      </c>
      <c r="E46" s="48">
        <f>_xlfn.IFNA(E36+LOOKUP(E$41,Tbl_Ride[],Tbl_Ride[[Duration]:[Duration]]),0)</f>
        <v>3.0555555555555555E-2</v>
      </c>
      <c r="F46" s="48">
        <f>_xlfn.IFNA(F36+LOOKUP(F$41,Tbl_Ride[],Tbl_Ride[[Duration]:[Duration]]),0)</f>
        <v>2.9861111111111109E-2</v>
      </c>
      <c r="G46" s="48">
        <f>_xlfn.IFNA(G36+LOOKUP(G$41,Tbl_Ride[],Tbl_Ride[[Duration]:[Duration]]),0)</f>
        <v>2.569444444444444E-2</v>
      </c>
    </row>
    <row r="47" spans="2:21">
      <c r="B47" s="52">
        <v>0.66666666666666596</v>
      </c>
      <c r="C47" s="48">
        <f>_xlfn.IFNA(C37+LOOKUP(C$41,Tbl_Ride[],Tbl_Ride[[Duration]:[Duration]]),0)</f>
        <v>2.9166666666666664E-2</v>
      </c>
      <c r="D47" s="48">
        <f>_xlfn.IFNA(D37+LOOKUP(D$41,Tbl_Ride[],Tbl_Ride[[Duration]:[Duration]]),0)</f>
        <v>3.6111111111111115E-2</v>
      </c>
      <c r="E47" s="48">
        <f>_xlfn.IFNA(E37+LOOKUP(E$41,Tbl_Ride[],Tbl_Ride[[Duration]:[Duration]]),0)</f>
        <v>3.0555555555555555E-2</v>
      </c>
      <c r="F47" s="48">
        <f>_xlfn.IFNA(F37+LOOKUP(F$41,Tbl_Ride[],Tbl_Ride[[Duration]:[Duration]]),0)</f>
        <v>2.9861111111111109E-2</v>
      </c>
      <c r="G47" s="48">
        <f>_xlfn.IFNA(G37+LOOKUP(G$41,Tbl_Ride[],Tbl_Ride[[Duration]:[Duration]]),0)</f>
        <v>2.569444444444444E-2</v>
      </c>
    </row>
    <row r="48" spans="2:21">
      <c r="B48" s="52">
        <v>0.70833333333333304</v>
      </c>
      <c r="C48" s="48">
        <f>_xlfn.IFNA(C38+LOOKUP(C$41,Tbl_Ride[],Tbl_Ride[[Duration]:[Duration]]),0)</f>
        <v>2.569444444444444E-2</v>
      </c>
      <c r="D48" s="48">
        <f>_xlfn.IFNA(D38+LOOKUP(D$41,Tbl_Ride[],Tbl_Ride[[Duration]:[Duration]]),0)</f>
        <v>2.569444444444444E-2</v>
      </c>
      <c r="E48" s="48">
        <f>_xlfn.IFNA(E38+LOOKUP(E$41,Tbl_Ride[],Tbl_Ride[[Duration]:[Duration]]),0)</f>
        <v>2.7083333333333331E-2</v>
      </c>
      <c r="F48" s="48">
        <f>_xlfn.IFNA(F38+LOOKUP(F$41,Tbl_Ride[],Tbl_Ride[[Duration]:[Duration]]),0)</f>
        <v>2.2916666666666665E-2</v>
      </c>
      <c r="G48" s="48">
        <f>_xlfn.IFNA(G38+LOOKUP(G$41,Tbl_Ride[],Tbl_Ride[[Duration]:[Duration]]),0)</f>
        <v>2.569444444444444E-2</v>
      </c>
    </row>
    <row r="50" spans="2:5">
      <c r="B50" s="46" t="s">
        <v>107</v>
      </c>
      <c r="C50" s="47"/>
      <c r="D50" s="47"/>
      <c r="E50" s="47"/>
    </row>
    <row r="51" spans="2:5">
      <c r="B51" s="59" t="s">
        <v>60</v>
      </c>
      <c r="C51" s="60" t="s">
        <v>108</v>
      </c>
      <c r="D51" s="60" t="s">
        <v>109</v>
      </c>
      <c r="E51" s="60" t="s">
        <v>110</v>
      </c>
    </row>
    <row r="52" spans="2:5">
      <c r="B52" s="49"/>
      <c r="C52" s="54" t="s">
        <v>66</v>
      </c>
      <c r="D52" s="54" t="s">
        <v>66</v>
      </c>
      <c r="E52" s="48"/>
    </row>
    <row r="53" spans="2:5">
      <c r="B53" s="52">
        <v>0.45833333333333331</v>
      </c>
      <c r="C53" s="54" t="str">
        <f>_xlfn.IFNA(INDEX($C$18:$H$18,MATCH(1,C19:H19,0)),"")</f>
        <v/>
      </c>
      <c r="D53" s="69" t="str">
        <f>IF(OR(C53="",C53="Lunch"),D52,C53)</f>
        <v>Entrance</v>
      </c>
      <c r="E53" s="48" cm="1">
        <f t="array" ref="E53">_xlfn.IFNA(_xlfn.IFS($C$5="Average",INDEX(Tbl_Walk_Avg[],MATCH(D52,Tbl_Walk_Avg[[Ride]:[Ride]],0),MATCH(D53,Tbl_Walk_Avg[#Headers],0)),$C$5="Leisurely",INDEX(Tbl_Walk_Leisure[],MATCH(D52,Tbl_Walk_Leisure[[Ride]:[Ride]],0),MATCH(D53,Tbl_Walk_Leisure[#Headers],0))),0)</f>
        <v>0</v>
      </c>
    </row>
    <row r="54" spans="2:5">
      <c r="B54" s="52">
        <v>0.5</v>
      </c>
      <c r="C54" s="54" t="str">
        <f t="shared" ref="C54:C59" si="6">_xlfn.IFNA(INDEX($C$18:$H$18,MATCH(1,C20:H20,0)),"")</f>
        <v>Revenge of the Mummy</v>
      </c>
      <c r="D54" s="54" t="str">
        <f t="shared" ref="D54:D59" si="7">IF(OR(C54="",C54="Lunch"),D53,C54)</f>
        <v>Revenge of the Mummy</v>
      </c>
      <c r="E54" s="48" cm="1">
        <f t="array" ref="E54">_xlfn.IFNA(_xlfn.IFS($C$5="Average",INDEX(Tbl_Walk_Avg[],MATCH(D53,Tbl_Walk_Avg[[Ride]:[Ride]],0),MATCH(D54,Tbl_Walk_Avg[#Headers],0)),$C$5="Leisurely",INDEX(Tbl_Walk_Leisure[],MATCH(D53,Tbl_Walk_Leisure[[Ride]:[Ride]],0),MATCH(D54,Tbl_Walk_Leisure[#Headers],0))),0)</f>
        <v>8.3333333333333332E-3</v>
      </c>
    </row>
    <row r="55" spans="2:5">
      <c r="B55" s="52">
        <v>0.54166666666666696</v>
      </c>
      <c r="C55" s="54" t="str">
        <f t="shared" si="6"/>
        <v>Lunch</v>
      </c>
      <c r="D55" s="54" t="str">
        <f t="shared" si="7"/>
        <v>Revenge of the Mummy</v>
      </c>
      <c r="E55" s="48" cm="1">
        <f t="array" ref="E55">_xlfn.IFNA(_xlfn.IFS($C$5="Average",INDEX(Tbl_Walk_Avg[],MATCH(D54,Tbl_Walk_Avg[[Ride]:[Ride]],0),MATCH(D55,Tbl_Walk_Avg[#Headers],0)),$C$5="Leisurely",INDEX(Tbl_Walk_Leisure[],MATCH(D54,Tbl_Walk_Leisure[[Ride]:[Ride]],0),MATCH(D55,Tbl_Walk_Leisure[#Headers],0))),0)</f>
        <v>0</v>
      </c>
    </row>
    <row r="56" spans="2:5">
      <c r="B56" s="52">
        <v>0.58333333333333304</v>
      </c>
      <c r="C56" s="54" t="str">
        <f t="shared" si="6"/>
        <v>Dino-Soarin</v>
      </c>
      <c r="D56" s="54" t="str">
        <f t="shared" si="7"/>
        <v>Dino-Soarin</v>
      </c>
      <c r="E56" s="48" cm="1">
        <f t="array" ref="E56">_xlfn.IFNA(_xlfn.IFS($C$5="Average",INDEX(Tbl_Walk_Avg[],MATCH(D55,Tbl_Walk_Avg[[Ride]:[Ride]],0),MATCH(D56,Tbl_Walk_Avg[#Headers],0)),$C$5="Leisurely",INDEX(Tbl_Walk_Leisure[],MATCH(D55,Tbl_Walk_Leisure[[Ride]:[Ride]],0),MATCH(D56,Tbl_Walk_Leisure[#Headers],0))),0)</f>
        <v>3.4722222222222225E-3</v>
      </c>
    </row>
    <row r="57" spans="2:5">
      <c r="B57" s="52">
        <v>0.625</v>
      </c>
      <c r="C57" s="54" t="str">
        <f t="shared" si="6"/>
        <v>Treasure Hunters</v>
      </c>
      <c r="D57" s="54" t="str">
        <f t="shared" si="7"/>
        <v>Treasure Hunters</v>
      </c>
      <c r="E57" s="48" cm="1">
        <f t="array" ref="E57">_xlfn.IFNA(_xlfn.IFS($C$5="Average",INDEX(Tbl_Walk_Avg[],MATCH(D56,Tbl_Walk_Avg[[Ride]:[Ride]],0),MATCH(D57,Tbl_Walk_Avg[#Headers],0)),$C$5="Leisurely",INDEX(Tbl_Walk_Leisure[],MATCH(D56,Tbl_Walk_Leisure[[Ride]:[Ride]],0),MATCH(D57,Tbl_Walk_Leisure[#Headers],0))),0)</f>
        <v>3.4722222222222225E-3</v>
      </c>
    </row>
    <row r="58" spans="2:5">
      <c r="B58" s="52">
        <v>0.66666666666666596</v>
      </c>
      <c r="C58" s="54" t="str">
        <f t="shared" si="6"/>
        <v>Battlestar Galactica: Cylon</v>
      </c>
      <c r="D58" s="54" t="str">
        <f t="shared" si="7"/>
        <v>Battlestar Galactica: Cylon</v>
      </c>
      <c r="E58" s="48" cm="1">
        <f t="array" ref="E58">_xlfn.IFNA(_xlfn.IFS($C$5="Average",INDEX(Tbl_Walk_Avg[],MATCH(D57,Tbl_Walk_Avg[[Ride]:[Ride]],0),MATCH(D58,Tbl_Walk_Avg[#Headers],0)),$C$5="Leisurely",INDEX(Tbl_Walk_Leisure[],MATCH(D57,Tbl_Walk_Leisure[[Ride]:[Ride]],0),MATCH(D58,Tbl_Walk_Leisure[#Headers],0))),0)</f>
        <v>2.7777777777777779E-3</v>
      </c>
    </row>
    <row r="59" spans="2:5">
      <c r="B59" s="52">
        <v>0.70833333333333304</v>
      </c>
      <c r="C59" s="54" t="str">
        <f t="shared" si="6"/>
        <v>Battlestart Galactica: Human</v>
      </c>
      <c r="D59" s="54" t="str">
        <f t="shared" si="7"/>
        <v>Battlestart Galactica: Human</v>
      </c>
      <c r="E59" s="48" cm="1">
        <f t="array" ref="E59">_xlfn.IFNA(_xlfn.IFS($C$5="Average",INDEX(Tbl_Walk_Avg[],MATCH(D58,Tbl_Walk_Avg[[Ride]:[Ride]],0),MATCH(D59,Tbl_Walk_Avg[#Headers],0)),$C$5="Leisurely",INDEX(Tbl_Walk_Leisure[],MATCH(D58,Tbl_Walk_Leisure[[Ride]:[Ride]],0),MATCH(D59,Tbl_Walk_Leisure[#Headers],0))),0)</f>
        <v>0</v>
      </c>
    </row>
    <row r="60" spans="2:5">
      <c r="B60" s="52"/>
      <c r="C60" s="54"/>
      <c r="D60" s="54"/>
      <c r="E60" s="48"/>
    </row>
    <row r="62" spans="2:5">
      <c r="B62" s="46" t="s">
        <v>107</v>
      </c>
      <c r="C62" s="47"/>
      <c r="E62" s="65"/>
    </row>
    <row r="63" spans="2:5">
      <c r="B63" s="125" t="s">
        <v>60</v>
      </c>
      <c r="C63" s="125" t="s">
        <v>61</v>
      </c>
      <c r="D63" s="125" t="s">
        <v>62</v>
      </c>
    </row>
    <row r="64" spans="2:5">
      <c r="B64" s="127">
        <f>C6</f>
        <v>0.5</v>
      </c>
      <c r="C64" s="18" t="str">
        <f>_xlfn.IFNA(INDEX($C$53:$C$59,MATCH(B64,$B$53:$B$59,0)),"")</f>
        <v>Revenge of the Mummy</v>
      </c>
      <c r="D64" s="126">
        <f>_xlfn.IFNA(INDEX($C$32:$G$38,MATCH(B64,$B$32:$B$38,0),MATCH(C64,$C$31:$G$31,0)),"")</f>
        <v>6.9444444444444441E-3</v>
      </c>
    </row>
    <row r="65" spans="2:4">
      <c r="B65" s="127" cm="1">
        <f t="array" ref="B65:B69">_xlfn._xlws.FILTER($B$53:$B$59,($B$53:$B$59&gt;B64)*($B$53:$B$59&lt;$C$7),"")</f>
        <v>0.54166666666666696</v>
      </c>
      <c r="C65" s="18" t="str">
        <f t="shared" ref="C65:C73" si="8">_xlfn.IFNA(INDEX($C$53:$C$59,MATCH(B65,$B$53:$B$59,0)),"")</f>
        <v>Lunch</v>
      </c>
      <c r="D65" s="126" t="str">
        <f>_xlfn.IFNA(INDEX($C$32:$G$38,MATCH(B65,$B$32:$B$38,0),MATCH(C65,$C$31:$G$31,0)),"")</f>
        <v/>
      </c>
    </row>
    <row r="66" spans="2:4">
      <c r="B66" s="127">
        <v>0.58333333333333304</v>
      </c>
      <c r="C66" s="18" t="str">
        <f t="shared" si="8"/>
        <v>Dino-Soarin</v>
      </c>
      <c r="D66" s="126">
        <f t="shared" ref="D66:D70" si="9">_xlfn.IFNA(INDEX($C$32:$G$38,MATCH(B66,$B$32:$B$38,0),MATCH(C66,$C$31:$G$31,0)),"")</f>
        <v>2.0833333333333332E-2</v>
      </c>
    </row>
    <row r="67" spans="2:4">
      <c r="B67" s="127">
        <v>0.625</v>
      </c>
      <c r="C67" s="18" t="str">
        <f t="shared" si="8"/>
        <v>Treasure Hunters</v>
      </c>
      <c r="D67" s="126">
        <f t="shared" si="9"/>
        <v>2.7777777777777776E-2</v>
      </c>
    </row>
    <row r="68" spans="2:4">
      <c r="B68" s="127">
        <v>0.66666666666666596</v>
      </c>
      <c r="C68" s="18" t="str">
        <f t="shared" si="8"/>
        <v>Battlestar Galactica: Cylon</v>
      </c>
      <c r="D68" s="126">
        <f t="shared" si="9"/>
        <v>2.7777777777777776E-2</v>
      </c>
    </row>
    <row r="69" spans="2:4">
      <c r="B69" s="127">
        <v>0.70833333333333304</v>
      </c>
      <c r="C69" s="18" t="str">
        <f t="shared" si="8"/>
        <v>Battlestart Galactica: Human</v>
      </c>
      <c r="D69" s="126">
        <f t="shared" si="9"/>
        <v>2.4305555555555552E-2</v>
      </c>
    </row>
    <row r="70" spans="2:4">
      <c r="B70" s="127"/>
      <c r="C70" s="18" t="str">
        <f t="shared" si="8"/>
        <v/>
      </c>
      <c r="D70" s="126" t="str">
        <f t="shared" si="9"/>
        <v/>
      </c>
    </row>
    <row r="71" spans="2:4">
      <c r="B71" s="127"/>
      <c r="C71" s="18" t="str">
        <f t="shared" si="8"/>
        <v/>
      </c>
      <c r="D71" s="126" t="str">
        <f t="shared" ref="D71:D73" si="10">_xlfn.IFNA(INDEX($B$31:$G$38,MATCH(B71,$B$32:$B$38,0),MATCH(C71,$C$31:$G$31,0)),"")</f>
        <v/>
      </c>
    </row>
    <row r="72" spans="2:4">
      <c r="B72" s="75"/>
      <c r="C72" s="18" t="str">
        <f t="shared" si="8"/>
        <v/>
      </c>
      <c r="D72" s="126" t="str">
        <f t="shared" si="10"/>
        <v/>
      </c>
    </row>
    <row r="73" spans="2:4">
      <c r="B73" s="125"/>
      <c r="C73" s="18" t="str">
        <f t="shared" si="8"/>
        <v/>
      </c>
      <c r="D73" s="126" t="str">
        <f t="shared" si="10"/>
        <v/>
      </c>
    </row>
    <row r="74" spans="2:4">
      <c r="C74" s="123"/>
      <c r="D74" s="126"/>
    </row>
    <row r="75" spans="2:4">
      <c r="C75" s="123"/>
      <c r="D75" s="126"/>
    </row>
    <row r="76" spans="2:4">
      <c r="C76" s="123"/>
      <c r="D76" s="126"/>
    </row>
    <row r="77" spans="2:4">
      <c r="C77" s="123"/>
      <c r="D77" s="126"/>
    </row>
    <row r="78" spans="2:4">
      <c r="C78" s="123"/>
      <c r="D78" s="126"/>
    </row>
    <row r="79" spans="2:4">
      <c r="C79" s="123"/>
      <c r="D79" s="126"/>
    </row>
    <row r="80" spans="2:4">
      <c r="C80" s="123"/>
      <c r="D80" s="126"/>
    </row>
    <row r="81" spans="3:4">
      <c r="C81" s="123"/>
      <c r="D81" s="126"/>
    </row>
    <row r="82" spans="3:4">
      <c r="C82" s="123"/>
      <c r="D82" s="126"/>
    </row>
    <row r="83" spans="3:4">
      <c r="C83" s="123"/>
      <c r="D83" s="124"/>
    </row>
  </sheetData>
  <phoneticPr fontId="1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Model1">
                <anchor moveWithCells="1" sizeWithCells="1">
                  <from>
                    <xdr:col>6</xdr:col>
                    <xdr:colOff>85725</xdr:colOff>
                    <xdr:row>12</xdr:row>
                    <xdr:rowOff>152400</xdr:rowOff>
                  </from>
                  <to>
                    <xdr:col>6</xdr:col>
                    <xdr:colOff>1457325</xdr:colOff>
                    <xdr:row>14</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34D001-A7CF-45AB-8D79-C0091E526234}">
  <sheetPr codeName="Sheet9">
    <tabColor theme="1" tint="4.9989318521683403E-2"/>
  </sheetPr>
  <dimension ref="A1:CB258"/>
  <sheetViews>
    <sheetView showGridLines="0" topLeftCell="U1" zoomScale="79" zoomScaleNormal="70" workbookViewId="0">
      <selection activeCell="AC18" sqref="AC18:AF23"/>
    </sheetView>
  </sheetViews>
  <sheetFormatPr defaultColWidth="8.875" defaultRowHeight="15.75"/>
  <cols>
    <col min="1" max="1" width="2.5" customWidth="1"/>
    <col min="2" max="2" width="18.625" customWidth="1"/>
    <col min="3" max="3" width="17" customWidth="1"/>
    <col min="4" max="4" width="43.875" customWidth="1"/>
    <col min="5" max="5" width="30.625" customWidth="1"/>
    <col min="6" max="6" width="27" customWidth="1"/>
    <col min="7" max="7" width="24.125" bestFit="1" customWidth="1"/>
    <col min="8" max="8" width="24.125" customWidth="1"/>
    <col min="9" max="11" width="3.125" customWidth="1"/>
    <col min="12" max="12" width="9.875" customWidth="1"/>
    <col min="13" max="13" width="9.125" customWidth="1"/>
    <col min="14" max="14" width="24.125" customWidth="1"/>
    <col min="15" max="18" width="12.125" customWidth="1"/>
    <col min="19" max="19" width="27.625" customWidth="1"/>
    <col min="20" max="23" width="12.125" customWidth="1"/>
    <col min="24" max="24" width="34.5" customWidth="1"/>
    <col min="25" max="25" width="28.125" customWidth="1"/>
    <col min="26" max="26" width="19.5" customWidth="1"/>
    <col min="27" max="27" width="16.875" customWidth="1"/>
    <col min="28" max="39" width="12.125" customWidth="1"/>
    <col min="40" max="40" width="19.875" customWidth="1"/>
    <col min="41" max="48" width="12.125" customWidth="1"/>
  </cols>
  <sheetData>
    <row r="1" spans="2:29">
      <c r="B1" s="36" t="s">
        <v>111</v>
      </c>
      <c r="C1" s="36"/>
      <c r="N1" t="s">
        <v>112</v>
      </c>
    </row>
    <row r="2" spans="2:29">
      <c r="N2" t="s">
        <v>113</v>
      </c>
    </row>
    <row r="3" spans="2:29">
      <c r="B3" s="8" t="s">
        <v>76</v>
      </c>
      <c r="C3" s="8"/>
      <c r="D3" s="35"/>
      <c r="E3" s="35"/>
      <c r="F3" s="35"/>
      <c r="G3" s="35"/>
      <c r="N3" s="8" t="s">
        <v>77</v>
      </c>
      <c r="O3" s="8"/>
    </row>
    <row r="4" spans="2:29">
      <c r="B4" s="24" t="s">
        <v>30</v>
      </c>
      <c r="C4" s="24"/>
      <c r="D4" s="39" t="str">
        <f>'UI (Detailed)'!$I$3</f>
        <v>Wednesday</v>
      </c>
      <c r="E4" s="38" t="s">
        <v>78</v>
      </c>
      <c r="F4" s="24" t="s">
        <v>5</v>
      </c>
      <c r="G4" s="40" t="str">
        <f>'UI (Detailed)'!$I$7</f>
        <v>Yes</v>
      </c>
      <c r="H4" s="38"/>
      <c r="N4" s="44" t="s">
        <v>93</v>
      </c>
      <c r="O4" s="43"/>
      <c r="R4" s="44" t="s">
        <v>114</v>
      </c>
      <c r="T4" t="s">
        <v>115</v>
      </c>
    </row>
    <row r="5" spans="2:29">
      <c r="B5" s="24" t="s">
        <v>28</v>
      </c>
      <c r="C5" s="24"/>
      <c r="D5" s="41" t="str">
        <f>'UI (Detailed)'!$I$20</f>
        <v>Leisurely</v>
      </c>
      <c r="E5" s="38" t="s">
        <v>80</v>
      </c>
      <c r="F5" s="24" t="s">
        <v>7</v>
      </c>
      <c r="G5" s="40">
        <f>'UI (Detailed)'!$I$8</f>
        <v>0.54166666666666696</v>
      </c>
      <c r="H5" s="38" t="s">
        <v>81</v>
      </c>
      <c r="N5" s="54" t="s">
        <v>37</v>
      </c>
      <c r="O5" s="54" t="s">
        <v>82</v>
      </c>
      <c r="R5" s="79" t="s">
        <v>116</v>
      </c>
      <c r="T5" s="79" t="str">
        <f>INDEX(O5:O9,MATCH(D4,N5:N9,0))</f>
        <v>Weekday</v>
      </c>
    </row>
    <row r="6" spans="2:29">
      <c r="B6" s="24" t="s">
        <v>31</v>
      </c>
      <c r="C6" s="24"/>
      <c r="D6" s="40">
        <f>'UI (Detailed)'!$I$4</f>
        <v>0.5</v>
      </c>
      <c r="E6" s="38" t="s">
        <v>81</v>
      </c>
      <c r="F6" s="24" t="s">
        <v>8</v>
      </c>
      <c r="G6" s="41">
        <f>'UI (Detailed)'!$I$9</f>
        <v>8.3333333333333329E-2</v>
      </c>
      <c r="H6" s="38" t="s">
        <v>83</v>
      </c>
      <c r="N6" s="19" t="s">
        <v>38</v>
      </c>
      <c r="O6" s="54" t="s">
        <v>82</v>
      </c>
    </row>
    <row r="7" spans="2:29">
      <c r="B7" s="24" t="s">
        <v>32</v>
      </c>
      <c r="C7" s="24"/>
      <c r="D7" s="40">
        <f>'UI (Detailed)'!$I$5</f>
        <v>0.75</v>
      </c>
      <c r="E7" s="38" t="s">
        <v>81</v>
      </c>
      <c r="F7" s="24"/>
      <c r="N7" s="19" t="s">
        <v>2</v>
      </c>
      <c r="O7" s="54" t="s">
        <v>84</v>
      </c>
    </row>
    <row r="8" spans="2:29">
      <c r="B8" s="8"/>
      <c r="C8" s="8"/>
      <c r="D8" s="35"/>
      <c r="E8" s="35"/>
      <c r="F8" s="35"/>
      <c r="G8" s="35"/>
      <c r="N8" s="19" t="s">
        <v>39</v>
      </c>
      <c r="O8" s="54" t="s">
        <v>84</v>
      </c>
    </row>
    <row r="9" spans="2:29">
      <c r="B9" s="24" t="s">
        <v>117</v>
      </c>
      <c r="C9" s="24"/>
      <c r="D9" s="37">
        <v>1</v>
      </c>
      <c r="E9" s="37">
        <v>2</v>
      </c>
      <c r="F9" s="37">
        <v>3</v>
      </c>
      <c r="G9" s="37">
        <v>4</v>
      </c>
      <c r="H9" s="37">
        <v>5</v>
      </c>
      <c r="N9" s="54" t="s">
        <v>40</v>
      </c>
      <c r="O9" s="54" t="s">
        <v>84</v>
      </c>
      <c r="X9" s="19" t="s">
        <v>118</v>
      </c>
      <c r="Y9" s="19" t="s">
        <v>119</v>
      </c>
    </row>
    <row r="10" spans="2:29">
      <c r="B10" s="24" t="s">
        <v>90</v>
      </c>
      <c r="C10" s="24"/>
      <c r="D10" s="39" t="str">
        <f>'UI (Detailed)'!$I$13</f>
        <v>Battlestar Galactica: Cylon</v>
      </c>
      <c r="E10" s="39" t="str">
        <f>'UI (Detailed)'!$I$14</f>
        <v>Battlestart Galactica: Human</v>
      </c>
      <c r="F10" s="39" t="str">
        <f>'UI (Detailed)'!$I$15</f>
        <v>Enchanted Airways</v>
      </c>
      <c r="G10" s="39" t="str">
        <f>'UI (Detailed)'!$I$16</f>
        <v>Revenge of the Mummy</v>
      </c>
      <c r="H10" s="39" t="str">
        <f>'UI (Detailed)'!$I$17</f>
        <v>Transformers The Ride</v>
      </c>
      <c r="X10" s="19">
        <v>5</v>
      </c>
      <c r="Y10" s="19">
        <v>0</v>
      </c>
    </row>
    <row r="11" spans="2:29">
      <c r="C11" s="80" t="s">
        <v>120</v>
      </c>
      <c r="D11" s="18">
        <f>IF(AND(D10&lt;&gt;"",D10&lt;&gt;0),1,0)</f>
        <v>1</v>
      </c>
      <c r="E11" s="18">
        <f t="shared" ref="E11:H11" si="0">IF(AND(E10&lt;&gt;"",E10&lt;&gt;0),1,0)</f>
        <v>1</v>
      </c>
      <c r="F11" s="18">
        <f t="shared" si="0"/>
        <v>1</v>
      </c>
      <c r="G11" s="18">
        <f t="shared" si="0"/>
        <v>1</v>
      </c>
      <c r="H11" s="18">
        <f t="shared" si="0"/>
        <v>1</v>
      </c>
      <c r="X11" s="19">
        <v>4</v>
      </c>
      <c r="Y11" s="19">
        <v>9</v>
      </c>
    </row>
    <row r="12" spans="2:29">
      <c r="C12" s="80" t="s">
        <v>121</v>
      </c>
      <c r="D12" s="18">
        <f>SUM(D11:H11)</f>
        <v>5</v>
      </c>
      <c r="X12" s="19">
        <v>3</v>
      </c>
      <c r="Y12" s="19">
        <v>14</v>
      </c>
    </row>
    <row r="13" spans="2:29">
      <c r="B13" s="8" t="s">
        <v>91</v>
      </c>
      <c r="C13" s="8"/>
      <c r="AC13" s="65"/>
    </row>
    <row r="14" spans="2:29">
      <c r="C14" s="55" t="s">
        <v>93</v>
      </c>
      <c r="D14" s="39" t="str">
        <f>VLOOKUP($D$4,$N$5:$O$9,2,FALSE)</f>
        <v>Weekday</v>
      </c>
      <c r="AC14" s="65"/>
    </row>
    <row r="15" spans="2:29">
      <c r="N15" s="81"/>
    </row>
    <row r="16" spans="2:29">
      <c r="D16" s="74"/>
      <c r="E16" s="82" t="s">
        <v>122</v>
      </c>
      <c r="G16" s="18"/>
      <c r="N16" s="82" t="s">
        <v>123</v>
      </c>
      <c r="P16" s="18"/>
      <c r="S16" s="82" t="s">
        <v>124</v>
      </c>
      <c r="U16" s="18"/>
      <c r="X16" s="82" t="s">
        <v>125</v>
      </c>
      <c r="Y16" s="18">
        <f>D12</f>
        <v>5</v>
      </c>
      <c r="AC16" s="82" t="s">
        <v>126</v>
      </c>
    </row>
    <row r="17" spans="1:50">
      <c r="B17" s="83"/>
      <c r="E17" s="84" t="s">
        <v>61</v>
      </c>
      <c r="F17" s="84" t="s">
        <v>72</v>
      </c>
      <c r="G17" s="84" t="s">
        <v>73</v>
      </c>
      <c r="H17" s="84" t="s">
        <v>74</v>
      </c>
      <c r="N17" s="84" t="s">
        <v>61</v>
      </c>
      <c r="O17" s="84" t="s">
        <v>72</v>
      </c>
      <c r="P17" s="84" t="s">
        <v>73</v>
      </c>
      <c r="Q17" s="84" t="s">
        <v>74</v>
      </c>
      <c r="S17" s="84" t="s">
        <v>61</v>
      </c>
      <c r="T17" s="84" t="s">
        <v>72</v>
      </c>
      <c r="U17" s="84" t="s">
        <v>73</v>
      </c>
      <c r="V17" s="84" t="s">
        <v>74</v>
      </c>
      <c r="X17" s="84" t="s">
        <v>61</v>
      </c>
      <c r="Y17" s="84" t="s">
        <v>72</v>
      </c>
      <c r="Z17" s="84" t="s">
        <v>73</v>
      </c>
      <c r="AA17" s="84" t="s">
        <v>74</v>
      </c>
      <c r="AC17" t="s">
        <v>61</v>
      </c>
      <c r="AD17" t="s">
        <v>72</v>
      </c>
      <c r="AE17" t="s">
        <v>73</v>
      </c>
      <c r="AF17" t="s">
        <v>74</v>
      </c>
      <c r="AW17" s="85"/>
    </row>
    <row r="18" spans="1:50">
      <c r="B18" s="86" t="s">
        <v>127</v>
      </c>
      <c r="C18" s="87" t="s">
        <v>128</v>
      </c>
      <c r="D18" s="88"/>
      <c r="E18" s="89" t="str">
        <f>IFERROR(D31, "Incomplete Route")</f>
        <v>Enchanted Airways</v>
      </c>
      <c r="F18" s="90">
        <f>Q31</f>
        <v>0.50486111111111109</v>
      </c>
      <c r="G18" s="90">
        <f>R31</f>
        <v>1.3888888888888888E-2</v>
      </c>
      <c r="H18" s="90">
        <f>T31</f>
        <v>0.51944444444444438</v>
      </c>
      <c r="N18" s="89" t="str">
        <f ca="1">IFERROR(E186, "Incomplete Route")</f>
        <v>Incomplete Route</v>
      </c>
      <c r="O18" s="90" t="e" vm="1">
        <f ca="1">P186</f>
        <v>#VALUE!</v>
      </c>
      <c r="P18" s="90" t="e" vm="1">
        <f ca="1">Q186</f>
        <v>#VALUE!</v>
      </c>
      <c r="Q18" s="90" t="e" vm="1">
        <f ca="1">S186</f>
        <v>#VALUE!</v>
      </c>
      <c r="S18" s="89" t="str">
        <f ca="1">IFERROR(F245, "Incomplete Route")</f>
        <v>Incomplete Route</v>
      </c>
      <c r="T18" s="90" t="e" vm="1">
        <f ca="1">O245</f>
        <v>#VALUE!</v>
      </c>
      <c r="U18" s="90" t="e" vm="1">
        <f ca="1">P245</f>
        <v>#VALUE!</v>
      </c>
      <c r="V18" s="90" t="e" vm="1">
        <f ca="1">R245</f>
        <v>#VALUE!</v>
      </c>
      <c r="X18" s="79" t="str" cm="1">
        <f t="array" aca="1" ref="X18:X23" ca="1">OFFSET($E$17,1,0+VLOOKUP($Y$16,$X$10:$Y$12,2,FALSE),COUNTA(OFFSET($E$17,1,0+VLOOKUP($Y$16,$X$10:$Y$12,2,FALSE),8)))</f>
        <v>Enchanted Airways</v>
      </c>
      <c r="Y18" s="90" cm="1">
        <f t="array" aca="1" ref="Y18:Y23" ca="1">OFFSET($E$17,1,1+VLOOKUP($Y$16,$X$10:$Y$12,2,FALSE),COUNTA(OFFSET($E$17,1,1+VLOOKUP($Y$16,$X$10:$Y$12,2,FALSE),8)))</f>
        <v>0.50486111111111109</v>
      </c>
      <c r="Z18" s="90" cm="1">
        <f t="array" aca="1" ref="Z18:Z23" ca="1">OFFSET($E$17,1,2+VLOOKUP($Y$16,$X$10:$Y$12,2,FALSE),COUNTA(OFFSET($E$17,1,2+VLOOKUP($Y$16,$X$10:$Y$12,2,FALSE),8)))</f>
        <v>1.3888888888888888E-2</v>
      </c>
      <c r="AA18" s="90" cm="1">
        <f t="array" aca="1" ref="AA18:AA23" ca="1">OFFSET($E$17,1,3+VLOOKUP($Y$16,$X$10:$Y$12,2,FALSE),COUNTA(OFFSET($E$17,1,3+VLOOKUP($Y$16,$X$10:$Y$12,2,FALSE),8)))</f>
        <v>0.51944444444444438</v>
      </c>
      <c r="AC18" t="s">
        <v>52</v>
      </c>
      <c r="AD18" s="81">
        <v>0.50486111111111109</v>
      </c>
      <c r="AE18" s="81">
        <v>1.3888888888888888E-2</v>
      </c>
      <c r="AF18" s="81">
        <v>0.51944444444444438</v>
      </c>
    </row>
    <row r="19" spans="1:50">
      <c r="B19" s="91">
        <f>IF(MIN($AU$46:$AU$165)=0,$R$5,MIN($AU$46:$AU$165))</f>
        <v>0.12569444444444441</v>
      </c>
      <c r="C19" s="92">
        <f>COUNTIF($AU$46:$AU$165,"="&amp;B19)</f>
        <v>2</v>
      </c>
      <c r="D19" s="88"/>
      <c r="E19" s="89" t="str">
        <f>E31</f>
        <v>Revenge of the Mummy</v>
      </c>
      <c r="F19" s="90">
        <f>W31</f>
        <v>0.52430555555555547</v>
      </c>
      <c r="G19" s="90">
        <f>X31</f>
        <v>1.0416666666666666E-2</v>
      </c>
      <c r="H19" s="90">
        <f>Z31</f>
        <v>0.53680555555555542</v>
      </c>
      <c r="N19" s="89" t="e" vm="1">
        <f ca="1">F186</f>
        <v>#VALUE!</v>
      </c>
      <c r="O19" s="90" t="e" vm="1">
        <f ca="1">V186</f>
        <v>#VALUE!</v>
      </c>
      <c r="P19" s="90" t="e" vm="1">
        <f ca="1">W186</f>
        <v>#VALUE!</v>
      </c>
      <c r="Q19" s="90" t="e" vm="1">
        <f ca="1">Y186</f>
        <v>#VALUE!</v>
      </c>
      <c r="S19" s="89" t="e" vm="1">
        <f ca="1">G245</f>
        <v>#VALUE!</v>
      </c>
      <c r="T19" s="90" t="e" vm="1">
        <f ca="1">U245</f>
        <v>#VALUE!</v>
      </c>
      <c r="U19" s="90" t="e" vm="1">
        <f ca="1">V245</f>
        <v>#VALUE!</v>
      </c>
      <c r="V19" s="90" t="e" vm="1">
        <f ca="1">X245</f>
        <v>#VALUE!</v>
      </c>
      <c r="X19" s="79" t="str">
        <f ca="1"/>
        <v>Revenge of the Mummy</v>
      </c>
      <c r="Y19" s="90">
        <f ca="1"/>
        <v>0.52430555555555547</v>
      </c>
      <c r="Z19" s="90">
        <f ca="1"/>
        <v>1.0416666666666666E-2</v>
      </c>
      <c r="AA19" s="90">
        <f ca="1"/>
        <v>0.53680555555555542</v>
      </c>
      <c r="AC19" t="s">
        <v>20</v>
      </c>
      <c r="AD19" s="81">
        <v>0.52430555555555547</v>
      </c>
      <c r="AE19" s="81">
        <v>1.0416666666666666E-2</v>
      </c>
      <c r="AF19" s="81">
        <v>0.53680555555555542</v>
      </c>
      <c r="AV19" s="81"/>
      <c r="AW19" s="81"/>
    </row>
    <row r="20" spans="1:50">
      <c r="B20" s="91">
        <f>IFERROR(SMALL($AU$46:$AU$165,SUM($C$19:C19)+1),$R$5)</f>
        <v>0.12986111111111109</v>
      </c>
      <c r="C20" s="92">
        <f>COUNTIF($AU$46:$AU$165,"="&amp;B20)</f>
        <v>2</v>
      </c>
      <c r="D20" s="88"/>
      <c r="E20" s="89" t="str">
        <f>F31</f>
        <v>Battlestar Galactica: Cylon</v>
      </c>
      <c r="F20" s="90">
        <f>AC31</f>
        <v>0.53958333333333319</v>
      </c>
      <c r="G20" s="90">
        <f>AD31</f>
        <v>1.7361111111111112E-2</v>
      </c>
      <c r="H20" s="90">
        <f>AF31</f>
        <v>0.55833333333333324</v>
      </c>
      <c r="N20" s="89" t="e" vm="1">
        <f ca="1">G186</f>
        <v>#VALUE!</v>
      </c>
      <c r="O20" s="90" t="e" vm="1">
        <f ca="1">AB186</f>
        <v>#VALUE!</v>
      </c>
      <c r="P20" s="90" t="e" vm="1">
        <f ca="1">AC186</f>
        <v>#VALUE!</v>
      </c>
      <c r="Q20" s="90" t="e" vm="1">
        <f ca="1">AE186</f>
        <v>#VALUE!</v>
      </c>
      <c r="S20" s="89" t="e" vm="1">
        <f ca="1">H245</f>
        <v>#VALUE!</v>
      </c>
      <c r="T20" s="90" t="e" vm="1">
        <f ca="1">AA245</f>
        <v>#VALUE!</v>
      </c>
      <c r="U20" s="90" t="e" vm="1">
        <f ca="1">AB245</f>
        <v>#VALUE!</v>
      </c>
      <c r="V20" s="90" t="e" vm="1">
        <f ca="1">AD245</f>
        <v>#VALUE!</v>
      </c>
      <c r="X20" s="79" t="str">
        <f ca="1"/>
        <v>Battlestar Galactica: Cylon</v>
      </c>
      <c r="Y20" s="90">
        <f ca="1"/>
        <v>0.53958333333333319</v>
      </c>
      <c r="Z20" s="90">
        <f ca="1"/>
        <v>1.7361111111111112E-2</v>
      </c>
      <c r="AA20" s="90">
        <f ca="1"/>
        <v>0.55833333333333324</v>
      </c>
      <c r="AC20" t="s">
        <v>12</v>
      </c>
      <c r="AD20" s="81">
        <v>0.53958333333333319</v>
      </c>
      <c r="AE20" s="81">
        <v>1.7361111111111112E-2</v>
      </c>
      <c r="AF20" s="81">
        <v>0.55833333333333324</v>
      </c>
      <c r="AV20" s="93"/>
      <c r="AW20" s="81"/>
      <c r="AX20" s="81"/>
    </row>
    <row r="21" spans="1:50">
      <c r="B21" s="91">
        <f>IFERROR(SMALL($AU$46:$AU$165,SUM($C$19:C20)+1),$R$5)</f>
        <v>0.13124999999999998</v>
      </c>
      <c r="C21" s="92">
        <f>COUNTIF($AU$46:$AU$165,"="&amp;B21)</f>
        <v>4</v>
      </c>
      <c r="D21" s="88"/>
      <c r="E21" s="89" t="str">
        <f>G31</f>
        <v>Transformers The Ride</v>
      </c>
      <c r="F21" s="90">
        <f>AI31</f>
        <v>0.64444444444444438</v>
      </c>
      <c r="G21" s="90">
        <f>AJ31</f>
        <v>2.4305555555555552E-2</v>
      </c>
      <c r="H21" s="90">
        <f>AL31</f>
        <v>0.67222222222222217</v>
      </c>
      <c r="N21" s="89" t="e" vm="1">
        <f ca="1">H186</f>
        <v>#VALUE!</v>
      </c>
      <c r="O21" s="90" t="e" vm="1">
        <f ca="1">AH186</f>
        <v>#VALUE!</v>
      </c>
      <c r="P21" s="90" t="e" vm="1">
        <f ca="1">AI186</f>
        <v>#VALUE!</v>
      </c>
      <c r="Q21" s="90" t="e" vm="1">
        <f ca="1">AK186</f>
        <v>#VALUE!</v>
      </c>
      <c r="S21" s="89" t="s">
        <v>67</v>
      </c>
      <c r="T21" s="90" t="e" vm="1">
        <f ca="1">IF(M245=1,L245,IF(S245=1,R245,IF(Y245=1,X245,MAX(G5,V20))))</f>
        <v>#VALUE!</v>
      </c>
      <c r="U21" s="90" t="e" vm="1">
        <f ca="1">IF(T21&gt;0,$G$6,"#SPILL!")</f>
        <v>#VALUE!</v>
      </c>
      <c r="V21" s="90" t="e" vm="1">
        <f ca="1">T21+U21</f>
        <v>#VALUE!</v>
      </c>
      <c r="X21" s="79" t="str">
        <f ca="1"/>
        <v>Transformers The Ride</v>
      </c>
      <c r="Y21" s="90">
        <f ca="1"/>
        <v>0.64444444444444438</v>
      </c>
      <c r="Z21" s="90">
        <f ca="1"/>
        <v>2.4305555555555552E-2</v>
      </c>
      <c r="AA21" s="90">
        <f ca="1"/>
        <v>0.67222222222222217</v>
      </c>
      <c r="AC21" t="s">
        <v>67</v>
      </c>
      <c r="AD21" s="81">
        <v>0.55833333333333324</v>
      </c>
      <c r="AE21" s="81">
        <v>8.3333333333333329E-2</v>
      </c>
      <c r="AF21" s="81">
        <v>0.64166666666666661</v>
      </c>
      <c r="AV21" s="93"/>
      <c r="AW21" s="81"/>
      <c r="AX21" s="81"/>
    </row>
    <row r="22" spans="1:50">
      <c r="B22" s="91"/>
      <c r="C22" s="92"/>
      <c r="D22" s="88"/>
      <c r="E22" s="122" t="str">
        <f>H31</f>
        <v>Battlestart Galactica: Human</v>
      </c>
      <c r="F22" s="90">
        <f>AO31</f>
        <v>0.67499999999999993</v>
      </c>
      <c r="G22" s="90">
        <f>AP31</f>
        <v>4.1666666666666664E-2</v>
      </c>
      <c r="H22" s="90">
        <f>AR31</f>
        <v>0.71805555555555545</v>
      </c>
      <c r="N22" s="89" t="s">
        <v>67</v>
      </c>
      <c r="O22" s="90" t="e" vm="1">
        <f ca="1">IF(N186=1,M186,IF(T186=1,S186,IF(Z186=1,Y186,IF(AF186=1,AE186,MAX(G5,Q21)))))</f>
        <v>#VALUE!</v>
      </c>
      <c r="P22" s="90" t="e" vm="1">
        <f ca="1">IF(O22&gt;0,$G$6,"#SPILL!")</f>
        <v>#VALUE!</v>
      </c>
      <c r="Q22" s="90" t="e" vm="1">
        <f ca="1">O22+P22</f>
        <v>#VALUE!</v>
      </c>
      <c r="S22" s="98"/>
      <c r="T22" s="98"/>
      <c r="U22" s="98"/>
      <c r="V22" s="98"/>
      <c r="X22" s="79" t="str">
        <f ca="1"/>
        <v>Battlestart Galactica: Human</v>
      </c>
      <c r="Y22" s="90">
        <f ca="1"/>
        <v>0.67499999999999993</v>
      </c>
      <c r="Z22" s="90">
        <f ca="1"/>
        <v>4.1666666666666664E-2</v>
      </c>
      <c r="AA22" s="90">
        <f ca="1"/>
        <v>0.71805555555555545</v>
      </c>
      <c r="AC22" t="s">
        <v>57</v>
      </c>
      <c r="AD22" s="81">
        <v>0.64444444444444438</v>
      </c>
      <c r="AE22" s="81">
        <v>2.4305555555555552E-2</v>
      </c>
      <c r="AF22" s="81">
        <v>0.67222222222222217</v>
      </c>
      <c r="AV22" s="93"/>
      <c r="AW22" s="81"/>
      <c r="AX22" s="81"/>
    </row>
    <row r="23" spans="1:50">
      <c r="B23" s="86" t="s">
        <v>129</v>
      </c>
      <c r="C23" s="87" t="s">
        <v>128</v>
      </c>
      <c r="D23" s="88"/>
      <c r="E23" s="89" t="s">
        <v>67</v>
      </c>
      <c r="F23" s="90">
        <f>IF(O31=1,N31,IF(U31=1,T31,IF(AA31=1,Z31,IF(AG31=1,AF31,IF(AM31=1,AL31,MAX(G5,H22))))))</f>
        <v>0.55833333333333324</v>
      </c>
      <c r="G23" s="90">
        <f>IF(F23&gt;0,$G$6,"#SPILL!")</f>
        <v>8.3333333333333329E-2</v>
      </c>
      <c r="H23" s="90">
        <f>F23+G23</f>
        <v>0.64166666666666661</v>
      </c>
      <c r="S23" s="94"/>
      <c r="T23" s="94"/>
      <c r="U23" s="94"/>
      <c r="V23" s="94"/>
      <c r="X23" s="79" t="str">
        <f ca="1"/>
        <v>Lunch</v>
      </c>
      <c r="Y23" s="90">
        <f ca="1"/>
        <v>0.55833333333333324</v>
      </c>
      <c r="Z23" s="90">
        <f ca="1"/>
        <v>8.3333333333333329E-2</v>
      </c>
      <c r="AA23" s="90">
        <f ca="1"/>
        <v>0.64166666666666661</v>
      </c>
      <c r="AC23" t="s">
        <v>14</v>
      </c>
      <c r="AD23" s="81">
        <v>0.67499999999999993</v>
      </c>
      <c r="AE23" s="81">
        <v>4.1666666666666664E-2</v>
      </c>
      <c r="AF23" s="81">
        <v>0.71805555555555545</v>
      </c>
      <c r="AV23" s="93"/>
      <c r="AW23" s="81"/>
      <c r="AX23" s="81"/>
    </row>
    <row r="24" spans="1:50">
      <c r="B24" s="91">
        <f>IF(MIN($AT$46:$AT$165)=0,$R$5,MIN($AT$46:$AT$165))</f>
        <v>0.10763888888888887</v>
      </c>
      <c r="C24" s="95">
        <f>COUNTIF($AT$46:$AT$165,"="&amp;B24)</f>
        <v>9</v>
      </c>
      <c r="D24" s="88"/>
      <c r="J24" s="96"/>
      <c r="K24" s="97"/>
      <c r="N24" s="94"/>
      <c r="O24" s="98"/>
      <c r="P24" s="98"/>
      <c r="Q24" s="98"/>
      <c r="S24" s="94"/>
      <c r="T24" s="98"/>
      <c r="U24" s="98"/>
      <c r="V24" s="98"/>
    </row>
    <row r="25" spans="1:50">
      <c r="B25" s="91"/>
      <c r="C25" s="92"/>
      <c r="D25" s="88"/>
      <c r="J25" s="96"/>
      <c r="K25" s="97"/>
    </row>
    <row r="26" spans="1:50">
      <c r="B26" s="86" t="s">
        <v>130</v>
      </c>
      <c r="C26" s="87" t="s">
        <v>128</v>
      </c>
      <c r="D26" s="88"/>
      <c r="J26" s="96"/>
      <c r="K26" s="97"/>
    </row>
    <row r="27" spans="1:50">
      <c r="B27" s="91">
        <f>IF(MIN($AS$46:$AS$165)=0,$R$5,MIN($AS$46:$AS$165))</f>
        <v>1.5277777777777779E-2</v>
      </c>
      <c r="C27" s="92">
        <f>COUNTIF($AS$46:$AS$165,"="&amp;B27)</f>
        <v>2</v>
      </c>
      <c r="D27" s="88"/>
      <c r="J27" s="96"/>
      <c r="K27" s="97"/>
      <c r="AU27" s="81"/>
    </row>
    <row r="29" spans="1:50">
      <c r="B29" s="61" t="s">
        <v>131</v>
      </c>
      <c r="N29" s="35" t="s">
        <v>83</v>
      </c>
      <c r="O29" s="35" t="s">
        <v>132</v>
      </c>
      <c r="P29" s="35" t="s">
        <v>83</v>
      </c>
      <c r="Q29" s="35" t="s">
        <v>83</v>
      </c>
      <c r="R29" s="35" t="s">
        <v>83</v>
      </c>
      <c r="S29" s="35" t="s">
        <v>83</v>
      </c>
      <c r="T29" s="35" t="s">
        <v>83</v>
      </c>
      <c r="U29" s="35" t="s">
        <v>132</v>
      </c>
      <c r="V29" s="35" t="s">
        <v>83</v>
      </c>
      <c r="W29" s="35" t="s">
        <v>83</v>
      </c>
      <c r="X29" s="35" t="s">
        <v>83</v>
      </c>
      <c r="Y29" s="35" t="s">
        <v>83</v>
      </c>
      <c r="Z29" s="35" t="s">
        <v>83</v>
      </c>
      <c r="AA29" s="35" t="s">
        <v>132</v>
      </c>
      <c r="AB29" s="35" t="s">
        <v>83</v>
      </c>
      <c r="AC29" s="35" t="s">
        <v>83</v>
      </c>
      <c r="AD29" s="35" t="s">
        <v>83</v>
      </c>
      <c r="AE29" s="35" t="s">
        <v>83</v>
      </c>
      <c r="AF29" s="35" t="s">
        <v>83</v>
      </c>
      <c r="AG29" s="35" t="s">
        <v>132</v>
      </c>
      <c r="AH29" s="35" t="s">
        <v>83</v>
      </c>
      <c r="AI29" s="35" t="s">
        <v>83</v>
      </c>
      <c r="AJ29" s="35" t="s">
        <v>83</v>
      </c>
      <c r="AK29" s="35" t="s">
        <v>83</v>
      </c>
      <c r="AL29" s="35" t="s">
        <v>83</v>
      </c>
      <c r="AM29" s="35" t="s">
        <v>132</v>
      </c>
      <c r="AN29" s="35" t="s">
        <v>83</v>
      </c>
      <c r="AO29" s="35" t="s">
        <v>83</v>
      </c>
      <c r="AP29" s="35" t="s">
        <v>83</v>
      </c>
      <c r="AQ29" s="35" t="s">
        <v>83</v>
      </c>
      <c r="AR29" s="35" t="s">
        <v>83</v>
      </c>
      <c r="AS29" s="35" t="s">
        <v>83</v>
      </c>
      <c r="AT29" s="35" t="s">
        <v>83</v>
      </c>
      <c r="AU29" s="35" t="s">
        <v>83</v>
      </c>
    </row>
    <row r="30" spans="1:50" ht="30">
      <c r="B30" s="99" t="s">
        <v>133</v>
      </c>
      <c r="C30" s="99" t="s">
        <v>66</v>
      </c>
      <c r="D30" s="100" t="s">
        <v>85</v>
      </c>
      <c r="E30" s="100" t="s">
        <v>86</v>
      </c>
      <c r="F30" s="100" t="s">
        <v>87</v>
      </c>
      <c r="G30" s="100" t="s">
        <v>88</v>
      </c>
      <c r="H30" s="100" t="s">
        <v>89</v>
      </c>
      <c r="I30" s="101">
        <v>1</v>
      </c>
      <c r="J30" s="101">
        <v>2</v>
      </c>
      <c r="K30" s="101">
        <v>3</v>
      </c>
      <c r="L30" s="101">
        <v>4</v>
      </c>
      <c r="M30" s="101">
        <v>5</v>
      </c>
      <c r="N30" s="102" t="s">
        <v>134</v>
      </c>
      <c r="O30" s="103" t="s">
        <v>135</v>
      </c>
      <c r="P30" s="104" t="s">
        <v>136</v>
      </c>
      <c r="Q30" s="102" t="s">
        <v>137</v>
      </c>
      <c r="R30" s="105" t="s">
        <v>138</v>
      </c>
      <c r="S30" s="106" t="s">
        <v>139</v>
      </c>
      <c r="T30" s="107" t="s">
        <v>140</v>
      </c>
      <c r="U30" s="103" t="s">
        <v>135</v>
      </c>
      <c r="V30" s="104" t="s">
        <v>141</v>
      </c>
      <c r="W30" s="102" t="s">
        <v>142</v>
      </c>
      <c r="X30" s="105" t="s">
        <v>143</v>
      </c>
      <c r="Y30" s="106" t="s">
        <v>144</v>
      </c>
      <c r="Z30" s="107" t="s">
        <v>145</v>
      </c>
      <c r="AA30" s="103" t="s">
        <v>135</v>
      </c>
      <c r="AB30" s="104" t="s">
        <v>146</v>
      </c>
      <c r="AC30" s="102" t="s">
        <v>147</v>
      </c>
      <c r="AD30" s="105" t="s">
        <v>148</v>
      </c>
      <c r="AE30" s="106" t="s">
        <v>149</v>
      </c>
      <c r="AF30" s="107" t="s">
        <v>150</v>
      </c>
      <c r="AG30" s="103" t="s">
        <v>135</v>
      </c>
      <c r="AH30" s="104" t="s">
        <v>151</v>
      </c>
      <c r="AI30" s="102" t="s">
        <v>152</v>
      </c>
      <c r="AJ30" s="105" t="s">
        <v>153</v>
      </c>
      <c r="AK30" s="106" t="s">
        <v>154</v>
      </c>
      <c r="AL30" s="107" t="s">
        <v>155</v>
      </c>
      <c r="AM30" s="103" t="s">
        <v>135</v>
      </c>
      <c r="AN30" s="104" t="s">
        <v>156</v>
      </c>
      <c r="AO30" s="102" t="s">
        <v>157</v>
      </c>
      <c r="AP30" s="105" t="s">
        <v>158</v>
      </c>
      <c r="AQ30" s="106" t="s">
        <v>159</v>
      </c>
      <c r="AR30" s="107" t="s">
        <v>160</v>
      </c>
      <c r="AS30" s="108" t="s">
        <v>161</v>
      </c>
      <c r="AT30" s="109" t="s">
        <v>94</v>
      </c>
      <c r="AU30" s="110" t="s">
        <v>162</v>
      </c>
    </row>
    <row r="31" spans="1:50">
      <c r="A31" s="74"/>
      <c r="B31" s="19" cm="1">
        <f t="array" ref="B31:B32">_xlfn._xlws.FILTER($B$46:$B$165,($AU$46:$AU$165&lt;=$B$19))</f>
        <v>62</v>
      </c>
      <c r="C31" s="111" t="str">
        <f t="array" ref="C31:AU31">IF(B31="","",INDEX($C$46:$AU$165,MATCH(B31,$B$46:$B$165,0),0))</f>
        <v>Entrance</v>
      </c>
      <c r="D31" s="112" t="str">
        <v>Enchanted Airways</v>
      </c>
      <c r="E31" s="112" t="str">
        <v>Revenge of the Mummy</v>
      </c>
      <c r="F31" s="112" t="str">
        <v>Battlestar Galactica: Cylon</v>
      </c>
      <c r="G31" s="112" t="str">
        <v>Transformers The Ride</v>
      </c>
      <c r="H31" s="112" t="str">
        <v>Battlestart Galactica: Human</v>
      </c>
      <c r="I31" s="112">
        <v>3</v>
      </c>
      <c r="J31" s="112">
        <v>4</v>
      </c>
      <c r="K31" s="112">
        <v>1</v>
      </c>
      <c r="L31" s="112">
        <v>5</v>
      </c>
      <c r="M31" s="112">
        <v>2</v>
      </c>
      <c r="N31" s="113">
        <v>0.5</v>
      </c>
      <c r="O31" s="114">
        <v>0</v>
      </c>
      <c r="P31" s="115">
        <v>4.8611111111111112E-3</v>
      </c>
      <c r="Q31" s="113">
        <v>0.50486111111111109</v>
      </c>
      <c r="R31" s="116">
        <v>1.3888888888888888E-2</v>
      </c>
      <c r="S31" s="117">
        <v>6.9444444444444447E-4</v>
      </c>
      <c r="T31" s="118">
        <v>0.51944444444444438</v>
      </c>
      <c r="U31" s="114">
        <v>0</v>
      </c>
      <c r="V31" s="115">
        <v>4.8611111111111112E-3</v>
      </c>
      <c r="W31" s="113">
        <v>0.52430555555555547</v>
      </c>
      <c r="X31" s="116">
        <v>1.0416666666666666E-2</v>
      </c>
      <c r="Y31" s="117">
        <v>2.0833333333333333E-3</v>
      </c>
      <c r="Z31" s="118">
        <v>0.53680555555555542</v>
      </c>
      <c r="AA31" s="114">
        <v>0</v>
      </c>
      <c r="AB31" s="115">
        <v>2.7777777777777779E-3</v>
      </c>
      <c r="AC31" s="113">
        <v>0.53958333333333319</v>
      </c>
      <c r="AD31" s="116">
        <v>1.7361111111111112E-2</v>
      </c>
      <c r="AE31" s="117">
        <v>1.3888888888888889E-3</v>
      </c>
      <c r="AF31" s="118">
        <v>0.55833333333333324</v>
      </c>
      <c r="AG31" s="114">
        <v>1</v>
      </c>
      <c r="AH31" s="115">
        <v>2.7777777777777779E-3</v>
      </c>
      <c r="AI31" s="113">
        <v>0.64444444444444438</v>
      </c>
      <c r="AJ31" s="116">
        <v>2.4305555555555552E-2</v>
      </c>
      <c r="AK31" s="117">
        <v>3.4722222222222225E-3</v>
      </c>
      <c r="AL31" s="118">
        <v>0.67222222222222217</v>
      </c>
      <c r="AM31" s="114">
        <v>0</v>
      </c>
      <c r="AN31" s="115">
        <v>2.7777777777777779E-3</v>
      </c>
      <c r="AO31" s="113">
        <v>0.67499999999999993</v>
      </c>
      <c r="AP31" s="116">
        <v>4.1666666666666664E-2</v>
      </c>
      <c r="AQ31" s="117">
        <v>1.3888888888888889E-3</v>
      </c>
      <c r="AR31" s="118">
        <v>0.71805555555555545</v>
      </c>
      <c r="AS31" s="119">
        <v>1.8055555555555557E-2</v>
      </c>
      <c r="AT31" s="119">
        <v>0.10763888888888887</v>
      </c>
      <c r="AU31" s="119">
        <v>0.12569444444444441</v>
      </c>
    </row>
    <row r="32" spans="1:50">
      <c r="A32" s="74"/>
      <c r="B32" s="19">
        <v>64</v>
      </c>
      <c r="C32" s="111" t="str">
        <f t="array" ref="C32:AU32">IF(B32="","",INDEX($C$46:$AU$165,MATCH(B32,$B$46:$B$165,0),0))</f>
        <v>Entrance</v>
      </c>
      <c r="D32" s="112" t="str">
        <v>Enchanted Airways</v>
      </c>
      <c r="E32" s="112" t="str">
        <v>Revenge of the Mummy</v>
      </c>
      <c r="F32" s="112" t="str">
        <v>Battlestart Galactica: Human</v>
      </c>
      <c r="G32" s="112" t="str">
        <v>Transformers The Ride</v>
      </c>
      <c r="H32" s="112" t="str">
        <v>Battlestar Galactica: Cylon</v>
      </c>
      <c r="I32" s="112">
        <v>3</v>
      </c>
      <c r="J32" s="112">
        <v>4</v>
      </c>
      <c r="K32" s="112">
        <v>2</v>
      </c>
      <c r="L32" s="112">
        <v>5</v>
      </c>
      <c r="M32" s="112">
        <v>1</v>
      </c>
      <c r="N32" s="113">
        <v>0.5</v>
      </c>
      <c r="O32" s="114">
        <v>0</v>
      </c>
      <c r="P32" s="115">
        <v>4.8611111111111112E-3</v>
      </c>
      <c r="Q32" s="113">
        <v>0.50486111111111109</v>
      </c>
      <c r="R32" s="116">
        <v>1.3888888888888888E-2</v>
      </c>
      <c r="S32" s="117">
        <v>6.9444444444444447E-4</v>
      </c>
      <c r="T32" s="118">
        <v>0.51944444444444438</v>
      </c>
      <c r="U32" s="114">
        <v>0</v>
      </c>
      <c r="V32" s="115">
        <v>4.8611111111111112E-3</v>
      </c>
      <c r="W32" s="113">
        <v>0.52430555555555547</v>
      </c>
      <c r="X32" s="116">
        <v>1.0416666666666666E-2</v>
      </c>
      <c r="Y32" s="117">
        <v>2.0833333333333333E-3</v>
      </c>
      <c r="Z32" s="118">
        <v>0.53680555555555542</v>
      </c>
      <c r="AA32" s="114">
        <v>0</v>
      </c>
      <c r="AB32" s="115">
        <v>2.7777777777777779E-3</v>
      </c>
      <c r="AC32" s="113">
        <v>0.53958333333333319</v>
      </c>
      <c r="AD32" s="116">
        <v>2.4305555555555552E-2</v>
      </c>
      <c r="AE32" s="117">
        <v>1.3888888888888889E-3</v>
      </c>
      <c r="AF32" s="118">
        <v>0.56527777777777766</v>
      </c>
      <c r="AG32" s="114">
        <v>1</v>
      </c>
      <c r="AH32" s="115">
        <v>2.7777777777777779E-3</v>
      </c>
      <c r="AI32" s="113">
        <v>0.6513888888888888</v>
      </c>
      <c r="AJ32" s="116">
        <v>2.4305555555555552E-2</v>
      </c>
      <c r="AK32" s="117">
        <v>3.4722222222222225E-3</v>
      </c>
      <c r="AL32" s="118">
        <v>0.67916666666666659</v>
      </c>
      <c r="AM32" s="114">
        <v>0</v>
      </c>
      <c r="AN32" s="115">
        <v>2.7777777777777779E-3</v>
      </c>
      <c r="AO32" s="113">
        <v>0.68194444444444435</v>
      </c>
      <c r="AP32" s="116">
        <v>3.4722222222222224E-2</v>
      </c>
      <c r="AQ32" s="117">
        <v>1.3888888888888889E-3</v>
      </c>
      <c r="AR32" s="118">
        <v>0.71805555555555545</v>
      </c>
      <c r="AS32" s="119">
        <v>1.8055555555555557E-2</v>
      </c>
      <c r="AT32" s="119">
        <v>0.10763888888888888</v>
      </c>
      <c r="AU32" s="119">
        <v>0.12569444444444444</v>
      </c>
    </row>
    <row r="33" spans="1:80">
      <c r="A33" s="74"/>
      <c r="B33" s="19"/>
      <c r="C33" s="111" t="str">
        <f t="array" ref="C33:AU33">IF(B33="","",INDEX($C$46:$AU$165,MATCH(B33,$B$46:$B$165,0),0))</f>
        <v/>
      </c>
      <c r="D33" s="112" t="str">
        <v/>
      </c>
      <c r="E33" s="112" t="str">
        <v/>
      </c>
      <c r="F33" s="112" t="str">
        <v/>
      </c>
      <c r="G33" s="112" t="str">
        <v/>
      </c>
      <c r="H33" s="112" t="str">
        <v/>
      </c>
      <c r="I33" s="112" t="str">
        <v/>
      </c>
      <c r="J33" s="112" t="str">
        <v/>
      </c>
      <c r="K33" s="112" t="str">
        <v/>
      </c>
      <c r="L33" s="112" t="str">
        <v/>
      </c>
      <c r="M33" s="112" t="str">
        <v/>
      </c>
      <c r="N33" s="113" t="str">
        <v/>
      </c>
      <c r="O33" s="114" t="str">
        <v/>
      </c>
      <c r="P33" s="115" t="str">
        <v/>
      </c>
      <c r="Q33" s="113" t="str">
        <v/>
      </c>
      <c r="R33" s="116" t="str">
        <v/>
      </c>
      <c r="S33" s="117" t="str">
        <v/>
      </c>
      <c r="T33" s="118" t="str">
        <v/>
      </c>
      <c r="U33" s="114" t="str">
        <v/>
      </c>
      <c r="V33" s="115" t="str">
        <v/>
      </c>
      <c r="W33" s="113" t="str">
        <v/>
      </c>
      <c r="X33" s="116" t="str">
        <v/>
      </c>
      <c r="Y33" s="117" t="str">
        <v/>
      </c>
      <c r="Z33" s="118" t="str">
        <v/>
      </c>
      <c r="AA33" s="114" t="str">
        <v/>
      </c>
      <c r="AB33" s="115" t="str">
        <v/>
      </c>
      <c r="AC33" s="113" t="str">
        <v/>
      </c>
      <c r="AD33" s="116" t="str">
        <v/>
      </c>
      <c r="AE33" s="117" t="str">
        <v/>
      </c>
      <c r="AF33" s="118" t="str">
        <v/>
      </c>
      <c r="AG33" s="114" t="str">
        <v/>
      </c>
      <c r="AH33" s="115" t="str">
        <v/>
      </c>
      <c r="AI33" s="113" t="str">
        <v/>
      </c>
      <c r="AJ33" s="116" t="str">
        <v/>
      </c>
      <c r="AK33" s="117" t="str">
        <v/>
      </c>
      <c r="AL33" s="118" t="str">
        <v/>
      </c>
      <c r="AM33" s="114" t="str">
        <v/>
      </c>
      <c r="AN33" s="115" t="str">
        <v/>
      </c>
      <c r="AO33" s="113" t="str">
        <v/>
      </c>
      <c r="AP33" s="116" t="str">
        <v/>
      </c>
      <c r="AQ33" s="117" t="str">
        <v/>
      </c>
      <c r="AR33" s="118" t="str">
        <v/>
      </c>
      <c r="AS33" s="119" t="str">
        <v/>
      </c>
      <c r="AT33" s="119" t="str">
        <v/>
      </c>
      <c r="AU33" s="119" t="str">
        <v/>
      </c>
    </row>
    <row r="34" spans="1:80">
      <c r="B34" s="19"/>
      <c r="C34" s="111" t="str">
        <f t="array" ref="C34:AU34">IF(B34="","",INDEX($C$46:$AU$165,MATCH(B34,$B$46:$B$165,0),0))</f>
        <v/>
      </c>
      <c r="D34" s="112" t="str">
        <v/>
      </c>
      <c r="E34" s="112" t="str">
        <v/>
      </c>
      <c r="F34" s="112" t="str">
        <v/>
      </c>
      <c r="G34" s="112" t="str">
        <v/>
      </c>
      <c r="H34" s="112" t="str">
        <v/>
      </c>
      <c r="I34" s="112" t="str">
        <v/>
      </c>
      <c r="J34" s="112" t="str">
        <v/>
      </c>
      <c r="K34" s="112" t="str">
        <v/>
      </c>
      <c r="L34" s="112" t="str">
        <v/>
      </c>
      <c r="M34" s="112" t="str">
        <v/>
      </c>
      <c r="N34" s="113" t="str">
        <v/>
      </c>
      <c r="O34" s="114" t="str">
        <v/>
      </c>
      <c r="P34" s="115" t="str">
        <v/>
      </c>
      <c r="Q34" s="113" t="str">
        <v/>
      </c>
      <c r="R34" s="116" t="str">
        <v/>
      </c>
      <c r="S34" s="117" t="str">
        <v/>
      </c>
      <c r="T34" s="118" t="str">
        <v/>
      </c>
      <c r="U34" s="114" t="str">
        <v/>
      </c>
      <c r="V34" s="115" t="str">
        <v/>
      </c>
      <c r="W34" s="113" t="str">
        <v/>
      </c>
      <c r="X34" s="116" t="str">
        <v/>
      </c>
      <c r="Y34" s="117" t="str">
        <v/>
      </c>
      <c r="Z34" s="118" t="str">
        <v/>
      </c>
      <c r="AA34" s="114" t="str">
        <v/>
      </c>
      <c r="AB34" s="115" t="str">
        <v/>
      </c>
      <c r="AC34" s="113" t="str">
        <v/>
      </c>
      <c r="AD34" s="116" t="str">
        <v/>
      </c>
      <c r="AE34" s="117" t="str">
        <v/>
      </c>
      <c r="AF34" s="118" t="str">
        <v/>
      </c>
      <c r="AG34" s="114" t="str">
        <v/>
      </c>
      <c r="AH34" s="115" t="str">
        <v/>
      </c>
      <c r="AI34" s="113" t="str">
        <v/>
      </c>
      <c r="AJ34" s="116" t="str">
        <v/>
      </c>
      <c r="AK34" s="117" t="str">
        <v/>
      </c>
      <c r="AL34" s="118" t="str">
        <v/>
      </c>
      <c r="AM34" s="114" t="str">
        <v/>
      </c>
      <c r="AN34" s="115" t="str">
        <v/>
      </c>
      <c r="AO34" s="113" t="str">
        <v/>
      </c>
      <c r="AP34" s="116" t="str">
        <v/>
      </c>
      <c r="AQ34" s="117" t="str">
        <v/>
      </c>
      <c r="AR34" s="118" t="str">
        <v/>
      </c>
      <c r="AS34" s="119" t="str">
        <v/>
      </c>
      <c r="AT34" s="119" t="str">
        <v/>
      </c>
      <c r="AU34" s="119" t="str">
        <v/>
      </c>
    </row>
    <row r="35" spans="1:80">
      <c r="B35" s="19"/>
      <c r="C35" s="111" t="str">
        <f t="array" ref="C35:AU35">IF(B35="","",INDEX($C$46:$AU$165,MATCH(B35,$B$46:$B$165,0),0))</f>
        <v/>
      </c>
      <c r="D35" s="112" t="str">
        <v/>
      </c>
      <c r="E35" s="112" t="str">
        <v/>
      </c>
      <c r="F35" s="112" t="str">
        <v/>
      </c>
      <c r="G35" s="112" t="str">
        <v/>
      </c>
      <c r="H35" s="112" t="str">
        <v/>
      </c>
      <c r="I35" s="112" t="str">
        <v/>
      </c>
      <c r="J35" s="112" t="str">
        <v/>
      </c>
      <c r="K35" s="112" t="str">
        <v/>
      </c>
      <c r="L35" s="112" t="str">
        <v/>
      </c>
      <c r="M35" s="112" t="str">
        <v/>
      </c>
      <c r="N35" s="113" t="str">
        <v/>
      </c>
      <c r="O35" s="114" t="str">
        <v/>
      </c>
      <c r="P35" s="115" t="str">
        <v/>
      </c>
      <c r="Q35" s="113" t="str">
        <v/>
      </c>
      <c r="R35" s="116" t="str">
        <v/>
      </c>
      <c r="S35" s="117" t="str">
        <v/>
      </c>
      <c r="T35" s="118" t="str">
        <v/>
      </c>
      <c r="U35" s="114" t="str">
        <v/>
      </c>
      <c r="V35" s="115" t="str">
        <v/>
      </c>
      <c r="W35" s="113" t="str">
        <v/>
      </c>
      <c r="X35" s="116" t="str">
        <v/>
      </c>
      <c r="Y35" s="117" t="str">
        <v/>
      </c>
      <c r="Z35" s="118" t="str">
        <v/>
      </c>
      <c r="AA35" s="114" t="str">
        <v/>
      </c>
      <c r="AB35" s="115" t="str">
        <v/>
      </c>
      <c r="AC35" s="113" t="str">
        <v/>
      </c>
      <c r="AD35" s="116" t="str">
        <v/>
      </c>
      <c r="AE35" s="117" t="str">
        <v/>
      </c>
      <c r="AF35" s="118" t="str">
        <v/>
      </c>
      <c r="AG35" s="114" t="str">
        <v/>
      </c>
      <c r="AH35" s="115" t="str">
        <v/>
      </c>
      <c r="AI35" s="113" t="str">
        <v/>
      </c>
      <c r="AJ35" s="116" t="str">
        <v/>
      </c>
      <c r="AK35" s="117" t="str">
        <v/>
      </c>
      <c r="AL35" s="118" t="str">
        <v/>
      </c>
      <c r="AM35" s="114" t="str">
        <v/>
      </c>
      <c r="AN35" s="115" t="str">
        <v/>
      </c>
      <c r="AO35" s="113" t="str">
        <v/>
      </c>
      <c r="AP35" s="116" t="str">
        <v/>
      </c>
      <c r="AQ35" s="117" t="str">
        <v/>
      </c>
      <c r="AR35" s="118" t="str">
        <v/>
      </c>
      <c r="AS35" s="119" t="str">
        <v/>
      </c>
      <c r="AT35" s="119" t="str">
        <v/>
      </c>
      <c r="AU35" s="119" t="str">
        <v/>
      </c>
    </row>
    <row r="36" spans="1:80">
      <c r="B36" s="19"/>
      <c r="C36" s="111" t="str">
        <f t="array" ref="C36:AU36">IF(B36="","",INDEX($C$46:$AU$165,MATCH(B36,$B$46:$B$165,0),0))</f>
        <v/>
      </c>
      <c r="D36" s="112" t="str">
        <v/>
      </c>
      <c r="E36" s="112" t="str">
        <v/>
      </c>
      <c r="F36" s="112" t="str">
        <v/>
      </c>
      <c r="G36" s="112" t="str">
        <v/>
      </c>
      <c r="H36" s="112" t="str">
        <v/>
      </c>
      <c r="I36" s="112" t="str">
        <v/>
      </c>
      <c r="J36" s="112" t="str">
        <v/>
      </c>
      <c r="K36" s="112" t="str">
        <v/>
      </c>
      <c r="L36" s="112" t="str">
        <v/>
      </c>
      <c r="M36" s="112" t="str">
        <v/>
      </c>
      <c r="N36" s="113" t="str">
        <v/>
      </c>
      <c r="O36" s="114" t="str">
        <v/>
      </c>
      <c r="P36" s="115" t="str">
        <v/>
      </c>
      <c r="Q36" s="113" t="str">
        <v/>
      </c>
      <c r="R36" s="116" t="str">
        <v/>
      </c>
      <c r="S36" s="117" t="str">
        <v/>
      </c>
      <c r="T36" s="118" t="str">
        <v/>
      </c>
      <c r="U36" s="114" t="str">
        <v/>
      </c>
      <c r="V36" s="115" t="str">
        <v/>
      </c>
      <c r="W36" s="113" t="str">
        <v/>
      </c>
      <c r="X36" s="116" t="str">
        <v/>
      </c>
      <c r="Y36" s="117" t="str">
        <v/>
      </c>
      <c r="Z36" s="118" t="str">
        <v/>
      </c>
      <c r="AA36" s="114" t="str">
        <v/>
      </c>
      <c r="AB36" s="115" t="str">
        <v/>
      </c>
      <c r="AC36" s="113" t="str">
        <v/>
      </c>
      <c r="AD36" s="116" t="str">
        <v/>
      </c>
      <c r="AE36" s="117" t="str">
        <v/>
      </c>
      <c r="AF36" s="118" t="str">
        <v/>
      </c>
      <c r="AG36" s="114" t="str">
        <v/>
      </c>
      <c r="AH36" s="115" t="str">
        <v/>
      </c>
      <c r="AI36" s="113" t="str">
        <v/>
      </c>
      <c r="AJ36" s="116" t="str">
        <v/>
      </c>
      <c r="AK36" s="117" t="str">
        <v/>
      </c>
      <c r="AL36" s="118" t="str">
        <v/>
      </c>
      <c r="AM36" s="114" t="str">
        <v/>
      </c>
      <c r="AN36" s="115" t="str">
        <v/>
      </c>
      <c r="AO36" s="113" t="str">
        <v/>
      </c>
      <c r="AP36" s="116" t="str">
        <v/>
      </c>
      <c r="AQ36" s="117" t="str">
        <v/>
      </c>
      <c r="AR36" s="118" t="str">
        <v/>
      </c>
      <c r="AS36" s="119" t="str">
        <v/>
      </c>
      <c r="AT36" s="119" t="str">
        <v/>
      </c>
      <c r="AU36" s="119" t="str">
        <v/>
      </c>
    </row>
    <row r="37" spans="1:80">
      <c r="B37" s="19"/>
      <c r="C37" s="111" t="str">
        <f t="array" ref="C37:AU37">IF(B37="","",INDEX($C$46:$AU$165,MATCH(B37,$B$46:$B$165,0),0))</f>
        <v/>
      </c>
      <c r="D37" s="112" t="str">
        <v/>
      </c>
      <c r="E37" s="112" t="str">
        <v/>
      </c>
      <c r="F37" s="112" t="str">
        <v/>
      </c>
      <c r="G37" s="112" t="str">
        <v/>
      </c>
      <c r="H37" s="112" t="str">
        <v/>
      </c>
      <c r="I37" s="112" t="str">
        <v/>
      </c>
      <c r="J37" s="112" t="str">
        <v/>
      </c>
      <c r="K37" s="112" t="str">
        <v/>
      </c>
      <c r="L37" s="112" t="str">
        <v/>
      </c>
      <c r="M37" s="112" t="str">
        <v/>
      </c>
      <c r="N37" s="113" t="str">
        <v/>
      </c>
      <c r="O37" s="114" t="str">
        <v/>
      </c>
      <c r="P37" s="115" t="str">
        <v/>
      </c>
      <c r="Q37" s="113" t="str">
        <v/>
      </c>
      <c r="R37" s="116" t="str">
        <v/>
      </c>
      <c r="S37" s="117" t="str">
        <v/>
      </c>
      <c r="T37" s="118" t="str">
        <v/>
      </c>
      <c r="U37" s="114" t="str">
        <v/>
      </c>
      <c r="V37" s="115" t="str">
        <v/>
      </c>
      <c r="W37" s="113" t="str">
        <v/>
      </c>
      <c r="X37" s="116" t="str">
        <v/>
      </c>
      <c r="Y37" s="117" t="str">
        <v/>
      </c>
      <c r="Z37" s="118" t="str">
        <v/>
      </c>
      <c r="AA37" s="114" t="str">
        <v/>
      </c>
      <c r="AB37" s="115" t="str">
        <v/>
      </c>
      <c r="AC37" s="113" t="str">
        <v/>
      </c>
      <c r="AD37" s="116" t="str">
        <v/>
      </c>
      <c r="AE37" s="117" t="str">
        <v/>
      </c>
      <c r="AF37" s="118" t="str">
        <v/>
      </c>
      <c r="AG37" s="114" t="str">
        <v/>
      </c>
      <c r="AH37" s="115" t="str">
        <v/>
      </c>
      <c r="AI37" s="113" t="str">
        <v/>
      </c>
      <c r="AJ37" s="116" t="str">
        <v/>
      </c>
      <c r="AK37" s="117" t="str">
        <v/>
      </c>
      <c r="AL37" s="118" t="str">
        <v/>
      </c>
      <c r="AM37" s="114" t="str">
        <v/>
      </c>
      <c r="AN37" s="115" t="str">
        <v/>
      </c>
      <c r="AO37" s="113" t="str">
        <v/>
      </c>
      <c r="AP37" s="116" t="str">
        <v/>
      </c>
      <c r="AQ37" s="117" t="str">
        <v/>
      </c>
      <c r="AR37" s="118" t="str">
        <v/>
      </c>
      <c r="AS37" s="119" t="str">
        <v/>
      </c>
      <c r="AT37" s="119" t="str">
        <v/>
      </c>
      <c r="AU37" s="119" t="str">
        <v/>
      </c>
    </row>
    <row r="38" spans="1:80">
      <c r="B38" s="19"/>
      <c r="C38" s="111" t="str">
        <f t="array" ref="C38:AU38">IF(B38="","",INDEX($C$46:$AU$165,MATCH(B38,$B$46:$B$165,0),0))</f>
        <v/>
      </c>
      <c r="D38" s="112" t="str">
        <v/>
      </c>
      <c r="E38" s="112" t="str">
        <v/>
      </c>
      <c r="F38" s="112" t="str">
        <v/>
      </c>
      <c r="G38" s="112" t="str">
        <v/>
      </c>
      <c r="H38" s="112" t="str">
        <v/>
      </c>
      <c r="I38" s="112" t="str">
        <v/>
      </c>
      <c r="J38" s="112" t="str">
        <v/>
      </c>
      <c r="K38" s="112" t="str">
        <v/>
      </c>
      <c r="L38" s="112" t="str">
        <v/>
      </c>
      <c r="M38" s="112" t="str">
        <v/>
      </c>
      <c r="N38" s="113" t="str">
        <v/>
      </c>
      <c r="O38" s="114" t="str">
        <v/>
      </c>
      <c r="P38" s="115" t="str">
        <v/>
      </c>
      <c r="Q38" s="113" t="str">
        <v/>
      </c>
      <c r="R38" s="116" t="str">
        <v/>
      </c>
      <c r="S38" s="117" t="str">
        <v/>
      </c>
      <c r="T38" s="118" t="str">
        <v/>
      </c>
      <c r="U38" s="114" t="str">
        <v/>
      </c>
      <c r="V38" s="115" t="str">
        <v/>
      </c>
      <c r="W38" s="113" t="str">
        <v/>
      </c>
      <c r="X38" s="116" t="str">
        <v/>
      </c>
      <c r="Y38" s="117" t="str">
        <v/>
      </c>
      <c r="Z38" s="118" t="str">
        <v/>
      </c>
      <c r="AA38" s="114" t="str">
        <v/>
      </c>
      <c r="AB38" s="115" t="str">
        <v/>
      </c>
      <c r="AC38" s="113" t="str">
        <v/>
      </c>
      <c r="AD38" s="116" t="str">
        <v/>
      </c>
      <c r="AE38" s="117" t="str">
        <v/>
      </c>
      <c r="AF38" s="118" t="str">
        <v/>
      </c>
      <c r="AG38" s="114" t="str">
        <v/>
      </c>
      <c r="AH38" s="115" t="str">
        <v/>
      </c>
      <c r="AI38" s="113" t="str">
        <v/>
      </c>
      <c r="AJ38" s="116" t="str">
        <v/>
      </c>
      <c r="AK38" s="117" t="str">
        <v/>
      </c>
      <c r="AL38" s="118" t="str">
        <v/>
      </c>
      <c r="AM38" s="114" t="str">
        <v/>
      </c>
      <c r="AN38" s="115" t="str">
        <v/>
      </c>
      <c r="AO38" s="113" t="str">
        <v/>
      </c>
      <c r="AP38" s="116" t="str">
        <v/>
      </c>
      <c r="AQ38" s="117" t="str">
        <v/>
      </c>
      <c r="AR38" s="118" t="str">
        <v/>
      </c>
      <c r="AS38" s="119" t="str">
        <v/>
      </c>
      <c r="AT38" s="119" t="str">
        <v/>
      </c>
      <c r="AU38" s="119" t="str">
        <v/>
      </c>
    </row>
    <row r="39" spans="1:80">
      <c r="B39" s="19"/>
      <c r="C39" s="111" t="str">
        <f t="array" ref="C39:AU39">IF(B39="","",INDEX($C$46:$AU$165,MATCH(B39,$B$46:$B$165,0),0))</f>
        <v/>
      </c>
      <c r="D39" s="112" t="str">
        <v/>
      </c>
      <c r="E39" s="112" t="str">
        <v/>
      </c>
      <c r="F39" s="112" t="str">
        <v/>
      </c>
      <c r="G39" s="112" t="str">
        <v/>
      </c>
      <c r="H39" s="112" t="str">
        <v/>
      </c>
      <c r="I39" s="112" t="str">
        <v/>
      </c>
      <c r="J39" s="112" t="str">
        <v/>
      </c>
      <c r="K39" s="112" t="str">
        <v/>
      </c>
      <c r="L39" s="112" t="str">
        <v/>
      </c>
      <c r="M39" s="112" t="str">
        <v/>
      </c>
      <c r="N39" s="113" t="str">
        <v/>
      </c>
      <c r="O39" s="114" t="str">
        <v/>
      </c>
      <c r="P39" s="115" t="str">
        <v/>
      </c>
      <c r="Q39" s="113" t="str">
        <v/>
      </c>
      <c r="R39" s="116" t="str">
        <v/>
      </c>
      <c r="S39" s="117" t="str">
        <v/>
      </c>
      <c r="T39" s="118" t="str">
        <v/>
      </c>
      <c r="U39" s="114" t="str">
        <v/>
      </c>
      <c r="V39" s="115" t="str">
        <v/>
      </c>
      <c r="W39" s="113" t="str">
        <v/>
      </c>
      <c r="X39" s="116" t="str">
        <v/>
      </c>
      <c r="Y39" s="117" t="str">
        <v/>
      </c>
      <c r="Z39" s="118" t="str">
        <v/>
      </c>
      <c r="AA39" s="114" t="str">
        <v/>
      </c>
      <c r="AB39" s="115" t="str">
        <v/>
      </c>
      <c r="AC39" s="113" t="str">
        <v/>
      </c>
      <c r="AD39" s="116" t="str">
        <v/>
      </c>
      <c r="AE39" s="117" t="str">
        <v/>
      </c>
      <c r="AF39" s="118" t="str">
        <v/>
      </c>
      <c r="AG39" s="114" t="str">
        <v/>
      </c>
      <c r="AH39" s="115" t="str">
        <v/>
      </c>
      <c r="AI39" s="113" t="str">
        <v/>
      </c>
      <c r="AJ39" s="116" t="str">
        <v/>
      </c>
      <c r="AK39" s="117" t="str">
        <v/>
      </c>
      <c r="AL39" s="118" t="str">
        <v/>
      </c>
      <c r="AM39" s="114" t="str">
        <v/>
      </c>
      <c r="AN39" s="115" t="str">
        <v/>
      </c>
      <c r="AO39" s="113" t="str">
        <v/>
      </c>
      <c r="AP39" s="116" t="str">
        <v/>
      </c>
      <c r="AQ39" s="117" t="str">
        <v/>
      </c>
      <c r="AR39" s="118" t="str">
        <v/>
      </c>
      <c r="AS39" s="119" t="str">
        <v/>
      </c>
      <c r="AT39" s="119" t="str">
        <v/>
      </c>
      <c r="AU39" s="119" t="str">
        <v/>
      </c>
    </row>
    <row r="40" spans="1:80">
      <c r="B40" s="19"/>
      <c r="C40" s="111" t="str">
        <f t="array" ref="C40:AU40">IF(B40="","",INDEX($C$46:$AU$165,MATCH(B40,$B$46:$B$165,0),0))</f>
        <v/>
      </c>
      <c r="D40" s="112" t="str">
        <v/>
      </c>
      <c r="E40" s="112" t="str">
        <v/>
      </c>
      <c r="F40" s="112" t="str">
        <v/>
      </c>
      <c r="G40" s="112" t="str">
        <v/>
      </c>
      <c r="H40" s="112" t="str">
        <v/>
      </c>
      <c r="I40" s="112" t="str">
        <v/>
      </c>
      <c r="J40" s="112" t="str">
        <v/>
      </c>
      <c r="K40" s="112" t="str">
        <v/>
      </c>
      <c r="L40" s="112" t="str">
        <v/>
      </c>
      <c r="M40" s="112" t="str">
        <v/>
      </c>
      <c r="N40" s="113" t="str">
        <v/>
      </c>
      <c r="O40" s="114" t="str">
        <v/>
      </c>
      <c r="P40" s="115" t="str">
        <v/>
      </c>
      <c r="Q40" s="113" t="str">
        <v/>
      </c>
      <c r="R40" s="116" t="str">
        <v/>
      </c>
      <c r="S40" s="117" t="str">
        <v/>
      </c>
      <c r="T40" s="118" t="str">
        <v/>
      </c>
      <c r="U40" s="114" t="str">
        <v/>
      </c>
      <c r="V40" s="115" t="str">
        <v/>
      </c>
      <c r="W40" s="113" t="str">
        <v/>
      </c>
      <c r="X40" s="116" t="str">
        <v/>
      </c>
      <c r="Y40" s="117" t="str">
        <v/>
      </c>
      <c r="Z40" s="118" t="str">
        <v/>
      </c>
      <c r="AA40" s="114" t="str">
        <v/>
      </c>
      <c r="AB40" s="115" t="str">
        <v/>
      </c>
      <c r="AC40" s="113" t="str">
        <v/>
      </c>
      <c r="AD40" s="116" t="str">
        <v/>
      </c>
      <c r="AE40" s="117" t="str">
        <v/>
      </c>
      <c r="AF40" s="118" t="str">
        <v/>
      </c>
      <c r="AG40" s="114" t="str">
        <v/>
      </c>
      <c r="AH40" s="115" t="str">
        <v/>
      </c>
      <c r="AI40" s="113" t="str">
        <v/>
      </c>
      <c r="AJ40" s="116" t="str">
        <v/>
      </c>
      <c r="AK40" s="117" t="str">
        <v/>
      </c>
      <c r="AL40" s="118" t="str">
        <v/>
      </c>
      <c r="AM40" s="114" t="str">
        <v/>
      </c>
      <c r="AN40" s="115" t="str">
        <v/>
      </c>
      <c r="AO40" s="113" t="str">
        <v/>
      </c>
      <c r="AP40" s="116" t="str">
        <v/>
      </c>
      <c r="AQ40" s="117" t="str">
        <v/>
      </c>
      <c r="AR40" s="118" t="str">
        <v/>
      </c>
      <c r="AS40" s="119" t="str">
        <v/>
      </c>
      <c r="AT40" s="119" t="str">
        <v/>
      </c>
      <c r="AU40" s="119" t="str">
        <v/>
      </c>
    </row>
    <row r="42" spans="1:80">
      <c r="G42" s="65"/>
    </row>
    <row r="43" spans="1:80">
      <c r="B43" s="8" t="s">
        <v>163</v>
      </c>
      <c r="AW43" s="65"/>
    </row>
    <row r="44" spans="1:80">
      <c r="B44" s="35" t="s">
        <v>164</v>
      </c>
      <c r="C44" s="35">
        <v>5</v>
      </c>
      <c r="D44" s="35"/>
      <c r="E44" s="35"/>
      <c r="F44" s="35"/>
      <c r="G44" s="35"/>
      <c r="H44" s="35"/>
      <c r="I44" s="35"/>
      <c r="J44" s="35"/>
      <c r="K44" s="35"/>
      <c r="L44" s="35"/>
      <c r="M44" s="35"/>
      <c r="N44" s="35" t="s">
        <v>83</v>
      </c>
      <c r="O44" s="35" t="s">
        <v>132</v>
      </c>
      <c r="P44" s="35" t="s">
        <v>83</v>
      </c>
      <c r="Q44" s="35" t="s">
        <v>83</v>
      </c>
      <c r="R44" s="35" t="s">
        <v>83</v>
      </c>
      <c r="S44" s="35" t="s">
        <v>83</v>
      </c>
      <c r="T44" s="35" t="s">
        <v>83</v>
      </c>
      <c r="U44" s="35" t="s">
        <v>132</v>
      </c>
      <c r="V44" s="35" t="s">
        <v>83</v>
      </c>
      <c r="W44" s="35" t="s">
        <v>83</v>
      </c>
      <c r="X44" s="35" t="s">
        <v>83</v>
      </c>
      <c r="Y44" s="35" t="s">
        <v>83</v>
      </c>
      <c r="Z44" s="35" t="s">
        <v>83</v>
      </c>
      <c r="AA44" s="35" t="s">
        <v>132</v>
      </c>
      <c r="AB44" s="35" t="s">
        <v>83</v>
      </c>
      <c r="AC44" s="35" t="s">
        <v>83</v>
      </c>
      <c r="AD44" s="35" t="s">
        <v>83</v>
      </c>
      <c r="AE44" s="35" t="s">
        <v>83</v>
      </c>
      <c r="AF44" s="35" t="s">
        <v>83</v>
      </c>
      <c r="AG44" s="35" t="s">
        <v>132</v>
      </c>
      <c r="AH44" s="35" t="s">
        <v>83</v>
      </c>
      <c r="AI44" s="35" t="s">
        <v>83</v>
      </c>
      <c r="AJ44" s="35" t="s">
        <v>83</v>
      </c>
      <c r="AK44" s="35" t="s">
        <v>83</v>
      </c>
      <c r="AL44" s="35" t="s">
        <v>83</v>
      </c>
      <c r="AM44" s="35" t="s">
        <v>132</v>
      </c>
      <c r="AN44" s="35" t="s">
        <v>83</v>
      </c>
      <c r="AO44" s="35" t="s">
        <v>83</v>
      </c>
      <c r="AP44" s="35" t="s">
        <v>83</v>
      </c>
      <c r="AQ44" s="35" t="s">
        <v>83</v>
      </c>
      <c r="AR44" s="35" t="s">
        <v>83</v>
      </c>
      <c r="AS44" s="35" t="s">
        <v>83</v>
      </c>
      <c r="AT44" s="35" t="s">
        <v>83</v>
      </c>
      <c r="AU44" s="35" t="s">
        <v>83</v>
      </c>
    </row>
    <row r="45" spans="1:80" ht="30">
      <c r="B45" s="99" t="s">
        <v>133</v>
      </c>
      <c r="C45" s="99" t="s">
        <v>66</v>
      </c>
      <c r="D45" s="100" t="s">
        <v>85</v>
      </c>
      <c r="E45" s="100" t="s">
        <v>86</v>
      </c>
      <c r="F45" s="100" t="s">
        <v>87</v>
      </c>
      <c r="G45" s="100" t="s">
        <v>88</v>
      </c>
      <c r="H45" s="100" t="s">
        <v>89</v>
      </c>
      <c r="I45" s="101">
        <v>1</v>
      </c>
      <c r="J45" s="101">
        <v>2</v>
      </c>
      <c r="K45" s="101">
        <v>3</v>
      </c>
      <c r="L45" s="101">
        <v>4</v>
      </c>
      <c r="M45" s="101">
        <v>5</v>
      </c>
      <c r="N45" s="102" t="s">
        <v>134</v>
      </c>
      <c r="O45" s="103" t="s">
        <v>135</v>
      </c>
      <c r="P45" s="104" t="s">
        <v>136</v>
      </c>
      <c r="Q45" s="102" t="s">
        <v>137</v>
      </c>
      <c r="R45" s="105" t="s">
        <v>138</v>
      </c>
      <c r="S45" s="106" t="s">
        <v>139</v>
      </c>
      <c r="T45" s="107" t="s">
        <v>140</v>
      </c>
      <c r="U45" s="103" t="s">
        <v>135</v>
      </c>
      <c r="V45" s="104" t="s">
        <v>141</v>
      </c>
      <c r="W45" s="102" t="s">
        <v>142</v>
      </c>
      <c r="X45" s="105" t="s">
        <v>143</v>
      </c>
      <c r="Y45" s="106" t="s">
        <v>144</v>
      </c>
      <c r="Z45" s="107" t="s">
        <v>145</v>
      </c>
      <c r="AA45" s="103" t="s">
        <v>135</v>
      </c>
      <c r="AB45" s="104" t="s">
        <v>146</v>
      </c>
      <c r="AC45" s="102" t="s">
        <v>147</v>
      </c>
      <c r="AD45" s="105" t="s">
        <v>148</v>
      </c>
      <c r="AE45" s="106" t="s">
        <v>149</v>
      </c>
      <c r="AF45" s="107" t="s">
        <v>150</v>
      </c>
      <c r="AG45" s="103" t="s">
        <v>135</v>
      </c>
      <c r="AH45" s="104" t="s">
        <v>151</v>
      </c>
      <c r="AI45" s="102" t="s">
        <v>152</v>
      </c>
      <c r="AJ45" s="105" t="s">
        <v>153</v>
      </c>
      <c r="AK45" s="106" t="s">
        <v>154</v>
      </c>
      <c r="AL45" s="107" t="s">
        <v>155</v>
      </c>
      <c r="AM45" s="103" t="s">
        <v>135</v>
      </c>
      <c r="AN45" s="104" t="s">
        <v>156</v>
      </c>
      <c r="AO45" s="102" t="s">
        <v>157</v>
      </c>
      <c r="AP45" s="105" t="s">
        <v>158</v>
      </c>
      <c r="AQ45" s="106" t="s">
        <v>159</v>
      </c>
      <c r="AR45" s="107" t="s">
        <v>160</v>
      </c>
      <c r="AS45" s="108" t="s">
        <v>161</v>
      </c>
      <c r="AT45" s="109" t="s">
        <v>94</v>
      </c>
      <c r="AU45" s="110" t="s">
        <v>162</v>
      </c>
    </row>
    <row r="46" spans="1:80">
      <c r="B46" s="111">
        <v>1</v>
      </c>
      <c r="C46" s="111" t="s">
        <v>66</v>
      </c>
      <c r="D46" s="112" t="str">
        <f>IF($D$12=$C$44,HLOOKUP(I46,$D$9:$H$10,2,FALSE),"")</f>
        <v>Battlestar Galactica: Cylon</v>
      </c>
      <c r="E46" s="112" t="str">
        <f t="shared" ref="E46:H61" si="1">IF($D$12=$C$44,HLOOKUP(J46,$D$9:$H$10,2,FALSE),"")</f>
        <v>Battlestart Galactica: Human</v>
      </c>
      <c r="F46" s="112" t="str">
        <f t="shared" si="1"/>
        <v>Enchanted Airways</v>
      </c>
      <c r="G46" s="112" t="str">
        <f t="shared" si="1"/>
        <v>Revenge of the Mummy</v>
      </c>
      <c r="H46" s="112" t="str">
        <f t="shared" si="1"/>
        <v>Transformers The Ride</v>
      </c>
      <c r="I46" s="112">
        <v>1</v>
      </c>
      <c r="J46" s="112">
        <v>2</v>
      </c>
      <c r="K46" s="112">
        <v>3</v>
      </c>
      <c r="L46" s="112">
        <v>4</v>
      </c>
      <c r="M46" s="112">
        <v>5</v>
      </c>
      <c r="N46" s="113">
        <f>$D$6</f>
        <v>0.5</v>
      </c>
      <c r="O46" s="114">
        <f>IF($G$4="No",0,IF(N46&gt;=$G$5,1,0))</f>
        <v>0</v>
      </c>
      <c r="P46" s="115">
        <f>IF($D$5="Average",INDEX(Tbl_Walk_Avg[#All],MATCH('Model 2 - Permutations'!C46,Tbl_Walk_Avg[[#All],[Ride]],0),MATCH('Model 2 - Permutations'!D46,Tbl_Walk_Avg[#Headers],0)),INDEX(Tbl_Walk_Leisure[#All],MATCH('Model 2 - Permutations'!C46,Tbl_Walk_Leisure[[#All],[Ride]],0),MATCH('Model 2 - Permutations'!D46,Tbl_Walk_Leisure[#Headers],0)))</f>
        <v>6.9444444444444449E-3</v>
      </c>
      <c r="Q46" s="113">
        <f>IF((N46+O46*$G$6+P46)&gt;$D$7,"",N46+O46*$G$6+P46)</f>
        <v>0.50694444444444442</v>
      </c>
      <c r="R46" s="116">
        <f>IF(Q46="","",IF($D$14="Weekday",INDEX(Tbl_Wait_Wkday[#All],MATCH('Model 2 - Permutations'!Q46,Tbl_Wait_Wkday[[#All],[Time]],1),MATCH('Model 2 - Permutations'!D46,Tbl_Wait_Wkday[#Headers],0)),INDEX(Tbl_Wait_Wkend[#All],MATCH('Model 2 - Permutations'!Q46,Tbl_Wait_Wkend[[#All],[Time]],1),MATCH('Model 2 - Permutations'!D46,Tbl_Wait_Wkend[#Headers],0))))</f>
        <v>1.7361111111111112E-2</v>
      </c>
      <c r="S46" s="117">
        <f>IF(R46="","",VLOOKUP(D46,Tbl_Ride[#Data],2,FALSE))</f>
        <v>1.3888888888888889E-3</v>
      </c>
      <c r="T46" s="118">
        <f>IF(S46="","",Q46+R46+S46)</f>
        <v>0.52569444444444446</v>
      </c>
      <c r="U46" s="114">
        <f>IF(T46="","",IF($G$4="No",0,IF(O46=1,0,IF(T46&gt;=$G$5,1,0))))</f>
        <v>0</v>
      </c>
      <c r="V46" s="115">
        <f>IF(U46="","",IF($D$5="Average",INDEX(Tbl_Walk_Avg[#All],MATCH('Model 2 - Permutations'!D46,Tbl_Walk_Avg[[#All],[Ride]],0),MATCH('Model 2 - Permutations'!E46,Tbl_Walk_Avg[#Headers],0)),INDEX(Tbl_Walk_Leisure[#All],MATCH('Model 2 - Permutations'!D46,Tbl_Walk_Leisure[[#All],[Ride]],0),MATCH('Model 2 - Permutations'!E46,Tbl_Walk_Leisure[#Headers],0))))</f>
        <v>0</v>
      </c>
      <c r="W46" s="113">
        <f>IF(V46="","",IF((T46+U46*$G$6+V46)&gt;$D$7,"",T46+U46*$G$6+V46))</f>
        <v>0.52569444444444446</v>
      </c>
      <c r="X46" s="116">
        <f>IF(W46="","",IF($D$14="Weekday",INDEX(Tbl_Wait_Wkday[#All],MATCH('Model 2 - Permutations'!W46,Tbl_Wait_Wkday[[#All],[Time]],1),MATCH('Model 2 - Permutations'!E46,Tbl_Wait_Wkday[#Headers],0)),INDEX(Tbl_Wait_Wkend[#All],MATCH('Model 2 - Permutations'!W46,Tbl_Wait_Wkend[[#All],[Time]],1),MATCH('Model 2 - Permutations'!E46,Tbl_Wait_Wkend[#Headers],0))))</f>
        <v>2.4305555555555552E-2</v>
      </c>
      <c r="Y46" s="117">
        <f>IF(X46="","",VLOOKUP(E46,Tbl_Ride[#Data],2,FALSE))</f>
        <v>1.3888888888888889E-3</v>
      </c>
      <c r="Z46" s="118">
        <f>IF(Y46="","",W46+X46+Y46)</f>
        <v>0.55138888888888893</v>
      </c>
      <c r="AA46" s="114">
        <f>IF(Z46="","",IF($G$4="No",0,IF((O46+U46)=1,0,IF(Z46&gt;=$G$5,1,0))))</f>
        <v>1</v>
      </c>
      <c r="AB46" s="115">
        <f>IF(AA46="","",IF($D$5="Average",INDEX(Tbl_Walk_Avg[#All],MATCH('Model 2 - Permutations'!E46,Tbl_Walk_Avg[[#All],[Ride]],0),MATCH('Model 2 - Permutations'!F46,Tbl_Walk_Avg[#Headers],0)),INDEX(Tbl_Walk_Leisure[#All],MATCH('Model 2 - Permutations'!E46,Tbl_Walk_Leisure[[#All],[Ride]],0),MATCH('Model 2 - Permutations'!F46,Tbl_Walk_Leisure[#Headers],0))))</f>
        <v>6.2500000000000003E-3</v>
      </c>
      <c r="AC46" s="113">
        <f>IF(AB46="","",IF((Z46+AA46*$G$6+AB46)&gt;$D$7,"",Z46+AA46*$G$6+AB46))</f>
        <v>0.64097222222222228</v>
      </c>
      <c r="AD46" s="116">
        <f>IF(AC46="","",IF($D$14="Weekday",INDEX(Tbl_Wait_Wkday[#All],MATCH('Model 2 - Permutations'!AC46,Tbl_Wait_Wkday[[#All],[Time]],1),MATCH('Model 2 - Permutations'!F46,Tbl_Wait_Wkday[#Headers],0)),INDEX(Tbl_Wait_Wkend[#All],MATCH('Model 2 - Permutations'!AC46,Tbl_Wait_Wkend[[#All],[Time]],1),MATCH('Model 2 - Permutations'!F46,Tbl_Wait_Wkend[#Headers],0))))</f>
        <v>1.3888888888888888E-2</v>
      </c>
      <c r="AE46" s="117">
        <f>IF(AD46="","",VLOOKUP(F46,Tbl_Ride[#Data],2,FALSE))</f>
        <v>6.9444444444444447E-4</v>
      </c>
      <c r="AF46" s="118">
        <f>IF(AE46="","",AC46+AD46+AE46)</f>
        <v>0.65555555555555556</v>
      </c>
      <c r="AG46" s="114">
        <f>IF(AF46="","",IF($G$4="No",0,IF((O46+U46+AA46)=1,0,IF(AF46&gt;=$G$5,1,0))))</f>
        <v>0</v>
      </c>
      <c r="AH46" s="115">
        <f>IF(AG46="","",IF($D$5="Average",INDEX(Tbl_Walk_Avg[#All],MATCH('Model 2 - Permutations'!F46,Tbl_Walk_Avg[[#All],[Ride]],0),MATCH('Model 2 - Permutations'!G46,Tbl_Walk_Avg[#Headers],0)),INDEX(Tbl_Walk_Leisure[#All],MATCH('Model 2 - Permutations'!F46,Tbl_Walk_Leisure[[#All],[Ride]],0),MATCH('Model 2 - Permutations'!G46,Tbl_Walk_Leisure[#Headers],0))))</f>
        <v>4.8611111111111112E-3</v>
      </c>
      <c r="AI46" s="113">
        <f>IF(AH46="","",IF((AF46+AG46*$G$6+AH46)&gt;$D$7,"",AF46+AG46*$G$6+AH46))</f>
        <v>0.66041666666666665</v>
      </c>
      <c r="AJ46" s="116">
        <f>IF(AI46="","",IF($D$14="Weekday",INDEX(Tbl_Wait_Wkday[#All],MATCH('Model 2 - Permutations'!AI46,Tbl_Wait_Wkday[[#All],[Time]],1),MATCH('Model 2 - Permutations'!G46,Tbl_Wait_Wkday[#Headers],0)),INDEX(Tbl_Wait_Wkend[#All],MATCH('Model 2 - Permutations'!AI46,Tbl_Wait_Wkend[[#All],[Time]],1),MATCH('Model 2 - Permutations'!G46,Tbl_Wait_Wkend[#Headers],0))))</f>
        <v>3.125E-2</v>
      </c>
      <c r="AK46" s="117">
        <f>IF(AJ46="","",VLOOKUP(G46,Tbl_Ride[#Data],2,FALSE))</f>
        <v>2.0833333333333333E-3</v>
      </c>
      <c r="AL46" s="118">
        <f>IF(AK46="","",AI46+AJ46+AK46)</f>
        <v>0.69374999999999998</v>
      </c>
      <c r="AM46" s="114">
        <f>IF(AL46="","",IF($G$4="No",0,IF((O46+U46+AA46+AG46)=1,0,IF(AL46&gt;=$G$5,1,0))))</f>
        <v>0</v>
      </c>
      <c r="AN46" s="115">
        <f>IF(AM46="","",IF($D$5="Average",INDEX(Tbl_Walk_Avg[#All],MATCH('Model 2 - Permutations'!G46,Tbl_Walk_Avg[[#All],[Ride]],0),MATCH('Model 2 - Permutations'!H46,Tbl_Walk_Avg[#Headers],0)),INDEX(Tbl_Walk_Leisure[#All],MATCH('Model 2 - Permutations'!G46,Tbl_Walk_Leisure[[#All],[Ride]],0),MATCH('Model 2 - Permutations'!H46,Tbl_Walk_Leisure[#Headers],0))))</f>
        <v>4.1666666666666666E-3</v>
      </c>
      <c r="AO46" s="113">
        <f>IF(AN46="","",IF((AL46+AM46*$G$6+AN46)&gt;$D$7,"",AL46+AM46*$G$6+AN46))</f>
        <v>0.69791666666666663</v>
      </c>
      <c r="AP46" s="116">
        <f>IF(AO46="","",IF($D$14="Weekday",INDEX(Tbl_Wait_Wkday[#All],MATCH('Model 2 - Permutations'!AO46,Tbl_Wait_Wkday[[#All],[Time]],1),MATCH('Model 2 - Permutations'!H46,Tbl_Wait_Wkday[#Headers],0)),INDEX(Tbl_Wait_Wkend[#All],MATCH('Model 2 - Permutations'!AO46,Tbl_Wait_Wkend[[#All],[Time]],1),MATCH('Model 2 - Permutations'!H46,Tbl_Wait_Wkend[#Headers],0))))</f>
        <v>2.4305555555555552E-2</v>
      </c>
      <c r="AQ46" s="117">
        <f>IF(AP46="","",VLOOKUP(H46,Tbl_Ride[#Data],2,FALSE))</f>
        <v>3.4722222222222225E-3</v>
      </c>
      <c r="AR46" s="118">
        <f>IF(AQ46="","",AO46+AP46+AQ46)</f>
        <v>0.72569444444444442</v>
      </c>
      <c r="AS46" s="119">
        <f>IF(AR46="",$R$5,IFERROR(P46+V46+AB46+AH46+AN46,$R$5))</f>
        <v>2.2222222222222223E-2</v>
      </c>
      <c r="AT46" s="119">
        <f>IFERROR(R46+X46+AD46+AJ46+AP46,$R$5)</f>
        <v>0.1111111111111111</v>
      </c>
      <c r="AU46" s="119">
        <f>IFERROR(SUM(AS46+AT46),$R$5)</f>
        <v>0.13333333333333333</v>
      </c>
    </row>
    <row r="47" spans="1:80">
      <c r="B47" s="111">
        <v>2</v>
      </c>
      <c r="C47" s="111" t="s">
        <v>66</v>
      </c>
      <c r="D47" s="112" t="str">
        <f t="shared" ref="D47:H109" si="2">IF($D$12=$C$44,HLOOKUP(I47,$D$9:$H$10,2,FALSE),"")</f>
        <v>Battlestar Galactica: Cylon</v>
      </c>
      <c r="E47" s="112" t="str">
        <f t="shared" si="1"/>
        <v>Battlestart Galactica: Human</v>
      </c>
      <c r="F47" s="112" t="str">
        <f t="shared" si="1"/>
        <v>Enchanted Airways</v>
      </c>
      <c r="G47" s="112" t="str">
        <f t="shared" si="1"/>
        <v>Transformers The Ride</v>
      </c>
      <c r="H47" s="112" t="str">
        <f t="shared" si="1"/>
        <v>Revenge of the Mummy</v>
      </c>
      <c r="I47" s="112">
        <v>1</v>
      </c>
      <c r="J47" s="112">
        <v>2</v>
      </c>
      <c r="K47" s="112">
        <v>3</v>
      </c>
      <c r="L47" s="112">
        <v>5</v>
      </c>
      <c r="M47" s="112">
        <v>4</v>
      </c>
      <c r="N47" s="113">
        <f t="shared" ref="N47:N110" si="3">$D$6</f>
        <v>0.5</v>
      </c>
      <c r="O47" s="114">
        <f t="shared" ref="O47:O110" si="4">IF($G$4="No",0,IF(N47&gt;=$G$5,1,0))</f>
        <v>0</v>
      </c>
      <c r="P47" s="115">
        <f>IF($D$5="Average",INDEX(Tbl_Walk_Avg[#All],MATCH('Model 2 - Permutations'!C47,Tbl_Walk_Avg[[#All],[Ride]],0),MATCH('Model 2 - Permutations'!D47,Tbl_Walk_Avg[#Headers],0)),INDEX(Tbl_Walk_Leisure[#All],MATCH('Model 2 - Permutations'!C47,Tbl_Walk_Leisure[[#All],[Ride]],0),MATCH('Model 2 - Permutations'!D47,Tbl_Walk_Leisure[#Headers],0)))</f>
        <v>6.9444444444444449E-3</v>
      </c>
      <c r="Q47" s="113">
        <f t="shared" ref="Q47:Q110" si="5">IF((N47+O47*$G$6+P47)&gt;$D$7,"",N47+O47*$G$6+P47)</f>
        <v>0.50694444444444442</v>
      </c>
      <c r="R47" s="116">
        <f>IF(Q47="","",IF($D$14="Weekday",INDEX(Tbl_Wait_Wkday[#All],MATCH('Model 2 - Permutations'!Q47,Tbl_Wait_Wkday[[#All],[Time]],1),MATCH('Model 2 - Permutations'!D47,Tbl_Wait_Wkday[#Headers],0)),INDEX(Tbl_Wait_Wkend[#All],MATCH('Model 2 - Permutations'!Q47,Tbl_Wait_Wkend[[#All],[Time]],1),MATCH('Model 2 - Permutations'!D47,Tbl_Wait_Wkend[#Headers],0))))</f>
        <v>1.7361111111111112E-2</v>
      </c>
      <c r="S47" s="117">
        <f>IF(R47="","",VLOOKUP(D47,Tbl_Ride[#Data],2,FALSE))</f>
        <v>1.3888888888888889E-3</v>
      </c>
      <c r="T47" s="118">
        <f t="shared" ref="T47:T110" si="6">IF(S47="","",Q47+R47+S47)</f>
        <v>0.52569444444444446</v>
      </c>
      <c r="U47" s="114">
        <f t="shared" ref="U47:U110" si="7">IF(T47="","",IF($G$4="No",0,IF(O47=1,0,IF(T47&gt;=$G$5,1,0))))</f>
        <v>0</v>
      </c>
      <c r="V47" s="115">
        <f>IF(U47="","",IF($D$5="Average",INDEX(Tbl_Walk_Avg[#All],MATCH('Model 2 - Permutations'!D47,Tbl_Walk_Avg[[#All],[Ride]],0),MATCH('Model 2 - Permutations'!E47,Tbl_Walk_Avg[#Headers],0)),INDEX(Tbl_Walk_Leisure[#All],MATCH('Model 2 - Permutations'!D47,Tbl_Walk_Leisure[[#All],[Ride]],0),MATCH('Model 2 - Permutations'!E47,Tbl_Walk_Leisure[#Headers],0))))</f>
        <v>0</v>
      </c>
      <c r="W47" s="113">
        <f t="shared" ref="W47:W110" si="8">IF(V47="","",IF((T47+U47*$G$6+V47)&gt;$D$7,"",T47+U47*$G$6+V47))</f>
        <v>0.52569444444444446</v>
      </c>
      <c r="X47" s="116">
        <f>IF(W47="","",IF($D$14="Weekday",INDEX(Tbl_Wait_Wkday[#All],MATCH('Model 2 - Permutations'!W47,Tbl_Wait_Wkday[[#All],[Time]],1),MATCH('Model 2 - Permutations'!E47,Tbl_Wait_Wkday[#Headers],0)),INDEX(Tbl_Wait_Wkend[#All],MATCH('Model 2 - Permutations'!W47,Tbl_Wait_Wkend[[#All],[Time]],1),MATCH('Model 2 - Permutations'!E47,Tbl_Wait_Wkend[#Headers],0))))</f>
        <v>2.4305555555555552E-2</v>
      </c>
      <c r="Y47" s="117">
        <f>IF(X47="","",VLOOKUP(E47,Tbl_Ride[#Data],2,FALSE))</f>
        <v>1.3888888888888889E-3</v>
      </c>
      <c r="Z47" s="118">
        <f t="shared" ref="Z47:Z110" si="9">IF(Y47="","",W47+X47+Y47)</f>
        <v>0.55138888888888893</v>
      </c>
      <c r="AA47" s="114">
        <f t="shared" ref="AA47:AA110" si="10">IF(Z47="","",IF($G$4="No",0,IF((O47+U47)=1,0,IF(Z47&gt;=$G$5,1,0))))</f>
        <v>1</v>
      </c>
      <c r="AB47" s="115">
        <f>IF(AA47="","",IF($D$5="Average",INDEX(Tbl_Walk_Avg[#All],MATCH('Model 2 - Permutations'!E47,Tbl_Walk_Avg[[#All],[Ride]],0),MATCH('Model 2 - Permutations'!F47,Tbl_Walk_Avg[#Headers],0)),INDEX(Tbl_Walk_Leisure[#All],MATCH('Model 2 - Permutations'!E47,Tbl_Walk_Leisure[[#All],[Ride]],0),MATCH('Model 2 - Permutations'!F47,Tbl_Walk_Leisure[#Headers],0))))</f>
        <v>6.2500000000000003E-3</v>
      </c>
      <c r="AC47" s="113">
        <f t="shared" ref="AC47:AC110" si="11">IF(AB47="","",IF((Z47+AA47*$G$6+AB47)&gt;$D$7,"",Z47+AA47*$G$6+AB47))</f>
        <v>0.64097222222222228</v>
      </c>
      <c r="AD47" s="116">
        <f>IF(AC47="","",IF($D$14="Weekday",INDEX(Tbl_Wait_Wkday[#All],MATCH('Model 2 - Permutations'!AC47,Tbl_Wait_Wkday[[#All],[Time]],1),MATCH('Model 2 - Permutations'!F47,Tbl_Wait_Wkday[#Headers],0)),INDEX(Tbl_Wait_Wkend[#All],MATCH('Model 2 - Permutations'!AC47,Tbl_Wait_Wkend[[#All],[Time]],1),MATCH('Model 2 - Permutations'!F47,Tbl_Wait_Wkend[#Headers],0))))</f>
        <v>1.3888888888888888E-2</v>
      </c>
      <c r="AE47" s="117">
        <f>IF(AD47="","",VLOOKUP(F47,Tbl_Ride[#Data],2,FALSE))</f>
        <v>6.9444444444444447E-4</v>
      </c>
      <c r="AF47" s="118">
        <f t="shared" ref="AF47:AF110" si="12">IF(AE47="","",AC47+AD47+AE47)</f>
        <v>0.65555555555555556</v>
      </c>
      <c r="AG47" s="114">
        <f t="shared" ref="AG47:AG110" si="13">IF(AF47="","",IF($G$4="No",0,IF((O47+U47+AA47)=1,0,IF(AF47&gt;=$G$5,1,0))))</f>
        <v>0</v>
      </c>
      <c r="AH47" s="115">
        <f>IF(AG47="","",IF($D$5="Average",INDEX(Tbl_Walk_Avg[#All],MATCH('Model 2 - Permutations'!F47,Tbl_Walk_Avg[[#All],[Ride]],0),MATCH('Model 2 - Permutations'!G47,Tbl_Walk_Avg[#Headers],0)),INDEX(Tbl_Walk_Leisure[#All],MATCH('Model 2 - Permutations'!F47,Tbl_Walk_Leisure[[#All],[Ride]],0),MATCH('Model 2 - Permutations'!G47,Tbl_Walk_Leisure[#Headers],0))))</f>
        <v>6.2500000000000003E-3</v>
      </c>
      <c r="AI47" s="113">
        <f t="shared" ref="AI47:AI110" si="14">IF(AH47="","",IF((AF47+AG47*$G$6+AH47)&gt;$D$7,"",AF47+AG47*$G$6+AH47))</f>
        <v>0.66180555555555554</v>
      </c>
      <c r="AJ47" s="116">
        <f>IF(AI47="","",IF($D$14="Weekday",INDEX(Tbl_Wait_Wkday[#All],MATCH('Model 2 - Permutations'!AI47,Tbl_Wait_Wkday[[#All],[Time]],1),MATCH('Model 2 - Permutations'!G47,Tbl_Wait_Wkday[#Headers],0)),INDEX(Tbl_Wait_Wkend[#All],MATCH('Model 2 - Permutations'!AI47,Tbl_Wait_Wkend[[#All],[Time]],1),MATCH('Model 2 - Permutations'!G47,Tbl_Wait_Wkend[#Headers],0))))</f>
        <v>2.4305555555555552E-2</v>
      </c>
      <c r="AK47" s="117">
        <f>IF(AJ47="","",VLOOKUP(G47,Tbl_Ride[#Data],2,FALSE))</f>
        <v>3.4722222222222225E-3</v>
      </c>
      <c r="AL47" s="118">
        <f t="shared" ref="AL47:AL110" si="15">IF(AK47="","",AI47+AJ47+AK47)</f>
        <v>0.68958333333333333</v>
      </c>
      <c r="AM47" s="114">
        <f t="shared" ref="AM47:AM110" si="16">IF(AL47="","",IF($G$4="No",0,IF((O47+U47+AA47+AG47)=1,0,IF(AL47&gt;=$G$5,1,0))))</f>
        <v>0</v>
      </c>
      <c r="AN47" s="115">
        <f>IF(AM47="","",IF($D$5="Average",INDEX(Tbl_Walk_Avg[#All],MATCH('Model 2 - Permutations'!G47,Tbl_Walk_Avg[[#All],[Ride]],0),MATCH('Model 2 - Permutations'!H47,Tbl_Walk_Avg[#Headers],0)),INDEX(Tbl_Walk_Leisure[#All],MATCH('Model 2 - Permutations'!G47,Tbl_Walk_Leisure[[#All],[Ride]],0),MATCH('Model 2 - Permutations'!H47,Tbl_Walk_Leisure[#Headers],0))))</f>
        <v>4.1666666666666666E-3</v>
      </c>
      <c r="AO47" s="113">
        <f t="shared" ref="AO47:AO110" si="17">IF(AN47="","",IF((AL47+AM47*$G$6+AN47)&gt;$D$7,"",AL47+AM47*$G$6+AN47))</f>
        <v>0.69374999999999998</v>
      </c>
      <c r="AP47" s="116">
        <f>IF(AO47="","",IF($D$14="Weekday",INDEX(Tbl_Wait_Wkday[#All],MATCH('Model 2 - Permutations'!AO47,Tbl_Wait_Wkday[[#All],[Time]],1),MATCH('Model 2 - Permutations'!H47,Tbl_Wait_Wkday[#Headers],0)),INDEX(Tbl_Wait_Wkend[#All],MATCH('Model 2 - Permutations'!AO47,Tbl_Wait_Wkend[[#All],[Time]],1),MATCH('Model 2 - Permutations'!H47,Tbl_Wait_Wkend[#Headers],0))))</f>
        <v>2.7777777777777776E-2</v>
      </c>
      <c r="AQ47" s="117">
        <f>IF(AP47="","",VLOOKUP(H47,Tbl_Ride[#Data],2,FALSE))</f>
        <v>2.0833333333333333E-3</v>
      </c>
      <c r="AR47" s="118">
        <f t="shared" ref="AR47:AR110" si="18">IF(AQ47="","",AO47+AP47+AQ47)</f>
        <v>0.72361111111111109</v>
      </c>
      <c r="AS47" s="119">
        <f t="shared" ref="AS47:AS110" si="19">IF(AR47="",$R$5,IFERROR(P47+V47+AB47+AH47+AN47,$R$5))</f>
        <v>2.361111111111111E-2</v>
      </c>
      <c r="AT47" s="119">
        <f t="shared" ref="AT47:AT110" si="20">IFERROR(R47+X47+AD47+AJ47+AP47,$R$5)</f>
        <v>0.10763888888888888</v>
      </c>
      <c r="AU47" s="119">
        <f t="shared" ref="AU47:AU110" si="21">IFERROR(SUM(AS47+AT47),$R$5)</f>
        <v>0.13124999999999998</v>
      </c>
      <c r="CB47" s="120"/>
    </row>
    <row r="48" spans="1:80">
      <c r="B48" s="111">
        <v>3</v>
      </c>
      <c r="C48" s="111" t="s">
        <v>66</v>
      </c>
      <c r="D48" s="112" t="str">
        <f t="shared" si="2"/>
        <v>Battlestar Galactica: Cylon</v>
      </c>
      <c r="E48" s="112" t="str">
        <f t="shared" si="1"/>
        <v>Battlestart Galactica: Human</v>
      </c>
      <c r="F48" s="112" t="str">
        <f t="shared" si="1"/>
        <v>Revenge of the Mummy</v>
      </c>
      <c r="G48" s="112" t="str">
        <f t="shared" si="1"/>
        <v>Enchanted Airways</v>
      </c>
      <c r="H48" s="112" t="str">
        <f t="shared" si="1"/>
        <v>Transformers The Ride</v>
      </c>
      <c r="I48" s="112">
        <v>1</v>
      </c>
      <c r="J48" s="112">
        <v>2</v>
      </c>
      <c r="K48" s="112">
        <v>4</v>
      </c>
      <c r="L48" s="112">
        <v>3</v>
      </c>
      <c r="M48" s="112">
        <v>5</v>
      </c>
      <c r="N48" s="113">
        <f t="shared" si="3"/>
        <v>0.5</v>
      </c>
      <c r="O48" s="114">
        <f t="shared" si="4"/>
        <v>0</v>
      </c>
      <c r="P48" s="115">
        <f>IF($D$5="Average",INDEX(Tbl_Walk_Avg[#All],MATCH('Model 2 - Permutations'!C48,Tbl_Walk_Avg[[#All],[Ride]],0),MATCH('Model 2 - Permutations'!D48,Tbl_Walk_Avg[#Headers],0)),INDEX(Tbl_Walk_Leisure[#All],MATCH('Model 2 - Permutations'!C48,Tbl_Walk_Leisure[[#All],[Ride]],0),MATCH('Model 2 - Permutations'!D48,Tbl_Walk_Leisure[#Headers],0)))</f>
        <v>6.9444444444444449E-3</v>
      </c>
      <c r="Q48" s="113">
        <f t="shared" si="5"/>
        <v>0.50694444444444442</v>
      </c>
      <c r="R48" s="116">
        <f>IF(Q48="","",IF($D$14="Weekday",INDEX(Tbl_Wait_Wkday[#All],MATCH('Model 2 - Permutations'!Q48,Tbl_Wait_Wkday[[#All],[Time]],1),MATCH('Model 2 - Permutations'!D48,Tbl_Wait_Wkday[#Headers],0)),INDEX(Tbl_Wait_Wkend[#All],MATCH('Model 2 - Permutations'!Q48,Tbl_Wait_Wkend[[#All],[Time]],1),MATCH('Model 2 - Permutations'!D48,Tbl_Wait_Wkend[#Headers],0))))</f>
        <v>1.7361111111111112E-2</v>
      </c>
      <c r="S48" s="117">
        <f>IF(R48="","",VLOOKUP(D48,Tbl_Ride[#Data],2,FALSE))</f>
        <v>1.3888888888888889E-3</v>
      </c>
      <c r="T48" s="118">
        <f t="shared" si="6"/>
        <v>0.52569444444444446</v>
      </c>
      <c r="U48" s="114">
        <f t="shared" si="7"/>
        <v>0</v>
      </c>
      <c r="V48" s="115">
        <f>IF(U48="","",IF($D$5="Average",INDEX(Tbl_Walk_Avg[#All],MATCH('Model 2 - Permutations'!D48,Tbl_Walk_Avg[[#All],[Ride]],0),MATCH('Model 2 - Permutations'!E48,Tbl_Walk_Avg[#Headers],0)),INDEX(Tbl_Walk_Leisure[#All],MATCH('Model 2 - Permutations'!D48,Tbl_Walk_Leisure[[#All],[Ride]],0),MATCH('Model 2 - Permutations'!E48,Tbl_Walk_Leisure[#Headers],0))))</f>
        <v>0</v>
      </c>
      <c r="W48" s="113">
        <f t="shared" si="8"/>
        <v>0.52569444444444446</v>
      </c>
      <c r="X48" s="116">
        <f>IF(W48="","",IF($D$14="Weekday",INDEX(Tbl_Wait_Wkday[#All],MATCH('Model 2 - Permutations'!W48,Tbl_Wait_Wkday[[#All],[Time]],1),MATCH('Model 2 - Permutations'!E48,Tbl_Wait_Wkday[#Headers],0)),INDEX(Tbl_Wait_Wkend[#All],MATCH('Model 2 - Permutations'!W48,Tbl_Wait_Wkend[[#All],[Time]],1),MATCH('Model 2 - Permutations'!E48,Tbl_Wait_Wkend[#Headers],0))))</f>
        <v>2.4305555555555552E-2</v>
      </c>
      <c r="Y48" s="117">
        <f>IF(X48="","",VLOOKUP(E48,Tbl_Ride[#Data],2,FALSE))</f>
        <v>1.3888888888888889E-3</v>
      </c>
      <c r="Z48" s="118">
        <f t="shared" si="9"/>
        <v>0.55138888888888893</v>
      </c>
      <c r="AA48" s="114">
        <f t="shared" si="10"/>
        <v>1</v>
      </c>
      <c r="AB48" s="115">
        <f>IF(AA48="","",IF($D$5="Average",INDEX(Tbl_Walk_Avg[#All],MATCH('Model 2 - Permutations'!E48,Tbl_Walk_Avg[[#All],[Ride]],0),MATCH('Model 2 - Permutations'!F48,Tbl_Walk_Avg[#Headers],0)),INDEX(Tbl_Walk_Leisure[#All],MATCH('Model 2 - Permutations'!E48,Tbl_Walk_Leisure[[#All],[Ride]],0),MATCH('Model 2 - Permutations'!F48,Tbl_Walk_Leisure[#Headers],0))))</f>
        <v>2.7777777777777779E-3</v>
      </c>
      <c r="AC48" s="113">
        <f t="shared" si="11"/>
        <v>0.63750000000000007</v>
      </c>
      <c r="AD48" s="116">
        <f>IF(AC48="","",IF($D$14="Weekday",INDEX(Tbl_Wait_Wkday[#All],MATCH('Model 2 - Permutations'!AC48,Tbl_Wait_Wkday[[#All],[Time]],1),MATCH('Model 2 - Permutations'!F48,Tbl_Wait_Wkday[#Headers],0)),INDEX(Tbl_Wait_Wkend[#All],MATCH('Model 2 - Permutations'!AC48,Tbl_Wait_Wkend[[#All],[Time]],1),MATCH('Model 2 - Permutations'!F48,Tbl_Wait_Wkend[#Headers],0))))</f>
        <v>3.125E-2</v>
      </c>
      <c r="AE48" s="117">
        <f>IF(AD48="","",VLOOKUP(F48,Tbl_Ride[#Data],2,FALSE))</f>
        <v>2.0833333333333333E-3</v>
      </c>
      <c r="AF48" s="118">
        <f t="shared" si="12"/>
        <v>0.67083333333333339</v>
      </c>
      <c r="AG48" s="114">
        <f t="shared" si="13"/>
        <v>0</v>
      </c>
      <c r="AH48" s="115">
        <f>IF(AG48="","",IF($D$5="Average",INDEX(Tbl_Walk_Avg[#All],MATCH('Model 2 - Permutations'!F48,Tbl_Walk_Avg[[#All],[Ride]],0),MATCH('Model 2 - Permutations'!G48,Tbl_Walk_Avg[#Headers],0)),INDEX(Tbl_Walk_Leisure[#All],MATCH('Model 2 - Permutations'!F48,Tbl_Walk_Leisure[[#All],[Ride]],0),MATCH('Model 2 - Permutations'!G48,Tbl_Walk_Leisure[#Headers],0))))</f>
        <v>4.8611111111111112E-3</v>
      </c>
      <c r="AI48" s="113">
        <f t="shared" si="14"/>
        <v>0.67569444444444449</v>
      </c>
      <c r="AJ48" s="116">
        <f>IF(AI48="","",IF($D$14="Weekday",INDEX(Tbl_Wait_Wkday[#All],MATCH('Model 2 - Permutations'!AI48,Tbl_Wait_Wkday[[#All],[Time]],1),MATCH('Model 2 - Permutations'!G48,Tbl_Wait_Wkday[#Headers],0)),INDEX(Tbl_Wait_Wkend[#All],MATCH('Model 2 - Permutations'!AI48,Tbl_Wait_Wkend[[#All],[Time]],1),MATCH('Model 2 - Permutations'!G48,Tbl_Wait_Wkend[#Headers],0))))</f>
        <v>1.7361111111111112E-2</v>
      </c>
      <c r="AK48" s="117">
        <f>IF(AJ48="","",VLOOKUP(G48,Tbl_Ride[#Data],2,FALSE))</f>
        <v>6.9444444444444447E-4</v>
      </c>
      <c r="AL48" s="118">
        <f t="shared" si="15"/>
        <v>0.69375000000000009</v>
      </c>
      <c r="AM48" s="114">
        <f t="shared" si="16"/>
        <v>0</v>
      </c>
      <c r="AN48" s="115">
        <f>IF(AM48="","",IF($D$5="Average",INDEX(Tbl_Walk_Avg[#All],MATCH('Model 2 - Permutations'!G48,Tbl_Walk_Avg[[#All],[Ride]],0),MATCH('Model 2 - Permutations'!H48,Tbl_Walk_Avg[#Headers],0)),INDEX(Tbl_Walk_Leisure[#All],MATCH('Model 2 - Permutations'!G48,Tbl_Walk_Leisure[[#All],[Ride]],0),MATCH('Model 2 - Permutations'!H48,Tbl_Walk_Leisure[#Headers],0))))</f>
        <v>6.2500000000000003E-3</v>
      </c>
      <c r="AO48" s="113">
        <f t="shared" si="17"/>
        <v>0.70000000000000007</v>
      </c>
      <c r="AP48" s="116">
        <f>IF(AO48="","",IF($D$14="Weekday",INDEX(Tbl_Wait_Wkday[#All],MATCH('Model 2 - Permutations'!AO48,Tbl_Wait_Wkday[[#All],[Time]],1),MATCH('Model 2 - Permutations'!H48,Tbl_Wait_Wkday[#Headers],0)),INDEX(Tbl_Wait_Wkend[#All],MATCH('Model 2 - Permutations'!AO48,Tbl_Wait_Wkend[[#All],[Time]],1),MATCH('Model 2 - Permutations'!H48,Tbl_Wait_Wkend[#Headers],0))))</f>
        <v>2.4305555555555552E-2</v>
      </c>
      <c r="AQ48" s="117">
        <f>IF(AP48="","",VLOOKUP(H48,Tbl_Ride[#Data],2,FALSE))</f>
        <v>3.4722222222222225E-3</v>
      </c>
      <c r="AR48" s="118">
        <f t="shared" si="18"/>
        <v>0.72777777777777786</v>
      </c>
      <c r="AS48" s="119">
        <f t="shared" si="19"/>
        <v>2.0833333333333336E-2</v>
      </c>
      <c r="AT48" s="119">
        <f t="shared" si="20"/>
        <v>0.11458333333333331</v>
      </c>
      <c r="AU48" s="119">
        <f t="shared" si="21"/>
        <v>0.13541666666666666</v>
      </c>
    </row>
    <row r="49" spans="2:47">
      <c r="B49" s="111">
        <v>4</v>
      </c>
      <c r="C49" s="111" t="s">
        <v>66</v>
      </c>
      <c r="D49" s="112" t="str">
        <f t="shared" si="2"/>
        <v>Battlestar Galactica: Cylon</v>
      </c>
      <c r="E49" s="112" t="str">
        <f t="shared" si="1"/>
        <v>Battlestart Galactica: Human</v>
      </c>
      <c r="F49" s="112" t="str">
        <f t="shared" si="1"/>
        <v>Revenge of the Mummy</v>
      </c>
      <c r="G49" s="112" t="str">
        <f t="shared" si="1"/>
        <v>Transformers The Ride</v>
      </c>
      <c r="H49" s="112" t="str">
        <f t="shared" si="1"/>
        <v>Enchanted Airways</v>
      </c>
      <c r="I49" s="112">
        <v>1</v>
      </c>
      <c r="J49" s="112">
        <v>2</v>
      </c>
      <c r="K49" s="112">
        <v>4</v>
      </c>
      <c r="L49" s="112">
        <v>5</v>
      </c>
      <c r="M49" s="112">
        <v>3</v>
      </c>
      <c r="N49" s="113">
        <f t="shared" si="3"/>
        <v>0.5</v>
      </c>
      <c r="O49" s="114">
        <f t="shared" si="4"/>
        <v>0</v>
      </c>
      <c r="P49" s="115">
        <f>IF($D$5="Average",INDEX(Tbl_Walk_Avg[#All],MATCH('Model 2 - Permutations'!C49,Tbl_Walk_Avg[[#All],[Ride]],0),MATCH('Model 2 - Permutations'!D49,Tbl_Walk_Avg[#Headers],0)),INDEX(Tbl_Walk_Leisure[#All],MATCH('Model 2 - Permutations'!C49,Tbl_Walk_Leisure[[#All],[Ride]],0),MATCH('Model 2 - Permutations'!D49,Tbl_Walk_Leisure[#Headers],0)))</f>
        <v>6.9444444444444449E-3</v>
      </c>
      <c r="Q49" s="113">
        <f t="shared" si="5"/>
        <v>0.50694444444444442</v>
      </c>
      <c r="R49" s="116">
        <f>IF(Q49="","",IF($D$14="Weekday",INDEX(Tbl_Wait_Wkday[#All],MATCH('Model 2 - Permutations'!Q49,Tbl_Wait_Wkday[[#All],[Time]],1),MATCH('Model 2 - Permutations'!D49,Tbl_Wait_Wkday[#Headers],0)),INDEX(Tbl_Wait_Wkend[#All],MATCH('Model 2 - Permutations'!Q49,Tbl_Wait_Wkend[[#All],[Time]],1),MATCH('Model 2 - Permutations'!D49,Tbl_Wait_Wkend[#Headers],0))))</f>
        <v>1.7361111111111112E-2</v>
      </c>
      <c r="S49" s="117">
        <f>IF(R49="","",VLOOKUP(D49,Tbl_Ride[#Data],2,FALSE))</f>
        <v>1.3888888888888889E-3</v>
      </c>
      <c r="T49" s="118">
        <f t="shared" si="6"/>
        <v>0.52569444444444446</v>
      </c>
      <c r="U49" s="114">
        <f t="shared" si="7"/>
        <v>0</v>
      </c>
      <c r="V49" s="115">
        <f>IF(U49="","",IF($D$5="Average",INDEX(Tbl_Walk_Avg[#All],MATCH('Model 2 - Permutations'!D49,Tbl_Walk_Avg[[#All],[Ride]],0),MATCH('Model 2 - Permutations'!E49,Tbl_Walk_Avg[#Headers],0)),INDEX(Tbl_Walk_Leisure[#All],MATCH('Model 2 - Permutations'!D49,Tbl_Walk_Leisure[[#All],[Ride]],0),MATCH('Model 2 - Permutations'!E49,Tbl_Walk_Leisure[#Headers],0))))</f>
        <v>0</v>
      </c>
      <c r="W49" s="113">
        <f t="shared" si="8"/>
        <v>0.52569444444444446</v>
      </c>
      <c r="X49" s="116">
        <f>IF(W49="","",IF($D$14="Weekday",INDEX(Tbl_Wait_Wkday[#All],MATCH('Model 2 - Permutations'!W49,Tbl_Wait_Wkday[[#All],[Time]],1),MATCH('Model 2 - Permutations'!E49,Tbl_Wait_Wkday[#Headers],0)),INDEX(Tbl_Wait_Wkend[#All],MATCH('Model 2 - Permutations'!W49,Tbl_Wait_Wkend[[#All],[Time]],1),MATCH('Model 2 - Permutations'!E49,Tbl_Wait_Wkend[#Headers],0))))</f>
        <v>2.4305555555555552E-2</v>
      </c>
      <c r="Y49" s="117">
        <f>IF(X49="","",VLOOKUP(E49,Tbl_Ride[#Data],2,FALSE))</f>
        <v>1.3888888888888889E-3</v>
      </c>
      <c r="Z49" s="118">
        <f t="shared" si="9"/>
        <v>0.55138888888888893</v>
      </c>
      <c r="AA49" s="114">
        <f t="shared" si="10"/>
        <v>1</v>
      </c>
      <c r="AB49" s="115">
        <f>IF(AA49="","",IF($D$5="Average",INDEX(Tbl_Walk_Avg[#All],MATCH('Model 2 - Permutations'!E49,Tbl_Walk_Avg[[#All],[Ride]],0),MATCH('Model 2 - Permutations'!F49,Tbl_Walk_Avg[#Headers],0)),INDEX(Tbl_Walk_Leisure[#All],MATCH('Model 2 - Permutations'!E49,Tbl_Walk_Leisure[[#All],[Ride]],0),MATCH('Model 2 - Permutations'!F49,Tbl_Walk_Leisure[#Headers],0))))</f>
        <v>2.7777777777777779E-3</v>
      </c>
      <c r="AC49" s="113">
        <f t="shared" si="11"/>
        <v>0.63750000000000007</v>
      </c>
      <c r="AD49" s="116">
        <f>IF(AC49="","",IF($D$14="Weekday",INDEX(Tbl_Wait_Wkday[#All],MATCH('Model 2 - Permutations'!AC49,Tbl_Wait_Wkday[[#All],[Time]],1),MATCH('Model 2 - Permutations'!F49,Tbl_Wait_Wkday[#Headers],0)),INDEX(Tbl_Wait_Wkend[#All],MATCH('Model 2 - Permutations'!AC49,Tbl_Wait_Wkend[[#All],[Time]],1),MATCH('Model 2 - Permutations'!F49,Tbl_Wait_Wkend[#Headers],0))))</f>
        <v>3.125E-2</v>
      </c>
      <c r="AE49" s="117">
        <f>IF(AD49="","",VLOOKUP(F49,Tbl_Ride[#Data],2,FALSE))</f>
        <v>2.0833333333333333E-3</v>
      </c>
      <c r="AF49" s="118">
        <f t="shared" si="12"/>
        <v>0.67083333333333339</v>
      </c>
      <c r="AG49" s="114">
        <f t="shared" si="13"/>
        <v>0</v>
      </c>
      <c r="AH49" s="115">
        <f>IF(AG49="","",IF($D$5="Average",INDEX(Tbl_Walk_Avg[#All],MATCH('Model 2 - Permutations'!F49,Tbl_Walk_Avg[[#All],[Ride]],0),MATCH('Model 2 - Permutations'!G49,Tbl_Walk_Avg[#Headers],0)),INDEX(Tbl_Walk_Leisure[#All],MATCH('Model 2 - Permutations'!F49,Tbl_Walk_Leisure[[#All],[Ride]],0),MATCH('Model 2 - Permutations'!G49,Tbl_Walk_Leisure[#Headers],0))))</f>
        <v>4.1666666666666666E-3</v>
      </c>
      <c r="AI49" s="113">
        <f t="shared" si="14"/>
        <v>0.67500000000000004</v>
      </c>
      <c r="AJ49" s="116">
        <f>IF(AI49="","",IF($D$14="Weekday",INDEX(Tbl_Wait_Wkday[#All],MATCH('Model 2 - Permutations'!AI49,Tbl_Wait_Wkday[[#All],[Time]],1),MATCH('Model 2 - Permutations'!G49,Tbl_Wait_Wkday[#Headers],0)),INDEX(Tbl_Wait_Wkend[#All],MATCH('Model 2 - Permutations'!AI49,Tbl_Wait_Wkend[[#All],[Time]],1),MATCH('Model 2 - Permutations'!G49,Tbl_Wait_Wkend[#Headers],0))))</f>
        <v>2.4305555555555552E-2</v>
      </c>
      <c r="AK49" s="117">
        <f>IF(AJ49="","",VLOOKUP(G49,Tbl_Ride[#Data],2,FALSE))</f>
        <v>3.4722222222222225E-3</v>
      </c>
      <c r="AL49" s="118">
        <f t="shared" si="15"/>
        <v>0.70277777777777783</v>
      </c>
      <c r="AM49" s="114">
        <f t="shared" si="16"/>
        <v>0</v>
      </c>
      <c r="AN49" s="115">
        <f>IF(AM49="","",IF($D$5="Average",INDEX(Tbl_Walk_Avg[#All],MATCH('Model 2 - Permutations'!G49,Tbl_Walk_Avg[[#All],[Ride]],0),MATCH('Model 2 - Permutations'!H49,Tbl_Walk_Avg[#Headers],0)),INDEX(Tbl_Walk_Leisure[#All],MATCH('Model 2 - Permutations'!G49,Tbl_Walk_Leisure[[#All],[Ride]],0),MATCH('Model 2 - Permutations'!H49,Tbl_Walk_Leisure[#Headers],0))))</f>
        <v>6.2500000000000003E-3</v>
      </c>
      <c r="AO49" s="113">
        <f t="shared" si="17"/>
        <v>0.70902777777777781</v>
      </c>
      <c r="AP49" s="116">
        <f>IF(AO49="","",IF($D$14="Weekday",INDEX(Tbl_Wait_Wkday[#All],MATCH('Model 2 - Permutations'!AO49,Tbl_Wait_Wkday[[#All],[Time]],1),MATCH('Model 2 - Permutations'!H49,Tbl_Wait_Wkday[#Headers],0)),INDEX(Tbl_Wait_Wkend[#All],MATCH('Model 2 - Permutations'!AO49,Tbl_Wait_Wkend[[#All],[Time]],1),MATCH('Model 2 - Permutations'!H49,Tbl_Wait_Wkend[#Headers],0))))</f>
        <v>1.7361111111111112E-2</v>
      </c>
      <c r="AQ49" s="117">
        <f>IF(AP49="","",VLOOKUP(H49,Tbl_Ride[#Data],2,FALSE))</f>
        <v>6.9444444444444447E-4</v>
      </c>
      <c r="AR49" s="118">
        <f t="shared" si="18"/>
        <v>0.72708333333333341</v>
      </c>
      <c r="AS49" s="119">
        <f t="shared" si="19"/>
        <v>2.0138888888888887E-2</v>
      </c>
      <c r="AT49" s="119">
        <f t="shared" si="20"/>
        <v>0.11458333333333331</v>
      </c>
      <c r="AU49" s="119">
        <f t="shared" si="21"/>
        <v>0.13472222222222219</v>
      </c>
    </row>
    <row r="50" spans="2:47">
      <c r="B50" s="111">
        <v>5</v>
      </c>
      <c r="C50" s="111" t="s">
        <v>66</v>
      </c>
      <c r="D50" s="112" t="str">
        <f t="shared" si="2"/>
        <v>Battlestar Galactica: Cylon</v>
      </c>
      <c r="E50" s="112" t="str">
        <f t="shared" si="1"/>
        <v>Battlestart Galactica: Human</v>
      </c>
      <c r="F50" s="112" t="str">
        <f t="shared" si="1"/>
        <v>Transformers The Ride</v>
      </c>
      <c r="G50" s="112" t="str">
        <f t="shared" si="1"/>
        <v>Enchanted Airways</v>
      </c>
      <c r="H50" s="112" t="str">
        <f t="shared" si="1"/>
        <v>Revenge of the Mummy</v>
      </c>
      <c r="I50" s="112">
        <v>1</v>
      </c>
      <c r="J50" s="112">
        <v>2</v>
      </c>
      <c r="K50" s="112">
        <v>5</v>
      </c>
      <c r="L50" s="112">
        <v>3</v>
      </c>
      <c r="M50" s="112">
        <v>4</v>
      </c>
      <c r="N50" s="113">
        <f t="shared" si="3"/>
        <v>0.5</v>
      </c>
      <c r="O50" s="114">
        <f t="shared" si="4"/>
        <v>0</v>
      </c>
      <c r="P50" s="115">
        <f>IF($D$5="Average",INDEX(Tbl_Walk_Avg[#All],MATCH('Model 2 - Permutations'!C50,Tbl_Walk_Avg[[#All],[Ride]],0),MATCH('Model 2 - Permutations'!D50,Tbl_Walk_Avg[#Headers],0)),INDEX(Tbl_Walk_Leisure[#All],MATCH('Model 2 - Permutations'!C50,Tbl_Walk_Leisure[[#All],[Ride]],0),MATCH('Model 2 - Permutations'!D50,Tbl_Walk_Leisure[#Headers],0)))</f>
        <v>6.9444444444444449E-3</v>
      </c>
      <c r="Q50" s="113">
        <f t="shared" si="5"/>
        <v>0.50694444444444442</v>
      </c>
      <c r="R50" s="116">
        <f>IF(Q50="","",IF($D$14="Weekday",INDEX(Tbl_Wait_Wkday[#All],MATCH('Model 2 - Permutations'!Q50,Tbl_Wait_Wkday[[#All],[Time]],1),MATCH('Model 2 - Permutations'!D50,Tbl_Wait_Wkday[#Headers],0)),INDEX(Tbl_Wait_Wkend[#All],MATCH('Model 2 - Permutations'!Q50,Tbl_Wait_Wkend[[#All],[Time]],1),MATCH('Model 2 - Permutations'!D50,Tbl_Wait_Wkend[#Headers],0))))</f>
        <v>1.7361111111111112E-2</v>
      </c>
      <c r="S50" s="117">
        <f>IF(R50="","",VLOOKUP(D50,Tbl_Ride[#Data],2,FALSE))</f>
        <v>1.3888888888888889E-3</v>
      </c>
      <c r="T50" s="118">
        <f t="shared" si="6"/>
        <v>0.52569444444444446</v>
      </c>
      <c r="U50" s="114">
        <f t="shared" si="7"/>
        <v>0</v>
      </c>
      <c r="V50" s="115">
        <f>IF(U50="","",IF($D$5="Average",INDEX(Tbl_Walk_Avg[#All],MATCH('Model 2 - Permutations'!D50,Tbl_Walk_Avg[[#All],[Ride]],0),MATCH('Model 2 - Permutations'!E50,Tbl_Walk_Avg[#Headers],0)),INDEX(Tbl_Walk_Leisure[#All],MATCH('Model 2 - Permutations'!D50,Tbl_Walk_Leisure[[#All],[Ride]],0),MATCH('Model 2 - Permutations'!E50,Tbl_Walk_Leisure[#Headers],0))))</f>
        <v>0</v>
      </c>
      <c r="W50" s="113">
        <f t="shared" si="8"/>
        <v>0.52569444444444446</v>
      </c>
      <c r="X50" s="116">
        <f>IF(W50="","",IF($D$14="Weekday",INDEX(Tbl_Wait_Wkday[#All],MATCH('Model 2 - Permutations'!W50,Tbl_Wait_Wkday[[#All],[Time]],1),MATCH('Model 2 - Permutations'!E50,Tbl_Wait_Wkday[#Headers],0)),INDEX(Tbl_Wait_Wkend[#All],MATCH('Model 2 - Permutations'!W50,Tbl_Wait_Wkend[[#All],[Time]],1),MATCH('Model 2 - Permutations'!E50,Tbl_Wait_Wkend[#Headers],0))))</f>
        <v>2.4305555555555552E-2</v>
      </c>
      <c r="Y50" s="117">
        <f>IF(X50="","",VLOOKUP(E50,Tbl_Ride[#Data],2,FALSE))</f>
        <v>1.3888888888888889E-3</v>
      </c>
      <c r="Z50" s="118">
        <f t="shared" si="9"/>
        <v>0.55138888888888893</v>
      </c>
      <c r="AA50" s="114">
        <f t="shared" si="10"/>
        <v>1</v>
      </c>
      <c r="AB50" s="115">
        <f>IF(AA50="","",IF($D$5="Average",INDEX(Tbl_Walk_Avg[#All],MATCH('Model 2 - Permutations'!E50,Tbl_Walk_Avg[[#All],[Ride]],0),MATCH('Model 2 - Permutations'!F50,Tbl_Walk_Avg[#Headers],0)),INDEX(Tbl_Walk_Leisure[#All],MATCH('Model 2 - Permutations'!E50,Tbl_Walk_Leisure[[#All],[Ride]],0),MATCH('Model 2 - Permutations'!F50,Tbl_Walk_Leisure[#Headers],0))))</f>
        <v>2.7777777777777779E-3</v>
      </c>
      <c r="AC50" s="113">
        <f t="shared" si="11"/>
        <v>0.63750000000000007</v>
      </c>
      <c r="AD50" s="116">
        <f>IF(AC50="","",IF($D$14="Weekday",INDEX(Tbl_Wait_Wkday[#All],MATCH('Model 2 - Permutations'!AC50,Tbl_Wait_Wkday[[#All],[Time]],1),MATCH('Model 2 - Permutations'!F50,Tbl_Wait_Wkday[#Headers],0)),INDEX(Tbl_Wait_Wkend[#All],MATCH('Model 2 - Permutations'!AC50,Tbl_Wait_Wkend[[#All],[Time]],1),MATCH('Model 2 - Permutations'!F50,Tbl_Wait_Wkend[#Headers],0))))</f>
        <v>2.4305555555555552E-2</v>
      </c>
      <c r="AE50" s="117">
        <f>IF(AD50="","",VLOOKUP(F50,Tbl_Ride[#Data],2,FALSE))</f>
        <v>3.4722222222222225E-3</v>
      </c>
      <c r="AF50" s="118">
        <f t="shared" si="12"/>
        <v>0.66527777777777786</v>
      </c>
      <c r="AG50" s="114">
        <f t="shared" si="13"/>
        <v>0</v>
      </c>
      <c r="AH50" s="115">
        <f>IF(AG50="","",IF($D$5="Average",INDEX(Tbl_Walk_Avg[#All],MATCH('Model 2 - Permutations'!F50,Tbl_Walk_Avg[[#All],[Ride]],0),MATCH('Model 2 - Permutations'!G50,Tbl_Walk_Avg[#Headers],0)),INDEX(Tbl_Walk_Leisure[#All],MATCH('Model 2 - Permutations'!F50,Tbl_Walk_Leisure[[#All],[Ride]],0),MATCH('Model 2 - Permutations'!G50,Tbl_Walk_Leisure[#Headers],0))))</f>
        <v>6.2500000000000003E-3</v>
      </c>
      <c r="AI50" s="113">
        <f t="shared" si="14"/>
        <v>0.67152777777777783</v>
      </c>
      <c r="AJ50" s="116">
        <f>IF(AI50="","",IF($D$14="Weekday",INDEX(Tbl_Wait_Wkday[#All],MATCH('Model 2 - Permutations'!AI50,Tbl_Wait_Wkday[[#All],[Time]],1),MATCH('Model 2 - Permutations'!G50,Tbl_Wait_Wkday[#Headers],0)),INDEX(Tbl_Wait_Wkend[#All],MATCH('Model 2 - Permutations'!AI50,Tbl_Wait_Wkend[[#All],[Time]],1),MATCH('Model 2 - Permutations'!G50,Tbl_Wait_Wkend[#Headers],0))))</f>
        <v>1.7361111111111112E-2</v>
      </c>
      <c r="AK50" s="117">
        <f>IF(AJ50="","",VLOOKUP(G50,Tbl_Ride[#Data],2,FALSE))</f>
        <v>6.9444444444444447E-4</v>
      </c>
      <c r="AL50" s="118">
        <f t="shared" si="15"/>
        <v>0.68958333333333344</v>
      </c>
      <c r="AM50" s="114">
        <f t="shared" si="16"/>
        <v>0</v>
      </c>
      <c r="AN50" s="115">
        <f>IF(AM50="","",IF($D$5="Average",INDEX(Tbl_Walk_Avg[#All],MATCH('Model 2 - Permutations'!G50,Tbl_Walk_Avg[[#All],[Ride]],0),MATCH('Model 2 - Permutations'!H50,Tbl_Walk_Avg[#Headers],0)),INDEX(Tbl_Walk_Leisure[#All],MATCH('Model 2 - Permutations'!G50,Tbl_Walk_Leisure[[#All],[Ride]],0),MATCH('Model 2 - Permutations'!H50,Tbl_Walk_Leisure[#Headers],0))))</f>
        <v>4.8611111111111112E-3</v>
      </c>
      <c r="AO50" s="113">
        <f t="shared" si="17"/>
        <v>0.69444444444444453</v>
      </c>
      <c r="AP50" s="116">
        <f>IF(AO50="","",IF($D$14="Weekday",INDEX(Tbl_Wait_Wkday[#All],MATCH('Model 2 - Permutations'!AO50,Tbl_Wait_Wkday[[#All],[Time]],1),MATCH('Model 2 - Permutations'!H50,Tbl_Wait_Wkday[#Headers],0)),INDEX(Tbl_Wait_Wkend[#All],MATCH('Model 2 - Permutations'!AO50,Tbl_Wait_Wkend[[#All],[Time]],1),MATCH('Model 2 - Permutations'!H50,Tbl_Wait_Wkend[#Headers],0))))</f>
        <v>2.7777777777777776E-2</v>
      </c>
      <c r="AQ50" s="117">
        <f>IF(AP50="","",VLOOKUP(H50,Tbl_Ride[#Data],2,FALSE))</f>
        <v>2.0833333333333333E-3</v>
      </c>
      <c r="AR50" s="118">
        <f t="shared" si="18"/>
        <v>0.72430555555555565</v>
      </c>
      <c r="AS50" s="119">
        <f t="shared" si="19"/>
        <v>2.0833333333333332E-2</v>
      </c>
      <c r="AT50" s="119">
        <f t="shared" si="20"/>
        <v>0.11111111111111109</v>
      </c>
      <c r="AU50" s="119">
        <f t="shared" si="21"/>
        <v>0.13194444444444442</v>
      </c>
    </row>
    <row r="51" spans="2:47">
      <c r="B51" s="111">
        <v>6</v>
      </c>
      <c r="C51" s="111" t="s">
        <v>66</v>
      </c>
      <c r="D51" s="112" t="str">
        <f t="shared" si="2"/>
        <v>Battlestar Galactica: Cylon</v>
      </c>
      <c r="E51" s="112" t="str">
        <f t="shared" si="1"/>
        <v>Battlestart Galactica: Human</v>
      </c>
      <c r="F51" s="112" t="str">
        <f t="shared" si="1"/>
        <v>Transformers The Ride</v>
      </c>
      <c r="G51" s="112" t="str">
        <f t="shared" si="1"/>
        <v>Revenge of the Mummy</v>
      </c>
      <c r="H51" s="112" t="str">
        <f t="shared" si="1"/>
        <v>Enchanted Airways</v>
      </c>
      <c r="I51" s="112">
        <v>1</v>
      </c>
      <c r="J51" s="112">
        <v>2</v>
      </c>
      <c r="K51" s="112">
        <v>5</v>
      </c>
      <c r="L51" s="112">
        <v>4</v>
      </c>
      <c r="M51" s="112">
        <v>3</v>
      </c>
      <c r="N51" s="113">
        <f t="shared" si="3"/>
        <v>0.5</v>
      </c>
      <c r="O51" s="114">
        <f t="shared" si="4"/>
        <v>0</v>
      </c>
      <c r="P51" s="115">
        <f>IF($D$5="Average",INDEX(Tbl_Walk_Avg[#All],MATCH('Model 2 - Permutations'!C51,Tbl_Walk_Avg[[#All],[Ride]],0),MATCH('Model 2 - Permutations'!D51,Tbl_Walk_Avg[#Headers],0)),INDEX(Tbl_Walk_Leisure[#All],MATCH('Model 2 - Permutations'!C51,Tbl_Walk_Leisure[[#All],[Ride]],0),MATCH('Model 2 - Permutations'!D51,Tbl_Walk_Leisure[#Headers],0)))</f>
        <v>6.9444444444444449E-3</v>
      </c>
      <c r="Q51" s="113">
        <f t="shared" si="5"/>
        <v>0.50694444444444442</v>
      </c>
      <c r="R51" s="116">
        <f>IF(Q51="","",IF($D$14="Weekday",INDEX(Tbl_Wait_Wkday[#All],MATCH('Model 2 - Permutations'!Q51,Tbl_Wait_Wkday[[#All],[Time]],1),MATCH('Model 2 - Permutations'!D51,Tbl_Wait_Wkday[#Headers],0)),INDEX(Tbl_Wait_Wkend[#All],MATCH('Model 2 - Permutations'!Q51,Tbl_Wait_Wkend[[#All],[Time]],1),MATCH('Model 2 - Permutations'!D51,Tbl_Wait_Wkend[#Headers],0))))</f>
        <v>1.7361111111111112E-2</v>
      </c>
      <c r="S51" s="117">
        <f>IF(R51="","",VLOOKUP(D51,Tbl_Ride[#Data],2,FALSE))</f>
        <v>1.3888888888888889E-3</v>
      </c>
      <c r="T51" s="118">
        <f t="shared" si="6"/>
        <v>0.52569444444444446</v>
      </c>
      <c r="U51" s="114">
        <f t="shared" si="7"/>
        <v>0</v>
      </c>
      <c r="V51" s="115">
        <f>IF(U51="","",IF($D$5="Average",INDEX(Tbl_Walk_Avg[#All],MATCH('Model 2 - Permutations'!D51,Tbl_Walk_Avg[[#All],[Ride]],0),MATCH('Model 2 - Permutations'!E51,Tbl_Walk_Avg[#Headers],0)),INDEX(Tbl_Walk_Leisure[#All],MATCH('Model 2 - Permutations'!D51,Tbl_Walk_Leisure[[#All],[Ride]],0),MATCH('Model 2 - Permutations'!E51,Tbl_Walk_Leisure[#Headers],0))))</f>
        <v>0</v>
      </c>
      <c r="W51" s="113">
        <f t="shared" si="8"/>
        <v>0.52569444444444446</v>
      </c>
      <c r="X51" s="116">
        <f>IF(W51="","",IF($D$14="Weekday",INDEX(Tbl_Wait_Wkday[#All],MATCH('Model 2 - Permutations'!W51,Tbl_Wait_Wkday[[#All],[Time]],1),MATCH('Model 2 - Permutations'!E51,Tbl_Wait_Wkday[#Headers],0)),INDEX(Tbl_Wait_Wkend[#All],MATCH('Model 2 - Permutations'!W51,Tbl_Wait_Wkend[[#All],[Time]],1),MATCH('Model 2 - Permutations'!E51,Tbl_Wait_Wkend[#Headers],0))))</f>
        <v>2.4305555555555552E-2</v>
      </c>
      <c r="Y51" s="117">
        <f>IF(X51="","",VLOOKUP(E51,Tbl_Ride[#Data],2,FALSE))</f>
        <v>1.3888888888888889E-3</v>
      </c>
      <c r="Z51" s="118">
        <f t="shared" si="9"/>
        <v>0.55138888888888893</v>
      </c>
      <c r="AA51" s="114">
        <f t="shared" si="10"/>
        <v>1</v>
      </c>
      <c r="AB51" s="115">
        <f>IF(AA51="","",IF($D$5="Average",INDEX(Tbl_Walk_Avg[#All],MATCH('Model 2 - Permutations'!E51,Tbl_Walk_Avg[[#All],[Ride]],0),MATCH('Model 2 - Permutations'!F51,Tbl_Walk_Avg[#Headers],0)),INDEX(Tbl_Walk_Leisure[#All],MATCH('Model 2 - Permutations'!E51,Tbl_Walk_Leisure[[#All],[Ride]],0),MATCH('Model 2 - Permutations'!F51,Tbl_Walk_Leisure[#Headers],0))))</f>
        <v>2.7777777777777779E-3</v>
      </c>
      <c r="AC51" s="113">
        <f t="shared" si="11"/>
        <v>0.63750000000000007</v>
      </c>
      <c r="AD51" s="116">
        <f>IF(AC51="","",IF($D$14="Weekday",INDEX(Tbl_Wait_Wkday[#All],MATCH('Model 2 - Permutations'!AC51,Tbl_Wait_Wkday[[#All],[Time]],1),MATCH('Model 2 - Permutations'!F51,Tbl_Wait_Wkday[#Headers],0)),INDEX(Tbl_Wait_Wkend[#All],MATCH('Model 2 - Permutations'!AC51,Tbl_Wait_Wkend[[#All],[Time]],1),MATCH('Model 2 - Permutations'!F51,Tbl_Wait_Wkend[#Headers],0))))</f>
        <v>2.4305555555555552E-2</v>
      </c>
      <c r="AE51" s="117">
        <f>IF(AD51="","",VLOOKUP(F51,Tbl_Ride[#Data],2,FALSE))</f>
        <v>3.4722222222222225E-3</v>
      </c>
      <c r="AF51" s="118">
        <f t="shared" si="12"/>
        <v>0.66527777777777786</v>
      </c>
      <c r="AG51" s="114">
        <f t="shared" si="13"/>
        <v>0</v>
      </c>
      <c r="AH51" s="115">
        <f>IF(AG51="","",IF($D$5="Average",INDEX(Tbl_Walk_Avg[#All],MATCH('Model 2 - Permutations'!F51,Tbl_Walk_Avg[[#All],[Ride]],0),MATCH('Model 2 - Permutations'!G51,Tbl_Walk_Avg[#Headers],0)),INDEX(Tbl_Walk_Leisure[#All],MATCH('Model 2 - Permutations'!F51,Tbl_Walk_Leisure[[#All],[Ride]],0),MATCH('Model 2 - Permutations'!G51,Tbl_Walk_Leisure[#Headers],0))))</f>
        <v>4.1666666666666666E-3</v>
      </c>
      <c r="AI51" s="113">
        <f t="shared" si="14"/>
        <v>0.66944444444444451</v>
      </c>
      <c r="AJ51" s="116">
        <f>IF(AI51="","",IF($D$14="Weekday",INDEX(Tbl_Wait_Wkday[#All],MATCH('Model 2 - Permutations'!AI51,Tbl_Wait_Wkday[[#All],[Time]],1),MATCH('Model 2 - Permutations'!G51,Tbl_Wait_Wkday[#Headers],0)),INDEX(Tbl_Wait_Wkend[#All],MATCH('Model 2 - Permutations'!AI51,Tbl_Wait_Wkend[[#All],[Time]],1),MATCH('Model 2 - Permutations'!G51,Tbl_Wait_Wkend[#Headers],0))))</f>
        <v>2.7777777777777776E-2</v>
      </c>
      <c r="AK51" s="117">
        <f>IF(AJ51="","",VLOOKUP(G51,Tbl_Ride[#Data],2,FALSE))</f>
        <v>2.0833333333333333E-3</v>
      </c>
      <c r="AL51" s="118">
        <f t="shared" si="15"/>
        <v>0.69930555555555562</v>
      </c>
      <c r="AM51" s="114">
        <f t="shared" si="16"/>
        <v>0</v>
      </c>
      <c r="AN51" s="115">
        <f>IF(AM51="","",IF($D$5="Average",INDEX(Tbl_Walk_Avg[#All],MATCH('Model 2 - Permutations'!G51,Tbl_Walk_Avg[[#All],[Ride]],0),MATCH('Model 2 - Permutations'!H51,Tbl_Walk_Avg[#Headers],0)),INDEX(Tbl_Walk_Leisure[#All],MATCH('Model 2 - Permutations'!G51,Tbl_Walk_Leisure[[#All],[Ride]],0),MATCH('Model 2 - Permutations'!H51,Tbl_Walk_Leisure[#Headers],0))))</f>
        <v>4.8611111111111112E-3</v>
      </c>
      <c r="AO51" s="113">
        <f t="shared" si="17"/>
        <v>0.70416666666666672</v>
      </c>
      <c r="AP51" s="116">
        <f>IF(AO51="","",IF($D$14="Weekday",INDEX(Tbl_Wait_Wkday[#All],MATCH('Model 2 - Permutations'!AO51,Tbl_Wait_Wkday[[#All],[Time]],1),MATCH('Model 2 - Permutations'!H51,Tbl_Wait_Wkday[#Headers],0)),INDEX(Tbl_Wait_Wkend[#All],MATCH('Model 2 - Permutations'!AO51,Tbl_Wait_Wkend[[#All],[Time]],1),MATCH('Model 2 - Permutations'!H51,Tbl_Wait_Wkend[#Headers],0))))</f>
        <v>1.7361111111111112E-2</v>
      </c>
      <c r="AQ51" s="117">
        <f>IF(AP51="","",VLOOKUP(H51,Tbl_Ride[#Data],2,FALSE))</f>
        <v>6.9444444444444447E-4</v>
      </c>
      <c r="AR51" s="118">
        <f t="shared" si="18"/>
        <v>0.72222222222222232</v>
      </c>
      <c r="AS51" s="119">
        <f t="shared" si="19"/>
        <v>1.8749999999999999E-2</v>
      </c>
      <c r="AT51" s="119">
        <f t="shared" si="20"/>
        <v>0.1111111111111111</v>
      </c>
      <c r="AU51" s="119">
        <f t="shared" si="21"/>
        <v>0.12986111111111109</v>
      </c>
    </row>
    <row r="52" spans="2:47">
      <c r="B52" s="111">
        <v>7</v>
      </c>
      <c r="C52" s="111" t="s">
        <v>66</v>
      </c>
      <c r="D52" s="112" t="str">
        <f t="shared" si="2"/>
        <v>Battlestar Galactica: Cylon</v>
      </c>
      <c r="E52" s="112" t="str">
        <f t="shared" si="1"/>
        <v>Enchanted Airways</v>
      </c>
      <c r="F52" s="112" t="str">
        <f t="shared" si="1"/>
        <v>Battlestart Galactica: Human</v>
      </c>
      <c r="G52" s="112" t="str">
        <f t="shared" si="1"/>
        <v>Revenge of the Mummy</v>
      </c>
      <c r="H52" s="112" t="str">
        <f t="shared" si="1"/>
        <v>Transformers The Ride</v>
      </c>
      <c r="I52" s="112">
        <v>1</v>
      </c>
      <c r="J52" s="112">
        <v>3</v>
      </c>
      <c r="K52" s="112">
        <v>2</v>
      </c>
      <c r="L52" s="112">
        <v>4</v>
      </c>
      <c r="M52" s="112">
        <v>5</v>
      </c>
      <c r="N52" s="113">
        <f t="shared" si="3"/>
        <v>0.5</v>
      </c>
      <c r="O52" s="114">
        <f t="shared" si="4"/>
        <v>0</v>
      </c>
      <c r="P52" s="115">
        <f>IF($D$5="Average",INDEX(Tbl_Walk_Avg[#All],MATCH('Model 2 - Permutations'!C52,Tbl_Walk_Avg[[#All],[Ride]],0),MATCH('Model 2 - Permutations'!D52,Tbl_Walk_Avg[#Headers],0)),INDEX(Tbl_Walk_Leisure[#All],MATCH('Model 2 - Permutations'!C52,Tbl_Walk_Leisure[[#All],[Ride]],0),MATCH('Model 2 - Permutations'!D52,Tbl_Walk_Leisure[#Headers],0)))</f>
        <v>6.9444444444444449E-3</v>
      </c>
      <c r="Q52" s="113">
        <f t="shared" si="5"/>
        <v>0.50694444444444442</v>
      </c>
      <c r="R52" s="116">
        <f>IF(Q52="","",IF($D$14="Weekday",INDEX(Tbl_Wait_Wkday[#All],MATCH('Model 2 - Permutations'!Q52,Tbl_Wait_Wkday[[#All],[Time]],1),MATCH('Model 2 - Permutations'!D52,Tbl_Wait_Wkday[#Headers],0)),INDEX(Tbl_Wait_Wkend[#All],MATCH('Model 2 - Permutations'!Q52,Tbl_Wait_Wkend[[#All],[Time]],1),MATCH('Model 2 - Permutations'!D52,Tbl_Wait_Wkend[#Headers],0))))</f>
        <v>1.7361111111111112E-2</v>
      </c>
      <c r="S52" s="117">
        <f>IF(R52="","",VLOOKUP(D52,Tbl_Ride[#Data],2,FALSE))</f>
        <v>1.3888888888888889E-3</v>
      </c>
      <c r="T52" s="118">
        <f t="shared" si="6"/>
        <v>0.52569444444444446</v>
      </c>
      <c r="U52" s="114">
        <f t="shared" si="7"/>
        <v>0</v>
      </c>
      <c r="V52" s="115">
        <f>IF(U52="","",IF($D$5="Average",INDEX(Tbl_Walk_Avg[#All],MATCH('Model 2 - Permutations'!D52,Tbl_Walk_Avg[[#All],[Ride]],0),MATCH('Model 2 - Permutations'!E52,Tbl_Walk_Avg[#Headers],0)),INDEX(Tbl_Walk_Leisure[#All],MATCH('Model 2 - Permutations'!D52,Tbl_Walk_Leisure[[#All],[Ride]],0),MATCH('Model 2 - Permutations'!E52,Tbl_Walk_Leisure[#Headers],0))))</f>
        <v>6.2500000000000003E-3</v>
      </c>
      <c r="W52" s="113">
        <f t="shared" si="8"/>
        <v>0.53194444444444444</v>
      </c>
      <c r="X52" s="116">
        <f>IF(W52="","",IF($D$14="Weekday",INDEX(Tbl_Wait_Wkday[#All],MATCH('Model 2 - Permutations'!W52,Tbl_Wait_Wkday[[#All],[Time]],1),MATCH('Model 2 - Permutations'!E52,Tbl_Wait_Wkday[#Headers],0)),INDEX(Tbl_Wait_Wkend[#All],MATCH('Model 2 - Permutations'!W52,Tbl_Wait_Wkend[[#All],[Time]],1),MATCH('Model 2 - Permutations'!E52,Tbl_Wait_Wkend[#Headers],0))))</f>
        <v>1.3888888888888888E-2</v>
      </c>
      <c r="Y52" s="117">
        <f>IF(X52="","",VLOOKUP(E52,Tbl_Ride[#Data],2,FALSE))</f>
        <v>6.9444444444444447E-4</v>
      </c>
      <c r="Z52" s="118">
        <f t="shared" si="9"/>
        <v>0.54652777777777772</v>
      </c>
      <c r="AA52" s="114">
        <f t="shared" si="10"/>
        <v>1</v>
      </c>
      <c r="AB52" s="115">
        <f>IF(AA52="","",IF($D$5="Average",INDEX(Tbl_Walk_Avg[#All],MATCH('Model 2 - Permutations'!E52,Tbl_Walk_Avg[[#All],[Ride]],0),MATCH('Model 2 - Permutations'!F52,Tbl_Walk_Avg[#Headers],0)),INDEX(Tbl_Walk_Leisure[#All],MATCH('Model 2 - Permutations'!E52,Tbl_Walk_Leisure[[#All],[Ride]],0),MATCH('Model 2 - Permutations'!F52,Tbl_Walk_Leisure[#Headers],0))))</f>
        <v>6.2500000000000003E-3</v>
      </c>
      <c r="AC52" s="113">
        <f t="shared" si="11"/>
        <v>0.63611111111111107</v>
      </c>
      <c r="AD52" s="116">
        <f>IF(AC52="","",IF($D$14="Weekday",INDEX(Tbl_Wait_Wkday[#All],MATCH('Model 2 - Permutations'!AC52,Tbl_Wait_Wkday[[#All],[Time]],1),MATCH('Model 2 - Permutations'!F52,Tbl_Wait_Wkday[#Headers],0)),INDEX(Tbl_Wait_Wkend[#All],MATCH('Model 2 - Permutations'!AC52,Tbl_Wait_Wkend[[#All],[Time]],1),MATCH('Model 2 - Permutations'!F52,Tbl_Wait_Wkend[#Headers],0))))</f>
        <v>5.5555555555555552E-2</v>
      </c>
      <c r="AE52" s="117">
        <f>IF(AD52="","",VLOOKUP(F52,Tbl_Ride[#Data],2,FALSE))</f>
        <v>1.3888888888888889E-3</v>
      </c>
      <c r="AF52" s="118">
        <f t="shared" si="12"/>
        <v>0.69305555555555554</v>
      </c>
      <c r="AG52" s="114">
        <f t="shared" si="13"/>
        <v>0</v>
      </c>
      <c r="AH52" s="115">
        <f>IF(AG52="","",IF($D$5="Average",INDEX(Tbl_Walk_Avg[#All],MATCH('Model 2 - Permutations'!F52,Tbl_Walk_Avg[[#All],[Ride]],0),MATCH('Model 2 - Permutations'!G52,Tbl_Walk_Avg[#Headers],0)),INDEX(Tbl_Walk_Leisure[#All],MATCH('Model 2 - Permutations'!F52,Tbl_Walk_Leisure[[#All],[Ride]],0),MATCH('Model 2 - Permutations'!G52,Tbl_Walk_Leisure[#Headers],0))))</f>
        <v>2.7777777777777779E-3</v>
      </c>
      <c r="AI52" s="113">
        <f t="shared" si="14"/>
        <v>0.6958333333333333</v>
      </c>
      <c r="AJ52" s="116">
        <f>IF(AI52="","",IF($D$14="Weekday",INDEX(Tbl_Wait_Wkday[#All],MATCH('Model 2 - Permutations'!AI52,Tbl_Wait_Wkday[[#All],[Time]],1),MATCH('Model 2 - Permutations'!G52,Tbl_Wait_Wkday[#Headers],0)),INDEX(Tbl_Wait_Wkend[#All],MATCH('Model 2 - Permutations'!AI52,Tbl_Wait_Wkend[[#All],[Time]],1),MATCH('Model 2 - Permutations'!G52,Tbl_Wait_Wkend[#Headers],0))))</f>
        <v>2.7777777777777776E-2</v>
      </c>
      <c r="AK52" s="117">
        <f>IF(AJ52="","",VLOOKUP(G52,Tbl_Ride[#Data],2,FALSE))</f>
        <v>2.0833333333333333E-3</v>
      </c>
      <c r="AL52" s="118">
        <f t="shared" si="15"/>
        <v>0.72569444444444442</v>
      </c>
      <c r="AM52" s="114">
        <f t="shared" si="16"/>
        <v>0</v>
      </c>
      <c r="AN52" s="115">
        <f>IF(AM52="","",IF($D$5="Average",INDEX(Tbl_Walk_Avg[#All],MATCH('Model 2 - Permutations'!G52,Tbl_Walk_Avg[[#All],[Ride]],0),MATCH('Model 2 - Permutations'!H52,Tbl_Walk_Avg[#Headers],0)),INDEX(Tbl_Walk_Leisure[#All],MATCH('Model 2 - Permutations'!G52,Tbl_Walk_Leisure[[#All],[Ride]],0),MATCH('Model 2 - Permutations'!H52,Tbl_Walk_Leisure[#Headers],0))))</f>
        <v>4.1666666666666666E-3</v>
      </c>
      <c r="AO52" s="113">
        <f t="shared" si="17"/>
        <v>0.72986111111111107</v>
      </c>
      <c r="AP52" s="116">
        <f>IF(AO52="","",IF($D$14="Weekday",INDEX(Tbl_Wait_Wkday[#All],MATCH('Model 2 - Permutations'!AO52,Tbl_Wait_Wkday[[#All],[Time]],1),MATCH('Model 2 - Permutations'!H52,Tbl_Wait_Wkday[#Headers],0)),INDEX(Tbl_Wait_Wkend[#All],MATCH('Model 2 - Permutations'!AO52,Tbl_Wait_Wkend[[#All],[Time]],1),MATCH('Model 2 - Permutations'!H52,Tbl_Wait_Wkend[#Headers],0))))</f>
        <v>3.125E-2</v>
      </c>
      <c r="AQ52" s="117">
        <f>IF(AP52="","",VLOOKUP(H52,Tbl_Ride[#Data],2,FALSE))</f>
        <v>3.4722222222222225E-3</v>
      </c>
      <c r="AR52" s="118">
        <f t="shared" si="18"/>
        <v>0.76458333333333328</v>
      </c>
      <c r="AS52" s="119">
        <f t="shared" si="19"/>
        <v>2.6388888888888889E-2</v>
      </c>
      <c r="AT52" s="119">
        <f t="shared" si="20"/>
        <v>0.14583333333333331</v>
      </c>
      <c r="AU52" s="119">
        <f t="shared" si="21"/>
        <v>0.17222222222222219</v>
      </c>
    </row>
    <row r="53" spans="2:47">
      <c r="B53" s="111">
        <v>8</v>
      </c>
      <c r="C53" s="111" t="s">
        <v>66</v>
      </c>
      <c r="D53" s="112" t="str">
        <f t="shared" si="2"/>
        <v>Battlestar Galactica: Cylon</v>
      </c>
      <c r="E53" s="112" t="str">
        <f t="shared" si="1"/>
        <v>Enchanted Airways</v>
      </c>
      <c r="F53" s="112" t="str">
        <f t="shared" si="1"/>
        <v>Battlestart Galactica: Human</v>
      </c>
      <c r="G53" s="112" t="str">
        <f t="shared" si="1"/>
        <v>Transformers The Ride</v>
      </c>
      <c r="H53" s="112" t="str">
        <f t="shared" si="1"/>
        <v>Revenge of the Mummy</v>
      </c>
      <c r="I53" s="112">
        <v>1</v>
      </c>
      <c r="J53" s="112">
        <v>3</v>
      </c>
      <c r="K53" s="112">
        <v>2</v>
      </c>
      <c r="L53" s="112">
        <v>5</v>
      </c>
      <c r="M53" s="112">
        <v>4</v>
      </c>
      <c r="N53" s="113">
        <f t="shared" si="3"/>
        <v>0.5</v>
      </c>
      <c r="O53" s="114">
        <f t="shared" si="4"/>
        <v>0</v>
      </c>
      <c r="P53" s="115">
        <f>IF($D$5="Average",INDEX(Tbl_Walk_Avg[#All],MATCH('Model 2 - Permutations'!C53,Tbl_Walk_Avg[[#All],[Ride]],0),MATCH('Model 2 - Permutations'!D53,Tbl_Walk_Avg[#Headers],0)),INDEX(Tbl_Walk_Leisure[#All],MATCH('Model 2 - Permutations'!C53,Tbl_Walk_Leisure[[#All],[Ride]],0),MATCH('Model 2 - Permutations'!D53,Tbl_Walk_Leisure[#Headers],0)))</f>
        <v>6.9444444444444449E-3</v>
      </c>
      <c r="Q53" s="113">
        <f t="shared" si="5"/>
        <v>0.50694444444444442</v>
      </c>
      <c r="R53" s="116">
        <f>IF(Q53="","",IF($D$14="Weekday",INDEX(Tbl_Wait_Wkday[#All],MATCH('Model 2 - Permutations'!Q53,Tbl_Wait_Wkday[[#All],[Time]],1),MATCH('Model 2 - Permutations'!D53,Tbl_Wait_Wkday[#Headers],0)),INDEX(Tbl_Wait_Wkend[#All],MATCH('Model 2 - Permutations'!Q53,Tbl_Wait_Wkend[[#All],[Time]],1),MATCH('Model 2 - Permutations'!D53,Tbl_Wait_Wkend[#Headers],0))))</f>
        <v>1.7361111111111112E-2</v>
      </c>
      <c r="S53" s="117">
        <f>IF(R53="","",VLOOKUP(D53,Tbl_Ride[#Data],2,FALSE))</f>
        <v>1.3888888888888889E-3</v>
      </c>
      <c r="T53" s="118">
        <f t="shared" si="6"/>
        <v>0.52569444444444446</v>
      </c>
      <c r="U53" s="114">
        <f t="shared" si="7"/>
        <v>0</v>
      </c>
      <c r="V53" s="115">
        <f>IF(U53="","",IF($D$5="Average",INDEX(Tbl_Walk_Avg[#All],MATCH('Model 2 - Permutations'!D53,Tbl_Walk_Avg[[#All],[Ride]],0),MATCH('Model 2 - Permutations'!E53,Tbl_Walk_Avg[#Headers],0)),INDEX(Tbl_Walk_Leisure[#All],MATCH('Model 2 - Permutations'!D53,Tbl_Walk_Leisure[[#All],[Ride]],0),MATCH('Model 2 - Permutations'!E53,Tbl_Walk_Leisure[#Headers],0))))</f>
        <v>6.2500000000000003E-3</v>
      </c>
      <c r="W53" s="113">
        <f t="shared" si="8"/>
        <v>0.53194444444444444</v>
      </c>
      <c r="X53" s="116">
        <f>IF(W53="","",IF($D$14="Weekday",INDEX(Tbl_Wait_Wkday[#All],MATCH('Model 2 - Permutations'!W53,Tbl_Wait_Wkday[[#All],[Time]],1),MATCH('Model 2 - Permutations'!E53,Tbl_Wait_Wkday[#Headers],0)),INDEX(Tbl_Wait_Wkend[#All],MATCH('Model 2 - Permutations'!W53,Tbl_Wait_Wkend[[#All],[Time]],1),MATCH('Model 2 - Permutations'!E53,Tbl_Wait_Wkend[#Headers],0))))</f>
        <v>1.3888888888888888E-2</v>
      </c>
      <c r="Y53" s="117">
        <f>IF(X53="","",VLOOKUP(E53,Tbl_Ride[#Data],2,FALSE))</f>
        <v>6.9444444444444447E-4</v>
      </c>
      <c r="Z53" s="118">
        <f t="shared" si="9"/>
        <v>0.54652777777777772</v>
      </c>
      <c r="AA53" s="114">
        <f t="shared" si="10"/>
        <v>1</v>
      </c>
      <c r="AB53" s="115">
        <f>IF(AA53="","",IF($D$5="Average",INDEX(Tbl_Walk_Avg[#All],MATCH('Model 2 - Permutations'!E53,Tbl_Walk_Avg[[#All],[Ride]],0),MATCH('Model 2 - Permutations'!F53,Tbl_Walk_Avg[#Headers],0)),INDEX(Tbl_Walk_Leisure[#All],MATCH('Model 2 - Permutations'!E53,Tbl_Walk_Leisure[[#All],[Ride]],0),MATCH('Model 2 - Permutations'!F53,Tbl_Walk_Leisure[#Headers],0))))</f>
        <v>6.2500000000000003E-3</v>
      </c>
      <c r="AC53" s="113">
        <f t="shared" si="11"/>
        <v>0.63611111111111107</v>
      </c>
      <c r="AD53" s="116">
        <f>IF(AC53="","",IF($D$14="Weekday",INDEX(Tbl_Wait_Wkday[#All],MATCH('Model 2 - Permutations'!AC53,Tbl_Wait_Wkday[[#All],[Time]],1),MATCH('Model 2 - Permutations'!F53,Tbl_Wait_Wkday[#Headers],0)),INDEX(Tbl_Wait_Wkend[#All],MATCH('Model 2 - Permutations'!AC53,Tbl_Wait_Wkend[[#All],[Time]],1),MATCH('Model 2 - Permutations'!F53,Tbl_Wait_Wkend[#Headers],0))))</f>
        <v>5.5555555555555552E-2</v>
      </c>
      <c r="AE53" s="117">
        <f>IF(AD53="","",VLOOKUP(F53,Tbl_Ride[#Data],2,FALSE))</f>
        <v>1.3888888888888889E-3</v>
      </c>
      <c r="AF53" s="118">
        <f t="shared" si="12"/>
        <v>0.69305555555555554</v>
      </c>
      <c r="AG53" s="114">
        <f t="shared" si="13"/>
        <v>0</v>
      </c>
      <c r="AH53" s="115">
        <f>IF(AG53="","",IF($D$5="Average",INDEX(Tbl_Walk_Avg[#All],MATCH('Model 2 - Permutations'!F53,Tbl_Walk_Avg[[#All],[Ride]],0),MATCH('Model 2 - Permutations'!G53,Tbl_Walk_Avg[#Headers],0)),INDEX(Tbl_Walk_Leisure[#All],MATCH('Model 2 - Permutations'!F53,Tbl_Walk_Leisure[[#All],[Ride]],0),MATCH('Model 2 - Permutations'!G53,Tbl_Walk_Leisure[#Headers],0))))</f>
        <v>2.7777777777777779E-3</v>
      </c>
      <c r="AI53" s="113">
        <f t="shared" si="14"/>
        <v>0.6958333333333333</v>
      </c>
      <c r="AJ53" s="116">
        <f>IF(AI53="","",IF($D$14="Weekday",INDEX(Tbl_Wait_Wkday[#All],MATCH('Model 2 - Permutations'!AI53,Tbl_Wait_Wkday[[#All],[Time]],1),MATCH('Model 2 - Permutations'!G53,Tbl_Wait_Wkday[#Headers],0)),INDEX(Tbl_Wait_Wkend[#All],MATCH('Model 2 - Permutations'!AI53,Tbl_Wait_Wkend[[#All],[Time]],1),MATCH('Model 2 - Permutations'!G53,Tbl_Wait_Wkend[#Headers],0))))</f>
        <v>2.4305555555555552E-2</v>
      </c>
      <c r="AK53" s="117">
        <f>IF(AJ53="","",VLOOKUP(G53,Tbl_Ride[#Data],2,FALSE))</f>
        <v>3.4722222222222225E-3</v>
      </c>
      <c r="AL53" s="118">
        <f t="shared" si="15"/>
        <v>0.72361111111111109</v>
      </c>
      <c r="AM53" s="114">
        <f t="shared" si="16"/>
        <v>0</v>
      </c>
      <c r="AN53" s="115">
        <f>IF(AM53="","",IF($D$5="Average",INDEX(Tbl_Walk_Avg[#All],MATCH('Model 2 - Permutations'!G53,Tbl_Walk_Avg[[#All],[Ride]],0),MATCH('Model 2 - Permutations'!H53,Tbl_Walk_Avg[#Headers],0)),INDEX(Tbl_Walk_Leisure[#All],MATCH('Model 2 - Permutations'!G53,Tbl_Walk_Leisure[[#All],[Ride]],0),MATCH('Model 2 - Permutations'!H53,Tbl_Walk_Leisure[#Headers],0))))</f>
        <v>4.1666666666666666E-3</v>
      </c>
      <c r="AO53" s="113">
        <f t="shared" si="17"/>
        <v>0.72777777777777775</v>
      </c>
      <c r="AP53" s="116">
        <f>IF(AO53="","",IF($D$14="Weekday",INDEX(Tbl_Wait_Wkday[#All],MATCH('Model 2 - Permutations'!AO53,Tbl_Wait_Wkday[[#All],[Time]],1),MATCH('Model 2 - Permutations'!H53,Tbl_Wait_Wkday[#Headers],0)),INDEX(Tbl_Wait_Wkend[#All],MATCH('Model 2 - Permutations'!AO53,Tbl_Wait_Wkend[[#All],[Time]],1),MATCH('Model 2 - Permutations'!H53,Tbl_Wait_Wkend[#Headers],0))))</f>
        <v>2.4305555555555552E-2</v>
      </c>
      <c r="AQ53" s="117">
        <f>IF(AP53="","",VLOOKUP(H53,Tbl_Ride[#Data],2,FALSE))</f>
        <v>2.0833333333333333E-3</v>
      </c>
      <c r="AR53" s="118">
        <f t="shared" si="18"/>
        <v>0.75416666666666665</v>
      </c>
      <c r="AS53" s="119">
        <f t="shared" si="19"/>
        <v>2.6388888888888889E-2</v>
      </c>
      <c r="AT53" s="119">
        <f t="shared" si="20"/>
        <v>0.13541666666666666</v>
      </c>
      <c r="AU53" s="119">
        <f t="shared" si="21"/>
        <v>0.16180555555555554</v>
      </c>
    </row>
    <row r="54" spans="2:47">
      <c r="B54" s="111">
        <v>9</v>
      </c>
      <c r="C54" s="111" t="s">
        <v>66</v>
      </c>
      <c r="D54" s="112" t="str">
        <f t="shared" si="2"/>
        <v>Battlestar Galactica: Cylon</v>
      </c>
      <c r="E54" s="112" t="str">
        <f t="shared" si="1"/>
        <v>Enchanted Airways</v>
      </c>
      <c r="F54" s="112" t="str">
        <f t="shared" si="1"/>
        <v>Revenge of the Mummy</v>
      </c>
      <c r="G54" s="112" t="str">
        <f t="shared" si="1"/>
        <v>Battlestart Galactica: Human</v>
      </c>
      <c r="H54" s="112" t="str">
        <f t="shared" si="1"/>
        <v>Transformers The Ride</v>
      </c>
      <c r="I54" s="112">
        <v>1</v>
      </c>
      <c r="J54" s="112">
        <v>3</v>
      </c>
      <c r="K54" s="112">
        <v>4</v>
      </c>
      <c r="L54" s="112">
        <v>2</v>
      </c>
      <c r="M54" s="112">
        <v>5</v>
      </c>
      <c r="N54" s="113">
        <f t="shared" si="3"/>
        <v>0.5</v>
      </c>
      <c r="O54" s="114">
        <f t="shared" si="4"/>
        <v>0</v>
      </c>
      <c r="P54" s="115">
        <f>IF($D$5="Average",INDEX(Tbl_Walk_Avg[#All],MATCH('Model 2 - Permutations'!C54,Tbl_Walk_Avg[[#All],[Ride]],0),MATCH('Model 2 - Permutations'!D54,Tbl_Walk_Avg[#Headers],0)),INDEX(Tbl_Walk_Leisure[#All],MATCH('Model 2 - Permutations'!C54,Tbl_Walk_Leisure[[#All],[Ride]],0),MATCH('Model 2 - Permutations'!D54,Tbl_Walk_Leisure[#Headers],0)))</f>
        <v>6.9444444444444449E-3</v>
      </c>
      <c r="Q54" s="113">
        <f t="shared" si="5"/>
        <v>0.50694444444444442</v>
      </c>
      <c r="R54" s="116">
        <f>IF(Q54="","",IF($D$14="Weekday",INDEX(Tbl_Wait_Wkday[#All],MATCH('Model 2 - Permutations'!Q54,Tbl_Wait_Wkday[[#All],[Time]],1),MATCH('Model 2 - Permutations'!D54,Tbl_Wait_Wkday[#Headers],0)),INDEX(Tbl_Wait_Wkend[#All],MATCH('Model 2 - Permutations'!Q54,Tbl_Wait_Wkend[[#All],[Time]],1),MATCH('Model 2 - Permutations'!D54,Tbl_Wait_Wkend[#Headers],0))))</f>
        <v>1.7361111111111112E-2</v>
      </c>
      <c r="S54" s="117">
        <f>IF(R54="","",VLOOKUP(D54,Tbl_Ride[#Data],2,FALSE))</f>
        <v>1.3888888888888889E-3</v>
      </c>
      <c r="T54" s="118">
        <f t="shared" si="6"/>
        <v>0.52569444444444446</v>
      </c>
      <c r="U54" s="114">
        <f t="shared" si="7"/>
        <v>0</v>
      </c>
      <c r="V54" s="115">
        <f>IF(U54="","",IF($D$5="Average",INDEX(Tbl_Walk_Avg[#All],MATCH('Model 2 - Permutations'!D54,Tbl_Walk_Avg[[#All],[Ride]],0),MATCH('Model 2 - Permutations'!E54,Tbl_Walk_Avg[#Headers],0)),INDEX(Tbl_Walk_Leisure[#All],MATCH('Model 2 - Permutations'!D54,Tbl_Walk_Leisure[[#All],[Ride]],0),MATCH('Model 2 - Permutations'!E54,Tbl_Walk_Leisure[#Headers],0))))</f>
        <v>6.2500000000000003E-3</v>
      </c>
      <c r="W54" s="113">
        <f t="shared" si="8"/>
        <v>0.53194444444444444</v>
      </c>
      <c r="X54" s="116">
        <f>IF(W54="","",IF($D$14="Weekday",INDEX(Tbl_Wait_Wkday[#All],MATCH('Model 2 - Permutations'!W54,Tbl_Wait_Wkday[[#All],[Time]],1),MATCH('Model 2 - Permutations'!E54,Tbl_Wait_Wkday[#Headers],0)),INDEX(Tbl_Wait_Wkend[#All],MATCH('Model 2 - Permutations'!W54,Tbl_Wait_Wkend[[#All],[Time]],1),MATCH('Model 2 - Permutations'!E54,Tbl_Wait_Wkend[#Headers],0))))</f>
        <v>1.3888888888888888E-2</v>
      </c>
      <c r="Y54" s="117">
        <f>IF(X54="","",VLOOKUP(E54,Tbl_Ride[#Data],2,FALSE))</f>
        <v>6.9444444444444447E-4</v>
      </c>
      <c r="Z54" s="118">
        <f t="shared" si="9"/>
        <v>0.54652777777777772</v>
      </c>
      <c r="AA54" s="114">
        <f t="shared" si="10"/>
        <v>1</v>
      </c>
      <c r="AB54" s="115">
        <f>IF(AA54="","",IF($D$5="Average",INDEX(Tbl_Walk_Avg[#All],MATCH('Model 2 - Permutations'!E54,Tbl_Walk_Avg[[#All],[Ride]],0),MATCH('Model 2 - Permutations'!F54,Tbl_Walk_Avg[#Headers],0)),INDEX(Tbl_Walk_Leisure[#All],MATCH('Model 2 - Permutations'!E54,Tbl_Walk_Leisure[[#All],[Ride]],0),MATCH('Model 2 - Permutations'!F54,Tbl_Walk_Leisure[#Headers],0))))</f>
        <v>4.8611111111111112E-3</v>
      </c>
      <c r="AC54" s="113">
        <f t="shared" si="11"/>
        <v>0.63472222222222219</v>
      </c>
      <c r="AD54" s="116">
        <f>IF(AC54="","",IF($D$14="Weekday",INDEX(Tbl_Wait_Wkday[#All],MATCH('Model 2 - Permutations'!AC54,Tbl_Wait_Wkday[[#All],[Time]],1),MATCH('Model 2 - Permutations'!F54,Tbl_Wait_Wkday[#Headers],0)),INDEX(Tbl_Wait_Wkend[#All],MATCH('Model 2 - Permutations'!AC54,Tbl_Wait_Wkend[[#All],[Time]],1),MATCH('Model 2 - Permutations'!F54,Tbl_Wait_Wkend[#Headers],0))))</f>
        <v>3.125E-2</v>
      </c>
      <c r="AE54" s="117">
        <f>IF(AD54="","",VLOOKUP(F54,Tbl_Ride[#Data],2,FALSE))</f>
        <v>2.0833333333333333E-3</v>
      </c>
      <c r="AF54" s="118">
        <f t="shared" si="12"/>
        <v>0.66805555555555551</v>
      </c>
      <c r="AG54" s="114">
        <f t="shared" si="13"/>
        <v>0</v>
      </c>
      <c r="AH54" s="115">
        <f>IF(AG54="","",IF($D$5="Average",INDEX(Tbl_Walk_Avg[#All],MATCH('Model 2 - Permutations'!F54,Tbl_Walk_Avg[[#All],[Ride]],0),MATCH('Model 2 - Permutations'!G54,Tbl_Walk_Avg[#Headers],0)),INDEX(Tbl_Walk_Leisure[#All],MATCH('Model 2 - Permutations'!F54,Tbl_Walk_Leisure[[#All],[Ride]],0),MATCH('Model 2 - Permutations'!G54,Tbl_Walk_Leisure[#Headers],0))))</f>
        <v>2.7777777777777779E-3</v>
      </c>
      <c r="AI54" s="113">
        <f t="shared" si="14"/>
        <v>0.67083333333333328</v>
      </c>
      <c r="AJ54" s="116">
        <f>IF(AI54="","",IF($D$14="Weekday",INDEX(Tbl_Wait_Wkday[#All],MATCH('Model 2 - Permutations'!AI54,Tbl_Wait_Wkday[[#All],[Time]],1),MATCH('Model 2 - Permutations'!G54,Tbl_Wait_Wkday[#Headers],0)),INDEX(Tbl_Wait_Wkend[#All],MATCH('Model 2 - Permutations'!AI54,Tbl_Wait_Wkend[[#All],[Time]],1),MATCH('Model 2 - Permutations'!G54,Tbl_Wait_Wkend[#Headers],0))))</f>
        <v>4.1666666666666664E-2</v>
      </c>
      <c r="AK54" s="117">
        <f>IF(AJ54="","",VLOOKUP(G54,Tbl_Ride[#Data],2,FALSE))</f>
        <v>1.3888888888888889E-3</v>
      </c>
      <c r="AL54" s="118">
        <f t="shared" si="15"/>
        <v>0.7138888888888888</v>
      </c>
      <c r="AM54" s="114">
        <f t="shared" si="16"/>
        <v>0</v>
      </c>
      <c r="AN54" s="115">
        <f>IF(AM54="","",IF($D$5="Average",INDEX(Tbl_Walk_Avg[#All],MATCH('Model 2 - Permutations'!G54,Tbl_Walk_Avg[[#All],[Ride]],0),MATCH('Model 2 - Permutations'!H54,Tbl_Walk_Avg[#Headers],0)),INDEX(Tbl_Walk_Leisure[#All],MATCH('Model 2 - Permutations'!G54,Tbl_Walk_Leisure[[#All],[Ride]],0),MATCH('Model 2 - Permutations'!H54,Tbl_Walk_Leisure[#Headers],0))))</f>
        <v>2.7777777777777779E-3</v>
      </c>
      <c r="AO54" s="113">
        <f t="shared" si="17"/>
        <v>0.71666666666666656</v>
      </c>
      <c r="AP54" s="116">
        <f>IF(AO54="","",IF($D$14="Weekday",INDEX(Tbl_Wait_Wkday[#All],MATCH('Model 2 - Permutations'!AO54,Tbl_Wait_Wkday[[#All],[Time]],1),MATCH('Model 2 - Permutations'!H54,Tbl_Wait_Wkday[#Headers],0)),INDEX(Tbl_Wait_Wkend[#All],MATCH('Model 2 - Permutations'!AO54,Tbl_Wait_Wkend[[#All],[Time]],1),MATCH('Model 2 - Permutations'!H54,Tbl_Wait_Wkend[#Headers],0))))</f>
        <v>3.125E-2</v>
      </c>
      <c r="AQ54" s="117">
        <f>IF(AP54="","",VLOOKUP(H54,Tbl_Ride[#Data],2,FALSE))</f>
        <v>3.4722222222222225E-3</v>
      </c>
      <c r="AR54" s="118">
        <f t="shared" si="18"/>
        <v>0.75138888888888877</v>
      </c>
      <c r="AS54" s="119">
        <f t="shared" si="19"/>
        <v>2.3611111111111114E-2</v>
      </c>
      <c r="AT54" s="119">
        <f t="shared" si="20"/>
        <v>0.13541666666666666</v>
      </c>
      <c r="AU54" s="119">
        <f t="shared" si="21"/>
        <v>0.15902777777777777</v>
      </c>
    </row>
    <row r="55" spans="2:47">
      <c r="B55" s="111">
        <v>10</v>
      </c>
      <c r="C55" s="111" t="s">
        <v>66</v>
      </c>
      <c r="D55" s="112" t="str">
        <f t="shared" si="2"/>
        <v>Battlestar Galactica: Cylon</v>
      </c>
      <c r="E55" s="112" t="str">
        <f t="shared" si="1"/>
        <v>Enchanted Airways</v>
      </c>
      <c r="F55" s="112" t="str">
        <f t="shared" si="1"/>
        <v>Revenge of the Mummy</v>
      </c>
      <c r="G55" s="112" t="str">
        <f t="shared" si="1"/>
        <v>Transformers The Ride</v>
      </c>
      <c r="H55" s="112" t="str">
        <f t="shared" si="1"/>
        <v>Battlestart Galactica: Human</v>
      </c>
      <c r="I55" s="112">
        <v>1</v>
      </c>
      <c r="J55" s="112">
        <v>3</v>
      </c>
      <c r="K55" s="112">
        <v>4</v>
      </c>
      <c r="L55" s="112">
        <v>5</v>
      </c>
      <c r="M55" s="112">
        <v>2</v>
      </c>
      <c r="N55" s="113">
        <f t="shared" si="3"/>
        <v>0.5</v>
      </c>
      <c r="O55" s="114">
        <f t="shared" si="4"/>
        <v>0</v>
      </c>
      <c r="P55" s="115">
        <f>IF($D$5="Average",INDEX(Tbl_Walk_Avg[#All],MATCH('Model 2 - Permutations'!C55,Tbl_Walk_Avg[[#All],[Ride]],0),MATCH('Model 2 - Permutations'!D55,Tbl_Walk_Avg[#Headers],0)),INDEX(Tbl_Walk_Leisure[#All],MATCH('Model 2 - Permutations'!C55,Tbl_Walk_Leisure[[#All],[Ride]],0),MATCH('Model 2 - Permutations'!D55,Tbl_Walk_Leisure[#Headers],0)))</f>
        <v>6.9444444444444449E-3</v>
      </c>
      <c r="Q55" s="113">
        <f t="shared" si="5"/>
        <v>0.50694444444444442</v>
      </c>
      <c r="R55" s="116">
        <f>IF(Q55="","",IF($D$14="Weekday",INDEX(Tbl_Wait_Wkday[#All],MATCH('Model 2 - Permutations'!Q55,Tbl_Wait_Wkday[[#All],[Time]],1),MATCH('Model 2 - Permutations'!D55,Tbl_Wait_Wkday[#Headers],0)),INDEX(Tbl_Wait_Wkend[#All],MATCH('Model 2 - Permutations'!Q55,Tbl_Wait_Wkend[[#All],[Time]],1),MATCH('Model 2 - Permutations'!D55,Tbl_Wait_Wkend[#Headers],0))))</f>
        <v>1.7361111111111112E-2</v>
      </c>
      <c r="S55" s="117">
        <f>IF(R55="","",VLOOKUP(D55,Tbl_Ride[#Data],2,FALSE))</f>
        <v>1.3888888888888889E-3</v>
      </c>
      <c r="T55" s="118">
        <f t="shared" si="6"/>
        <v>0.52569444444444446</v>
      </c>
      <c r="U55" s="114">
        <f t="shared" si="7"/>
        <v>0</v>
      </c>
      <c r="V55" s="115">
        <f>IF(U55="","",IF($D$5="Average",INDEX(Tbl_Walk_Avg[#All],MATCH('Model 2 - Permutations'!D55,Tbl_Walk_Avg[[#All],[Ride]],0),MATCH('Model 2 - Permutations'!E55,Tbl_Walk_Avg[#Headers],0)),INDEX(Tbl_Walk_Leisure[#All],MATCH('Model 2 - Permutations'!D55,Tbl_Walk_Leisure[[#All],[Ride]],0),MATCH('Model 2 - Permutations'!E55,Tbl_Walk_Leisure[#Headers],0))))</f>
        <v>6.2500000000000003E-3</v>
      </c>
      <c r="W55" s="113">
        <f t="shared" si="8"/>
        <v>0.53194444444444444</v>
      </c>
      <c r="X55" s="116">
        <f>IF(W55="","",IF($D$14="Weekday",INDEX(Tbl_Wait_Wkday[#All],MATCH('Model 2 - Permutations'!W55,Tbl_Wait_Wkday[[#All],[Time]],1),MATCH('Model 2 - Permutations'!E55,Tbl_Wait_Wkday[#Headers],0)),INDEX(Tbl_Wait_Wkend[#All],MATCH('Model 2 - Permutations'!W55,Tbl_Wait_Wkend[[#All],[Time]],1),MATCH('Model 2 - Permutations'!E55,Tbl_Wait_Wkend[#Headers],0))))</f>
        <v>1.3888888888888888E-2</v>
      </c>
      <c r="Y55" s="117">
        <f>IF(X55="","",VLOOKUP(E55,Tbl_Ride[#Data],2,FALSE))</f>
        <v>6.9444444444444447E-4</v>
      </c>
      <c r="Z55" s="118">
        <f t="shared" si="9"/>
        <v>0.54652777777777772</v>
      </c>
      <c r="AA55" s="114">
        <f t="shared" si="10"/>
        <v>1</v>
      </c>
      <c r="AB55" s="115">
        <f>IF(AA55="","",IF($D$5="Average",INDEX(Tbl_Walk_Avg[#All],MATCH('Model 2 - Permutations'!E55,Tbl_Walk_Avg[[#All],[Ride]],0),MATCH('Model 2 - Permutations'!F55,Tbl_Walk_Avg[#Headers],0)),INDEX(Tbl_Walk_Leisure[#All],MATCH('Model 2 - Permutations'!E55,Tbl_Walk_Leisure[[#All],[Ride]],0),MATCH('Model 2 - Permutations'!F55,Tbl_Walk_Leisure[#Headers],0))))</f>
        <v>4.8611111111111112E-3</v>
      </c>
      <c r="AC55" s="113">
        <f t="shared" si="11"/>
        <v>0.63472222222222219</v>
      </c>
      <c r="AD55" s="116">
        <f>IF(AC55="","",IF($D$14="Weekday",INDEX(Tbl_Wait_Wkday[#All],MATCH('Model 2 - Permutations'!AC55,Tbl_Wait_Wkday[[#All],[Time]],1),MATCH('Model 2 - Permutations'!F55,Tbl_Wait_Wkday[#Headers],0)),INDEX(Tbl_Wait_Wkend[#All],MATCH('Model 2 - Permutations'!AC55,Tbl_Wait_Wkend[[#All],[Time]],1),MATCH('Model 2 - Permutations'!F55,Tbl_Wait_Wkend[#Headers],0))))</f>
        <v>3.125E-2</v>
      </c>
      <c r="AE55" s="117">
        <f>IF(AD55="","",VLOOKUP(F55,Tbl_Ride[#Data],2,FALSE))</f>
        <v>2.0833333333333333E-3</v>
      </c>
      <c r="AF55" s="118">
        <f t="shared" si="12"/>
        <v>0.66805555555555551</v>
      </c>
      <c r="AG55" s="114">
        <f t="shared" si="13"/>
        <v>0</v>
      </c>
      <c r="AH55" s="115">
        <f>IF(AG55="","",IF($D$5="Average",INDEX(Tbl_Walk_Avg[#All],MATCH('Model 2 - Permutations'!F55,Tbl_Walk_Avg[[#All],[Ride]],0),MATCH('Model 2 - Permutations'!G55,Tbl_Walk_Avg[#Headers],0)),INDEX(Tbl_Walk_Leisure[#All],MATCH('Model 2 - Permutations'!F55,Tbl_Walk_Leisure[[#All],[Ride]],0),MATCH('Model 2 - Permutations'!G55,Tbl_Walk_Leisure[#Headers],0))))</f>
        <v>4.1666666666666666E-3</v>
      </c>
      <c r="AI55" s="113">
        <f t="shared" si="14"/>
        <v>0.67222222222222217</v>
      </c>
      <c r="AJ55" s="116">
        <f>IF(AI55="","",IF($D$14="Weekday",INDEX(Tbl_Wait_Wkday[#All],MATCH('Model 2 - Permutations'!AI55,Tbl_Wait_Wkday[[#All],[Time]],1),MATCH('Model 2 - Permutations'!G55,Tbl_Wait_Wkday[#Headers],0)),INDEX(Tbl_Wait_Wkend[#All],MATCH('Model 2 - Permutations'!AI55,Tbl_Wait_Wkend[[#All],[Time]],1),MATCH('Model 2 - Permutations'!G55,Tbl_Wait_Wkend[#Headers],0))))</f>
        <v>2.4305555555555552E-2</v>
      </c>
      <c r="AK55" s="117">
        <f>IF(AJ55="","",VLOOKUP(G55,Tbl_Ride[#Data],2,FALSE))</f>
        <v>3.4722222222222225E-3</v>
      </c>
      <c r="AL55" s="118">
        <f t="shared" si="15"/>
        <v>0.7</v>
      </c>
      <c r="AM55" s="114">
        <f t="shared" si="16"/>
        <v>0</v>
      </c>
      <c r="AN55" s="115">
        <f>IF(AM55="","",IF($D$5="Average",INDEX(Tbl_Walk_Avg[#All],MATCH('Model 2 - Permutations'!G55,Tbl_Walk_Avg[[#All],[Ride]],0),MATCH('Model 2 - Permutations'!H55,Tbl_Walk_Avg[#Headers],0)),INDEX(Tbl_Walk_Leisure[#All],MATCH('Model 2 - Permutations'!G55,Tbl_Walk_Leisure[[#All],[Ride]],0),MATCH('Model 2 - Permutations'!H55,Tbl_Walk_Leisure[#Headers],0))))</f>
        <v>2.7777777777777779E-3</v>
      </c>
      <c r="AO55" s="113">
        <f t="shared" si="17"/>
        <v>0.70277777777777772</v>
      </c>
      <c r="AP55" s="116">
        <f>IF(AO55="","",IF($D$14="Weekday",INDEX(Tbl_Wait_Wkday[#All],MATCH('Model 2 - Permutations'!AO55,Tbl_Wait_Wkday[[#All],[Time]],1),MATCH('Model 2 - Permutations'!H55,Tbl_Wait_Wkday[#Headers],0)),INDEX(Tbl_Wait_Wkend[#All],MATCH('Model 2 - Permutations'!AO55,Tbl_Wait_Wkend[[#All],[Time]],1),MATCH('Model 2 - Permutations'!H55,Tbl_Wait_Wkend[#Headers],0))))</f>
        <v>4.1666666666666664E-2</v>
      </c>
      <c r="AQ55" s="117">
        <f>IF(AP55="","",VLOOKUP(H55,Tbl_Ride[#Data],2,FALSE))</f>
        <v>1.3888888888888889E-3</v>
      </c>
      <c r="AR55" s="118">
        <f t="shared" si="18"/>
        <v>0.74583333333333324</v>
      </c>
      <c r="AS55" s="119">
        <f t="shared" si="19"/>
        <v>2.5000000000000001E-2</v>
      </c>
      <c r="AT55" s="119">
        <f t="shared" si="20"/>
        <v>0.12847222222222221</v>
      </c>
      <c r="AU55" s="119">
        <f t="shared" si="21"/>
        <v>0.1534722222222222</v>
      </c>
    </row>
    <row r="56" spans="2:47">
      <c r="B56" s="111">
        <v>11</v>
      </c>
      <c r="C56" s="111" t="s">
        <v>66</v>
      </c>
      <c r="D56" s="112" t="str">
        <f t="shared" si="2"/>
        <v>Battlestar Galactica: Cylon</v>
      </c>
      <c r="E56" s="112" t="str">
        <f t="shared" si="1"/>
        <v>Enchanted Airways</v>
      </c>
      <c r="F56" s="112" t="str">
        <f t="shared" si="1"/>
        <v>Transformers The Ride</v>
      </c>
      <c r="G56" s="112" t="str">
        <f t="shared" si="1"/>
        <v>Battlestart Galactica: Human</v>
      </c>
      <c r="H56" s="112" t="str">
        <f t="shared" si="1"/>
        <v>Revenge of the Mummy</v>
      </c>
      <c r="I56" s="112">
        <v>1</v>
      </c>
      <c r="J56" s="112">
        <v>3</v>
      </c>
      <c r="K56" s="112">
        <v>5</v>
      </c>
      <c r="L56" s="112">
        <v>2</v>
      </c>
      <c r="M56" s="112">
        <v>4</v>
      </c>
      <c r="N56" s="113">
        <f t="shared" si="3"/>
        <v>0.5</v>
      </c>
      <c r="O56" s="114">
        <f t="shared" si="4"/>
        <v>0</v>
      </c>
      <c r="P56" s="115">
        <f>IF($D$5="Average",INDEX(Tbl_Walk_Avg[#All],MATCH('Model 2 - Permutations'!C56,Tbl_Walk_Avg[[#All],[Ride]],0),MATCH('Model 2 - Permutations'!D56,Tbl_Walk_Avg[#Headers],0)),INDEX(Tbl_Walk_Leisure[#All],MATCH('Model 2 - Permutations'!C56,Tbl_Walk_Leisure[[#All],[Ride]],0),MATCH('Model 2 - Permutations'!D56,Tbl_Walk_Leisure[#Headers],0)))</f>
        <v>6.9444444444444449E-3</v>
      </c>
      <c r="Q56" s="113">
        <f t="shared" si="5"/>
        <v>0.50694444444444442</v>
      </c>
      <c r="R56" s="116">
        <f>IF(Q56="","",IF($D$14="Weekday",INDEX(Tbl_Wait_Wkday[#All],MATCH('Model 2 - Permutations'!Q56,Tbl_Wait_Wkday[[#All],[Time]],1),MATCH('Model 2 - Permutations'!D56,Tbl_Wait_Wkday[#Headers],0)),INDEX(Tbl_Wait_Wkend[#All],MATCH('Model 2 - Permutations'!Q56,Tbl_Wait_Wkend[[#All],[Time]],1),MATCH('Model 2 - Permutations'!D56,Tbl_Wait_Wkend[#Headers],0))))</f>
        <v>1.7361111111111112E-2</v>
      </c>
      <c r="S56" s="117">
        <f>IF(R56="","",VLOOKUP(D56,Tbl_Ride[#Data],2,FALSE))</f>
        <v>1.3888888888888889E-3</v>
      </c>
      <c r="T56" s="118">
        <f t="shared" si="6"/>
        <v>0.52569444444444446</v>
      </c>
      <c r="U56" s="114">
        <f t="shared" si="7"/>
        <v>0</v>
      </c>
      <c r="V56" s="115">
        <f>IF(U56="","",IF($D$5="Average",INDEX(Tbl_Walk_Avg[#All],MATCH('Model 2 - Permutations'!D56,Tbl_Walk_Avg[[#All],[Ride]],0),MATCH('Model 2 - Permutations'!E56,Tbl_Walk_Avg[#Headers],0)),INDEX(Tbl_Walk_Leisure[#All],MATCH('Model 2 - Permutations'!D56,Tbl_Walk_Leisure[[#All],[Ride]],0),MATCH('Model 2 - Permutations'!E56,Tbl_Walk_Leisure[#Headers],0))))</f>
        <v>6.2500000000000003E-3</v>
      </c>
      <c r="W56" s="113">
        <f t="shared" si="8"/>
        <v>0.53194444444444444</v>
      </c>
      <c r="X56" s="116">
        <f>IF(W56="","",IF($D$14="Weekday",INDEX(Tbl_Wait_Wkday[#All],MATCH('Model 2 - Permutations'!W56,Tbl_Wait_Wkday[[#All],[Time]],1),MATCH('Model 2 - Permutations'!E56,Tbl_Wait_Wkday[#Headers],0)),INDEX(Tbl_Wait_Wkend[#All],MATCH('Model 2 - Permutations'!W56,Tbl_Wait_Wkend[[#All],[Time]],1),MATCH('Model 2 - Permutations'!E56,Tbl_Wait_Wkend[#Headers],0))))</f>
        <v>1.3888888888888888E-2</v>
      </c>
      <c r="Y56" s="117">
        <f>IF(X56="","",VLOOKUP(E56,Tbl_Ride[#Data],2,FALSE))</f>
        <v>6.9444444444444447E-4</v>
      </c>
      <c r="Z56" s="118">
        <f t="shared" si="9"/>
        <v>0.54652777777777772</v>
      </c>
      <c r="AA56" s="114">
        <f t="shared" si="10"/>
        <v>1</v>
      </c>
      <c r="AB56" s="115">
        <f>IF(AA56="","",IF($D$5="Average",INDEX(Tbl_Walk_Avg[#All],MATCH('Model 2 - Permutations'!E56,Tbl_Walk_Avg[[#All],[Ride]],0),MATCH('Model 2 - Permutations'!F56,Tbl_Walk_Avg[#Headers],0)),INDEX(Tbl_Walk_Leisure[#All],MATCH('Model 2 - Permutations'!E56,Tbl_Walk_Leisure[[#All],[Ride]],0),MATCH('Model 2 - Permutations'!F56,Tbl_Walk_Leisure[#Headers],0))))</f>
        <v>6.2500000000000003E-3</v>
      </c>
      <c r="AC56" s="113">
        <f t="shared" si="11"/>
        <v>0.63611111111111107</v>
      </c>
      <c r="AD56" s="116">
        <f>IF(AC56="","",IF($D$14="Weekday",INDEX(Tbl_Wait_Wkday[#All],MATCH('Model 2 - Permutations'!AC56,Tbl_Wait_Wkday[[#All],[Time]],1),MATCH('Model 2 - Permutations'!F56,Tbl_Wait_Wkday[#Headers],0)),INDEX(Tbl_Wait_Wkend[#All],MATCH('Model 2 - Permutations'!AC56,Tbl_Wait_Wkend[[#All],[Time]],1),MATCH('Model 2 - Permutations'!F56,Tbl_Wait_Wkend[#Headers],0))))</f>
        <v>2.4305555555555552E-2</v>
      </c>
      <c r="AE56" s="117">
        <f>IF(AD56="","",VLOOKUP(F56,Tbl_Ride[#Data],2,FALSE))</f>
        <v>3.4722222222222225E-3</v>
      </c>
      <c r="AF56" s="118">
        <f t="shared" si="12"/>
        <v>0.66388888888888886</v>
      </c>
      <c r="AG56" s="114">
        <f t="shared" si="13"/>
        <v>0</v>
      </c>
      <c r="AH56" s="115">
        <f>IF(AG56="","",IF($D$5="Average",INDEX(Tbl_Walk_Avg[#All],MATCH('Model 2 - Permutations'!F56,Tbl_Walk_Avg[[#All],[Ride]],0),MATCH('Model 2 - Permutations'!G56,Tbl_Walk_Avg[#Headers],0)),INDEX(Tbl_Walk_Leisure[#All],MATCH('Model 2 - Permutations'!F56,Tbl_Walk_Leisure[[#All],[Ride]],0),MATCH('Model 2 - Permutations'!G56,Tbl_Walk_Leisure[#Headers],0))))</f>
        <v>2.7777777777777779E-3</v>
      </c>
      <c r="AI56" s="113">
        <f t="shared" si="14"/>
        <v>0.66666666666666663</v>
      </c>
      <c r="AJ56" s="116">
        <f>IF(AI56="","",IF($D$14="Weekday",INDEX(Tbl_Wait_Wkday[#All],MATCH('Model 2 - Permutations'!AI56,Tbl_Wait_Wkday[[#All],[Time]],1),MATCH('Model 2 - Permutations'!G56,Tbl_Wait_Wkday[#Headers],0)),INDEX(Tbl_Wait_Wkend[#All],MATCH('Model 2 - Permutations'!AI56,Tbl_Wait_Wkend[[#All],[Time]],1),MATCH('Model 2 - Permutations'!G56,Tbl_Wait_Wkend[#Headers],0))))</f>
        <v>4.1666666666666664E-2</v>
      </c>
      <c r="AK56" s="117">
        <f>IF(AJ56="","",VLOOKUP(G56,Tbl_Ride[#Data],2,FALSE))</f>
        <v>1.3888888888888889E-3</v>
      </c>
      <c r="AL56" s="118">
        <f t="shared" si="15"/>
        <v>0.70972222222222214</v>
      </c>
      <c r="AM56" s="114">
        <f t="shared" si="16"/>
        <v>0</v>
      </c>
      <c r="AN56" s="115">
        <f>IF(AM56="","",IF($D$5="Average",INDEX(Tbl_Walk_Avg[#All],MATCH('Model 2 - Permutations'!G56,Tbl_Walk_Avg[[#All],[Ride]],0),MATCH('Model 2 - Permutations'!H56,Tbl_Walk_Avg[#Headers],0)),INDEX(Tbl_Walk_Leisure[#All],MATCH('Model 2 - Permutations'!G56,Tbl_Walk_Leisure[[#All],[Ride]],0),MATCH('Model 2 - Permutations'!H56,Tbl_Walk_Leisure[#Headers],0))))</f>
        <v>2.7777777777777779E-3</v>
      </c>
      <c r="AO56" s="113">
        <f t="shared" si="17"/>
        <v>0.71249999999999991</v>
      </c>
      <c r="AP56" s="116">
        <f>IF(AO56="","",IF($D$14="Weekday",INDEX(Tbl_Wait_Wkday[#All],MATCH('Model 2 - Permutations'!AO56,Tbl_Wait_Wkday[[#All],[Time]],1),MATCH('Model 2 - Permutations'!H56,Tbl_Wait_Wkday[#Headers],0)),INDEX(Tbl_Wait_Wkend[#All],MATCH('Model 2 - Permutations'!AO56,Tbl_Wait_Wkend[[#All],[Time]],1),MATCH('Model 2 - Permutations'!H56,Tbl_Wait_Wkend[#Headers],0))))</f>
        <v>2.4305555555555552E-2</v>
      </c>
      <c r="AQ56" s="117">
        <f>IF(AP56="","",VLOOKUP(H56,Tbl_Ride[#Data],2,FALSE))</f>
        <v>2.0833333333333333E-3</v>
      </c>
      <c r="AR56" s="118">
        <f t="shared" si="18"/>
        <v>0.73888888888888882</v>
      </c>
      <c r="AS56" s="119">
        <f t="shared" si="19"/>
        <v>2.5000000000000001E-2</v>
      </c>
      <c r="AT56" s="119">
        <f t="shared" si="20"/>
        <v>0.12152777777777776</v>
      </c>
      <c r="AU56" s="119">
        <f t="shared" si="21"/>
        <v>0.14652777777777776</v>
      </c>
    </row>
    <row r="57" spans="2:47">
      <c r="B57" s="111">
        <v>12</v>
      </c>
      <c r="C57" s="111" t="s">
        <v>66</v>
      </c>
      <c r="D57" s="112" t="str">
        <f t="shared" si="2"/>
        <v>Battlestar Galactica: Cylon</v>
      </c>
      <c r="E57" s="112" t="str">
        <f t="shared" si="1"/>
        <v>Enchanted Airways</v>
      </c>
      <c r="F57" s="112" t="str">
        <f t="shared" si="1"/>
        <v>Transformers The Ride</v>
      </c>
      <c r="G57" s="112" t="str">
        <f t="shared" si="1"/>
        <v>Revenge of the Mummy</v>
      </c>
      <c r="H57" s="112" t="str">
        <f t="shared" si="1"/>
        <v>Battlestart Galactica: Human</v>
      </c>
      <c r="I57" s="112">
        <v>1</v>
      </c>
      <c r="J57" s="112">
        <v>3</v>
      </c>
      <c r="K57" s="112">
        <v>5</v>
      </c>
      <c r="L57" s="112">
        <v>4</v>
      </c>
      <c r="M57" s="112">
        <v>2</v>
      </c>
      <c r="N57" s="113">
        <f t="shared" si="3"/>
        <v>0.5</v>
      </c>
      <c r="O57" s="114">
        <f t="shared" si="4"/>
        <v>0</v>
      </c>
      <c r="P57" s="115">
        <f>IF($D$5="Average",INDEX(Tbl_Walk_Avg[#All],MATCH('Model 2 - Permutations'!C57,Tbl_Walk_Avg[[#All],[Ride]],0),MATCH('Model 2 - Permutations'!D57,Tbl_Walk_Avg[#Headers],0)),INDEX(Tbl_Walk_Leisure[#All],MATCH('Model 2 - Permutations'!C57,Tbl_Walk_Leisure[[#All],[Ride]],0),MATCH('Model 2 - Permutations'!D57,Tbl_Walk_Leisure[#Headers],0)))</f>
        <v>6.9444444444444449E-3</v>
      </c>
      <c r="Q57" s="113">
        <f t="shared" si="5"/>
        <v>0.50694444444444442</v>
      </c>
      <c r="R57" s="116">
        <f>IF(Q57="","",IF($D$14="Weekday",INDEX(Tbl_Wait_Wkday[#All],MATCH('Model 2 - Permutations'!Q57,Tbl_Wait_Wkday[[#All],[Time]],1),MATCH('Model 2 - Permutations'!D57,Tbl_Wait_Wkday[#Headers],0)),INDEX(Tbl_Wait_Wkend[#All],MATCH('Model 2 - Permutations'!Q57,Tbl_Wait_Wkend[[#All],[Time]],1),MATCH('Model 2 - Permutations'!D57,Tbl_Wait_Wkend[#Headers],0))))</f>
        <v>1.7361111111111112E-2</v>
      </c>
      <c r="S57" s="117">
        <f>IF(R57="","",VLOOKUP(D57,Tbl_Ride[#Data],2,FALSE))</f>
        <v>1.3888888888888889E-3</v>
      </c>
      <c r="T57" s="118">
        <f t="shared" si="6"/>
        <v>0.52569444444444446</v>
      </c>
      <c r="U57" s="114">
        <f t="shared" si="7"/>
        <v>0</v>
      </c>
      <c r="V57" s="115">
        <f>IF(U57="","",IF($D$5="Average",INDEX(Tbl_Walk_Avg[#All],MATCH('Model 2 - Permutations'!D57,Tbl_Walk_Avg[[#All],[Ride]],0),MATCH('Model 2 - Permutations'!E57,Tbl_Walk_Avg[#Headers],0)),INDEX(Tbl_Walk_Leisure[#All],MATCH('Model 2 - Permutations'!D57,Tbl_Walk_Leisure[[#All],[Ride]],0),MATCH('Model 2 - Permutations'!E57,Tbl_Walk_Leisure[#Headers],0))))</f>
        <v>6.2500000000000003E-3</v>
      </c>
      <c r="W57" s="113">
        <f t="shared" si="8"/>
        <v>0.53194444444444444</v>
      </c>
      <c r="X57" s="116">
        <f>IF(W57="","",IF($D$14="Weekday",INDEX(Tbl_Wait_Wkday[#All],MATCH('Model 2 - Permutations'!W57,Tbl_Wait_Wkday[[#All],[Time]],1),MATCH('Model 2 - Permutations'!E57,Tbl_Wait_Wkday[#Headers],0)),INDEX(Tbl_Wait_Wkend[#All],MATCH('Model 2 - Permutations'!W57,Tbl_Wait_Wkend[[#All],[Time]],1),MATCH('Model 2 - Permutations'!E57,Tbl_Wait_Wkend[#Headers],0))))</f>
        <v>1.3888888888888888E-2</v>
      </c>
      <c r="Y57" s="117">
        <f>IF(X57="","",VLOOKUP(E57,Tbl_Ride[#Data],2,FALSE))</f>
        <v>6.9444444444444447E-4</v>
      </c>
      <c r="Z57" s="118">
        <f t="shared" si="9"/>
        <v>0.54652777777777772</v>
      </c>
      <c r="AA57" s="114">
        <f t="shared" si="10"/>
        <v>1</v>
      </c>
      <c r="AB57" s="115">
        <f>IF(AA57="","",IF($D$5="Average",INDEX(Tbl_Walk_Avg[#All],MATCH('Model 2 - Permutations'!E57,Tbl_Walk_Avg[[#All],[Ride]],0),MATCH('Model 2 - Permutations'!F57,Tbl_Walk_Avg[#Headers],0)),INDEX(Tbl_Walk_Leisure[#All],MATCH('Model 2 - Permutations'!E57,Tbl_Walk_Leisure[[#All],[Ride]],0),MATCH('Model 2 - Permutations'!F57,Tbl_Walk_Leisure[#Headers],0))))</f>
        <v>6.2500000000000003E-3</v>
      </c>
      <c r="AC57" s="113">
        <f t="shared" si="11"/>
        <v>0.63611111111111107</v>
      </c>
      <c r="AD57" s="116">
        <f>IF(AC57="","",IF($D$14="Weekday",INDEX(Tbl_Wait_Wkday[#All],MATCH('Model 2 - Permutations'!AC57,Tbl_Wait_Wkday[[#All],[Time]],1),MATCH('Model 2 - Permutations'!F57,Tbl_Wait_Wkday[#Headers],0)),INDEX(Tbl_Wait_Wkend[#All],MATCH('Model 2 - Permutations'!AC57,Tbl_Wait_Wkend[[#All],[Time]],1),MATCH('Model 2 - Permutations'!F57,Tbl_Wait_Wkend[#Headers],0))))</f>
        <v>2.4305555555555552E-2</v>
      </c>
      <c r="AE57" s="117">
        <f>IF(AD57="","",VLOOKUP(F57,Tbl_Ride[#Data],2,FALSE))</f>
        <v>3.4722222222222225E-3</v>
      </c>
      <c r="AF57" s="118">
        <f t="shared" si="12"/>
        <v>0.66388888888888886</v>
      </c>
      <c r="AG57" s="114">
        <f t="shared" si="13"/>
        <v>0</v>
      </c>
      <c r="AH57" s="115">
        <f>IF(AG57="","",IF($D$5="Average",INDEX(Tbl_Walk_Avg[#All],MATCH('Model 2 - Permutations'!F57,Tbl_Walk_Avg[[#All],[Ride]],0),MATCH('Model 2 - Permutations'!G57,Tbl_Walk_Avg[#Headers],0)),INDEX(Tbl_Walk_Leisure[#All],MATCH('Model 2 - Permutations'!F57,Tbl_Walk_Leisure[[#All],[Ride]],0),MATCH('Model 2 - Permutations'!G57,Tbl_Walk_Leisure[#Headers],0))))</f>
        <v>4.1666666666666666E-3</v>
      </c>
      <c r="AI57" s="113">
        <f t="shared" si="14"/>
        <v>0.66805555555555551</v>
      </c>
      <c r="AJ57" s="116">
        <f>IF(AI57="","",IF($D$14="Weekday",INDEX(Tbl_Wait_Wkday[#All],MATCH('Model 2 - Permutations'!AI57,Tbl_Wait_Wkday[[#All],[Time]],1),MATCH('Model 2 - Permutations'!G57,Tbl_Wait_Wkday[#Headers],0)),INDEX(Tbl_Wait_Wkend[#All],MATCH('Model 2 - Permutations'!AI57,Tbl_Wait_Wkend[[#All],[Time]],1),MATCH('Model 2 - Permutations'!G57,Tbl_Wait_Wkend[#Headers],0))))</f>
        <v>2.7777777777777776E-2</v>
      </c>
      <c r="AK57" s="117">
        <f>IF(AJ57="","",VLOOKUP(G57,Tbl_Ride[#Data],2,FALSE))</f>
        <v>2.0833333333333333E-3</v>
      </c>
      <c r="AL57" s="118">
        <f t="shared" si="15"/>
        <v>0.69791666666666663</v>
      </c>
      <c r="AM57" s="114">
        <f t="shared" si="16"/>
        <v>0</v>
      </c>
      <c r="AN57" s="115">
        <f>IF(AM57="","",IF($D$5="Average",INDEX(Tbl_Walk_Avg[#All],MATCH('Model 2 - Permutations'!G57,Tbl_Walk_Avg[[#All],[Ride]],0),MATCH('Model 2 - Permutations'!H57,Tbl_Walk_Avg[#Headers],0)),INDEX(Tbl_Walk_Leisure[#All],MATCH('Model 2 - Permutations'!G57,Tbl_Walk_Leisure[[#All],[Ride]],0),MATCH('Model 2 - Permutations'!H57,Tbl_Walk_Leisure[#Headers],0))))</f>
        <v>2.7777777777777779E-3</v>
      </c>
      <c r="AO57" s="113">
        <f t="shared" si="17"/>
        <v>0.7006944444444444</v>
      </c>
      <c r="AP57" s="116">
        <f>IF(AO57="","",IF($D$14="Weekday",INDEX(Tbl_Wait_Wkday[#All],MATCH('Model 2 - Permutations'!AO57,Tbl_Wait_Wkday[[#All],[Time]],1),MATCH('Model 2 - Permutations'!H57,Tbl_Wait_Wkday[#Headers],0)),INDEX(Tbl_Wait_Wkend[#All],MATCH('Model 2 - Permutations'!AO57,Tbl_Wait_Wkend[[#All],[Time]],1),MATCH('Model 2 - Permutations'!H57,Tbl_Wait_Wkend[#Headers],0))))</f>
        <v>4.1666666666666664E-2</v>
      </c>
      <c r="AQ57" s="117">
        <f>IF(AP57="","",VLOOKUP(H57,Tbl_Ride[#Data],2,FALSE))</f>
        <v>1.3888888888888889E-3</v>
      </c>
      <c r="AR57" s="118">
        <f t="shared" si="18"/>
        <v>0.74374999999999991</v>
      </c>
      <c r="AS57" s="119">
        <f t="shared" si="19"/>
        <v>2.6388888888888889E-2</v>
      </c>
      <c r="AT57" s="119">
        <f t="shared" si="20"/>
        <v>0.125</v>
      </c>
      <c r="AU57" s="119">
        <f t="shared" si="21"/>
        <v>0.15138888888888888</v>
      </c>
    </row>
    <row r="58" spans="2:47">
      <c r="B58" s="111">
        <v>13</v>
      </c>
      <c r="C58" s="111" t="s">
        <v>66</v>
      </c>
      <c r="D58" s="112" t="str">
        <f t="shared" si="2"/>
        <v>Battlestar Galactica: Cylon</v>
      </c>
      <c r="E58" s="112" t="str">
        <f t="shared" si="1"/>
        <v>Revenge of the Mummy</v>
      </c>
      <c r="F58" s="112" t="str">
        <f t="shared" si="1"/>
        <v>Battlestart Galactica: Human</v>
      </c>
      <c r="G58" s="112" t="str">
        <f t="shared" si="1"/>
        <v>Enchanted Airways</v>
      </c>
      <c r="H58" s="112" t="str">
        <f t="shared" si="1"/>
        <v>Transformers The Ride</v>
      </c>
      <c r="I58" s="112">
        <v>1</v>
      </c>
      <c r="J58" s="112">
        <v>4</v>
      </c>
      <c r="K58" s="112">
        <v>2</v>
      </c>
      <c r="L58" s="112">
        <v>3</v>
      </c>
      <c r="M58" s="112">
        <v>5</v>
      </c>
      <c r="N58" s="113">
        <f t="shared" si="3"/>
        <v>0.5</v>
      </c>
      <c r="O58" s="114">
        <f t="shared" si="4"/>
        <v>0</v>
      </c>
      <c r="P58" s="115">
        <f>IF($D$5="Average",INDEX(Tbl_Walk_Avg[#All],MATCH('Model 2 - Permutations'!C58,Tbl_Walk_Avg[[#All],[Ride]],0),MATCH('Model 2 - Permutations'!D58,Tbl_Walk_Avg[#Headers],0)),INDEX(Tbl_Walk_Leisure[#All],MATCH('Model 2 - Permutations'!C58,Tbl_Walk_Leisure[[#All],[Ride]],0),MATCH('Model 2 - Permutations'!D58,Tbl_Walk_Leisure[#Headers],0)))</f>
        <v>6.9444444444444449E-3</v>
      </c>
      <c r="Q58" s="113">
        <f t="shared" si="5"/>
        <v>0.50694444444444442</v>
      </c>
      <c r="R58" s="116">
        <f>IF(Q58="","",IF($D$14="Weekday",INDEX(Tbl_Wait_Wkday[#All],MATCH('Model 2 - Permutations'!Q58,Tbl_Wait_Wkday[[#All],[Time]],1),MATCH('Model 2 - Permutations'!D58,Tbl_Wait_Wkday[#Headers],0)),INDEX(Tbl_Wait_Wkend[#All],MATCH('Model 2 - Permutations'!Q58,Tbl_Wait_Wkend[[#All],[Time]],1),MATCH('Model 2 - Permutations'!D58,Tbl_Wait_Wkend[#Headers],0))))</f>
        <v>1.7361111111111112E-2</v>
      </c>
      <c r="S58" s="117">
        <f>IF(R58="","",VLOOKUP(D58,Tbl_Ride[#Data],2,FALSE))</f>
        <v>1.3888888888888889E-3</v>
      </c>
      <c r="T58" s="118">
        <f t="shared" si="6"/>
        <v>0.52569444444444446</v>
      </c>
      <c r="U58" s="114">
        <f t="shared" si="7"/>
        <v>0</v>
      </c>
      <c r="V58" s="115">
        <f>IF(U58="","",IF($D$5="Average",INDEX(Tbl_Walk_Avg[#All],MATCH('Model 2 - Permutations'!D58,Tbl_Walk_Avg[[#All],[Ride]],0),MATCH('Model 2 - Permutations'!E58,Tbl_Walk_Avg[#Headers],0)),INDEX(Tbl_Walk_Leisure[#All],MATCH('Model 2 - Permutations'!D58,Tbl_Walk_Leisure[[#All],[Ride]],0),MATCH('Model 2 - Permutations'!E58,Tbl_Walk_Leisure[#Headers],0))))</f>
        <v>2.7777777777777779E-3</v>
      </c>
      <c r="W58" s="113">
        <f t="shared" si="8"/>
        <v>0.52847222222222223</v>
      </c>
      <c r="X58" s="116">
        <f>IF(W58="","",IF($D$14="Weekday",INDEX(Tbl_Wait_Wkday[#All],MATCH('Model 2 - Permutations'!W58,Tbl_Wait_Wkday[[#All],[Time]],1),MATCH('Model 2 - Permutations'!E58,Tbl_Wait_Wkday[#Headers],0)),INDEX(Tbl_Wait_Wkend[#All],MATCH('Model 2 - Permutations'!W58,Tbl_Wait_Wkend[[#All],[Time]],1),MATCH('Model 2 - Permutations'!E58,Tbl_Wait_Wkend[#Headers],0))))</f>
        <v>1.0416666666666666E-2</v>
      </c>
      <c r="Y58" s="117">
        <f>IF(X58="","",VLOOKUP(E58,Tbl_Ride[#Data],2,FALSE))</f>
        <v>2.0833333333333333E-3</v>
      </c>
      <c r="Z58" s="118">
        <f t="shared" si="9"/>
        <v>0.54097222222222219</v>
      </c>
      <c r="AA58" s="114">
        <f t="shared" si="10"/>
        <v>0</v>
      </c>
      <c r="AB58" s="115">
        <f>IF(AA58="","",IF($D$5="Average",INDEX(Tbl_Walk_Avg[#All],MATCH('Model 2 - Permutations'!E58,Tbl_Walk_Avg[[#All],[Ride]],0),MATCH('Model 2 - Permutations'!F58,Tbl_Walk_Avg[#Headers],0)),INDEX(Tbl_Walk_Leisure[#All],MATCH('Model 2 - Permutations'!E58,Tbl_Walk_Leisure[[#All],[Ride]],0),MATCH('Model 2 - Permutations'!F58,Tbl_Walk_Leisure[#Headers],0))))</f>
        <v>2.7777777777777779E-3</v>
      </c>
      <c r="AC58" s="113">
        <f t="shared" si="11"/>
        <v>0.54374999999999996</v>
      </c>
      <c r="AD58" s="116">
        <f>IF(AC58="","",IF($D$14="Weekday",INDEX(Tbl_Wait_Wkday[#All],MATCH('Model 2 - Permutations'!AC58,Tbl_Wait_Wkday[[#All],[Time]],1),MATCH('Model 2 - Permutations'!F58,Tbl_Wait_Wkday[#Headers],0)),INDEX(Tbl_Wait_Wkend[#All],MATCH('Model 2 - Permutations'!AC58,Tbl_Wait_Wkend[[#All],[Time]],1),MATCH('Model 2 - Permutations'!F58,Tbl_Wait_Wkend[#Headers],0))))</f>
        <v>4.5138888888888888E-2</v>
      </c>
      <c r="AE58" s="117">
        <f>IF(AD58="","",VLOOKUP(F58,Tbl_Ride[#Data],2,FALSE))</f>
        <v>1.3888888888888889E-3</v>
      </c>
      <c r="AF58" s="118">
        <f t="shared" si="12"/>
        <v>0.59027777777777768</v>
      </c>
      <c r="AG58" s="114">
        <f t="shared" si="13"/>
        <v>1</v>
      </c>
      <c r="AH58" s="115">
        <f>IF(AG58="","",IF($D$5="Average",INDEX(Tbl_Walk_Avg[#All],MATCH('Model 2 - Permutations'!F58,Tbl_Walk_Avg[[#All],[Ride]],0),MATCH('Model 2 - Permutations'!G58,Tbl_Walk_Avg[#Headers],0)),INDEX(Tbl_Walk_Leisure[#All],MATCH('Model 2 - Permutations'!F58,Tbl_Walk_Leisure[[#All],[Ride]],0),MATCH('Model 2 - Permutations'!G58,Tbl_Walk_Leisure[#Headers],0))))</f>
        <v>6.2500000000000003E-3</v>
      </c>
      <c r="AI58" s="113">
        <f t="shared" si="14"/>
        <v>0.67986111111111103</v>
      </c>
      <c r="AJ58" s="116">
        <f>IF(AI58="","",IF($D$14="Weekday",INDEX(Tbl_Wait_Wkday[#All],MATCH('Model 2 - Permutations'!AI58,Tbl_Wait_Wkday[[#All],[Time]],1),MATCH('Model 2 - Permutations'!G58,Tbl_Wait_Wkday[#Headers],0)),INDEX(Tbl_Wait_Wkend[#All],MATCH('Model 2 - Permutations'!AI58,Tbl_Wait_Wkend[[#All],[Time]],1),MATCH('Model 2 - Permutations'!G58,Tbl_Wait_Wkend[#Headers],0))))</f>
        <v>1.7361111111111112E-2</v>
      </c>
      <c r="AK58" s="117">
        <f>IF(AJ58="","",VLOOKUP(G58,Tbl_Ride[#Data],2,FALSE))</f>
        <v>6.9444444444444447E-4</v>
      </c>
      <c r="AL58" s="118">
        <f t="shared" si="15"/>
        <v>0.69791666666666663</v>
      </c>
      <c r="AM58" s="114">
        <f t="shared" si="16"/>
        <v>0</v>
      </c>
      <c r="AN58" s="115">
        <f>IF(AM58="","",IF($D$5="Average",INDEX(Tbl_Walk_Avg[#All],MATCH('Model 2 - Permutations'!G58,Tbl_Walk_Avg[[#All],[Ride]],0),MATCH('Model 2 - Permutations'!H58,Tbl_Walk_Avg[#Headers],0)),INDEX(Tbl_Walk_Leisure[#All],MATCH('Model 2 - Permutations'!G58,Tbl_Walk_Leisure[[#All],[Ride]],0),MATCH('Model 2 - Permutations'!H58,Tbl_Walk_Leisure[#Headers],0))))</f>
        <v>6.2500000000000003E-3</v>
      </c>
      <c r="AO58" s="113">
        <f t="shared" si="17"/>
        <v>0.70416666666666661</v>
      </c>
      <c r="AP58" s="116">
        <f>IF(AO58="","",IF($D$14="Weekday",INDEX(Tbl_Wait_Wkday[#All],MATCH('Model 2 - Permutations'!AO58,Tbl_Wait_Wkday[[#All],[Time]],1),MATCH('Model 2 - Permutations'!H58,Tbl_Wait_Wkday[#Headers],0)),INDEX(Tbl_Wait_Wkend[#All],MATCH('Model 2 - Permutations'!AO58,Tbl_Wait_Wkend[[#All],[Time]],1),MATCH('Model 2 - Permutations'!H58,Tbl_Wait_Wkend[#Headers],0))))</f>
        <v>2.4305555555555552E-2</v>
      </c>
      <c r="AQ58" s="117">
        <f>IF(AP58="","",VLOOKUP(H58,Tbl_Ride[#Data],2,FALSE))</f>
        <v>3.4722222222222225E-3</v>
      </c>
      <c r="AR58" s="118">
        <f t="shared" si="18"/>
        <v>0.7319444444444444</v>
      </c>
      <c r="AS58" s="119">
        <f t="shared" si="19"/>
        <v>2.5000000000000001E-2</v>
      </c>
      <c r="AT58" s="119">
        <f t="shared" si="20"/>
        <v>0.11458333333333331</v>
      </c>
      <c r="AU58" s="119">
        <f t="shared" si="21"/>
        <v>0.13958333333333331</v>
      </c>
    </row>
    <row r="59" spans="2:47">
      <c r="B59" s="111">
        <v>14</v>
      </c>
      <c r="C59" s="111" t="s">
        <v>66</v>
      </c>
      <c r="D59" s="112" t="str">
        <f t="shared" si="2"/>
        <v>Battlestar Galactica: Cylon</v>
      </c>
      <c r="E59" s="112" t="str">
        <f t="shared" si="1"/>
        <v>Revenge of the Mummy</v>
      </c>
      <c r="F59" s="112" t="str">
        <f t="shared" si="1"/>
        <v>Battlestart Galactica: Human</v>
      </c>
      <c r="G59" s="112" t="str">
        <f t="shared" si="1"/>
        <v>Transformers The Ride</v>
      </c>
      <c r="H59" s="112" t="str">
        <f t="shared" si="1"/>
        <v>Enchanted Airways</v>
      </c>
      <c r="I59" s="112">
        <v>1</v>
      </c>
      <c r="J59" s="112">
        <v>4</v>
      </c>
      <c r="K59" s="112">
        <v>2</v>
      </c>
      <c r="L59" s="112">
        <v>5</v>
      </c>
      <c r="M59" s="112">
        <v>3</v>
      </c>
      <c r="N59" s="113">
        <f t="shared" si="3"/>
        <v>0.5</v>
      </c>
      <c r="O59" s="114">
        <f t="shared" si="4"/>
        <v>0</v>
      </c>
      <c r="P59" s="115">
        <f>IF($D$5="Average",INDEX(Tbl_Walk_Avg[#All],MATCH('Model 2 - Permutations'!C59,Tbl_Walk_Avg[[#All],[Ride]],0),MATCH('Model 2 - Permutations'!D59,Tbl_Walk_Avg[#Headers],0)),INDEX(Tbl_Walk_Leisure[#All],MATCH('Model 2 - Permutations'!C59,Tbl_Walk_Leisure[[#All],[Ride]],0),MATCH('Model 2 - Permutations'!D59,Tbl_Walk_Leisure[#Headers],0)))</f>
        <v>6.9444444444444449E-3</v>
      </c>
      <c r="Q59" s="113">
        <f t="shared" si="5"/>
        <v>0.50694444444444442</v>
      </c>
      <c r="R59" s="116">
        <f>IF(Q59="","",IF($D$14="Weekday",INDEX(Tbl_Wait_Wkday[#All],MATCH('Model 2 - Permutations'!Q59,Tbl_Wait_Wkday[[#All],[Time]],1),MATCH('Model 2 - Permutations'!D59,Tbl_Wait_Wkday[#Headers],0)),INDEX(Tbl_Wait_Wkend[#All],MATCH('Model 2 - Permutations'!Q59,Tbl_Wait_Wkend[[#All],[Time]],1),MATCH('Model 2 - Permutations'!D59,Tbl_Wait_Wkend[#Headers],0))))</f>
        <v>1.7361111111111112E-2</v>
      </c>
      <c r="S59" s="117">
        <f>IF(R59="","",VLOOKUP(D59,Tbl_Ride[#Data],2,FALSE))</f>
        <v>1.3888888888888889E-3</v>
      </c>
      <c r="T59" s="118">
        <f t="shared" si="6"/>
        <v>0.52569444444444446</v>
      </c>
      <c r="U59" s="114">
        <f t="shared" si="7"/>
        <v>0</v>
      </c>
      <c r="V59" s="115">
        <f>IF(U59="","",IF($D$5="Average",INDEX(Tbl_Walk_Avg[#All],MATCH('Model 2 - Permutations'!D59,Tbl_Walk_Avg[[#All],[Ride]],0),MATCH('Model 2 - Permutations'!E59,Tbl_Walk_Avg[#Headers],0)),INDEX(Tbl_Walk_Leisure[#All],MATCH('Model 2 - Permutations'!D59,Tbl_Walk_Leisure[[#All],[Ride]],0),MATCH('Model 2 - Permutations'!E59,Tbl_Walk_Leisure[#Headers],0))))</f>
        <v>2.7777777777777779E-3</v>
      </c>
      <c r="W59" s="113">
        <f t="shared" si="8"/>
        <v>0.52847222222222223</v>
      </c>
      <c r="X59" s="116">
        <f>IF(W59="","",IF($D$14="Weekday",INDEX(Tbl_Wait_Wkday[#All],MATCH('Model 2 - Permutations'!W59,Tbl_Wait_Wkday[[#All],[Time]],1),MATCH('Model 2 - Permutations'!E59,Tbl_Wait_Wkday[#Headers],0)),INDEX(Tbl_Wait_Wkend[#All],MATCH('Model 2 - Permutations'!W59,Tbl_Wait_Wkend[[#All],[Time]],1),MATCH('Model 2 - Permutations'!E59,Tbl_Wait_Wkend[#Headers],0))))</f>
        <v>1.0416666666666666E-2</v>
      </c>
      <c r="Y59" s="117">
        <f>IF(X59="","",VLOOKUP(E59,Tbl_Ride[#Data],2,FALSE))</f>
        <v>2.0833333333333333E-3</v>
      </c>
      <c r="Z59" s="118">
        <f t="shared" si="9"/>
        <v>0.54097222222222219</v>
      </c>
      <c r="AA59" s="114">
        <f t="shared" si="10"/>
        <v>0</v>
      </c>
      <c r="AB59" s="115">
        <f>IF(AA59="","",IF($D$5="Average",INDEX(Tbl_Walk_Avg[#All],MATCH('Model 2 - Permutations'!E59,Tbl_Walk_Avg[[#All],[Ride]],0),MATCH('Model 2 - Permutations'!F59,Tbl_Walk_Avg[#Headers],0)),INDEX(Tbl_Walk_Leisure[#All],MATCH('Model 2 - Permutations'!E59,Tbl_Walk_Leisure[[#All],[Ride]],0),MATCH('Model 2 - Permutations'!F59,Tbl_Walk_Leisure[#Headers],0))))</f>
        <v>2.7777777777777779E-3</v>
      </c>
      <c r="AC59" s="113">
        <f t="shared" si="11"/>
        <v>0.54374999999999996</v>
      </c>
      <c r="AD59" s="116">
        <f>IF(AC59="","",IF($D$14="Weekday",INDEX(Tbl_Wait_Wkday[#All],MATCH('Model 2 - Permutations'!AC59,Tbl_Wait_Wkday[[#All],[Time]],1),MATCH('Model 2 - Permutations'!F59,Tbl_Wait_Wkday[#Headers],0)),INDEX(Tbl_Wait_Wkend[#All],MATCH('Model 2 - Permutations'!AC59,Tbl_Wait_Wkend[[#All],[Time]],1),MATCH('Model 2 - Permutations'!F59,Tbl_Wait_Wkend[#Headers],0))))</f>
        <v>4.5138888888888888E-2</v>
      </c>
      <c r="AE59" s="117">
        <f>IF(AD59="","",VLOOKUP(F59,Tbl_Ride[#Data],2,FALSE))</f>
        <v>1.3888888888888889E-3</v>
      </c>
      <c r="AF59" s="118">
        <f t="shared" si="12"/>
        <v>0.59027777777777768</v>
      </c>
      <c r="AG59" s="114">
        <f t="shared" si="13"/>
        <v>1</v>
      </c>
      <c r="AH59" s="115">
        <f>IF(AG59="","",IF($D$5="Average",INDEX(Tbl_Walk_Avg[#All],MATCH('Model 2 - Permutations'!F59,Tbl_Walk_Avg[[#All],[Ride]],0),MATCH('Model 2 - Permutations'!G59,Tbl_Walk_Avg[#Headers],0)),INDEX(Tbl_Walk_Leisure[#All],MATCH('Model 2 - Permutations'!F59,Tbl_Walk_Leisure[[#All],[Ride]],0),MATCH('Model 2 - Permutations'!G59,Tbl_Walk_Leisure[#Headers],0))))</f>
        <v>2.7777777777777779E-3</v>
      </c>
      <c r="AI59" s="113">
        <f t="shared" si="14"/>
        <v>0.67638888888888882</v>
      </c>
      <c r="AJ59" s="116">
        <f>IF(AI59="","",IF($D$14="Weekday",INDEX(Tbl_Wait_Wkday[#All],MATCH('Model 2 - Permutations'!AI59,Tbl_Wait_Wkday[[#All],[Time]],1),MATCH('Model 2 - Permutations'!G59,Tbl_Wait_Wkday[#Headers],0)),INDEX(Tbl_Wait_Wkend[#All],MATCH('Model 2 - Permutations'!AI59,Tbl_Wait_Wkend[[#All],[Time]],1),MATCH('Model 2 - Permutations'!G59,Tbl_Wait_Wkend[#Headers],0))))</f>
        <v>2.4305555555555552E-2</v>
      </c>
      <c r="AK59" s="117">
        <f>IF(AJ59="","",VLOOKUP(G59,Tbl_Ride[#Data],2,FALSE))</f>
        <v>3.4722222222222225E-3</v>
      </c>
      <c r="AL59" s="118">
        <f t="shared" si="15"/>
        <v>0.70416666666666661</v>
      </c>
      <c r="AM59" s="114">
        <f t="shared" si="16"/>
        <v>0</v>
      </c>
      <c r="AN59" s="115">
        <f>IF(AM59="","",IF($D$5="Average",INDEX(Tbl_Walk_Avg[#All],MATCH('Model 2 - Permutations'!G59,Tbl_Walk_Avg[[#All],[Ride]],0),MATCH('Model 2 - Permutations'!H59,Tbl_Walk_Avg[#Headers],0)),INDEX(Tbl_Walk_Leisure[#All],MATCH('Model 2 - Permutations'!G59,Tbl_Walk_Leisure[[#All],[Ride]],0),MATCH('Model 2 - Permutations'!H59,Tbl_Walk_Leisure[#Headers],0))))</f>
        <v>6.2500000000000003E-3</v>
      </c>
      <c r="AO59" s="113">
        <f t="shared" si="17"/>
        <v>0.71041666666666659</v>
      </c>
      <c r="AP59" s="116">
        <f>IF(AO59="","",IF($D$14="Weekday",INDEX(Tbl_Wait_Wkday[#All],MATCH('Model 2 - Permutations'!AO59,Tbl_Wait_Wkday[[#All],[Time]],1),MATCH('Model 2 - Permutations'!H59,Tbl_Wait_Wkday[#Headers],0)),INDEX(Tbl_Wait_Wkend[#All],MATCH('Model 2 - Permutations'!AO59,Tbl_Wait_Wkend[[#All],[Time]],1),MATCH('Model 2 - Permutations'!H59,Tbl_Wait_Wkend[#Headers],0))))</f>
        <v>1.7361111111111112E-2</v>
      </c>
      <c r="AQ59" s="117">
        <f>IF(AP59="","",VLOOKUP(H59,Tbl_Ride[#Data],2,FALSE))</f>
        <v>6.9444444444444447E-4</v>
      </c>
      <c r="AR59" s="118">
        <f t="shared" si="18"/>
        <v>0.72847222222222219</v>
      </c>
      <c r="AS59" s="119">
        <f t="shared" si="19"/>
        <v>2.1527777777777778E-2</v>
      </c>
      <c r="AT59" s="119">
        <f t="shared" si="20"/>
        <v>0.11458333333333331</v>
      </c>
      <c r="AU59" s="119">
        <f t="shared" si="21"/>
        <v>0.1361111111111111</v>
      </c>
    </row>
    <row r="60" spans="2:47">
      <c r="B60" s="111">
        <v>15</v>
      </c>
      <c r="C60" s="111" t="s">
        <v>66</v>
      </c>
      <c r="D60" s="112" t="str">
        <f t="shared" si="2"/>
        <v>Battlestar Galactica: Cylon</v>
      </c>
      <c r="E60" s="112" t="str">
        <f t="shared" si="1"/>
        <v>Revenge of the Mummy</v>
      </c>
      <c r="F60" s="112" t="str">
        <f t="shared" si="1"/>
        <v>Enchanted Airways</v>
      </c>
      <c r="G60" s="112" t="str">
        <f t="shared" si="1"/>
        <v>Battlestart Galactica: Human</v>
      </c>
      <c r="H60" s="112" t="str">
        <f t="shared" si="1"/>
        <v>Transformers The Ride</v>
      </c>
      <c r="I60" s="112">
        <v>1</v>
      </c>
      <c r="J60" s="112">
        <v>4</v>
      </c>
      <c r="K60" s="112">
        <v>3</v>
      </c>
      <c r="L60" s="112">
        <v>2</v>
      </c>
      <c r="M60" s="112">
        <v>5</v>
      </c>
      <c r="N60" s="113">
        <f t="shared" si="3"/>
        <v>0.5</v>
      </c>
      <c r="O60" s="114">
        <f t="shared" si="4"/>
        <v>0</v>
      </c>
      <c r="P60" s="115">
        <f>IF($D$5="Average",INDEX(Tbl_Walk_Avg[#All],MATCH('Model 2 - Permutations'!C60,Tbl_Walk_Avg[[#All],[Ride]],0),MATCH('Model 2 - Permutations'!D60,Tbl_Walk_Avg[#Headers],0)),INDEX(Tbl_Walk_Leisure[#All],MATCH('Model 2 - Permutations'!C60,Tbl_Walk_Leisure[[#All],[Ride]],0),MATCH('Model 2 - Permutations'!D60,Tbl_Walk_Leisure[#Headers],0)))</f>
        <v>6.9444444444444449E-3</v>
      </c>
      <c r="Q60" s="113">
        <f t="shared" si="5"/>
        <v>0.50694444444444442</v>
      </c>
      <c r="R60" s="116">
        <f>IF(Q60="","",IF($D$14="Weekday",INDEX(Tbl_Wait_Wkday[#All],MATCH('Model 2 - Permutations'!Q60,Tbl_Wait_Wkday[[#All],[Time]],1),MATCH('Model 2 - Permutations'!D60,Tbl_Wait_Wkday[#Headers],0)),INDEX(Tbl_Wait_Wkend[#All],MATCH('Model 2 - Permutations'!Q60,Tbl_Wait_Wkend[[#All],[Time]],1),MATCH('Model 2 - Permutations'!D60,Tbl_Wait_Wkend[#Headers],0))))</f>
        <v>1.7361111111111112E-2</v>
      </c>
      <c r="S60" s="117">
        <f>IF(R60="","",VLOOKUP(D60,Tbl_Ride[#Data],2,FALSE))</f>
        <v>1.3888888888888889E-3</v>
      </c>
      <c r="T60" s="118">
        <f t="shared" si="6"/>
        <v>0.52569444444444446</v>
      </c>
      <c r="U60" s="114">
        <f t="shared" si="7"/>
        <v>0</v>
      </c>
      <c r="V60" s="115">
        <f>IF(U60="","",IF($D$5="Average",INDEX(Tbl_Walk_Avg[#All],MATCH('Model 2 - Permutations'!D60,Tbl_Walk_Avg[[#All],[Ride]],0),MATCH('Model 2 - Permutations'!E60,Tbl_Walk_Avg[#Headers],0)),INDEX(Tbl_Walk_Leisure[#All],MATCH('Model 2 - Permutations'!D60,Tbl_Walk_Leisure[[#All],[Ride]],0),MATCH('Model 2 - Permutations'!E60,Tbl_Walk_Leisure[#Headers],0))))</f>
        <v>2.7777777777777779E-3</v>
      </c>
      <c r="W60" s="113">
        <f t="shared" si="8"/>
        <v>0.52847222222222223</v>
      </c>
      <c r="X60" s="116">
        <f>IF(W60="","",IF($D$14="Weekday",INDEX(Tbl_Wait_Wkday[#All],MATCH('Model 2 - Permutations'!W60,Tbl_Wait_Wkday[[#All],[Time]],1),MATCH('Model 2 - Permutations'!E60,Tbl_Wait_Wkday[#Headers],0)),INDEX(Tbl_Wait_Wkend[#All],MATCH('Model 2 - Permutations'!W60,Tbl_Wait_Wkend[[#All],[Time]],1),MATCH('Model 2 - Permutations'!E60,Tbl_Wait_Wkend[#Headers],0))))</f>
        <v>1.0416666666666666E-2</v>
      </c>
      <c r="Y60" s="117">
        <f>IF(X60="","",VLOOKUP(E60,Tbl_Ride[#Data],2,FALSE))</f>
        <v>2.0833333333333333E-3</v>
      </c>
      <c r="Z60" s="118">
        <f t="shared" si="9"/>
        <v>0.54097222222222219</v>
      </c>
      <c r="AA60" s="114">
        <f t="shared" si="10"/>
        <v>0</v>
      </c>
      <c r="AB60" s="115">
        <f>IF(AA60="","",IF($D$5="Average",INDEX(Tbl_Walk_Avg[#All],MATCH('Model 2 - Permutations'!E60,Tbl_Walk_Avg[[#All],[Ride]],0),MATCH('Model 2 - Permutations'!F60,Tbl_Walk_Avg[#Headers],0)),INDEX(Tbl_Walk_Leisure[#All],MATCH('Model 2 - Permutations'!E60,Tbl_Walk_Leisure[[#All],[Ride]],0),MATCH('Model 2 - Permutations'!F60,Tbl_Walk_Leisure[#Headers],0))))</f>
        <v>4.8611111111111112E-3</v>
      </c>
      <c r="AC60" s="113">
        <f t="shared" si="11"/>
        <v>0.54583333333333328</v>
      </c>
      <c r="AD60" s="116">
        <f>IF(AC60="","",IF($D$14="Weekday",INDEX(Tbl_Wait_Wkday[#All],MATCH('Model 2 - Permutations'!AC60,Tbl_Wait_Wkday[[#All],[Time]],1),MATCH('Model 2 - Permutations'!F60,Tbl_Wait_Wkday[#Headers],0)),INDEX(Tbl_Wait_Wkend[#All],MATCH('Model 2 - Permutations'!AC60,Tbl_Wait_Wkend[[#All],[Time]],1),MATCH('Model 2 - Permutations'!F60,Tbl_Wait_Wkend[#Headers],0))))</f>
        <v>1.3888888888888888E-2</v>
      </c>
      <c r="AE60" s="117">
        <f>IF(AD60="","",VLOOKUP(F60,Tbl_Ride[#Data],2,FALSE))</f>
        <v>6.9444444444444447E-4</v>
      </c>
      <c r="AF60" s="118">
        <f t="shared" si="12"/>
        <v>0.56041666666666656</v>
      </c>
      <c r="AG60" s="114">
        <f t="shared" si="13"/>
        <v>1</v>
      </c>
      <c r="AH60" s="115">
        <f>IF(AG60="","",IF($D$5="Average",INDEX(Tbl_Walk_Avg[#All],MATCH('Model 2 - Permutations'!F60,Tbl_Walk_Avg[[#All],[Ride]],0),MATCH('Model 2 - Permutations'!G60,Tbl_Walk_Avg[#Headers],0)),INDEX(Tbl_Walk_Leisure[#All],MATCH('Model 2 - Permutations'!F60,Tbl_Walk_Leisure[[#All],[Ride]],0),MATCH('Model 2 - Permutations'!G60,Tbl_Walk_Leisure[#Headers],0))))</f>
        <v>6.2500000000000003E-3</v>
      </c>
      <c r="AI60" s="113">
        <f t="shared" si="14"/>
        <v>0.64999999999999991</v>
      </c>
      <c r="AJ60" s="116">
        <f>IF(AI60="","",IF($D$14="Weekday",INDEX(Tbl_Wait_Wkday[#All],MATCH('Model 2 - Permutations'!AI60,Tbl_Wait_Wkday[[#All],[Time]],1),MATCH('Model 2 - Permutations'!G60,Tbl_Wait_Wkday[#Headers],0)),INDEX(Tbl_Wait_Wkend[#All],MATCH('Model 2 - Permutations'!AI60,Tbl_Wait_Wkend[[#All],[Time]],1),MATCH('Model 2 - Permutations'!G60,Tbl_Wait_Wkend[#Headers],0))))</f>
        <v>5.5555555555555552E-2</v>
      </c>
      <c r="AK60" s="117">
        <f>IF(AJ60="","",VLOOKUP(G60,Tbl_Ride[#Data],2,FALSE))</f>
        <v>1.3888888888888889E-3</v>
      </c>
      <c r="AL60" s="118">
        <f t="shared" si="15"/>
        <v>0.70694444444444438</v>
      </c>
      <c r="AM60" s="114">
        <f t="shared" si="16"/>
        <v>0</v>
      </c>
      <c r="AN60" s="115">
        <f>IF(AM60="","",IF($D$5="Average",INDEX(Tbl_Walk_Avg[#All],MATCH('Model 2 - Permutations'!G60,Tbl_Walk_Avg[[#All],[Ride]],0),MATCH('Model 2 - Permutations'!H60,Tbl_Walk_Avg[#Headers],0)),INDEX(Tbl_Walk_Leisure[#All],MATCH('Model 2 - Permutations'!G60,Tbl_Walk_Leisure[[#All],[Ride]],0),MATCH('Model 2 - Permutations'!H60,Tbl_Walk_Leisure[#Headers],0))))</f>
        <v>2.7777777777777779E-3</v>
      </c>
      <c r="AO60" s="113">
        <f t="shared" si="17"/>
        <v>0.70972222222222214</v>
      </c>
      <c r="AP60" s="116">
        <f>IF(AO60="","",IF($D$14="Weekday",INDEX(Tbl_Wait_Wkday[#All],MATCH('Model 2 - Permutations'!AO60,Tbl_Wait_Wkday[[#All],[Time]],1),MATCH('Model 2 - Permutations'!H60,Tbl_Wait_Wkday[#Headers],0)),INDEX(Tbl_Wait_Wkend[#All],MATCH('Model 2 - Permutations'!AO60,Tbl_Wait_Wkend[[#All],[Time]],1),MATCH('Model 2 - Permutations'!H60,Tbl_Wait_Wkend[#Headers],0))))</f>
        <v>3.125E-2</v>
      </c>
      <c r="AQ60" s="117">
        <f>IF(AP60="","",VLOOKUP(H60,Tbl_Ride[#Data],2,FALSE))</f>
        <v>3.4722222222222225E-3</v>
      </c>
      <c r="AR60" s="118">
        <f t="shared" si="18"/>
        <v>0.74444444444444435</v>
      </c>
      <c r="AS60" s="119">
        <f t="shared" si="19"/>
        <v>2.3611111111111114E-2</v>
      </c>
      <c r="AT60" s="119">
        <f t="shared" si="20"/>
        <v>0.12847222222222221</v>
      </c>
      <c r="AU60" s="119">
        <f t="shared" si="21"/>
        <v>0.15208333333333332</v>
      </c>
    </row>
    <row r="61" spans="2:47">
      <c r="B61" s="111">
        <v>16</v>
      </c>
      <c r="C61" s="111" t="s">
        <v>66</v>
      </c>
      <c r="D61" s="112" t="str">
        <f t="shared" si="2"/>
        <v>Battlestar Galactica: Cylon</v>
      </c>
      <c r="E61" s="112" t="str">
        <f t="shared" si="1"/>
        <v>Revenge of the Mummy</v>
      </c>
      <c r="F61" s="112" t="str">
        <f t="shared" si="1"/>
        <v>Enchanted Airways</v>
      </c>
      <c r="G61" s="112" t="str">
        <f t="shared" si="1"/>
        <v>Transformers The Ride</v>
      </c>
      <c r="H61" s="112" t="str">
        <f t="shared" si="1"/>
        <v>Battlestart Galactica: Human</v>
      </c>
      <c r="I61" s="112">
        <v>1</v>
      </c>
      <c r="J61" s="112">
        <v>4</v>
      </c>
      <c r="K61" s="112">
        <v>3</v>
      </c>
      <c r="L61" s="112">
        <v>5</v>
      </c>
      <c r="M61" s="112">
        <v>2</v>
      </c>
      <c r="N61" s="113">
        <f t="shared" si="3"/>
        <v>0.5</v>
      </c>
      <c r="O61" s="114">
        <f t="shared" si="4"/>
        <v>0</v>
      </c>
      <c r="P61" s="115">
        <f>IF($D$5="Average",INDEX(Tbl_Walk_Avg[#All],MATCH('Model 2 - Permutations'!C61,Tbl_Walk_Avg[[#All],[Ride]],0),MATCH('Model 2 - Permutations'!D61,Tbl_Walk_Avg[#Headers],0)),INDEX(Tbl_Walk_Leisure[#All],MATCH('Model 2 - Permutations'!C61,Tbl_Walk_Leisure[[#All],[Ride]],0),MATCH('Model 2 - Permutations'!D61,Tbl_Walk_Leisure[#Headers],0)))</f>
        <v>6.9444444444444449E-3</v>
      </c>
      <c r="Q61" s="113">
        <f t="shared" si="5"/>
        <v>0.50694444444444442</v>
      </c>
      <c r="R61" s="116">
        <f>IF(Q61="","",IF($D$14="Weekday",INDEX(Tbl_Wait_Wkday[#All],MATCH('Model 2 - Permutations'!Q61,Tbl_Wait_Wkday[[#All],[Time]],1),MATCH('Model 2 - Permutations'!D61,Tbl_Wait_Wkday[#Headers],0)),INDEX(Tbl_Wait_Wkend[#All],MATCH('Model 2 - Permutations'!Q61,Tbl_Wait_Wkend[[#All],[Time]],1),MATCH('Model 2 - Permutations'!D61,Tbl_Wait_Wkend[#Headers],0))))</f>
        <v>1.7361111111111112E-2</v>
      </c>
      <c r="S61" s="117">
        <f>IF(R61="","",VLOOKUP(D61,Tbl_Ride[#Data],2,FALSE))</f>
        <v>1.3888888888888889E-3</v>
      </c>
      <c r="T61" s="118">
        <f t="shared" si="6"/>
        <v>0.52569444444444446</v>
      </c>
      <c r="U61" s="114">
        <f t="shared" si="7"/>
        <v>0</v>
      </c>
      <c r="V61" s="115">
        <f>IF(U61="","",IF($D$5="Average",INDEX(Tbl_Walk_Avg[#All],MATCH('Model 2 - Permutations'!D61,Tbl_Walk_Avg[[#All],[Ride]],0),MATCH('Model 2 - Permutations'!E61,Tbl_Walk_Avg[#Headers],0)),INDEX(Tbl_Walk_Leisure[#All],MATCH('Model 2 - Permutations'!D61,Tbl_Walk_Leisure[[#All],[Ride]],0),MATCH('Model 2 - Permutations'!E61,Tbl_Walk_Leisure[#Headers],0))))</f>
        <v>2.7777777777777779E-3</v>
      </c>
      <c r="W61" s="113">
        <f t="shared" si="8"/>
        <v>0.52847222222222223</v>
      </c>
      <c r="X61" s="116">
        <f>IF(W61="","",IF($D$14="Weekday",INDEX(Tbl_Wait_Wkday[#All],MATCH('Model 2 - Permutations'!W61,Tbl_Wait_Wkday[[#All],[Time]],1),MATCH('Model 2 - Permutations'!E61,Tbl_Wait_Wkday[#Headers],0)),INDEX(Tbl_Wait_Wkend[#All],MATCH('Model 2 - Permutations'!W61,Tbl_Wait_Wkend[[#All],[Time]],1),MATCH('Model 2 - Permutations'!E61,Tbl_Wait_Wkend[#Headers],0))))</f>
        <v>1.0416666666666666E-2</v>
      </c>
      <c r="Y61" s="117">
        <f>IF(X61="","",VLOOKUP(E61,Tbl_Ride[#Data],2,FALSE))</f>
        <v>2.0833333333333333E-3</v>
      </c>
      <c r="Z61" s="118">
        <f t="shared" si="9"/>
        <v>0.54097222222222219</v>
      </c>
      <c r="AA61" s="114">
        <f t="shared" si="10"/>
        <v>0</v>
      </c>
      <c r="AB61" s="115">
        <f>IF(AA61="","",IF($D$5="Average",INDEX(Tbl_Walk_Avg[#All],MATCH('Model 2 - Permutations'!E61,Tbl_Walk_Avg[[#All],[Ride]],0),MATCH('Model 2 - Permutations'!F61,Tbl_Walk_Avg[#Headers],0)),INDEX(Tbl_Walk_Leisure[#All],MATCH('Model 2 - Permutations'!E61,Tbl_Walk_Leisure[[#All],[Ride]],0),MATCH('Model 2 - Permutations'!F61,Tbl_Walk_Leisure[#Headers],0))))</f>
        <v>4.8611111111111112E-3</v>
      </c>
      <c r="AC61" s="113">
        <f t="shared" si="11"/>
        <v>0.54583333333333328</v>
      </c>
      <c r="AD61" s="116">
        <f>IF(AC61="","",IF($D$14="Weekday",INDEX(Tbl_Wait_Wkday[#All],MATCH('Model 2 - Permutations'!AC61,Tbl_Wait_Wkday[[#All],[Time]],1),MATCH('Model 2 - Permutations'!F61,Tbl_Wait_Wkday[#Headers],0)),INDEX(Tbl_Wait_Wkend[#All],MATCH('Model 2 - Permutations'!AC61,Tbl_Wait_Wkend[[#All],[Time]],1),MATCH('Model 2 - Permutations'!F61,Tbl_Wait_Wkend[#Headers],0))))</f>
        <v>1.3888888888888888E-2</v>
      </c>
      <c r="AE61" s="117">
        <f>IF(AD61="","",VLOOKUP(F61,Tbl_Ride[#Data],2,FALSE))</f>
        <v>6.9444444444444447E-4</v>
      </c>
      <c r="AF61" s="118">
        <f t="shared" si="12"/>
        <v>0.56041666666666656</v>
      </c>
      <c r="AG61" s="114">
        <f t="shared" si="13"/>
        <v>1</v>
      </c>
      <c r="AH61" s="115">
        <f>IF(AG61="","",IF($D$5="Average",INDEX(Tbl_Walk_Avg[#All],MATCH('Model 2 - Permutations'!F61,Tbl_Walk_Avg[[#All],[Ride]],0),MATCH('Model 2 - Permutations'!G61,Tbl_Walk_Avg[#Headers],0)),INDEX(Tbl_Walk_Leisure[#All],MATCH('Model 2 - Permutations'!F61,Tbl_Walk_Leisure[[#All],[Ride]],0),MATCH('Model 2 - Permutations'!G61,Tbl_Walk_Leisure[#Headers],0))))</f>
        <v>6.2500000000000003E-3</v>
      </c>
      <c r="AI61" s="113">
        <f t="shared" si="14"/>
        <v>0.64999999999999991</v>
      </c>
      <c r="AJ61" s="116">
        <f>IF(AI61="","",IF($D$14="Weekday",INDEX(Tbl_Wait_Wkday[#All],MATCH('Model 2 - Permutations'!AI61,Tbl_Wait_Wkday[[#All],[Time]],1),MATCH('Model 2 - Permutations'!G61,Tbl_Wait_Wkday[#Headers],0)),INDEX(Tbl_Wait_Wkend[#All],MATCH('Model 2 - Permutations'!AI61,Tbl_Wait_Wkend[[#All],[Time]],1),MATCH('Model 2 - Permutations'!G61,Tbl_Wait_Wkend[#Headers],0))))</f>
        <v>2.4305555555555552E-2</v>
      </c>
      <c r="AK61" s="117">
        <f>IF(AJ61="","",VLOOKUP(G61,Tbl_Ride[#Data],2,FALSE))</f>
        <v>3.4722222222222225E-3</v>
      </c>
      <c r="AL61" s="118">
        <f t="shared" si="15"/>
        <v>0.6777777777777777</v>
      </c>
      <c r="AM61" s="114">
        <f t="shared" si="16"/>
        <v>0</v>
      </c>
      <c r="AN61" s="115">
        <f>IF(AM61="","",IF($D$5="Average",INDEX(Tbl_Walk_Avg[#All],MATCH('Model 2 - Permutations'!G61,Tbl_Walk_Avg[[#All],[Ride]],0),MATCH('Model 2 - Permutations'!H61,Tbl_Walk_Avg[#Headers],0)),INDEX(Tbl_Walk_Leisure[#All],MATCH('Model 2 - Permutations'!G61,Tbl_Walk_Leisure[[#All],[Ride]],0),MATCH('Model 2 - Permutations'!H61,Tbl_Walk_Leisure[#Headers],0))))</f>
        <v>2.7777777777777779E-3</v>
      </c>
      <c r="AO61" s="113">
        <f t="shared" si="17"/>
        <v>0.68055555555555547</v>
      </c>
      <c r="AP61" s="116">
        <f>IF(AO61="","",IF($D$14="Weekday",INDEX(Tbl_Wait_Wkday[#All],MATCH('Model 2 - Permutations'!AO61,Tbl_Wait_Wkday[[#All],[Time]],1),MATCH('Model 2 - Permutations'!H61,Tbl_Wait_Wkday[#Headers],0)),INDEX(Tbl_Wait_Wkend[#All],MATCH('Model 2 - Permutations'!AO61,Tbl_Wait_Wkend[[#All],[Time]],1),MATCH('Model 2 - Permutations'!H61,Tbl_Wait_Wkend[#Headers],0))))</f>
        <v>4.1666666666666664E-2</v>
      </c>
      <c r="AQ61" s="117">
        <f>IF(AP61="","",VLOOKUP(H61,Tbl_Ride[#Data],2,FALSE))</f>
        <v>1.3888888888888889E-3</v>
      </c>
      <c r="AR61" s="118">
        <f t="shared" si="18"/>
        <v>0.72361111111111098</v>
      </c>
      <c r="AS61" s="119">
        <f t="shared" si="19"/>
        <v>2.3611111111111114E-2</v>
      </c>
      <c r="AT61" s="119">
        <f t="shared" si="20"/>
        <v>0.10763888888888887</v>
      </c>
      <c r="AU61" s="119">
        <f t="shared" si="21"/>
        <v>0.13124999999999998</v>
      </c>
    </row>
    <row r="62" spans="2:47">
      <c r="B62" s="111">
        <v>17</v>
      </c>
      <c r="C62" s="111" t="s">
        <v>66</v>
      </c>
      <c r="D62" s="112" t="str">
        <f t="shared" si="2"/>
        <v>Battlestar Galactica: Cylon</v>
      </c>
      <c r="E62" s="112" t="str">
        <f t="shared" si="2"/>
        <v>Revenge of the Mummy</v>
      </c>
      <c r="F62" s="112" t="str">
        <f t="shared" si="2"/>
        <v>Transformers The Ride</v>
      </c>
      <c r="G62" s="112" t="str">
        <f t="shared" si="2"/>
        <v>Battlestart Galactica: Human</v>
      </c>
      <c r="H62" s="112" t="str">
        <f t="shared" si="2"/>
        <v>Enchanted Airways</v>
      </c>
      <c r="I62" s="112">
        <v>1</v>
      </c>
      <c r="J62" s="112">
        <v>4</v>
      </c>
      <c r="K62" s="112">
        <v>5</v>
      </c>
      <c r="L62" s="112">
        <v>2</v>
      </c>
      <c r="M62" s="112">
        <v>3</v>
      </c>
      <c r="N62" s="113">
        <f t="shared" si="3"/>
        <v>0.5</v>
      </c>
      <c r="O62" s="114">
        <f t="shared" si="4"/>
        <v>0</v>
      </c>
      <c r="P62" s="115">
        <f>IF($D$5="Average",INDEX(Tbl_Walk_Avg[#All],MATCH('Model 2 - Permutations'!C62,Tbl_Walk_Avg[[#All],[Ride]],0),MATCH('Model 2 - Permutations'!D62,Tbl_Walk_Avg[#Headers],0)),INDEX(Tbl_Walk_Leisure[#All],MATCH('Model 2 - Permutations'!C62,Tbl_Walk_Leisure[[#All],[Ride]],0),MATCH('Model 2 - Permutations'!D62,Tbl_Walk_Leisure[#Headers],0)))</f>
        <v>6.9444444444444449E-3</v>
      </c>
      <c r="Q62" s="113">
        <f t="shared" si="5"/>
        <v>0.50694444444444442</v>
      </c>
      <c r="R62" s="116">
        <f>IF(Q62="","",IF($D$14="Weekday",INDEX(Tbl_Wait_Wkday[#All],MATCH('Model 2 - Permutations'!Q62,Tbl_Wait_Wkday[[#All],[Time]],1),MATCH('Model 2 - Permutations'!D62,Tbl_Wait_Wkday[#Headers],0)),INDEX(Tbl_Wait_Wkend[#All],MATCH('Model 2 - Permutations'!Q62,Tbl_Wait_Wkend[[#All],[Time]],1),MATCH('Model 2 - Permutations'!D62,Tbl_Wait_Wkend[#Headers],0))))</f>
        <v>1.7361111111111112E-2</v>
      </c>
      <c r="S62" s="117">
        <f>IF(R62="","",VLOOKUP(D62,Tbl_Ride[#Data],2,FALSE))</f>
        <v>1.3888888888888889E-3</v>
      </c>
      <c r="T62" s="118">
        <f t="shared" si="6"/>
        <v>0.52569444444444446</v>
      </c>
      <c r="U62" s="114">
        <f t="shared" si="7"/>
        <v>0</v>
      </c>
      <c r="V62" s="115">
        <f>IF(U62="","",IF($D$5="Average",INDEX(Tbl_Walk_Avg[#All],MATCH('Model 2 - Permutations'!D62,Tbl_Walk_Avg[[#All],[Ride]],0),MATCH('Model 2 - Permutations'!E62,Tbl_Walk_Avg[#Headers],0)),INDEX(Tbl_Walk_Leisure[#All],MATCH('Model 2 - Permutations'!D62,Tbl_Walk_Leisure[[#All],[Ride]],0),MATCH('Model 2 - Permutations'!E62,Tbl_Walk_Leisure[#Headers],0))))</f>
        <v>2.7777777777777779E-3</v>
      </c>
      <c r="W62" s="113">
        <f t="shared" si="8"/>
        <v>0.52847222222222223</v>
      </c>
      <c r="X62" s="116">
        <f>IF(W62="","",IF($D$14="Weekday",INDEX(Tbl_Wait_Wkday[#All],MATCH('Model 2 - Permutations'!W62,Tbl_Wait_Wkday[[#All],[Time]],1),MATCH('Model 2 - Permutations'!E62,Tbl_Wait_Wkday[#Headers],0)),INDEX(Tbl_Wait_Wkend[#All],MATCH('Model 2 - Permutations'!W62,Tbl_Wait_Wkend[[#All],[Time]],1),MATCH('Model 2 - Permutations'!E62,Tbl_Wait_Wkend[#Headers],0))))</f>
        <v>1.0416666666666666E-2</v>
      </c>
      <c r="Y62" s="117">
        <f>IF(X62="","",VLOOKUP(E62,Tbl_Ride[#Data],2,FALSE))</f>
        <v>2.0833333333333333E-3</v>
      </c>
      <c r="Z62" s="118">
        <f t="shared" si="9"/>
        <v>0.54097222222222219</v>
      </c>
      <c r="AA62" s="114">
        <f t="shared" si="10"/>
        <v>0</v>
      </c>
      <c r="AB62" s="115">
        <f>IF(AA62="","",IF($D$5="Average",INDEX(Tbl_Walk_Avg[#All],MATCH('Model 2 - Permutations'!E62,Tbl_Walk_Avg[[#All],[Ride]],0),MATCH('Model 2 - Permutations'!F62,Tbl_Walk_Avg[#Headers],0)),INDEX(Tbl_Walk_Leisure[#All],MATCH('Model 2 - Permutations'!E62,Tbl_Walk_Leisure[[#All],[Ride]],0),MATCH('Model 2 - Permutations'!F62,Tbl_Walk_Leisure[#Headers],0))))</f>
        <v>4.1666666666666666E-3</v>
      </c>
      <c r="AC62" s="113">
        <f t="shared" si="11"/>
        <v>0.54513888888888884</v>
      </c>
      <c r="AD62" s="116">
        <f>IF(AC62="","",IF($D$14="Weekday",INDEX(Tbl_Wait_Wkday[#All],MATCH('Model 2 - Permutations'!AC62,Tbl_Wait_Wkday[[#All],[Time]],1),MATCH('Model 2 - Permutations'!F62,Tbl_Wait_Wkday[#Headers],0)),INDEX(Tbl_Wait_Wkend[#All],MATCH('Model 2 - Permutations'!AC62,Tbl_Wait_Wkend[[#All],[Time]],1),MATCH('Model 2 - Permutations'!F62,Tbl_Wait_Wkend[#Headers],0))))</f>
        <v>6.9444444444444448E-2</v>
      </c>
      <c r="AE62" s="117">
        <f>IF(AD62="","",VLOOKUP(F62,Tbl_Ride[#Data],2,FALSE))</f>
        <v>3.4722222222222225E-3</v>
      </c>
      <c r="AF62" s="118">
        <f t="shared" si="12"/>
        <v>0.61805555555555547</v>
      </c>
      <c r="AG62" s="114">
        <f t="shared" si="13"/>
        <v>1</v>
      </c>
      <c r="AH62" s="115">
        <f>IF(AG62="","",IF($D$5="Average",INDEX(Tbl_Walk_Avg[#All],MATCH('Model 2 - Permutations'!F62,Tbl_Walk_Avg[[#All],[Ride]],0),MATCH('Model 2 - Permutations'!G62,Tbl_Walk_Avg[#Headers],0)),INDEX(Tbl_Walk_Leisure[#All],MATCH('Model 2 - Permutations'!F62,Tbl_Walk_Leisure[[#All],[Ride]],0),MATCH('Model 2 - Permutations'!G62,Tbl_Walk_Leisure[#Headers],0))))</f>
        <v>2.7777777777777779E-3</v>
      </c>
      <c r="AI62" s="113">
        <f t="shared" si="14"/>
        <v>0.70416666666666661</v>
      </c>
      <c r="AJ62" s="116">
        <f>IF(AI62="","",IF($D$14="Weekday",INDEX(Tbl_Wait_Wkday[#All],MATCH('Model 2 - Permutations'!AI62,Tbl_Wait_Wkday[[#All],[Time]],1),MATCH('Model 2 - Permutations'!G62,Tbl_Wait_Wkday[#Headers],0)),INDEX(Tbl_Wait_Wkend[#All],MATCH('Model 2 - Permutations'!AI62,Tbl_Wait_Wkend[[#All],[Time]],1),MATCH('Model 2 - Permutations'!G62,Tbl_Wait_Wkend[#Headers],0))))</f>
        <v>4.1666666666666664E-2</v>
      </c>
      <c r="AK62" s="117">
        <f>IF(AJ62="","",VLOOKUP(G62,Tbl_Ride[#Data],2,FALSE))</f>
        <v>1.3888888888888889E-3</v>
      </c>
      <c r="AL62" s="118">
        <f t="shared" si="15"/>
        <v>0.74722222222222212</v>
      </c>
      <c r="AM62" s="114">
        <f t="shared" si="16"/>
        <v>0</v>
      </c>
      <c r="AN62" s="115">
        <f>IF(AM62="","",IF($D$5="Average",INDEX(Tbl_Walk_Avg[#All],MATCH('Model 2 - Permutations'!G62,Tbl_Walk_Avg[[#All],[Ride]],0),MATCH('Model 2 - Permutations'!H62,Tbl_Walk_Avg[#Headers],0)),INDEX(Tbl_Walk_Leisure[#All],MATCH('Model 2 - Permutations'!G62,Tbl_Walk_Leisure[[#All],[Ride]],0),MATCH('Model 2 - Permutations'!H62,Tbl_Walk_Leisure[#Headers],0))))</f>
        <v>6.2500000000000003E-3</v>
      </c>
      <c r="AO62" s="113" t="str">
        <f t="shared" si="17"/>
        <v/>
      </c>
      <c r="AP62" s="116" t="str">
        <f>IF(AO62="","",IF($D$14="Weekday",INDEX(Tbl_Wait_Wkday[#All],MATCH('Model 2 - Permutations'!AO62,Tbl_Wait_Wkday[[#All],[Time]],1),MATCH('Model 2 - Permutations'!H62,Tbl_Wait_Wkday[#Headers],0)),INDEX(Tbl_Wait_Wkend[#All],MATCH('Model 2 - Permutations'!AO62,Tbl_Wait_Wkend[[#All],[Time]],1),MATCH('Model 2 - Permutations'!H62,Tbl_Wait_Wkend[#Headers],0))))</f>
        <v/>
      </c>
      <c r="AQ62" s="117" t="str">
        <f>IF(AP62="","",VLOOKUP(H62,Tbl_Ride[#Data],2,FALSE))</f>
        <v/>
      </c>
      <c r="AR62" s="118" t="str">
        <f t="shared" si="18"/>
        <v/>
      </c>
      <c r="AS62" s="119" t="str">
        <f t="shared" si="19"/>
        <v>Incomplete</v>
      </c>
      <c r="AT62" s="119" t="str">
        <f t="shared" si="20"/>
        <v>Incomplete</v>
      </c>
      <c r="AU62" s="119" t="str">
        <f t="shared" si="21"/>
        <v>Incomplete</v>
      </c>
    </row>
    <row r="63" spans="2:47">
      <c r="B63" s="111">
        <v>18</v>
      </c>
      <c r="C63" s="111" t="s">
        <v>66</v>
      </c>
      <c r="D63" s="112" t="str">
        <f t="shared" si="2"/>
        <v>Battlestar Galactica: Cylon</v>
      </c>
      <c r="E63" s="112" t="str">
        <f t="shared" si="2"/>
        <v>Revenge of the Mummy</v>
      </c>
      <c r="F63" s="112" t="str">
        <f t="shared" si="2"/>
        <v>Transformers The Ride</v>
      </c>
      <c r="G63" s="112" t="str">
        <f t="shared" si="2"/>
        <v>Enchanted Airways</v>
      </c>
      <c r="H63" s="112" t="str">
        <f t="shared" si="2"/>
        <v>Battlestart Galactica: Human</v>
      </c>
      <c r="I63" s="112">
        <v>1</v>
      </c>
      <c r="J63" s="112">
        <v>4</v>
      </c>
      <c r="K63" s="112">
        <v>5</v>
      </c>
      <c r="L63" s="112">
        <v>3</v>
      </c>
      <c r="M63" s="112">
        <v>2</v>
      </c>
      <c r="N63" s="113">
        <f t="shared" si="3"/>
        <v>0.5</v>
      </c>
      <c r="O63" s="114">
        <f t="shared" si="4"/>
        <v>0</v>
      </c>
      <c r="P63" s="115">
        <f>IF($D$5="Average",INDEX(Tbl_Walk_Avg[#All],MATCH('Model 2 - Permutations'!C63,Tbl_Walk_Avg[[#All],[Ride]],0),MATCH('Model 2 - Permutations'!D63,Tbl_Walk_Avg[#Headers],0)),INDEX(Tbl_Walk_Leisure[#All],MATCH('Model 2 - Permutations'!C63,Tbl_Walk_Leisure[[#All],[Ride]],0),MATCH('Model 2 - Permutations'!D63,Tbl_Walk_Leisure[#Headers],0)))</f>
        <v>6.9444444444444449E-3</v>
      </c>
      <c r="Q63" s="113">
        <f t="shared" si="5"/>
        <v>0.50694444444444442</v>
      </c>
      <c r="R63" s="116">
        <f>IF(Q63="","",IF($D$14="Weekday",INDEX(Tbl_Wait_Wkday[#All],MATCH('Model 2 - Permutations'!Q63,Tbl_Wait_Wkday[[#All],[Time]],1),MATCH('Model 2 - Permutations'!D63,Tbl_Wait_Wkday[#Headers],0)),INDEX(Tbl_Wait_Wkend[#All],MATCH('Model 2 - Permutations'!Q63,Tbl_Wait_Wkend[[#All],[Time]],1),MATCH('Model 2 - Permutations'!D63,Tbl_Wait_Wkend[#Headers],0))))</f>
        <v>1.7361111111111112E-2</v>
      </c>
      <c r="S63" s="117">
        <f>IF(R63="","",VLOOKUP(D63,Tbl_Ride[#Data],2,FALSE))</f>
        <v>1.3888888888888889E-3</v>
      </c>
      <c r="T63" s="118">
        <f t="shared" si="6"/>
        <v>0.52569444444444446</v>
      </c>
      <c r="U63" s="114">
        <f t="shared" si="7"/>
        <v>0</v>
      </c>
      <c r="V63" s="115">
        <f>IF(U63="","",IF($D$5="Average",INDEX(Tbl_Walk_Avg[#All],MATCH('Model 2 - Permutations'!D63,Tbl_Walk_Avg[[#All],[Ride]],0),MATCH('Model 2 - Permutations'!E63,Tbl_Walk_Avg[#Headers],0)),INDEX(Tbl_Walk_Leisure[#All],MATCH('Model 2 - Permutations'!D63,Tbl_Walk_Leisure[[#All],[Ride]],0),MATCH('Model 2 - Permutations'!E63,Tbl_Walk_Leisure[#Headers],0))))</f>
        <v>2.7777777777777779E-3</v>
      </c>
      <c r="W63" s="113">
        <f t="shared" si="8"/>
        <v>0.52847222222222223</v>
      </c>
      <c r="X63" s="116">
        <f>IF(W63="","",IF($D$14="Weekday",INDEX(Tbl_Wait_Wkday[#All],MATCH('Model 2 - Permutations'!W63,Tbl_Wait_Wkday[[#All],[Time]],1),MATCH('Model 2 - Permutations'!E63,Tbl_Wait_Wkday[#Headers],0)),INDEX(Tbl_Wait_Wkend[#All],MATCH('Model 2 - Permutations'!W63,Tbl_Wait_Wkend[[#All],[Time]],1),MATCH('Model 2 - Permutations'!E63,Tbl_Wait_Wkend[#Headers],0))))</f>
        <v>1.0416666666666666E-2</v>
      </c>
      <c r="Y63" s="117">
        <f>IF(X63="","",VLOOKUP(E63,Tbl_Ride[#Data],2,FALSE))</f>
        <v>2.0833333333333333E-3</v>
      </c>
      <c r="Z63" s="118">
        <f t="shared" si="9"/>
        <v>0.54097222222222219</v>
      </c>
      <c r="AA63" s="114">
        <f t="shared" si="10"/>
        <v>0</v>
      </c>
      <c r="AB63" s="115">
        <f>IF(AA63="","",IF($D$5="Average",INDEX(Tbl_Walk_Avg[#All],MATCH('Model 2 - Permutations'!E63,Tbl_Walk_Avg[[#All],[Ride]],0),MATCH('Model 2 - Permutations'!F63,Tbl_Walk_Avg[#Headers],0)),INDEX(Tbl_Walk_Leisure[#All],MATCH('Model 2 - Permutations'!E63,Tbl_Walk_Leisure[[#All],[Ride]],0),MATCH('Model 2 - Permutations'!F63,Tbl_Walk_Leisure[#Headers],0))))</f>
        <v>4.1666666666666666E-3</v>
      </c>
      <c r="AC63" s="113">
        <f t="shared" si="11"/>
        <v>0.54513888888888884</v>
      </c>
      <c r="AD63" s="116">
        <f>IF(AC63="","",IF($D$14="Weekday",INDEX(Tbl_Wait_Wkday[#All],MATCH('Model 2 - Permutations'!AC63,Tbl_Wait_Wkday[[#All],[Time]],1),MATCH('Model 2 - Permutations'!F63,Tbl_Wait_Wkday[#Headers],0)),INDEX(Tbl_Wait_Wkend[#All],MATCH('Model 2 - Permutations'!AC63,Tbl_Wait_Wkend[[#All],[Time]],1),MATCH('Model 2 - Permutations'!F63,Tbl_Wait_Wkend[#Headers],0))))</f>
        <v>6.9444444444444448E-2</v>
      </c>
      <c r="AE63" s="117">
        <f>IF(AD63="","",VLOOKUP(F63,Tbl_Ride[#Data],2,FALSE))</f>
        <v>3.4722222222222225E-3</v>
      </c>
      <c r="AF63" s="118">
        <f t="shared" si="12"/>
        <v>0.61805555555555547</v>
      </c>
      <c r="AG63" s="114">
        <f t="shared" si="13"/>
        <v>1</v>
      </c>
      <c r="AH63" s="115">
        <f>IF(AG63="","",IF($D$5="Average",INDEX(Tbl_Walk_Avg[#All],MATCH('Model 2 - Permutations'!F63,Tbl_Walk_Avg[[#All],[Ride]],0),MATCH('Model 2 - Permutations'!G63,Tbl_Walk_Avg[#Headers],0)),INDEX(Tbl_Walk_Leisure[#All],MATCH('Model 2 - Permutations'!F63,Tbl_Walk_Leisure[[#All],[Ride]],0),MATCH('Model 2 - Permutations'!G63,Tbl_Walk_Leisure[#Headers],0))))</f>
        <v>6.2500000000000003E-3</v>
      </c>
      <c r="AI63" s="113">
        <f t="shared" si="14"/>
        <v>0.70763888888888882</v>
      </c>
      <c r="AJ63" s="116">
        <f>IF(AI63="","",IF($D$14="Weekday",INDEX(Tbl_Wait_Wkday[#All],MATCH('Model 2 - Permutations'!AI63,Tbl_Wait_Wkday[[#All],[Time]],1),MATCH('Model 2 - Permutations'!G63,Tbl_Wait_Wkday[#Headers],0)),INDEX(Tbl_Wait_Wkend[#All],MATCH('Model 2 - Permutations'!AI63,Tbl_Wait_Wkend[[#All],[Time]],1),MATCH('Model 2 - Permutations'!G63,Tbl_Wait_Wkend[#Headers],0))))</f>
        <v>1.7361111111111112E-2</v>
      </c>
      <c r="AK63" s="117">
        <f>IF(AJ63="","",VLOOKUP(G63,Tbl_Ride[#Data],2,FALSE))</f>
        <v>6.9444444444444447E-4</v>
      </c>
      <c r="AL63" s="118">
        <f t="shared" si="15"/>
        <v>0.72569444444444442</v>
      </c>
      <c r="AM63" s="114">
        <f t="shared" si="16"/>
        <v>0</v>
      </c>
      <c r="AN63" s="115">
        <f>IF(AM63="","",IF($D$5="Average",INDEX(Tbl_Walk_Avg[#All],MATCH('Model 2 - Permutations'!G63,Tbl_Walk_Avg[[#All],[Ride]],0),MATCH('Model 2 - Permutations'!H63,Tbl_Walk_Avg[#Headers],0)),INDEX(Tbl_Walk_Leisure[#All],MATCH('Model 2 - Permutations'!G63,Tbl_Walk_Leisure[[#All],[Ride]],0),MATCH('Model 2 - Permutations'!H63,Tbl_Walk_Leisure[#Headers],0))))</f>
        <v>6.2500000000000003E-3</v>
      </c>
      <c r="AO63" s="113">
        <f t="shared" si="17"/>
        <v>0.7319444444444444</v>
      </c>
      <c r="AP63" s="116">
        <f>IF(AO63="","",IF($D$14="Weekday",INDEX(Tbl_Wait_Wkday[#All],MATCH('Model 2 - Permutations'!AO63,Tbl_Wait_Wkday[[#All],[Time]],1),MATCH('Model 2 - Permutations'!H63,Tbl_Wait_Wkday[#Headers],0)),INDEX(Tbl_Wait_Wkend[#All],MATCH('Model 2 - Permutations'!AO63,Tbl_Wait_Wkend[[#All],[Time]],1),MATCH('Model 2 - Permutations'!H63,Tbl_Wait_Wkend[#Headers],0))))</f>
        <v>2.4305555555555552E-2</v>
      </c>
      <c r="AQ63" s="117">
        <f>IF(AP63="","",VLOOKUP(H63,Tbl_Ride[#Data],2,FALSE))</f>
        <v>1.3888888888888889E-3</v>
      </c>
      <c r="AR63" s="118">
        <f t="shared" si="18"/>
        <v>0.75763888888888886</v>
      </c>
      <c r="AS63" s="119">
        <f t="shared" si="19"/>
        <v>2.6388888888888885E-2</v>
      </c>
      <c r="AT63" s="119">
        <f t="shared" si="20"/>
        <v>0.1388888888888889</v>
      </c>
      <c r="AU63" s="119">
        <f t="shared" si="21"/>
        <v>0.16527777777777777</v>
      </c>
    </row>
    <row r="64" spans="2:47">
      <c r="B64" s="111">
        <v>19</v>
      </c>
      <c r="C64" s="111" t="s">
        <v>66</v>
      </c>
      <c r="D64" s="112" t="str">
        <f t="shared" si="2"/>
        <v>Battlestar Galactica: Cylon</v>
      </c>
      <c r="E64" s="112" t="str">
        <f t="shared" si="2"/>
        <v>Transformers The Ride</v>
      </c>
      <c r="F64" s="112" t="str">
        <f t="shared" si="2"/>
        <v>Battlestart Galactica: Human</v>
      </c>
      <c r="G64" s="112" t="str">
        <f t="shared" si="2"/>
        <v>Enchanted Airways</v>
      </c>
      <c r="H64" s="112" t="str">
        <f t="shared" si="2"/>
        <v>Revenge of the Mummy</v>
      </c>
      <c r="I64" s="112">
        <v>1</v>
      </c>
      <c r="J64" s="112">
        <v>5</v>
      </c>
      <c r="K64" s="112">
        <v>2</v>
      </c>
      <c r="L64" s="112">
        <v>3</v>
      </c>
      <c r="M64" s="112">
        <v>4</v>
      </c>
      <c r="N64" s="113">
        <f t="shared" si="3"/>
        <v>0.5</v>
      </c>
      <c r="O64" s="114">
        <f t="shared" si="4"/>
        <v>0</v>
      </c>
      <c r="P64" s="115">
        <f>IF($D$5="Average",INDEX(Tbl_Walk_Avg[#All],MATCH('Model 2 - Permutations'!C64,Tbl_Walk_Avg[[#All],[Ride]],0),MATCH('Model 2 - Permutations'!D64,Tbl_Walk_Avg[#Headers],0)),INDEX(Tbl_Walk_Leisure[#All],MATCH('Model 2 - Permutations'!C64,Tbl_Walk_Leisure[[#All],[Ride]],0),MATCH('Model 2 - Permutations'!D64,Tbl_Walk_Leisure[#Headers],0)))</f>
        <v>6.9444444444444449E-3</v>
      </c>
      <c r="Q64" s="113">
        <f t="shared" si="5"/>
        <v>0.50694444444444442</v>
      </c>
      <c r="R64" s="116">
        <f>IF(Q64="","",IF($D$14="Weekday",INDEX(Tbl_Wait_Wkday[#All],MATCH('Model 2 - Permutations'!Q64,Tbl_Wait_Wkday[[#All],[Time]],1),MATCH('Model 2 - Permutations'!D64,Tbl_Wait_Wkday[#Headers],0)),INDEX(Tbl_Wait_Wkend[#All],MATCH('Model 2 - Permutations'!Q64,Tbl_Wait_Wkend[[#All],[Time]],1),MATCH('Model 2 - Permutations'!D64,Tbl_Wait_Wkend[#Headers],0))))</f>
        <v>1.7361111111111112E-2</v>
      </c>
      <c r="S64" s="117">
        <f>IF(R64="","",VLOOKUP(D64,Tbl_Ride[#Data],2,FALSE))</f>
        <v>1.3888888888888889E-3</v>
      </c>
      <c r="T64" s="118">
        <f t="shared" si="6"/>
        <v>0.52569444444444446</v>
      </c>
      <c r="U64" s="114">
        <f t="shared" si="7"/>
        <v>0</v>
      </c>
      <c r="V64" s="115">
        <f>IF(U64="","",IF($D$5="Average",INDEX(Tbl_Walk_Avg[#All],MATCH('Model 2 - Permutations'!D64,Tbl_Walk_Avg[[#All],[Ride]],0),MATCH('Model 2 - Permutations'!E64,Tbl_Walk_Avg[#Headers],0)),INDEX(Tbl_Walk_Leisure[#All],MATCH('Model 2 - Permutations'!D64,Tbl_Walk_Leisure[[#All],[Ride]],0),MATCH('Model 2 - Permutations'!E64,Tbl_Walk_Leisure[#Headers],0))))</f>
        <v>2.7777777777777779E-3</v>
      </c>
      <c r="W64" s="113">
        <f t="shared" si="8"/>
        <v>0.52847222222222223</v>
      </c>
      <c r="X64" s="116">
        <f>IF(W64="","",IF($D$14="Weekday",INDEX(Tbl_Wait_Wkday[#All],MATCH('Model 2 - Permutations'!W64,Tbl_Wait_Wkday[[#All],[Time]],1),MATCH('Model 2 - Permutations'!E64,Tbl_Wait_Wkday[#Headers],0)),INDEX(Tbl_Wait_Wkend[#All],MATCH('Model 2 - Permutations'!W64,Tbl_Wait_Wkend[[#All],[Time]],1),MATCH('Model 2 - Permutations'!E64,Tbl_Wait_Wkend[#Headers],0))))</f>
        <v>6.5972222222222224E-2</v>
      </c>
      <c r="Y64" s="117">
        <f>IF(X64="","",VLOOKUP(E64,Tbl_Ride[#Data],2,FALSE))</f>
        <v>3.4722222222222225E-3</v>
      </c>
      <c r="Z64" s="118">
        <f t="shared" si="9"/>
        <v>0.59791666666666665</v>
      </c>
      <c r="AA64" s="114">
        <f t="shared" si="10"/>
        <v>1</v>
      </c>
      <c r="AB64" s="115">
        <f>IF(AA64="","",IF($D$5="Average",INDEX(Tbl_Walk_Avg[#All],MATCH('Model 2 - Permutations'!E64,Tbl_Walk_Avg[[#All],[Ride]],0),MATCH('Model 2 - Permutations'!F64,Tbl_Walk_Avg[#Headers],0)),INDEX(Tbl_Walk_Leisure[#All],MATCH('Model 2 - Permutations'!E64,Tbl_Walk_Leisure[[#All],[Ride]],0),MATCH('Model 2 - Permutations'!F64,Tbl_Walk_Leisure[#Headers],0))))</f>
        <v>2.7777777777777779E-3</v>
      </c>
      <c r="AC64" s="113">
        <f t="shared" si="11"/>
        <v>0.68402777777777779</v>
      </c>
      <c r="AD64" s="116">
        <f>IF(AC64="","",IF($D$14="Weekday",INDEX(Tbl_Wait_Wkday[#All],MATCH('Model 2 - Permutations'!AC64,Tbl_Wait_Wkday[[#All],[Time]],1),MATCH('Model 2 - Permutations'!F64,Tbl_Wait_Wkday[#Headers],0)),INDEX(Tbl_Wait_Wkend[#All],MATCH('Model 2 - Permutations'!AC64,Tbl_Wait_Wkend[[#All],[Time]],1),MATCH('Model 2 - Permutations'!F64,Tbl_Wait_Wkend[#Headers],0))))</f>
        <v>4.1666666666666664E-2</v>
      </c>
      <c r="AE64" s="117">
        <f>IF(AD64="","",VLOOKUP(F64,Tbl_Ride[#Data],2,FALSE))</f>
        <v>1.3888888888888889E-3</v>
      </c>
      <c r="AF64" s="118">
        <f t="shared" si="12"/>
        <v>0.7270833333333333</v>
      </c>
      <c r="AG64" s="114">
        <f t="shared" si="13"/>
        <v>0</v>
      </c>
      <c r="AH64" s="115">
        <f>IF(AG64="","",IF($D$5="Average",INDEX(Tbl_Walk_Avg[#All],MATCH('Model 2 - Permutations'!F64,Tbl_Walk_Avg[[#All],[Ride]],0),MATCH('Model 2 - Permutations'!G64,Tbl_Walk_Avg[#Headers],0)),INDEX(Tbl_Walk_Leisure[#All],MATCH('Model 2 - Permutations'!F64,Tbl_Walk_Leisure[[#All],[Ride]],0),MATCH('Model 2 - Permutations'!G64,Tbl_Walk_Leisure[#Headers],0))))</f>
        <v>6.2500000000000003E-3</v>
      </c>
      <c r="AI64" s="113">
        <f t="shared" si="14"/>
        <v>0.73333333333333328</v>
      </c>
      <c r="AJ64" s="116">
        <f>IF(AI64="","",IF($D$14="Weekday",INDEX(Tbl_Wait_Wkday[#All],MATCH('Model 2 - Permutations'!AI64,Tbl_Wait_Wkday[[#All],[Time]],1),MATCH('Model 2 - Permutations'!G64,Tbl_Wait_Wkday[#Headers],0)),INDEX(Tbl_Wait_Wkend[#All],MATCH('Model 2 - Permutations'!AI64,Tbl_Wait_Wkend[[#All],[Time]],1),MATCH('Model 2 - Permutations'!G64,Tbl_Wait_Wkend[#Headers],0))))</f>
        <v>1.7361111111111112E-2</v>
      </c>
      <c r="AK64" s="117">
        <f>IF(AJ64="","",VLOOKUP(G64,Tbl_Ride[#Data],2,FALSE))</f>
        <v>6.9444444444444447E-4</v>
      </c>
      <c r="AL64" s="118">
        <f t="shared" si="15"/>
        <v>0.75138888888888888</v>
      </c>
      <c r="AM64" s="114">
        <f t="shared" si="16"/>
        <v>0</v>
      </c>
      <c r="AN64" s="115">
        <f>IF(AM64="","",IF($D$5="Average",INDEX(Tbl_Walk_Avg[#All],MATCH('Model 2 - Permutations'!G64,Tbl_Walk_Avg[[#All],[Ride]],0),MATCH('Model 2 - Permutations'!H64,Tbl_Walk_Avg[#Headers],0)),INDEX(Tbl_Walk_Leisure[#All],MATCH('Model 2 - Permutations'!G64,Tbl_Walk_Leisure[[#All],[Ride]],0),MATCH('Model 2 - Permutations'!H64,Tbl_Walk_Leisure[#Headers],0))))</f>
        <v>4.8611111111111112E-3</v>
      </c>
      <c r="AO64" s="113" t="str">
        <f t="shared" si="17"/>
        <v/>
      </c>
      <c r="AP64" s="116" t="str">
        <f>IF(AO64="","",IF($D$14="Weekday",INDEX(Tbl_Wait_Wkday[#All],MATCH('Model 2 - Permutations'!AO64,Tbl_Wait_Wkday[[#All],[Time]],1),MATCH('Model 2 - Permutations'!H64,Tbl_Wait_Wkday[#Headers],0)),INDEX(Tbl_Wait_Wkend[#All],MATCH('Model 2 - Permutations'!AO64,Tbl_Wait_Wkend[[#All],[Time]],1),MATCH('Model 2 - Permutations'!H64,Tbl_Wait_Wkend[#Headers],0))))</f>
        <v/>
      </c>
      <c r="AQ64" s="117" t="str">
        <f>IF(AP64="","",VLOOKUP(H64,Tbl_Ride[#Data],2,FALSE))</f>
        <v/>
      </c>
      <c r="AR64" s="118" t="str">
        <f t="shared" si="18"/>
        <v/>
      </c>
      <c r="AS64" s="119" t="str">
        <f t="shared" si="19"/>
        <v>Incomplete</v>
      </c>
      <c r="AT64" s="119" t="str">
        <f t="shared" si="20"/>
        <v>Incomplete</v>
      </c>
      <c r="AU64" s="119" t="str">
        <f t="shared" si="21"/>
        <v>Incomplete</v>
      </c>
    </row>
    <row r="65" spans="2:47">
      <c r="B65" s="111">
        <v>20</v>
      </c>
      <c r="C65" s="111" t="s">
        <v>66</v>
      </c>
      <c r="D65" s="112" t="str">
        <f t="shared" si="2"/>
        <v>Battlestar Galactica: Cylon</v>
      </c>
      <c r="E65" s="112" t="str">
        <f t="shared" si="2"/>
        <v>Transformers The Ride</v>
      </c>
      <c r="F65" s="112" t="str">
        <f t="shared" si="2"/>
        <v>Battlestart Galactica: Human</v>
      </c>
      <c r="G65" s="112" t="str">
        <f t="shared" si="2"/>
        <v>Revenge of the Mummy</v>
      </c>
      <c r="H65" s="112" t="str">
        <f t="shared" si="2"/>
        <v>Enchanted Airways</v>
      </c>
      <c r="I65" s="112">
        <v>1</v>
      </c>
      <c r="J65" s="112">
        <v>5</v>
      </c>
      <c r="K65" s="112">
        <v>2</v>
      </c>
      <c r="L65" s="112">
        <v>4</v>
      </c>
      <c r="M65" s="112">
        <v>3</v>
      </c>
      <c r="N65" s="113">
        <f t="shared" si="3"/>
        <v>0.5</v>
      </c>
      <c r="O65" s="114">
        <f t="shared" si="4"/>
        <v>0</v>
      </c>
      <c r="P65" s="115">
        <f>IF($D$5="Average",INDEX(Tbl_Walk_Avg[#All],MATCH('Model 2 - Permutations'!C65,Tbl_Walk_Avg[[#All],[Ride]],0),MATCH('Model 2 - Permutations'!D65,Tbl_Walk_Avg[#Headers],0)),INDEX(Tbl_Walk_Leisure[#All],MATCH('Model 2 - Permutations'!C65,Tbl_Walk_Leisure[[#All],[Ride]],0),MATCH('Model 2 - Permutations'!D65,Tbl_Walk_Leisure[#Headers],0)))</f>
        <v>6.9444444444444449E-3</v>
      </c>
      <c r="Q65" s="113">
        <f t="shared" si="5"/>
        <v>0.50694444444444442</v>
      </c>
      <c r="R65" s="116">
        <f>IF(Q65="","",IF($D$14="Weekday",INDEX(Tbl_Wait_Wkday[#All],MATCH('Model 2 - Permutations'!Q65,Tbl_Wait_Wkday[[#All],[Time]],1),MATCH('Model 2 - Permutations'!D65,Tbl_Wait_Wkday[#Headers],0)),INDEX(Tbl_Wait_Wkend[#All],MATCH('Model 2 - Permutations'!Q65,Tbl_Wait_Wkend[[#All],[Time]],1),MATCH('Model 2 - Permutations'!D65,Tbl_Wait_Wkend[#Headers],0))))</f>
        <v>1.7361111111111112E-2</v>
      </c>
      <c r="S65" s="117">
        <f>IF(R65="","",VLOOKUP(D65,Tbl_Ride[#Data],2,FALSE))</f>
        <v>1.3888888888888889E-3</v>
      </c>
      <c r="T65" s="118">
        <f t="shared" si="6"/>
        <v>0.52569444444444446</v>
      </c>
      <c r="U65" s="114">
        <f t="shared" si="7"/>
        <v>0</v>
      </c>
      <c r="V65" s="115">
        <f>IF(U65="","",IF($D$5="Average",INDEX(Tbl_Walk_Avg[#All],MATCH('Model 2 - Permutations'!D65,Tbl_Walk_Avg[[#All],[Ride]],0),MATCH('Model 2 - Permutations'!E65,Tbl_Walk_Avg[#Headers],0)),INDEX(Tbl_Walk_Leisure[#All],MATCH('Model 2 - Permutations'!D65,Tbl_Walk_Leisure[[#All],[Ride]],0),MATCH('Model 2 - Permutations'!E65,Tbl_Walk_Leisure[#Headers],0))))</f>
        <v>2.7777777777777779E-3</v>
      </c>
      <c r="W65" s="113">
        <f t="shared" si="8"/>
        <v>0.52847222222222223</v>
      </c>
      <c r="X65" s="116">
        <f>IF(W65="","",IF($D$14="Weekday",INDEX(Tbl_Wait_Wkday[#All],MATCH('Model 2 - Permutations'!W65,Tbl_Wait_Wkday[[#All],[Time]],1),MATCH('Model 2 - Permutations'!E65,Tbl_Wait_Wkday[#Headers],0)),INDEX(Tbl_Wait_Wkend[#All],MATCH('Model 2 - Permutations'!W65,Tbl_Wait_Wkend[[#All],[Time]],1),MATCH('Model 2 - Permutations'!E65,Tbl_Wait_Wkend[#Headers],0))))</f>
        <v>6.5972222222222224E-2</v>
      </c>
      <c r="Y65" s="117">
        <f>IF(X65="","",VLOOKUP(E65,Tbl_Ride[#Data],2,FALSE))</f>
        <v>3.4722222222222225E-3</v>
      </c>
      <c r="Z65" s="118">
        <f t="shared" si="9"/>
        <v>0.59791666666666665</v>
      </c>
      <c r="AA65" s="114">
        <f t="shared" si="10"/>
        <v>1</v>
      </c>
      <c r="AB65" s="115">
        <f>IF(AA65="","",IF($D$5="Average",INDEX(Tbl_Walk_Avg[#All],MATCH('Model 2 - Permutations'!E65,Tbl_Walk_Avg[[#All],[Ride]],0),MATCH('Model 2 - Permutations'!F65,Tbl_Walk_Avg[#Headers],0)),INDEX(Tbl_Walk_Leisure[#All],MATCH('Model 2 - Permutations'!E65,Tbl_Walk_Leisure[[#All],[Ride]],0),MATCH('Model 2 - Permutations'!F65,Tbl_Walk_Leisure[#Headers],0))))</f>
        <v>2.7777777777777779E-3</v>
      </c>
      <c r="AC65" s="113">
        <f t="shared" si="11"/>
        <v>0.68402777777777779</v>
      </c>
      <c r="AD65" s="116">
        <f>IF(AC65="","",IF($D$14="Weekday",INDEX(Tbl_Wait_Wkday[#All],MATCH('Model 2 - Permutations'!AC65,Tbl_Wait_Wkday[[#All],[Time]],1),MATCH('Model 2 - Permutations'!F65,Tbl_Wait_Wkday[#Headers],0)),INDEX(Tbl_Wait_Wkend[#All],MATCH('Model 2 - Permutations'!AC65,Tbl_Wait_Wkend[[#All],[Time]],1),MATCH('Model 2 - Permutations'!F65,Tbl_Wait_Wkend[#Headers],0))))</f>
        <v>4.1666666666666664E-2</v>
      </c>
      <c r="AE65" s="117">
        <f>IF(AD65="","",VLOOKUP(F65,Tbl_Ride[#Data],2,FALSE))</f>
        <v>1.3888888888888889E-3</v>
      </c>
      <c r="AF65" s="118">
        <f t="shared" si="12"/>
        <v>0.7270833333333333</v>
      </c>
      <c r="AG65" s="114">
        <f t="shared" si="13"/>
        <v>0</v>
      </c>
      <c r="AH65" s="115">
        <f>IF(AG65="","",IF($D$5="Average",INDEX(Tbl_Walk_Avg[#All],MATCH('Model 2 - Permutations'!F65,Tbl_Walk_Avg[[#All],[Ride]],0),MATCH('Model 2 - Permutations'!G65,Tbl_Walk_Avg[#Headers],0)),INDEX(Tbl_Walk_Leisure[#All],MATCH('Model 2 - Permutations'!F65,Tbl_Walk_Leisure[[#All],[Ride]],0),MATCH('Model 2 - Permutations'!G65,Tbl_Walk_Leisure[#Headers],0))))</f>
        <v>2.7777777777777779E-3</v>
      </c>
      <c r="AI65" s="113">
        <f t="shared" si="14"/>
        <v>0.72986111111111107</v>
      </c>
      <c r="AJ65" s="116">
        <f>IF(AI65="","",IF($D$14="Weekday",INDEX(Tbl_Wait_Wkday[#All],MATCH('Model 2 - Permutations'!AI65,Tbl_Wait_Wkday[[#All],[Time]],1),MATCH('Model 2 - Permutations'!G65,Tbl_Wait_Wkday[#Headers],0)),INDEX(Tbl_Wait_Wkend[#All],MATCH('Model 2 - Permutations'!AI65,Tbl_Wait_Wkend[[#All],[Time]],1),MATCH('Model 2 - Permutations'!G65,Tbl_Wait_Wkend[#Headers],0))))</f>
        <v>2.4305555555555552E-2</v>
      </c>
      <c r="AK65" s="117">
        <f>IF(AJ65="","",VLOOKUP(G65,Tbl_Ride[#Data],2,FALSE))</f>
        <v>2.0833333333333333E-3</v>
      </c>
      <c r="AL65" s="118">
        <f t="shared" si="15"/>
        <v>0.75624999999999998</v>
      </c>
      <c r="AM65" s="114">
        <f t="shared" si="16"/>
        <v>0</v>
      </c>
      <c r="AN65" s="115">
        <f>IF(AM65="","",IF($D$5="Average",INDEX(Tbl_Walk_Avg[#All],MATCH('Model 2 - Permutations'!G65,Tbl_Walk_Avg[[#All],[Ride]],0),MATCH('Model 2 - Permutations'!H65,Tbl_Walk_Avg[#Headers],0)),INDEX(Tbl_Walk_Leisure[#All],MATCH('Model 2 - Permutations'!G65,Tbl_Walk_Leisure[[#All],[Ride]],0),MATCH('Model 2 - Permutations'!H65,Tbl_Walk_Leisure[#Headers],0))))</f>
        <v>4.8611111111111112E-3</v>
      </c>
      <c r="AO65" s="113" t="str">
        <f t="shared" si="17"/>
        <v/>
      </c>
      <c r="AP65" s="116" t="str">
        <f>IF(AO65="","",IF($D$14="Weekday",INDEX(Tbl_Wait_Wkday[#All],MATCH('Model 2 - Permutations'!AO65,Tbl_Wait_Wkday[[#All],[Time]],1),MATCH('Model 2 - Permutations'!H65,Tbl_Wait_Wkday[#Headers],0)),INDEX(Tbl_Wait_Wkend[#All],MATCH('Model 2 - Permutations'!AO65,Tbl_Wait_Wkend[[#All],[Time]],1),MATCH('Model 2 - Permutations'!H65,Tbl_Wait_Wkend[#Headers],0))))</f>
        <v/>
      </c>
      <c r="AQ65" s="117" t="str">
        <f>IF(AP65="","",VLOOKUP(H65,Tbl_Ride[#Data],2,FALSE))</f>
        <v/>
      </c>
      <c r="AR65" s="118" t="str">
        <f t="shared" si="18"/>
        <v/>
      </c>
      <c r="AS65" s="119" t="str">
        <f t="shared" si="19"/>
        <v>Incomplete</v>
      </c>
      <c r="AT65" s="119" t="str">
        <f t="shared" si="20"/>
        <v>Incomplete</v>
      </c>
      <c r="AU65" s="119" t="str">
        <f t="shared" si="21"/>
        <v>Incomplete</v>
      </c>
    </row>
    <row r="66" spans="2:47">
      <c r="B66" s="111">
        <v>21</v>
      </c>
      <c r="C66" s="111" t="s">
        <v>66</v>
      </c>
      <c r="D66" s="112" t="str">
        <f t="shared" si="2"/>
        <v>Battlestar Galactica: Cylon</v>
      </c>
      <c r="E66" s="112" t="str">
        <f t="shared" si="2"/>
        <v>Transformers The Ride</v>
      </c>
      <c r="F66" s="112" t="str">
        <f t="shared" si="2"/>
        <v>Enchanted Airways</v>
      </c>
      <c r="G66" s="112" t="str">
        <f t="shared" si="2"/>
        <v>Battlestart Galactica: Human</v>
      </c>
      <c r="H66" s="112" t="str">
        <f t="shared" si="2"/>
        <v>Revenge of the Mummy</v>
      </c>
      <c r="I66" s="112">
        <v>1</v>
      </c>
      <c r="J66" s="112">
        <v>5</v>
      </c>
      <c r="K66" s="112">
        <v>3</v>
      </c>
      <c r="L66" s="112">
        <v>2</v>
      </c>
      <c r="M66" s="112">
        <v>4</v>
      </c>
      <c r="N66" s="113">
        <f t="shared" si="3"/>
        <v>0.5</v>
      </c>
      <c r="O66" s="114">
        <f t="shared" si="4"/>
        <v>0</v>
      </c>
      <c r="P66" s="115">
        <f>IF($D$5="Average",INDEX(Tbl_Walk_Avg[#All],MATCH('Model 2 - Permutations'!C66,Tbl_Walk_Avg[[#All],[Ride]],0),MATCH('Model 2 - Permutations'!D66,Tbl_Walk_Avg[#Headers],0)),INDEX(Tbl_Walk_Leisure[#All],MATCH('Model 2 - Permutations'!C66,Tbl_Walk_Leisure[[#All],[Ride]],0),MATCH('Model 2 - Permutations'!D66,Tbl_Walk_Leisure[#Headers],0)))</f>
        <v>6.9444444444444449E-3</v>
      </c>
      <c r="Q66" s="113">
        <f t="shared" si="5"/>
        <v>0.50694444444444442</v>
      </c>
      <c r="R66" s="116">
        <f>IF(Q66="","",IF($D$14="Weekday",INDEX(Tbl_Wait_Wkday[#All],MATCH('Model 2 - Permutations'!Q66,Tbl_Wait_Wkday[[#All],[Time]],1),MATCH('Model 2 - Permutations'!D66,Tbl_Wait_Wkday[#Headers],0)),INDEX(Tbl_Wait_Wkend[#All],MATCH('Model 2 - Permutations'!Q66,Tbl_Wait_Wkend[[#All],[Time]],1),MATCH('Model 2 - Permutations'!D66,Tbl_Wait_Wkend[#Headers],0))))</f>
        <v>1.7361111111111112E-2</v>
      </c>
      <c r="S66" s="117">
        <f>IF(R66="","",VLOOKUP(D66,Tbl_Ride[#Data],2,FALSE))</f>
        <v>1.3888888888888889E-3</v>
      </c>
      <c r="T66" s="118">
        <f t="shared" si="6"/>
        <v>0.52569444444444446</v>
      </c>
      <c r="U66" s="114">
        <f t="shared" si="7"/>
        <v>0</v>
      </c>
      <c r="V66" s="115">
        <f>IF(U66="","",IF($D$5="Average",INDEX(Tbl_Walk_Avg[#All],MATCH('Model 2 - Permutations'!D66,Tbl_Walk_Avg[[#All],[Ride]],0),MATCH('Model 2 - Permutations'!E66,Tbl_Walk_Avg[#Headers],0)),INDEX(Tbl_Walk_Leisure[#All],MATCH('Model 2 - Permutations'!D66,Tbl_Walk_Leisure[[#All],[Ride]],0),MATCH('Model 2 - Permutations'!E66,Tbl_Walk_Leisure[#Headers],0))))</f>
        <v>2.7777777777777779E-3</v>
      </c>
      <c r="W66" s="113">
        <f t="shared" si="8"/>
        <v>0.52847222222222223</v>
      </c>
      <c r="X66" s="116">
        <f>IF(W66="","",IF($D$14="Weekday",INDEX(Tbl_Wait_Wkday[#All],MATCH('Model 2 - Permutations'!W66,Tbl_Wait_Wkday[[#All],[Time]],1),MATCH('Model 2 - Permutations'!E66,Tbl_Wait_Wkday[#Headers],0)),INDEX(Tbl_Wait_Wkend[#All],MATCH('Model 2 - Permutations'!W66,Tbl_Wait_Wkend[[#All],[Time]],1),MATCH('Model 2 - Permutations'!E66,Tbl_Wait_Wkend[#Headers],0))))</f>
        <v>6.5972222222222224E-2</v>
      </c>
      <c r="Y66" s="117">
        <f>IF(X66="","",VLOOKUP(E66,Tbl_Ride[#Data],2,FALSE))</f>
        <v>3.4722222222222225E-3</v>
      </c>
      <c r="Z66" s="118">
        <f t="shared" si="9"/>
        <v>0.59791666666666665</v>
      </c>
      <c r="AA66" s="114">
        <f t="shared" si="10"/>
        <v>1</v>
      </c>
      <c r="AB66" s="115">
        <f>IF(AA66="","",IF($D$5="Average",INDEX(Tbl_Walk_Avg[#All],MATCH('Model 2 - Permutations'!E66,Tbl_Walk_Avg[[#All],[Ride]],0),MATCH('Model 2 - Permutations'!F66,Tbl_Walk_Avg[#Headers],0)),INDEX(Tbl_Walk_Leisure[#All],MATCH('Model 2 - Permutations'!E66,Tbl_Walk_Leisure[[#All],[Ride]],0),MATCH('Model 2 - Permutations'!F66,Tbl_Walk_Leisure[#Headers],0))))</f>
        <v>6.2500000000000003E-3</v>
      </c>
      <c r="AC66" s="113">
        <f t="shared" si="11"/>
        <v>0.6875</v>
      </c>
      <c r="AD66" s="116">
        <f>IF(AC66="","",IF($D$14="Weekday",INDEX(Tbl_Wait_Wkday[#All],MATCH('Model 2 - Permutations'!AC66,Tbl_Wait_Wkday[[#All],[Time]],1),MATCH('Model 2 - Permutations'!F66,Tbl_Wait_Wkday[#Headers],0)),INDEX(Tbl_Wait_Wkend[#All],MATCH('Model 2 - Permutations'!AC66,Tbl_Wait_Wkend[[#All],[Time]],1),MATCH('Model 2 - Permutations'!F66,Tbl_Wait_Wkend[#Headers],0))))</f>
        <v>1.7361111111111112E-2</v>
      </c>
      <c r="AE66" s="117">
        <f>IF(AD66="","",VLOOKUP(F66,Tbl_Ride[#Data],2,FALSE))</f>
        <v>6.9444444444444447E-4</v>
      </c>
      <c r="AF66" s="118">
        <f t="shared" si="12"/>
        <v>0.7055555555555556</v>
      </c>
      <c r="AG66" s="114">
        <f t="shared" si="13"/>
        <v>0</v>
      </c>
      <c r="AH66" s="115">
        <f>IF(AG66="","",IF($D$5="Average",INDEX(Tbl_Walk_Avg[#All],MATCH('Model 2 - Permutations'!F66,Tbl_Walk_Avg[[#All],[Ride]],0),MATCH('Model 2 - Permutations'!G66,Tbl_Walk_Avg[#Headers],0)),INDEX(Tbl_Walk_Leisure[#All],MATCH('Model 2 - Permutations'!F66,Tbl_Walk_Leisure[[#All],[Ride]],0),MATCH('Model 2 - Permutations'!G66,Tbl_Walk_Leisure[#Headers],0))))</f>
        <v>6.2500000000000003E-3</v>
      </c>
      <c r="AI66" s="113">
        <f t="shared" si="14"/>
        <v>0.71180555555555558</v>
      </c>
      <c r="AJ66" s="116">
        <f>IF(AI66="","",IF($D$14="Weekday",INDEX(Tbl_Wait_Wkday[#All],MATCH('Model 2 - Permutations'!AI66,Tbl_Wait_Wkday[[#All],[Time]],1),MATCH('Model 2 - Permutations'!G66,Tbl_Wait_Wkday[#Headers],0)),INDEX(Tbl_Wait_Wkend[#All],MATCH('Model 2 - Permutations'!AI66,Tbl_Wait_Wkend[[#All],[Time]],1),MATCH('Model 2 - Permutations'!G66,Tbl_Wait_Wkend[#Headers],0))))</f>
        <v>2.4305555555555552E-2</v>
      </c>
      <c r="AK66" s="117">
        <f>IF(AJ66="","",VLOOKUP(G66,Tbl_Ride[#Data],2,FALSE))</f>
        <v>1.3888888888888889E-3</v>
      </c>
      <c r="AL66" s="118">
        <f t="shared" si="15"/>
        <v>0.73750000000000004</v>
      </c>
      <c r="AM66" s="114">
        <f t="shared" si="16"/>
        <v>0</v>
      </c>
      <c r="AN66" s="115">
        <f>IF(AM66="","",IF($D$5="Average",INDEX(Tbl_Walk_Avg[#All],MATCH('Model 2 - Permutations'!G66,Tbl_Walk_Avg[[#All],[Ride]],0),MATCH('Model 2 - Permutations'!H66,Tbl_Walk_Avg[#Headers],0)),INDEX(Tbl_Walk_Leisure[#All],MATCH('Model 2 - Permutations'!G66,Tbl_Walk_Leisure[[#All],[Ride]],0),MATCH('Model 2 - Permutations'!H66,Tbl_Walk_Leisure[#Headers],0))))</f>
        <v>2.7777777777777779E-3</v>
      </c>
      <c r="AO66" s="113">
        <f t="shared" si="17"/>
        <v>0.74027777777777781</v>
      </c>
      <c r="AP66" s="116">
        <f>IF(AO66="","",IF($D$14="Weekday",INDEX(Tbl_Wait_Wkday[#All],MATCH('Model 2 - Permutations'!AO66,Tbl_Wait_Wkday[[#All],[Time]],1),MATCH('Model 2 - Permutations'!H66,Tbl_Wait_Wkday[#Headers],0)),INDEX(Tbl_Wait_Wkend[#All],MATCH('Model 2 - Permutations'!AO66,Tbl_Wait_Wkend[[#All],[Time]],1),MATCH('Model 2 - Permutations'!H66,Tbl_Wait_Wkend[#Headers],0))))</f>
        <v>2.4305555555555552E-2</v>
      </c>
      <c r="AQ66" s="117">
        <f>IF(AP66="","",VLOOKUP(H66,Tbl_Ride[#Data],2,FALSE))</f>
        <v>2.0833333333333333E-3</v>
      </c>
      <c r="AR66" s="118">
        <f t="shared" si="18"/>
        <v>0.76666666666666672</v>
      </c>
      <c r="AS66" s="119">
        <f t="shared" si="19"/>
        <v>2.4999999999999998E-2</v>
      </c>
      <c r="AT66" s="119">
        <f t="shared" si="20"/>
        <v>0.14930555555555555</v>
      </c>
      <c r="AU66" s="119">
        <f t="shared" si="21"/>
        <v>0.17430555555555555</v>
      </c>
    </row>
    <row r="67" spans="2:47">
      <c r="B67" s="111">
        <v>22</v>
      </c>
      <c r="C67" s="111" t="s">
        <v>66</v>
      </c>
      <c r="D67" s="112" t="str">
        <f t="shared" si="2"/>
        <v>Battlestar Galactica: Cylon</v>
      </c>
      <c r="E67" s="112" t="str">
        <f t="shared" si="2"/>
        <v>Transformers The Ride</v>
      </c>
      <c r="F67" s="112" t="str">
        <f t="shared" si="2"/>
        <v>Enchanted Airways</v>
      </c>
      <c r="G67" s="112" t="str">
        <f t="shared" si="2"/>
        <v>Revenge of the Mummy</v>
      </c>
      <c r="H67" s="112" t="str">
        <f t="shared" si="2"/>
        <v>Battlestart Galactica: Human</v>
      </c>
      <c r="I67" s="112">
        <v>1</v>
      </c>
      <c r="J67" s="112">
        <v>5</v>
      </c>
      <c r="K67" s="112">
        <v>3</v>
      </c>
      <c r="L67" s="112">
        <v>4</v>
      </c>
      <c r="M67" s="112">
        <v>2</v>
      </c>
      <c r="N67" s="113">
        <f t="shared" si="3"/>
        <v>0.5</v>
      </c>
      <c r="O67" s="114">
        <f t="shared" si="4"/>
        <v>0</v>
      </c>
      <c r="P67" s="115">
        <f>IF($D$5="Average",INDEX(Tbl_Walk_Avg[#All],MATCH('Model 2 - Permutations'!C67,Tbl_Walk_Avg[[#All],[Ride]],0),MATCH('Model 2 - Permutations'!D67,Tbl_Walk_Avg[#Headers],0)),INDEX(Tbl_Walk_Leisure[#All],MATCH('Model 2 - Permutations'!C67,Tbl_Walk_Leisure[[#All],[Ride]],0),MATCH('Model 2 - Permutations'!D67,Tbl_Walk_Leisure[#Headers],0)))</f>
        <v>6.9444444444444449E-3</v>
      </c>
      <c r="Q67" s="113">
        <f t="shared" si="5"/>
        <v>0.50694444444444442</v>
      </c>
      <c r="R67" s="116">
        <f>IF(Q67="","",IF($D$14="Weekday",INDEX(Tbl_Wait_Wkday[#All],MATCH('Model 2 - Permutations'!Q67,Tbl_Wait_Wkday[[#All],[Time]],1),MATCH('Model 2 - Permutations'!D67,Tbl_Wait_Wkday[#Headers],0)),INDEX(Tbl_Wait_Wkend[#All],MATCH('Model 2 - Permutations'!Q67,Tbl_Wait_Wkend[[#All],[Time]],1),MATCH('Model 2 - Permutations'!D67,Tbl_Wait_Wkend[#Headers],0))))</f>
        <v>1.7361111111111112E-2</v>
      </c>
      <c r="S67" s="117">
        <f>IF(R67="","",VLOOKUP(D67,Tbl_Ride[#Data],2,FALSE))</f>
        <v>1.3888888888888889E-3</v>
      </c>
      <c r="T67" s="118">
        <f t="shared" si="6"/>
        <v>0.52569444444444446</v>
      </c>
      <c r="U67" s="114">
        <f t="shared" si="7"/>
        <v>0</v>
      </c>
      <c r="V67" s="115">
        <f>IF(U67="","",IF($D$5="Average",INDEX(Tbl_Walk_Avg[#All],MATCH('Model 2 - Permutations'!D67,Tbl_Walk_Avg[[#All],[Ride]],0),MATCH('Model 2 - Permutations'!E67,Tbl_Walk_Avg[#Headers],0)),INDEX(Tbl_Walk_Leisure[#All],MATCH('Model 2 - Permutations'!D67,Tbl_Walk_Leisure[[#All],[Ride]],0),MATCH('Model 2 - Permutations'!E67,Tbl_Walk_Leisure[#Headers],0))))</f>
        <v>2.7777777777777779E-3</v>
      </c>
      <c r="W67" s="113">
        <f t="shared" si="8"/>
        <v>0.52847222222222223</v>
      </c>
      <c r="X67" s="116">
        <f>IF(W67="","",IF($D$14="Weekday",INDEX(Tbl_Wait_Wkday[#All],MATCH('Model 2 - Permutations'!W67,Tbl_Wait_Wkday[[#All],[Time]],1),MATCH('Model 2 - Permutations'!E67,Tbl_Wait_Wkday[#Headers],0)),INDEX(Tbl_Wait_Wkend[#All],MATCH('Model 2 - Permutations'!W67,Tbl_Wait_Wkend[[#All],[Time]],1),MATCH('Model 2 - Permutations'!E67,Tbl_Wait_Wkend[#Headers],0))))</f>
        <v>6.5972222222222224E-2</v>
      </c>
      <c r="Y67" s="117">
        <f>IF(X67="","",VLOOKUP(E67,Tbl_Ride[#Data],2,FALSE))</f>
        <v>3.4722222222222225E-3</v>
      </c>
      <c r="Z67" s="118">
        <f t="shared" si="9"/>
        <v>0.59791666666666665</v>
      </c>
      <c r="AA67" s="114">
        <f t="shared" si="10"/>
        <v>1</v>
      </c>
      <c r="AB67" s="115">
        <f>IF(AA67="","",IF($D$5="Average",INDEX(Tbl_Walk_Avg[#All],MATCH('Model 2 - Permutations'!E67,Tbl_Walk_Avg[[#All],[Ride]],0),MATCH('Model 2 - Permutations'!F67,Tbl_Walk_Avg[#Headers],0)),INDEX(Tbl_Walk_Leisure[#All],MATCH('Model 2 - Permutations'!E67,Tbl_Walk_Leisure[[#All],[Ride]],0),MATCH('Model 2 - Permutations'!F67,Tbl_Walk_Leisure[#Headers],0))))</f>
        <v>6.2500000000000003E-3</v>
      </c>
      <c r="AC67" s="113">
        <f t="shared" si="11"/>
        <v>0.6875</v>
      </c>
      <c r="AD67" s="116">
        <f>IF(AC67="","",IF($D$14="Weekday",INDEX(Tbl_Wait_Wkday[#All],MATCH('Model 2 - Permutations'!AC67,Tbl_Wait_Wkday[[#All],[Time]],1),MATCH('Model 2 - Permutations'!F67,Tbl_Wait_Wkday[#Headers],0)),INDEX(Tbl_Wait_Wkend[#All],MATCH('Model 2 - Permutations'!AC67,Tbl_Wait_Wkend[[#All],[Time]],1),MATCH('Model 2 - Permutations'!F67,Tbl_Wait_Wkend[#Headers],0))))</f>
        <v>1.7361111111111112E-2</v>
      </c>
      <c r="AE67" s="117">
        <f>IF(AD67="","",VLOOKUP(F67,Tbl_Ride[#Data],2,FALSE))</f>
        <v>6.9444444444444447E-4</v>
      </c>
      <c r="AF67" s="118">
        <f t="shared" si="12"/>
        <v>0.7055555555555556</v>
      </c>
      <c r="AG67" s="114">
        <f t="shared" si="13"/>
        <v>0</v>
      </c>
      <c r="AH67" s="115">
        <f>IF(AG67="","",IF($D$5="Average",INDEX(Tbl_Walk_Avg[#All],MATCH('Model 2 - Permutations'!F67,Tbl_Walk_Avg[[#All],[Ride]],0),MATCH('Model 2 - Permutations'!G67,Tbl_Walk_Avg[#Headers],0)),INDEX(Tbl_Walk_Leisure[#All],MATCH('Model 2 - Permutations'!F67,Tbl_Walk_Leisure[[#All],[Ride]],0),MATCH('Model 2 - Permutations'!G67,Tbl_Walk_Leisure[#Headers],0))))</f>
        <v>4.8611111111111112E-3</v>
      </c>
      <c r="AI67" s="113">
        <f t="shared" si="14"/>
        <v>0.7104166666666667</v>
      </c>
      <c r="AJ67" s="116">
        <f>IF(AI67="","",IF($D$14="Weekday",INDEX(Tbl_Wait_Wkday[#All],MATCH('Model 2 - Permutations'!AI67,Tbl_Wait_Wkday[[#All],[Time]],1),MATCH('Model 2 - Permutations'!G67,Tbl_Wait_Wkday[#Headers],0)),INDEX(Tbl_Wait_Wkend[#All],MATCH('Model 2 - Permutations'!AI67,Tbl_Wait_Wkend[[#All],[Time]],1),MATCH('Model 2 - Permutations'!G67,Tbl_Wait_Wkend[#Headers],0))))</f>
        <v>2.4305555555555552E-2</v>
      </c>
      <c r="AK67" s="117">
        <f>IF(AJ67="","",VLOOKUP(G67,Tbl_Ride[#Data],2,FALSE))</f>
        <v>2.0833333333333333E-3</v>
      </c>
      <c r="AL67" s="118">
        <f t="shared" si="15"/>
        <v>0.7368055555555556</v>
      </c>
      <c r="AM67" s="114">
        <f t="shared" si="16"/>
        <v>0</v>
      </c>
      <c r="AN67" s="115">
        <f>IF(AM67="","",IF($D$5="Average",INDEX(Tbl_Walk_Avg[#All],MATCH('Model 2 - Permutations'!G67,Tbl_Walk_Avg[[#All],[Ride]],0),MATCH('Model 2 - Permutations'!H67,Tbl_Walk_Avg[#Headers],0)),INDEX(Tbl_Walk_Leisure[#All],MATCH('Model 2 - Permutations'!G67,Tbl_Walk_Leisure[[#All],[Ride]],0),MATCH('Model 2 - Permutations'!H67,Tbl_Walk_Leisure[#Headers],0))))</f>
        <v>2.7777777777777779E-3</v>
      </c>
      <c r="AO67" s="113">
        <f t="shared" si="17"/>
        <v>0.73958333333333337</v>
      </c>
      <c r="AP67" s="116">
        <f>IF(AO67="","",IF($D$14="Weekday",INDEX(Tbl_Wait_Wkday[#All],MATCH('Model 2 - Permutations'!AO67,Tbl_Wait_Wkday[[#All],[Time]],1),MATCH('Model 2 - Permutations'!H67,Tbl_Wait_Wkday[#Headers],0)),INDEX(Tbl_Wait_Wkend[#All],MATCH('Model 2 - Permutations'!AO67,Tbl_Wait_Wkend[[#All],[Time]],1),MATCH('Model 2 - Permutations'!H67,Tbl_Wait_Wkend[#Headers],0))))</f>
        <v>2.4305555555555552E-2</v>
      </c>
      <c r="AQ67" s="117">
        <f>IF(AP67="","",VLOOKUP(H67,Tbl_Ride[#Data],2,FALSE))</f>
        <v>1.3888888888888889E-3</v>
      </c>
      <c r="AR67" s="118">
        <f t="shared" si="18"/>
        <v>0.76527777777777783</v>
      </c>
      <c r="AS67" s="119">
        <f t="shared" si="19"/>
        <v>2.361111111111111E-2</v>
      </c>
      <c r="AT67" s="119">
        <f t="shared" si="20"/>
        <v>0.14930555555555555</v>
      </c>
      <c r="AU67" s="119">
        <f t="shared" si="21"/>
        <v>0.17291666666666666</v>
      </c>
    </row>
    <row r="68" spans="2:47">
      <c r="B68" s="111">
        <v>23</v>
      </c>
      <c r="C68" s="111" t="s">
        <v>66</v>
      </c>
      <c r="D68" s="112" t="str">
        <f t="shared" si="2"/>
        <v>Battlestar Galactica: Cylon</v>
      </c>
      <c r="E68" s="112" t="str">
        <f t="shared" si="2"/>
        <v>Transformers The Ride</v>
      </c>
      <c r="F68" s="112" t="str">
        <f t="shared" si="2"/>
        <v>Revenge of the Mummy</v>
      </c>
      <c r="G68" s="112" t="str">
        <f t="shared" si="2"/>
        <v>Battlestart Galactica: Human</v>
      </c>
      <c r="H68" s="112" t="str">
        <f t="shared" si="2"/>
        <v>Enchanted Airways</v>
      </c>
      <c r="I68" s="112">
        <v>1</v>
      </c>
      <c r="J68" s="112">
        <v>5</v>
      </c>
      <c r="K68" s="112">
        <v>4</v>
      </c>
      <c r="L68" s="112">
        <v>2</v>
      </c>
      <c r="M68" s="112">
        <v>3</v>
      </c>
      <c r="N68" s="113">
        <f t="shared" si="3"/>
        <v>0.5</v>
      </c>
      <c r="O68" s="114">
        <f t="shared" si="4"/>
        <v>0</v>
      </c>
      <c r="P68" s="115">
        <f>IF($D$5="Average",INDEX(Tbl_Walk_Avg[#All],MATCH('Model 2 - Permutations'!C68,Tbl_Walk_Avg[[#All],[Ride]],0),MATCH('Model 2 - Permutations'!D68,Tbl_Walk_Avg[#Headers],0)),INDEX(Tbl_Walk_Leisure[#All],MATCH('Model 2 - Permutations'!C68,Tbl_Walk_Leisure[[#All],[Ride]],0),MATCH('Model 2 - Permutations'!D68,Tbl_Walk_Leisure[#Headers],0)))</f>
        <v>6.9444444444444449E-3</v>
      </c>
      <c r="Q68" s="113">
        <f t="shared" si="5"/>
        <v>0.50694444444444442</v>
      </c>
      <c r="R68" s="116">
        <f>IF(Q68="","",IF($D$14="Weekday",INDEX(Tbl_Wait_Wkday[#All],MATCH('Model 2 - Permutations'!Q68,Tbl_Wait_Wkday[[#All],[Time]],1),MATCH('Model 2 - Permutations'!D68,Tbl_Wait_Wkday[#Headers],0)),INDEX(Tbl_Wait_Wkend[#All],MATCH('Model 2 - Permutations'!Q68,Tbl_Wait_Wkend[[#All],[Time]],1),MATCH('Model 2 - Permutations'!D68,Tbl_Wait_Wkend[#Headers],0))))</f>
        <v>1.7361111111111112E-2</v>
      </c>
      <c r="S68" s="117">
        <f>IF(R68="","",VLOOKUP(D68,Tbl_Ride[#Data],2,FALSE))</f>
        <v>1.3888888888888889E-3</v>
      </c>
      <c r="T68" s="118">
        <f t="shared" si="6"/>
        <v>0.52569444444444446</v>
      </c>
      <c r="U68" s="114">
        <f t="shared" si="7"/>
        <v>0</v>
      </c>
      <c r="V68" s="115">
        <f>IF(U68="","",IF($D$5="Average",INDEX(Tbl_Walk_Avg[#All],MATCH('Model 2 - Permutations'!D68,Tbl_Walk_Avg[[#All],[Ride]],0),MATCH('Model 2 - Permutations'!E68,Tbl_Walk_Avg[#Headers],0)),INDEX(Tbl_Walk_Leisure[#All],MATCH('Model 2 - Permutations'!D68,Tbl_Walk_Leisure[[#All],[Ride]],0),MATCH('Model 2 - Permutations'!E68,Tbl_Walk_Leisure[#Headers],0))))</f>
        <v>2.7777777777777779E-3</v>
      </c>
      <c r="W68" s="113">
        <f t="shared" si="8"/>
        <v>0.52847222222222223</v>
      </c>
      <c r="X68" s="116">
        <f>IF(W68="","",IF($D$14="Weekday",INDEX(Tbl_Wait_Wkday[#All],MATCH('Model 2 - Permutations'!W68,Tbl_Wait_Wkday[[#All],[Time]],1),MATCH('Model 2 - Permutations'!E68,Tbl_Wait_Wkday[#Headers],0)),INDEX(Tbl_Wait_Wkend[#All],MATCH('Model 2 - Permutations'!W68,Tbl_Wait_Wkend[[#All],[Time]],1),MATCH('Model 2 - Permutations'!E68,Tbl_Wait_Wkend[#Headers],0))))</f>
        <v>6.5972222222222224E-2</v>
      </c>
      <c r="Y68" s="117">
        <f>IF(X68="","",VLOOKUP(E68,Tbl_Ride[#Data],2,FALSE))</f>
        <v>3.4722222222222225E-3</v>
      </c>
      <c r="Z68" s="118">
        <f t="shared" si="9"/>
        <v>0.59791666666666665</v>
      </c>
      <c r="AA68" s="114">
        <f t="shared" si="10"/>
        <v>1</v>
      </c>
      <c r="AB68" s="115">
        <f>IF(AA68="","",IF($D$5="Average",INDEX(Tbl_Walk_Avg[#All],MATCH('Model 2 - Permutations'!E68,Tbl_Walk_Avg[[#All],[Ride]],0),MATCH('Model 2 - Permutations'!F68,Tbl_Walk_Avg[#Headers],0)),INDEX(Tbl_Walk_Leisure[#All],MATCH('Model 2 - Permutations'!E68,Tbl_Walk_Leisure[[#All],[Ride]],0),MATCH('Model 2 - Permutations'!F68,Tbl_Walk_Leisure[#Headers],0))))</f>
        <v>4.1666666666666666E-3</v>
      </c>
      <c r="AC68" s="113">
        <f t="shared" si="11"/>
        <v>0.68541666666666667</v>
      </c>
      <c r="AD68" s="116">
        <f>IF(AC68="","",IF($D$14="Weekday",INDEX(Tbl_Wait_Wkday[#All],MATCH('Model 2 - Permutations'!AC68,Tbl_Wait_Wkday[[#All],[Time]],1),MATCH('Model 2 - Permutations'!F68,Tbl_Wait_Wkday[#Headers],0)),INDEX(Tbl_Wait_Wkend[#All],MATCH('Model 2 - Permutations'!AC68,Tbl_Wait_Wkend[[#All],[Time]],1),MATCH('Model 2 - Permutations'!F68,Tbl_Wait_Wkend[#Headers],0))))</f>
        <v>2.7777777777777776E-2</v>
      </c>
      <c r="AE68" s="117">
        <f>IF(AD68="","",VLOOKUP(F68,Tbl_Ride[#Data],2,FALSE))</f>
        <v>2.0833333333333333E-3</v>
      </c>
      <c r="AF68" s="118">
        <f t="shared" si="12"/>
        <v>0.71527777777777779</v>
      </c>
      <c r="AG68" s="114">
        <f t="shared" si="13"/>
        <v>0</v>
      </c>
      <c r="AH68" s="115">
        <f>IF(AG68="","",IF($D$5="Average",INDEX(Tbl_Walk_Avg[#All],MATCH('Model 2 - Permutations'!F68,Tbl_Walk_Avg[[#All],[Ride]],0),MATCH('Model 2 - Permutations'!G68,Tbl_Walk_Avg[#Headers],0)),INDEX(Tbl_Walk_Leisure[#All],MATCH('Model 2 - Permutations'!F68,Tbl_Walk_Leisure[[#All],[Ride]],0),MATCH('Model 2 - Permutations'!G68,Tbl_Walk_Leisure[#Headers],0))))</f>
        <v>2.7777777777777779E-3</v>
      </c>
      <c r="AI68" s="113">
        <f t="shared" si="14"/>
        <v>0.71805555555555556</v>
      </c>
      <c r="AJ68" s="116">
        <f>IF(AI68="","",IF($D$14="Weekday",INDEX(Tbl_Wait_Wkday[#All],MATCH('Model 2 - Permutations'!AI68,Tbl_Wait_Wkday[[#All],[Time]],1),MATCH('Model 2 - Permutations'!G68,Tbl_Wait_Wkday[#Headers],0)),INDEX(Tbl_Wait_Wkend[#All],MATCH('Model 2 - Permutations'!AI68,Tbl_Wait_Wkend[[#All],[Time]],1),MATCH('Model 2 - Permutations'!G68,Tbl_Wait_Wkend[#Headers],0))))</f>
        <v>2.4305555555555552E-2</v>
      </c>
      <c r="AK68" s="117">
        <f>IF(AJ68="","",VLOOKUP(G68,Tbl_Ride[#Data],2,FALSE))</f>
        <v>1.3888888888888889E-3</v>
      </c>
      <c r="AL68" s="118">
        <f t="shared" si="15"/>
        <v>0.74375000000000002</v>
      </c>
      <c r="AM68" s="114">
        <f t="shared" si="16"/>
        <v>0</v>
      </c>
      <c r="AN68" s="115">
        <f>IF(AM68="","",IF($D$5="Average",INDEX(Tbl_Walk_Avg[#All],MATCH('Model 2 - Permutations'!G68,Tbl_Walk_Avg[[#All],[Ride]],0),MATCH('Model 2 - Permutations'!H68,Tbl_Walk_Avg[#Headers],0)),INDEX(Tbl_Walk_Leisure[#All],MATCH('Model 2 - Permutations'!G68,Tbl_Walk_Leisure[[#All],[Ride]],0),MATCH('Model 2 - Permutations'!H68,Tbl_Walk_Leisure[#Headers],0))))</f>
        <v>6.2500000000000003E-3</v>
      </c>
      <c r="AO68" s="113">
        <f t="shared" si="17"/>
        <v>0.75</v>
      </c>
      <c r="AP68" s="116">
        <f>IF(AO68="","",IF($D$14="Weekday",INDEX(Tbl_Wait_Wkday[#All],MATCH('Model 2 - Permutations'!AO68,Tbl_Wait_Wkday[[#All],[Time]],1),MATCH('Model 2 - Permutations'!H68,Tbl_Wait_Wkday[#Headers],0)),INDEX(Tbl_Wait_Wkend[#All],MATCH('Model 2 - Permutations'!AO68,Tbl_Wait_Wkend[[#All],[Time]],1),MATCH('Model 2 - Permutations'!H68,Tbl_Wait_Wkend[#Headers],0))))</f>
        <v>1.7361111111111112E-2</v>
      </c>
      <c r="AQ68" s="117">
        <f>IF(AP68="","",VLOOKUP(H68,Tbl_Ride[#Data],2,FALSE))</f>
        <v>6.9444444444444447E-4</v>
      </c>
      <c r="AR68" s="118">
        <f t="shared" si="18"/>
        <v>0.7680555555555556</v>
      </c>
      <c r="AS68" s="119">
        <f t="shared" si="19"/>
        <v>2.2916666666666669E-2</v>
      </c>
      <c r="AT68" s="119">
        <f t="shared" si="20"/>
        <v>0.15277777777777779</v>
      </c>
      <c r="AU68" s="119">
        <f t="shared" si="21"/>
        <v>0.17569444444444446</v>
      </c>
    </row>
    <row r="69" spans="2:47">
      <c r="B69" s="111">
        <v>24</v>
      </c>
      <c r="C69" s="111" t="s">
        <v>66</v>
      </c>
      <c r="D69" s="112" t="str">
        <f t="shared" si="2"/>
        <v>Battlestar Galactica: Cylon</v>
      </c>
      <c r="E69" s="112" t="str">
        <f t="shared" si="2"/>
        <v>Transformers The Ride</v>
      </c>
      <c r="F69" s="112" t="str">
        <f t="shared" si="2"/>
        <v>Revenge of the Mummy</v>
      </c>
      <c r="G69" s="112" t="str">
        <f t="shared" si="2"/>
        <v>Enchanted Airways</v>
      </c>
      <c r="H69" s="112" t="str">
        <f t="shared" si="2"/>
        <v>Battlestart Galactica: Human</v>
      </c>
      <c r="I69" s="112">
        <v>1</v>
      </c>
      <c r="J69" s="112">
        <v>5</v>
      </c>
      <c r="K69" s="112">
        <v>4</v>
      </c>
      <c r="L69" s="112">
        <v>3</v>
      </c>
      <c r="M69" s="112">
        <v>2</v>
      </c>
      <c r="N69" s="113">
        <f t="shared" si="3"/>
        <v>0.5</v>
      </c>
      <c r="O69" s="114">
        <f t="shared" si="4"/>
        <v>0</v>
      </c>
      <c r="P69" s="115">
        <f>IF($D$5="Average",INDEX(Tbl_Walk_Avg[#All],MATCH('Model 2 - Permutations'!C69,Tbl_Walk_Avg[[#All],[Ride]],0),MATCH('Model 2 - Permutations'!D69,Tbl_Walk_Avg[#Headers],0)),INDEX(Tbl_Walk_Leisure[#All],MATCH('Model 2 - Permutations'!C69,Tbl_Walk_Leisure[[#All],[Ride]],0),MATCH('Model 2 - Permutations'!D69,Tbl_Walk_Leisure[#Headers],0)))</f>
        <v>6.9444444444444449E-3</v>
      </c>
      <c r="Q69" s="113">
        <f t="shared" si="5"/>
        <v>0.50694444444444442</v>
      </c>
      <c r="R69" s="116">
        <f>IF(Q69="","",IF($D$14="Weekday",INDEX(Tbl_Wait_Wkday[#All],MATCH('Model 2 - Permutations'!Q69,Tbl_Wait_Wkday[[#All],[Time]],1),MATCH('Model 2 - Permutations'!D69,Tbl_Wait_Wkday[#Headers],0)),INDEX(Tbl_Wait_Wkend[#All],MATCH('Model 2 - Permutations'!Q69,Tbl_Wait_Wkend[[#All],[Time]],1),MATCH('Model 2 - Permutations'!D69,Tbl_Wait_Wkend[#Headers],0))))</f>
        <v>1.7361111111111112E-2</v>
      </c>
      <c r="S69" s="117">
        <f>IF(R69="","",VLOOKUP(D69,Tbl_Ride[#Data],2,FALSE))</f>
        <v>1.3888888888888889E-3</v>
      </c>
      <c r="T69" s="118">
        <f t="shared" si="6"/>
        <v>0.52569444444444446</v>
      </c>
      <c r="U69" s="114">
        <f t="shared" si="7"/>
        <v>0</v>
      </c>
      <c r="V69" s="115">
        <f>IF(U69="","",IF($D$5="Average",INDEX(Tbl_Walk_Avg[#All],MATCH('Model 2 - Permutations'!D69,Tbl_Walk_Avg[[#All],[Ride]],0),MATCH('Model 2 - Permutations'!E69,Tbl_Walk_Avg[#Headers],0)),INDEX(Tbl_Walk_Leisure[#All],MATCH('Model 2 - Permutations'!D69,Tbl_Walk_Leisure[[#All],[Ride]],0),MATCH('Model 2 - Permutations'!E69,Tbl_Walk_Leisure[#Headers],0))))</f>
        <v>2.7777777777777779E-3</v>
      </c>
      <c r="W69" s="113">
        <f t="shared" si="8"/>
        <v>0.52847222222222223</v>
      </c>
      <c r="X69" s="116">
        <f>IF(W69="","",IF($D$14="Weekday",INDEX(Tbl_Wait_Wkday[#All],MATCH('Model 2 - Permutations'!W69,Tbl_Wait_Wkday[[#All],[Time]],1),MATCH('Model 2 - Permutations'!E69,Tbl_Wait_Wkday[#Headers],0)),INDEX(Tbl_Wait_Wkend[#All],MATCH('Model 2 - Permutations'!W69,Tbl_Wait_Wkend[[#All],[Time]],1),MATCH('Model 2 - Permutations'!E69,Tbl_Wait_Wkend[#Headers],0))))</f>
        <v>6.5972222222222224E-2</v>
      </c>
      <c r="Y69" s="117">
        <f>IF(X69="","",VLOOKUP(E69,Tbl_Ride[#Data],2,FALSE))</f>
        <v>3.4722222222222225E-3</v>
      </c>
      <c r="Z69" s="118">
        <f t="shared" si="9"/>
        <v>0.59791666666666665</v>
      </c>
      <c r="AA69" s="114">
        <f t="shared" si="10"/>
        <v>1</v>
      </c>
      <c r="AB69" s="115">
        <f>IF(AA69="","",IF($D$5="Average",INDEX(Tbl_Walk_Avg[#All],MATCH('Model 2 - Permutations'!E69,Tbl_Walk_Avg[[#All],[Ride]],0),MATCH('Model 2 - Permutations'!F69,Tbl_Walk_Avg[#Headers],0)),INDEX(Tbl_Walk_Leisure[#All],MATCH('Model 2 - Permutations'!E69,Tbl_Walk_Leisure[[#All],[Ride]],0),MATCH('Model 2 - Permutations'!F69,Tbl_Walk_Leisure[#Headers],0))))</f>
        <v>4.1666666666666666E-3</v>
      </c>
      <c r="AC69" s="113">
        <f t="shared" si="11"/>
        <v>0.68541666666666667</v>
      </c>
      <c r="AD69" s="116">
        <f>IF(AC69="","",IF($D$14="Weekday",INDEX(Tbl_Wait_Wkday[#All],MATCH('Model 2 - Permutations'!AC69,Tbl_Wait_Wkday[[#All],[Time]],1),MATCH('Model 2 - Permutations'!F69,Tbl_Wait_Wkday[#Headers],0)),INDEX(Tbl_Wait_Wkend[#All],MATCH('Model 2 - Permutations'!AC69,Tbl_Wait_Wkend[[#All],[Time]],1),MATCH('Model 2 - Permutations'!F69,Tbl_Wait_Wkend[#Headers],0))))</f>
        <v>2.7777777777777776E-2</v>
      </c>
      <c r="AE69" s="117">
        <f>IF(AD69="","",VLOOKUP(F69,Tbl_Ride[#Data],2,FALSE))</f>
        <v>2.0833333333333333E-3</v>
      </c>
      <c r="AF69" s="118">
        <f t="shared" si="12"/>
        <v>0.71527777777777779</v>
      </c>
      <c r="AG69" s="114">
        <f t="shared" si="13"/>
        <v>0</v>
      </c>
      <c r="AH69" s="115">
        <f>IF(AG69="","",IF($D$5="Average",INDEX(Tbl_Walk_Avg[#All],MATCH('Model 2 - Permutations'!F69,Tbl_Walk_Avg[[#All],[Ride]],0),MATCH('Model 2 - Permutations'!G69,Tbl_Walk_Avg[#Headers],0)),INDEX(Tbl_Walk_Leisure[#All],MATCH('Model 2 - Permutations'!F69,Tbl_Walk_Leisure[[#All],[Ride]],0),MATCH('Model 2 - Permutations'!G69,Tbl_Walk_Leisure[#Headers],0))))</f>
        <v>4.8611111111111112E-3</v>
      </c>
      <c r="AI69" s="113">
        <f t="shared" si="14"/>
        <v>0.72013888888888888</v>
      </c>
      <c r="AJ69" s="116">
        <f>IF(AI69="","",IF($D$14="Weekday",INDEX(Tbl_Wait_Wkday[#All],MATCH('Model 2 - Permutations'!AI69,Tbl_Wait_Wkday[[#All],[Time]],1),MATCH('Model 2 - Permutations'!G69,Tbl_Wait_Wkday[#Headers],0)),INDEX(Tbl_Wait_Wkend[#All],MATCH('Model 2 - Permutations'!AI69,Tbl_Wait_Wkend[[#All],[Time]],1),MATCH('Model 2 - Permutations'!G69,Tbl_Wait_Wkend[#Headers],0))))</f>
        <v>1.7361111111111112E-2</v>
      </c>
      <c r="AK69" s="117">
        <f>IF(AJ69="","",VLOOKUP(G69,Tbl_Ride[#Data],2,FALSE))</f>
        <v>6.9444444444444447E-4</v>
      </c>
      <c r="AL69" s="118">
        <f t="shared" si="15"/>
        <v>0.73819444444444449</v>
      </c>
      <c r="AM69" s="114">
        <f t="shared" si="16"/>
        <v>0</v>
      </c>
      <c r="AN69" s="115">
        <f>IF(AM69="","",IF($D$5="Average",INDEX(Tbl_Walk_Avg[#All],MATCH('Model 2 - Permutations'!G69,Tbl_Walk_Avg[[#All],[Ride]],0),MATCH('Model 2 - Permutations'!H69,Tbl_Walk_Avg[#Headers],0)),INDEX(Tbl_Walk_Leisure[#All],MATCH('Model 2 - Permutations'!G69,Tbl_Walk_Leisure[[#All],[Ride]],0),MATCH('Model 2 - Permutations'!H69,Tbl_Walk_Leisure[#Headers],0))))</f>
        <v>6.2500000000000003E-3</v>
      </c>
      <c r="AO69" s="113">
        <f t="shared" si="17"/>
        <v>0.74444444444444446</v>
      </c>
      <c r="AP69" s="116">
        <f>IF(AO69="","",IF($D$14="Weekday",INDEX(Tbl_Wait_Wkday[#All],MATCH('Model 2 - Permutations'!AO69,Tbl_Wait_Wkday[[#All],[Time]],1),MATCH('Model 2 - Permutations'!H69,Tbl_Wait_Wkday[#Headers],0)),INDEX(Tbl_Wait_Wkend[#All],MATCH('Model 2 - Permutations'!AO69,Tbl_Wait_Wkend[[#All],[Time]],1),MATCH('Model 2 - Permutations'!H69,Tbl_Wait_Wkend[#Headers],0))))</f>
        <v>2.4305555555555552E-2</v>
      </c>
      <c r="AQ69" s="117">
        <f>IF(AP69="","",VLOOKUP(H69,Tbl_Ride[#Data],2,FALSE))</f>
        <v>1.3888888888888889E-3</v>
      </c>
      <c r="AR69" s="118">
        <f t="shared" si="18"/>
        <v>0.77013888888888893</v>
      </c>
      <c r="AS69" s="119">
        <f t="shared" si="19"/>
        <v>2.5000000000000001E-2</v>
      </c>
      <c r="AT69" s="119">
        <f t="shared" si="20"/>
        <v>0.15277777777777779</v>
      </c>
      <c r="AU69" s="119">
        <f t="shared" si="21"/>
        <v>0.17777777777777778</v>
      </c>
    </row>
    <row r="70" spans="2:47">
      <c r="B70" s="111">
        <v>25</v>
      </c>
      <c r="C70" s="111" t="s">
        <v>66</v>
      </c>
      <c r="D70" s="112" t="str">
        <f t="shared" si="2"/>
        <v>Battlestart Galactica: Human</v>
      </c>
      <c r="E70" s="112" t="str">
        <f t="shared" si="2"/>
        <v>Battlestar Galactica: Cylon</v>
      </c>
      <c r="F70" s="112" t="str">
        <f t="shared" si="2"/>
        <v>Enchanted Airways</v>
      </c>
      <c r="G70" s="112" t="str">
        <f t="shared" si="2"/>
        <v>Revenge of the Mummy</v>
      </c>
      <c r="H70" s="112" t="str">
        <f t="shared" si="2"/>
        <v>Transformers The Ride</v>
      </c>
      <c r="I70" s="112">
        <v>2</v>
      </c>
      <c r="J70" s="112">
        <v>1</v>
      </c>
      <c r="K70" s="112">
        <v>3</v>
      </c>
      <c r="L70" s="112">
        <v>4</v>
      </c>
      <c r="M70" s="112">
        <v>5</v>
      </c>
      <c r="N70" s="113">
        <f t="shared" si="3"/>
        <v>0.5</v>
      </c>
      <c r="O70" s="114">
        <f t="shared" si="4"/>
        <v>0</v>
      </c>
      <c r="P70" s="115">
        <f>IF($D$5="Average",INDEX(Tbl_Walk_Avg[#All],MATCH('Model 2 - Permutations'!C70,Tbl_Walk_Avg[[#All],[Ride]],0),MATCH('Model 2 - Permutations'!D70,Tbl_Walk_Avg[#Headers],0)),INDEX(Tbl_Walk_Leisure[#All],MATCH('Model 2 - Permutations'!C70,Tbl_Walk_Leisure[[#All],[Ride]],0),MATCH('Model 2 - Permutations'!D70,Tbl_Walk_Leisure[#Headers],0)))</f>
        <v>6.9444444444444449E-3</v>
      </c>
      <c r="Q70" s="113">
        <f t="shared" si="5"/>
        <v>0.50694444444444442</v>
      </c>
      <c r="R70" s="116">
        <f>IF(Q70="","",IF($D$14="Weekday",INDEX(Tbl_Wait_Wkday[#All],MATCH('Model 2 - Permutations'!Q70,Tbl_Wait_Wkday[[#All],[Time]],1),MATCH('Model 2 - Permutations'!D70,Tbl_Wait_Wkday[#Headers],0)),INDEX(Tbl_Wait_Wkend[#All],MATCH('Model 2 - Permutations'!Q70,Tbl_Wait_Wkend[[#All],[Time]],1),MATCH('Model 2 - Permutations'!D70,Tbl_Wait_Wkend[#Headers],0))))</f>
        <v>2.4305555555555552E-2</v>
      </c>
      <c r="S70" s="117">
        <f>IF(R70="","",VLOOKUP(D70,Tbl_Ride[#Data],2,FALSE))</f>
        <v>1.3888888888888889E-3</v>
      </c>
      <c r="T70" s="118">
        <f t="shared" si="6"/>
        <v>0.53263888888888888</v>
      </c>
      <c r="U70" s="114">
        <f t="shared" si="7"/>
        <v>0</v>
      </c>
      <c r="V70" s="115">
        <f>IF(U70="","",IF($D$5="Average",INDEX(Tbl_Walk_Avg[#All],MATCH('Model 2 - Permutations'!D70,Tbl_Walk_Avg[[#All],[Ride]],0),MATCH('Model 2 - Permutations'!E70,Tbl_Walk_Avg[#Headers],0)),INDEX(Tbl_Walk_Leisure[#All],MATCH('Model 2 - Permutations'!D70,Tbl_Walk_Leisure[[#All],[Ride]],0),MATCH('Model 2 - Permutations'!E70,Tbl_Walk_Leisure[#Headers],0))))</f>
        <v>0</v>
      </c>
      <c r="W70" s="113">
        <f t="shared" si="8"/>
        <v>0.53263888888888888</v>
      </c>
      <c r="X70" s="116">
        <f>IF(W70="","",IF($D$14="Weekday",INDEX(Tbl_Wait_Wkday[#All],MATCH('Model 2 - Permutations'!W70,Tbl_Wait_Wkday[[#All],[Time]],1),MATCH('Model 2 - Permutations'!E70,Tbl_Wait_Wkday[#Headers],0)),INDEX(Tbl_Wait_Wkend[#All],MATCH('Model 2 - Permutations'!W70,Tbl_Wait_Wkend[[#All],[Time]],1),MATCH('Model 2 - Permutations'!E70,Tbl_Wait_Wkend[#Headers],0))))</f>
        <v>1.7361111111111112E-2</v>
      </c>
      <c r="Y70" s="117">
        <f>IF(X70="","",VLOOKUP(E70,Tbl_Ride[#Data],2,FALSE))</f>
        <v>1.3888888888888889E-3</v>
      </c>
      <c r="Z70" s="118">
        <f t="shared" si="9"/>
        <v>0.55138888888888893</v>
      </c>
      <c r="AA70" s="114">
        <f t="shared" si="10"/>
        <v>1</v>
      </c>
      <c r="AB70" s="115">
        <f>IF(AA70="","",IF($D$5="Average",INDEX(Tbl_Walk_Avg[#All],MATCH('Model 2 - Permutations'!E70,Tbl_Walk_Avg[[#All],[Ride]],0),MATCH('Model 2 - Permutations'!F70,Tbl_Walk_Avg[#Headers],0)),INDEX(Tbl_Walk_Leisure[#All],MATCH('Model 2 - Permutations'!E70,Tbl_Walk_Leisure[[#All],[Ride]],0),MATCH('Model 2 - Permutations'!F70,Tbl_Walk_Leisure[#Headers],0))))</f>
        <v>6.2500000000000003E-3</v>
      </c>
      <c r="AC70" s="113">
        <f t="shared" si="11"/>
        <v>0.64097222222222228</v>
      </c>
      <c r="AD70" s="116">
        <f>IF(AC70="","",IF($D$14="Weekday",INDEX(Tbl_Wait_Wkday[#All],MATCH('Model 2 - Permutations'!AC70,Tbl_Wait_Wkday[[#All],[Time]],1),MATCH('Model 2 - Permutations'!F70,Tbl_Wait_Wkday[#Headers],0)),INDEX(Tbl_Wait_Wkend[#All],MATCH('Model 2 - Permutations'!AC70,Tbl_Wait_Wkend[[#All],[Time]],1),MATCH('Model 2 - Permutations'!F70,Tbl_Wait_Wkend[#Headers],0))))</f>
        <v>1.3888888888888888E-2</v>
      </c>
      <c r="AE70" s="117">
        <f>IF(AD70="","",VLOOKUP(F70,Tbl_Ride[#Data],2,FALSE))</f>
        <v>6.9444444444444447E-4</v>
      </c>
      <c r="AF70" s="118">
        <f t="shared" si="12"/>
        <v>0.65555555555555556</v>
      </c>
      <c r="AG70" s="114">
        <f t="shared" si="13"/>
        <v>0</v>
      </c>
      <c r="AH70" s="115">
        <f>IF(AG70="","",IF($D$5="Average",INDEX(Tbl_Walk_Avg[#All],MATCH('Model 2 - Permutations'!F70,Tbl_Walk_Avg[[#All],[Ride]],0),MATCH('Model 2 - Permutations'!G70,Tbl_Walk_Avg[#Headers],0)),INDEX(Tbl_Walk_Leisure[#All],MATCH('Model 2 - Permutations'!F70,Tbl_Walk_Leisure[[#All],[Ride]],0),MATCH('Model 2 - Permutations'!G70,Tbl_Walk_Leisure[#Headers],0))))</f>
        <v>4.8611111111111112E-3</v>
      </c>
      <c r="AI70" s="113">
        <f t="shared" si="14"/>
        <v>0.66041666666666665</v>
      </c>
      <c r="AJ70" s="116">
        <f>IF(AI70="","",IF($D$14="Weekday",INDEX(Tbl_Wait_Wkday[#All],MATCH('Model 2 - Permutations'!AI70,Tbl_Wait_Wkday[[#All],[Time]],1),MATCH('Model 2 - Permutations'!G70,Tbl_Wait_Wkday[#Headers],0)),INDEX(Tbl_Wait_Wkend[#All],MATCH('Model 2 - Permutations'!AI70,Tbl_Wait_Wkend[[#All],[Time]],1),MATCH('Model 2 - Permutations'!G70,Tbl_Wait_Wkend[#Headers],0))))</f>
        <v>3.125E-2</v>
      </c>
      <c r="AK70" s="117">
        <f>IF(AJ70="","",VLOOKUP(G70,Tbl_Ride[#Data],2,FALSE))</f>
        <v>2.0833333333333333E-3</v>
      </c>
      <c r="AL70" s="118">
        <f t="shared" si="15"/>
        <v>0.69374999999999998</v>
      </c>
      <c r="AM70" s="114">
        <f t="shared" si="16"/>
        <v>0</v>
      </c>
      <c r="AN70" s="115">
        <f>IF(AM70="","",IF($D$5="Average",INDEX(Tbl_Walk_Avg[#All],MATCH('Model 2 - Permutations'!G70,Tbl_Walk_Avg[[#All],[Ride]],0),MATCH('Model 2 - Permutations'!H70,Tbl_Walk_Avg[#Headers],0)),INDEX(Tbl_Walk_Leisure[#All],MATCH('Model 2 - Permutations'!G70,Tbl_Walk_Leisure[[#All],[Ride]],0),MATCH('Model 2 - Permutations'!H70,Tbl_Walk_Leisure[#Headers],0))))</f>
        <v>4.1666666666666666E-3</v>
      </c>
      <c r="AO70" s="113">
        <f t="shared" si="17"/>
        <v>0.69791666666666663</v>
      </c>
      <c r="AP70" s="116">
        <f>IF(AO70="","",IF($D$14="Weekday",INDEX(Tbl_Wait_Wkday[#All],MATCH('Model 2 - Permutations'!AO70,Tbl_Wait_Wkday[[#All],[Time]],1),MATCH('Model 2 - Permutations'!H70,Tbl_Wait_Wkday[#Headers],0)),INDEX(Tbl_Wait_Wkend[#All],MATCH('Model 2 - Permutations'!AO70,Tbl_Wait_Wkend[[#All],[Time]],1),MATCH('Model 2 - Permutations'!H70,Tbl_Wait_Wkend[#Headers],0))))</f>
        <v>2.4305555555555552E-2</v>
      </c>
      <c r="AQ70" s="117">
        <f>IF(AP70="","",VLOOKUP(H70,Tbl_Ride[#Data],2,FALSE))</f>
        <v>3.4722222222222225E-3</v>
      </c>
      <c r="AR70" s="118">
        <f t="shared" si="18"/>
        <v>0.72569444444444442</v>
      </c>
      <c r="AS70" s="119">
        <f t="shared" si="19"/>
        <v>2.2222222222222223E-2</v>
      </c>
      <c r="AT70" s="119">
        <f t="shared" si="20"/>
        <v>0.1111111111111111</v>
      </c>
      <c r="AU70" s="119">
        <f t="shared" si="21"/>
        <v>0.13333333333333333</v>
      </c>
    </row>
    <row r="71" spans="2:47">
      <c r="B71" s="111">
        <v>26</v>
      </c>
      <c r="C71" s="111" t="s">
        <v>66</v>
      </c>
      <c r="D71" s="112" t="str">
        <f t="shared" si="2"/>
        <v>Battlestart Galactica: Human</v>
      </c>
      <c r="E71" s="112" t="str">
        <f t="shared" si="2"/>
        <v>Battlestar Galactica: Cylon</v>
      </c>
      <c r="F71" s="112" t="str">
        <f t="shared" si="2"/>
        <v>Enchanted Airways</v>
      </c>
      <c r="G71" s="112" t="str">
        <f t="shared" si="2"/>
        <v>Transformers The Ride</v>
      </c>
      <c r="H71" s="112" t="str">
        <f t="shared" si="2"/>
        <v>Revenge of the Mummy</v>
      </c>
      <c r="I71" s="112">
        <v>2</v>
      </c>
      <c r="J71" s="112">
        <v>1</v>
      </c>
      <c r="K71" s="112">
        <v>3</v>
      </c>
      <c r="L71" s="112">
        <v>5</v>
      </c>
      <c r="M71" s="112">
        <v>4</v>
      </c>
      <c r="N71" s="113">
        <f t="shared" si="3"/>
        <v>0.5</v>
      </c>
      <c r="O71" s="114">
        <f t="shared" si="4"/>
        <v>0</v>
      </c>
      <c r="P71" s="115">
        <f>IF($D$5="Average",INDEX(Tbl_Walk_Avg[#All],MATCH('Model 2 - Permutations'!C71,Tbl_Walk_Avg[[#All],[Ride]],0),MATCH('Model 2 - Permutations'!D71,Tbl_Walk_Avg[#Headers],0)),INDEX(Tbl_Walk_Leisure[#All],MATCH('Model 2 - Permutations'!C71,Tbl_Walk_Leisure[[#All],[Ride]],0),MATCH('Model 2 - Permutations'!D71,Tbl_Walk_Leisure[#Headers],0)))</f>
        <v>6.9444444444444449E-3</v>
      </c>
      <c r="Q71" s="113">
        <f t="shared" si="5"/>
        <v>0.50694444444444442</v>
      </c>
      <c r="R71" s="116">
        <f>IF(Q71="","",IF($D$14="Weekday",INDEX(Tbl_Wait_Wkday[#All],MATCH('Model 2 - Permutations'!Q71,Tbl_Wait_Wkday[[#All],[Time]],1),MATCH('Model 2 - Permutations'!D71,Tbl_Wait_Wkday[#Headers],0)),INDEX(Tbl_Wait_Wkend[#All],MATCH('Model 2 - Permutations'!Q71,Tbl_Wait_Wkend[[#All],[Time]],1),MATCH('Model 2 - Permutations'!D71,Tbl_Wait_Wkend[#Headers],0))))</f>
        <v>2.4305555555555552E-2</v>
      </c>
      <c r="S71" s="117">
        <f>IF(R71="","",VLOOKUP(D71,Tbl_Ride[#Data],2,FALSE))</f>
        <v>1.3888888888888889E-3</v>
      </c>
      <c r="T71" s="118">
        <f t="shared" si="6"/>
        <v>0.53263888888888888</v>
      </c>
      <c r="U71" s="114">
        <f t="shared" si="7"/>
        <v>0</v>
      </c>
      <c r="V71" s="115">
        <f>IF(U71="","",IF($D$5="Average",INDEX(Tbl_Walk_Avg[#All],MATCH('Model 2 - Permutations'!D71,Tbl_Walk_Avg[[#All],[Ride]],0),MATCH('Model 2 - Permutations'!E71,Tbl_Walk_Avg[#Headers],0)),INDEX(Tbl_Walk_Leisure[#All],MATCH('Model 2 - Permutations'!D71,Tbl_Walk_Leisure[[#All],[Ride]],0),MATCH('Model 2 - Permutations'!E71,Tbl_Walk_Leisure[#Headers],0))))</f>
        <v>0</v>
      </c>
      <c r="W71" s="113">
        <f t="shared" si="8"/>
        <v>0.53263888888888888</v>
      </c>
      <c r="X71" s="116">
        <f>IF(W71="","",IF($D$14="Weekday",INDEX(Tbl_Wait_Wkday[#All],MATCH('Model 2 - Permutations'!W71,Tbl_Wait_Wkday[[#All],[Time]],1),MATCH('Model 2 - Permutations'!E71,Tbl_Wait_Wkday[#Headers],0)),INDEX(Tbl_Wait_Wkend[#All],MATCH('Model 2 - Permutations'!W71,Tbl_Wait_Wkend[[#All],[Time]],1),MATCH('Model 2 - Permutations'!E71,Tbl_Wait_Wkend[#Headers],0))))</f>
        <v>1.7361111111111112E-2</v>
      </c>
      <c r="Y71" s="117">
        <f>IF(X71="","",VLOOKUP(E71,Tbl_Ride[#Data],2,FALSE))</f>
        <v>1.3888888888888889E-3</v>
      </c>
      <c r="Z71" s="118">
        <f t="shared" si="9"/>
        <v>0.55138888888888893</v>
      </c>
      <c r="AA71" s="114">
        <f t="shared" si="10"/>
        <v>1</v>
      </c>
      <c r="AB71" s="115">
        <f>IF(AA71="","",IF($D$5="Average",INDEX(Tbl_Walk_Avg[#All],MATCH('Model 2 - Permutations'!E71,Tbl_Walk_Avg[[#All],[Ride]],0),MATCH('Model 2 - Permutations'!F71,Tbl_Walk_Avg[#Headers],0)),INDEX(Tbl_Walk_Leisure[#All],MATCH('Model 2 - Permutations'!E71,Tbl_Walk_Leisure[[#All],[Ride]],0),MATCH('Model 2 - Permutations'!F71,Tbl_Walk_Leisure[#Headers],0))))</f>
        <v>6.2500000000000003E-3</v>
      </c>
      <c r="AC71" s="113">
        <f t="shared" si="11"/>
        <v>0.64097222222222228</v>
      </c>
      <c r="AD71" s="116">
        <f>IF(AC71="","",IF($D$14="Weekday",INDEX(Tbl_Wait_Wkday[#All],MATCH('Model 2 - Permutations'!AC71,Tbl_Wait_Wkday[[#All],[Time]],1),MATCH('Model 2 - Permutations'!F71,Tbl_Wait_Wkday[#Headers],0)),INDEX(Tbl_Wait_Wkend[#All],MATCH('Model 2 - Permutations'!AC71,Tbl_Wait_Wkend[[#All],[Time]],1),MATCH('Model 2 - Permutations'!F71,Tbl_Wait_Wkend[#Headers],0))))</f>
        <v>1.3888888888888888E-2</v>
      </c>
      <c r="AE71" s="117">
        <f>IF(AD71="","",VLOOKUP(F71,Tbl_Ride[#Data],2,FALSE))</f>
        <v>6.9444444444444447E-4</v>
      </c>
      <c r="AF71" s="118">
        <f t="shared" si="12"/>
        <v>0.65555555555555556</v>
      </c>
      <c r="AG71" s="114">
        <f t="shared" si="13"/>
        <v>0</v>
      </c>
      <c r="AH71" s="115">
        <f>IF(AG71="","",IF($D$5="Average",INDEX(Tbl_Walk_Avg[#All],MATCH('Model 2 - Permutations'!F71,Tbl_Walk_Avg[[#All],[Ride]],0),MATCH('Model 2 - Permutations'!G71,Tbl_Walk_Avg[#Headers],0)),INDEX(Tbl_Walk_Leisure[#All],MATCH('Model 2 - Permutations'!F71,Tbl_Walk_Leisure[[#All],[Ride]],0),MATCH('Model 2 - Permutations'!G71,Tbl_Walk_Leisure[#Headers],0))))</f>
        <v>6.2500000000000003E-3</v>
      </c>
      <c r="AI71" s="113">
        <f t="shared" si="14"/>
        <v>0.66180555555555554</v>
      </c>
      <c r="AJ71" s="116">
        <f>IF(AI71="","",IF($D$14="Weekday",INDEX(Tbl_Wait_Wkday[#All],MATCH('Model 2 - Permutations'!AI71,Tbl_Wait_Wkday[[#All],[Time]],1),MATCH('Model 2 - Permutations'!G71,Tbl_Wait_Wkday[#Headers],0)),INDEX(Tbl_Wait_Wkend[#All],MATCH('Model 2 - Permutations'!AI71,Tbl_Wait_Wkend[[#All],[Time]],1),MATCH('Model 2 - Permutations'!G71,Tbl_Wait_Wkend[#Headers],0))))</f>
        <v>2.4305555555555552E-2</v>
      </c>
      <c r="AK71" s="117">
        <f>IF(AJ71="","",VLOOKUP(G71,Tbl_Ride[#Data],2,FALSE))</f>
        <v>3.4722222222222225E-3</v>
      </c>
      <c r="AL71" s="118">
        <f t="shared" si="15"/>
        <v>0.68958333333333333</v>
      </c>
      <c r="AM71" s="114">
        <f t="shared" si="16"/>
        <v>0</v>
      </c>
      <c r="AN71" s="115">
        <f>IF(AM71="","",IF($D$5="Average",INDEX(Tbl_Walk_Avg[#All],MATCH('Model 2 - Permutations'!G71,Tbl_Walk_Avg[[#All],[Ride]],0),MATCH('Model 2 - Permutations'!H71,Tbl_Walk_Avg[#Headers],0)),INDEX(Tbl_Walk_Leisure[#All],MATCH('Model 2 - Permutations'!G71,Tbl_Walk_Leisure[[#All],[Ride]],0),MATCH('Model 2 - Permutations'!H71,Tbl_Walk_Leisure[#Headers],0))))</f>
        <v>4.1666666666666666E-3</v>
      </c>
      <c r="AO71" s="113">
        <f t="shared" si="17"/>
        <v>0.69374999999999998</v>
      </c>
      <c r="AP71" s="116">
        <f>IF(AO71="","",IF($D$14="Weekday",INDEX(Tbl_Wait_Wkday[#All],MATCH('Model 2 - Permutations'!AO71,Tbl_Wait_Wkday[[#All],[Time]],1),MATCH('Model 2 - Permutations'!H71,Tbl_Wait_Wkday[#Headers],0)),INDEX(Tbl_Wait_Wkend[#All],MATCH('Model 2 - Permutations'!AO71,Tbl_Wait_Wkend[[#All],[Time]],1),MATCH('Model 2 - Permutations'!H71,Tbl_Wait_Wkend[#Headers],0))))</f>
        <v>2.7777777777777776E-2</v>
      </c>
      <c r="AQ71" s="117">
        <f>IF(AP71="","",VLOOKUP(H71,Tbl_Ride[#Data],2,FALSE))</f>
        <v>2.0833333333333333E-3</v>
      </c>
      <c r="AR71" s="118">
        <f t="shared" si="18"/>
        <v>0.72361111111111109</v>
      </c>
      <c r="AS71" s="119">
        <f t="shared" si="19"/>
        <v>2.361111111111111E-2</v>
      </c>
      <c r="AT71" s="119">
        <f t="shared" si="20"/>
        <v>0.10763888888888888</v>
      </c>
      <c r="AU71" s="119">
        <f t="shared" si="21"/>
        <v>0.13124999999999998</v>
      </c>
    </row>
    <row r="72" spans="2:47">
      <c r="B72" s="111">
        <v>27</v>
      </c>
      <c r="C72" s="111" t="s">
        <v>66</v>
      </c>
      <c r="D72" s="112" t="str">
        <f t="shared" si="2"/>
        <v>Battlestart Galactica: Human</v>
      </c>
      <c r="E72" s="112" t="str">
        <f t="shared" si="2"/>
        <v>Battlestar Galactica: Cylon</v>
      </c>
      <c r="F72" s="112" t="str">
        <f t="shared" si="2"/>
        <v>Revenge of the Mummy</v>
      </c>
      <c r="G72" s="112" t="str">
        <f t="shared" si="2"/>
        <v>Enchanted Airways</v>
      </c>
      <c r="H72" s="112" t="str">
        <f t="shared" si="2"/>
        <v>Transformers The Ride</v>
      </c>
      <c r="I72" s="112">
        <v>2</v>
      </c>
      <c r="J72" s="112">
        <v>1</v>
      </c>
      <c r="K72" s="112">
        <v>4</v>
      </c>
      <c r="L72" s="112">
        <v>3</v>
      </c>
      <c r="M72" s="112">
        <v>5</v>
      </c>
      <c r="N72" s="113">
        <f t="shared" si="3"/>
        <v>0.5</v>
      </c>
      <c r="O72" s="114">
        <f t="shared" si="4"/>
        <v>0</v>
      </c>
      <c r="P72" s="115">
        <f>IF($D$5="Average",INDEX(Tbl_Walk_Avg[#All],MATCH('Model 2 - Permutations'!C72,Tbl_Walk_Avg[[#All],[Ride]],0),MATCH('Model 2 - Permutations'!D72,Tbl_Walk_Avg[#Headers],0)),INDEX(Tbl_Walk_Leisure[#All],MATCH('Model 2 - Permutations'!C72,Tbl_Walk_Leisure[[#All],[Ride]],0),MATCH('Model 2 - Permutations'!D72,Tbl_Walk_Leisure[#Headers],0)))</f>
        <v>6.9444444444444449E-3</v>
      </c>
      <c r="Q72" s="113">
        <f t="shared" si="5"/>
        <v>0.50694444444444442</v>
      </c>
      <c r="R72" s="116">
        <f>IF(Q72="","",IF($D$14="Weekday",INDEX(Tbl_Wait_Wkday[#All],MATCH('Model 2 - Permutations'!Q72,Tbl_Wait_Wkday[[#All],[Time]],1),MATCH('Model 2 - Permutations'!D72,Tbl_Wait_Wkday[#Headers],0)),INDEX(Tbl_Wait_Wkend[#All],MATCH('Model 2 - Permutations'!Q72,Tbl_Wait_Wkend[[#All],[Time]],1),MATCH('Model 2 - Permutations'!D72,Tbl_Wait_Wkend[#Headers],0))))</f>
        <v>2.4305555555555552E-2</v>
      </c>
      <c r="S72" s="117">
        <f>IF(R72="","",VLOOKUP(D72,Tbl_Ride[#Data],2,FALSE))</f>
        <v>1.3888888888888889E-3</v>
      </c>
      <c r="T72" s="118">
        <f t="shared" si="6"/>
        <v>0.53263888888888888</v>
      </c>
      <c r="U72" s="114">
        <f t="shared" si="7"/>
        <v>0</v>
      </c>
      <c r="V72" s="115">
        <f>IF(U72="","",IF($D$5="Average",INDEX(Tbl_Walk_Avg[#All],MATCH('Model 2 - Permutations'!D72,Tbl_Walk_Avg[[#All],[Ride]],0),MATCH('Model 2 - Permutations'!E72,Tbl_Walk_Avg[#Headers],0)),INDEX(Tbl_Walk_Leisure[#All],MATCH('Model 2 - Permutations'!D72,Tbl_Walk_Leisure[[#All],[Ride]],0),MATCH('Model 2 - Permutations'!E72,Tbl_Walk_Leisure[#Headers],0))))</f>
        <v>0</v>
      </c>
      <c r="W72" s="113">
        <f t="shared" si="8"/>
        <v>0.53263888888888888</v>
      </c>
      <c r="X72" s="116">
        <f>IF(W72="","",IF($D$14="Weekday",INDEX(Tbl_Wait_Wkday[#All],MATCH('Model 2 - Permutations'!W72,Tbl_Wait_Wkday[[#All],[Time]],1),MATCH('Model 2 - Permutations'!E72,Tbl_Wait_Wkday[#Headers],0)),INDEX(Tbl_Wait_Wkend[#All],MATCH('Model 2 - Permutations'!W72,Tbl_Wait_Wkend[[#All],[Time]],1),MATCH('Model 2 - Permutations'!E72,Tbl_Wait_Wkend[#Headers],0))))</f>
        <v>1.7361111111111112E-2</v>
      </c>
      <c r="Y72" s="117">
        <f>IF(X72="","",VLOOKUP(E72,Tbl_Ride[#Data],2,FALSE))</f>
        <v>1.3888888888888889E-3</v>
      </c>
      <c r="Z72" s="118">
        <f t="shared" si="9"/>
        <v>0.55138888888888893</v>
      </c>
      <c r="AA72" s="114">
        <f t="shared" si="10"/>
        <v>1</v>
      </c>
      <c r="AB72" s="115">
        <f>IF(AA72="","",IF($D$5="Average",INDEX(Tbl_Walk_Avg[#All],MATCH('Model 2 - Permutations'!E72,Tbl_Walk_Avg[[#All],[Ride]],0),MATCH('Model 2 - Permutations'!F72,Tbl_Walk_Avg[#Headers],0)),INDEX(Tbl_Walk_Leisure[#All],MATCH('Model 2 - Permutations'!E72,Tbl_Walk_Leisure[[#All],[Ride]],0),MATCH('Model 2 - Permutations'!F72,Tbl_Walk_Leisure[#Headers],0))))</f>
        <v>2.7777777777777779E-3</v>
      </c>
      <c r="AC72" s="113">
        <f t="shared" si="11"/>
        <v>0.63750000000000007</v>
      </c>
      <c r="AD72" s="116">
        <f>IF(AC72="","",IF($D$14="Weekday",INDEX(Tbl_Wait_Wkday[#All],MATCH('Model 2 - Permutations'!AC72,Tbl_Wait_Wkday[[#All],[Time]],1),MATCH('Model 2 - Permutations'!F72,Tbl_Wait_Wkday[#Headers],0)),INDEX(Tbl_Wait_Wkend[#All],MATCH('Model 2 - Permutations'!AC72,Tbl_Wait_Wkend[[#All],[Time]],1),MATCH('Model 2 - Permutations'!F72,Tbl_Wait_Wkend[#Headers],0))))</f>
        <v>3.125E-2</v>
      </c>
      <c r="AE72" s="117">
        <f>IF(AD72="","",VLOOKUP(F72,Tbl_Ride[#Data],2,FALSE))</f>
        <v>2.0833333333333333E-3</v>
      </c>
      <c r="AF72" s="118">
        <f t="shared" si="12"/>
        <v>0.67083333333333339</v>
      </c>
      <c r="AG72" s="114">
        <f t="shared" si="13"/>
        <v>0</v>
      </c>
      <c r="AH72" s="115">
        <f>IF(AG72="","",IF($D$5="Average",INDEX(Tbl_Walk_Avg[#All],MATCH('Model 2 - Permutations'!F72,Tbl_Walk_Avg[[#All],[Ride]],0),MATCH('Model 2 - Permutations'!G72,Tbl_Walk_Avg[#Headers],0)),INDEX(Tbl_Walk_Leisure[#All],MATCH('Model 2 - Permutations'!F72,Tbl_Walk_Leisure[[#All],[Ride]],0),MATCH('Model 2 - Permutations'!G72,Tbl_Walk_Leisure[#Headers],0))))</f>
        <v>4.8611111111111112E-3</v>
      </c>
      <c r="AI72" s="113">
        <f t="shared" si="14"/>
        <v>0.67569444444444449</v>
      </c>
      <c r="AJ72" s="116">
        <f>IF(AI72="","",IF($D$14="Weekday",INDEX(Tbl_Wait_Wkday[#All],MATCH('Model 2 - Permutations'!AI72,Tbl_Wait_Wkday[[#All],[Time]],1),MATCH('Model 2 - Permutations'!G72,Tbl_Wait_Wkday[#Headers],0)),INDEX(Tbl_Wait_Wkend[#All],MATCH('Model 2 - Permutations'!AI72,Tbl_Wait_Wkend[[#All],[Time]],1),MATCH('Model 2 - Permutations'!G72,Tbl_Wait_Wkend[#Headers],0))))</f>
        <v>1.7361111111111112E-2</v>
      </c>
      <c r="AK72" s="117">
        <f>IF(AJ72="","",VLOOKUP(G72,Tbl_Ride[#Data],2,FALSE))</f>
        <v>6.9444444444444447E-4</v>
      </c>
      <c r="AL72" s="118">
        <f t="shared" si="15"/>
        <v>0.69375000000000009</v>
      </c>
      <c r="AM72" s="114">
        <f t="shared" si="16"/>
        <v>0</v>
      </c>
      <c r="AN72" s="115">
        <f>IF(AM72="","",IF($D$5="Average",INDEX(Tbl_Walk_Avg[#All],MATCH('Model 2 - Permutations'!G72,Tbl_Walk_Avg[[#All],[Ride]],0),MATCH('Model 2 - Permutations'!H72,Tbl_Walk_Avg[#Headers],0)),INDEX(Tbl_Walk_Leisure[#All],MATCH('Model 2 - Permutations'!G72,Tbl_Walk_Leisure[[#All],[Ride]],0),MATCH('Model 2 - Permutations'!H72,Tbl_Walk_Leisure[#Headers],0))))</f>
        <v>6.2500000000000003E-3</v>
      </c>
      <c r="AO72" s="113">
        <f t="shared" si="17"/>
        <v>0.70000000000000007</v>
      </c>
      <c r="AP72" s="116">
        <f>IF(AO72="","",IF($D$14="Weekday",INDEX(Tbl_Wait_Wkday[#All],MATCH('Model 2 - Permutations'!AO72,Tbl_Wait_Wkday[[#All],[Time]],1),MATCH('Model 2 - Permutations'!H72,Tbl_Wait_Wkday[#Headers],0)),INDEX(Tbl_Wait_Wkend[#All],MATCH('Model 2 - Permutations'!AO72,Tbl_Wait_Wkend[[#All],[Time]],1),MATCH('Model 2 - Permutations'!H72,Tbl_Wait_Wkend[#Headers],0))))</f>
        <v>2.4305555555555552E-2</v>
      </c>
      <c r="AQ72" s="117">
        <f>IF(AP72="","",VLOOKUP(H72,Tbl_Ride[#Data],2,FALSE))</f>
        <v>3.4722222222222225E-3</v>
      </c>
      <c r="AR72" s="118">
        <f t="shared" si="18"/>
        <v>0.72777777777777786</v>
      </c>
      <c r="AS72" s="119">
        <f t="shared" si="19"/>
        <v>2.0833333333333336E-2</v>
      </c>
      <c r="AT72" s="119">
        <f t="shared" si="20"/>
        <v>0.11458333333333331</v>
      </c>
      <c r="AU72" s="119">
        <f t="shared" si="21"/>
        <v>0.13541666666666666</v>
      </c>
    </row>
    <row r="73" spans="2:47">
      <c r="B73" s="111">
        <v>28</v>
      </c>
      <c r="C73" s="111" t="s">
        <v>66</v>
      </c>
      <c r="D73" s="112" t="str">
        <f t="shared" si="2"/>
        <v>Battlestart Galactica: Human</v>
      </c>
      <c r="E73" s="112" t="str">
        <f t="shared" si="2"/>
        <v>Battlestar Galactica: Cylon</v>
      </c>
      <c r="F73" s="112" t="str">
        <f t="shared" si="2"/>
        <v>Revenge of the Mummy</v>
      </c>
      <c r="G73" s="112" t="str">
        <f t="shared" si="2"/>
        <v>Transformers The Ride</v>
      </c>
      <c r="H73" s="112" t="str">
        <f t="shared" si="2"/>
        <v>Enchanted Airways</v>
      </c>
      <c r="I73" s="112">
        <v>2</v>
      </c>
      <c r="J73" s="112">
        <v>1</v>
      </c>
      <c r="K73" s="112">
        <v>4</v>
      </c>
      <c r="L73" s="112">
        <v>5</v>
      </c>
      <c r="M73" s="112">
        <v>3</v>
      </c>
      <c r="N73" s="113">
        <f t="shared" si="3"/>
        <v>0.5</v>
      </c>
      <c r="O73" s="114">
        <f t="shared" si="4"/>
        <v>0</v>
      </c>
      <c r="P73" s="115">
        <f>IF($D$5="Average",INDEX(Tbl_Walk_Avg[#All],MATCH('Model 2 - Permutations'!C73,Tbl_Walk_Avg[[#All],[Ride]],0),MATCH('Model 2 - Permutations'!D73,Tbl_Walk_Avg[#Headers],0)),INDEX(Tbl_Walk_Leisure[#All],MATCH('Model 2 - Permutations'!C73,Tbl_Walk_Leisure[[#All],[Ride]],0),MATCH('Model 2 - Permutations'!D73,Tbl_Walk_Leisure[#Headers],0)))</f>
        <v>6.9444444444444449E-3</v>
      </c>
      <c r="Q73" s="113">
        <f t="shared" si="5"/>
        <v>0.50694444444444442</v>
      </c>
      <c r="R73" s="116">
        <f>IF(Q73="","",IF($D$14="Weekday",INDEX(Tbl_Wait_Wkday[#All],MATCH('Model 2 - Permutations'!Q73,Tbl_Wait_Wkday[[#All],[Time]],1),MATCH('Model 2 - Permutations'!D73,Tbl_Wait_Wkday[#Headers],0)),INDEX(Tbl_Wait_Wkend[#All],MATCH('Model 2 - Permutations'!Q73,Tbl_Wait_Wkend[[#All],[Time]],1),MATCH('Model 2 - Permutations'!D73,Tbl_Wait_Wkend[#Headers],0))))</f>
        <v>2.4305555555555552E-2</v>
      </c>
      <c r="S73" s="117">
        <f>IF(R73="","",VLOOKUP(D73,Tbl_Ride[#Data],2,FALSE))</f>
        <v>1.3888888888888889E-3</v>
      </c>
      <c r="T73" s="118">
        <f t="shared" si="6"/>
        <v>0.53263888888888888</v>
      </c>
      <c r="U73" s="114">
        <f t="shared" si="7"/>
        <v>0</v>
      </c>
      <c r="V73" s="115">
        <f>IF(U73="","",IF($D$5="Average",INDEX(Tbl_Walk_Avg[#All],MATCH('Model 2 - Permutations'!D73,Tbl_Walk_Avg[[#All],[Ride]],0),MATCH('Model 2 - Permutations'!E73,Tbl_Walk_Avg[#Headers],0)),INDEX(Tbl_Walk_Leisure[#All],MATCH('Model 2 - Permutations'!D73,Tbl_Walk_Leisure[[#All],[Ride]],0),MATCH('Model 2 - Permutations'!E73,Tbl_Walk_Leisure[#Headers],0))))</f>
        <v>0</v>
      </c>
      <c r="W73" s="113">
        <f t="shared" si="8"/>
        <v>0.53263888888888888</v>
      </c>
      <c r="X73" s="116">
        <f>IF(W73="","",IF($D$14="Weekday",INDEX(Tbl_Wait_Wkday[#All],MATCH('Model 2 - Permutations'!W73,Tbl_Wait_Wkday[[#All],[Time]],1),MATCH('Model 2 - Permutations'!E73,Tbl_Wait_Wkday[#Headers],0)),INDEX(Tbl_Wait_Wkend[#All],MATCH('Model 2 - Permutations'!W73,Tbl_Wait_Wkend[[#All],[Time]],1),MATCH('Model 2 - Permutations'!E73,Tbl_Wait_Wkend[#Headers],0))))</f>
        <v>1.7361111111111112E-2</v>
      </c>
      <c r="Y73" s="117">
        <f>IF(X73="","",VLOOKUP(E73,Tbl_Ride[#Data],2,FALSE))</f>
        <v>1.3888888888888889E-3</v>
      </c>
      <c r="Z73" s="118">
        <f t="shared" si="9"/>
        <v>0.55138888888888893</v>
      </c>
      <c r="AA73" s="114">
        <f t="shared" si="10"/>
        <v>1</v>
      </c>
      <c r="AB73" s="115">
        <f>IF(AA73="","",IF($D$5="Average",INDEX(Tbl_Walk_Avg[#All],MATCH('Model 2 - Permutations'!E73,Tbl_Walk_Avg[[#All],[Ride]],0),MATCH('Model 2 - Permutations'!F73,Tbl_Walk_Avg[#Headers],0)),INDEX(Tbl_Walk_Leisure[#All],MATCH('Model 2 - Permutations'!E73,Tbl_Walk_Leisure[[#All],[Ride]],0),MATCH('Model 2 - Permutations'!F73,Tbl_Walk_Leisure[#Headers],0))))</f>
        <v>2.7777777777777779E-3</v>
      </c>
      <c r="AC73" s="113">
        <f t="shared" si="11"/>
        <v>0.63750000000000007</v>
      </c>
      <c r="AD73" s="116">
        <f>IF(AC73="","",IF($D$14="Weekday",INDEX(Tbl_Wait_Wkday[#All],MATCH('Model 2 - Permutations'!AC73,Tbl_Wait_Wkday[[#All],[Time]],1),MATCH('Model 2 - Permutations'!F73,Tbl_Wait_Wkday[#Headers],0)),INDEX(Tbl_Wait_Wkend[#All],MATCH('Model 2 - Permutations'!AC73,Tbl_Wait_Wkend[[#All],[Time]],1),MATCH('Model 2 - Permutations'!F73,Tbl_Wait_Wkend[#Headers],0))))</f>
        <v>3.125E-2</v>
      </c>
      <c r="AE73" s="117">
        <f>IF(AD73="","",VLOOKUP(F73,Tbl_Ride[#Data],2,FALSE))</f>
        <v>2.0833333333333333E-3</v>
      </c>
      <c r="AF73" s="118">
        <f t="shared" si="12"/>
        <v>0.67083333333333339</v>
      </c>
      <c r="AG73" s="114">
        <f t="shared" si="13"/>
        <v>0</v>
      </c>
      <c r="AH73" s="115">
        <f>IF(AG73="","",IF($D$5="Average",INDEX(Tbl_Walk_Avg[#All],MATCH('Model 2 - Permutations'!F73,Tbl_Walk_Avg[[#All],[Ride]],0),MATCH('Model 2 - Permutations'!G73,Tbl_Walk_Avg[#Headers],0)),INDEX(Tbl_Walk_Leisure[#All],MATCH('Model 2 - Permutations'!F73,Tbl_Walk_Leisure[[#All],[Ride]],0),MATCH('Model 2 - Permutations'!G73,Tbl_Walk_Leisure[#Headers],0))))</f>
        <v>4.1666666666666666E-3</v>
      </c>
      <c r="AI73" s="113">
        <f t="shared" si="14"/>
        <v>0.67500000000000004</v>
      </c>
      <c r="AJ73" s="116">
        <f>IF(AI73="","",IF($D$14="Weekday",INDEX(Tbl_Wait_Wkday[#All],MATCH('Model 2 - Permutations'!AI73,Tbl_Wait_Wkday[[#All],[Time]],1),MATCH('Model 2 - Permutations'!G73,Tbl_Wait_Wkday[#Headers],0)),INDEX(Tbl_Wait_Wkend[#All],MATCH('Model 2 - Permutations'!AI73,Tbl_Wait_Wkend[[#All],[Time]],1),MATCH('Model 2 - Permutations'!G73,Tbl_Wait_Wkend[#Headers],0))))</f>
        <v>2.4305555555555552E-2</v>
      </c>
      <c r="AK73" s="117">
        <f>IF(AJ73="","",VLOOKUP(G73,Tbl_Ride[#Data],2,FALSE))</f>
        <v>3.4722222222222225E-3</v>
      </c>
      <c r="AL73" s="118">
        <f t="shared" si="15"/>
        <v>0.70277777777777783</v>
      </c>
      <c r="AM73" s="114">
        <f t="shared" si="16"/>
        <v>0</v>
      </c>
      <c r="AN73" s="115">
        <f>IF(AM73="","",IF($D$5="Average",INDEX(Tbl_Walk_Avg[#All],MATCH('Model 2 - Permutations'!G73,Tbl_Walk_Avg[[#All],[Ride]],0),MATCH('Model 2 - Permutations'!H73,Tbl_Walk_Avg[#Headers],0)),INDEX(Tbl_Walk_Leisure[#All],MATCH('Model 2 - Permutations'!G73,Tbl_Walk_Leisure[[#All],[Ride]],0),MATCH('Model 2 - Permutations'!H73,Tbl_Walk_Leisure[#Headers],0))))</f>
        <v>6.2500000000000003E-3</v>
      </c>
      <c r="AO73" s="113">
        <f t="shared" si="17"/>
        <v>0.70902777777777781</v>
      </c>
      <c r="AP73" s="116">
        <f>IF(AO73="","",IF($D$14="Weekday",INDEX(Tbl_Wait_Wkday[#All],MATCH('Model 2 - Permutations'!AO73,Tbl_Wait_Wkday[[#All],[Time]],1),MATCH('Model 2 - Permutations'!H73,Tbl_Wait_Wkday[#Headers],0)),INDEX(Tbl_Wait_Wkend[#All],MATCH('Model 2 - Permutations'!AO73,Tbl_Wait_Wkend[[#All],[Time]],1),MATCH('Model 2 - Permutations'!H73,Tbl_Wait_Wkend[#Headers],0))))</f>
        <v>1.7361111111111112E-2</v>
      </c>
      <c r="AQ73" s="117">
        <f>IF(AP73="","",VLOOKUP(H73,Tbl_Ride[#Data],2,FALSE))</f>
        <v>6.9444444444444447E-4</v>
      </c>
      <c r="AR73" s="118">
        <f t="shared" si="18"/>
        <v>0.72708333333333341</v>
      </c>
      <c r="AS73" s="119">
        <f t="shared" si="19"/>
        <v>2.0138888888888887E-2</v>
      </c>
      <c r="AT73" s="119">
        <f t="shared" si="20"/>
        <v>0.11458333333333331</v>
      </c>
      <c r="AU73" s="119">
        <f t="shared" si="21"/>
        <v>0.13472222222222219</v>
      </c>
    </row>
    <row r="74" spans="2:47">
      <c r="B74" s="111">
        <v>29</v>
      </c>
      <c r="C74" s="111" t="s">
        <v>66</v>
      </c>
      <c r="D74" s="112" t="str">
        <f t="shared" si="2"/>
        <v>Battlestart Galactica: Human</v>
      </c>
      <c r="E74" s="112" t="str">
        <f t="shared" si="2"/>
        <v>Battlestar Galactica: Cylon</v>
      </c>
      <c r="F74" s="112" t="str">
        <f t="shared" si="2"/>
        <v>Transformers The Ride</v>
      </c>
      <c r="G74" s="112" t="str">
        <f t="shared" si="2"/>
        <v>Enchanted Airways</v>
      </c>
      <c r="H74" s="112" t="str">
        <f t="shared" si="2"/>
        <v>Revenge of the Mummy</v>
      </c>
      <c r="I74" s="112">
        <v>2</v>
      </c>
      <c r="J74" s="112">
        <v>1</v>
      </c>
      <c r="K74" s="112">
        <v>5</v>
      </c>
      <c r="L74" s="112">
        <v>3</v>
      </c>
      <c r="M74" s="112">
        <v>4</v>
      </c>
      <c r="N74" s="113">
        <f t="shared" si="3"/>
        <v>0.5</v>
      </c>
      <c r="O74" s="114">
        <f t="shared" si="4"/>
        <v>0</v>
      </c>
      <c r="P74" s="115">
        <f>IF($D$5="Average",INDEX(Tbl_Walk_Avg[#All],MATCH('Model 2 - Permutations'!C74,Tbl_Walk_Avg[[#All],[Ride]],0),MATCH('Model 2 - Permutations'!D74,Tbl_Walk_Avg[#Headers],0)),INDEX(Tbl_Walk_Leisure[#All],MATCH('Model 2 - Permutations'!C74,Tbl_Walk_Leisure[[#All],[Ride]],0),MATCH('Model 2 - Permutations'!D74,Tbl_Walk_Leisure[#Headers],0)))</f>
        <v>6.9444444444444449E-3</v>
      </c>
      <c r="Q74" s="113">
        <f t="shared" si="5"/>
        <v>0.50694444444444442</v>
      </c>
      <c r="R74" s="116">
        <f>IF(Q74="","",IF($D$14="Weekday",INDEX(Tbl_Wait_Wkday[#All],MATCH('Model 2 - Permutations'!Q74,Tbl_Wait_Wkday[[#All],[Time]],1),MATCH('Model 2 - Permutations'!D74,Tbl_Wait_Wkday[#Headers],0)),INDEX(Tbl_Wait_Wkend[#All],MATCH('Model 2 - Permutations'!Q74,Tbl_Wait_Wkend[[#All],[Time]],1),MATCH('Model 2 - Permutations'!D74,Tbl_Wait_Wkend[#Headers],0))))</f>
        <v>2.4305555555555552E-2</v>
      </c>
      <c r="S74" s="117">
        <f>IF(R74="","",VLOOKUP(D74,Tbl_Ride[#Data],2,FALSE))</f>
        <v>1.3888888888888889E-3</v>
      </c>
      <c r="T74" s="118">
        <f t="shared" si="6"/>
        <v>0.53263888888888888</v>
      </c>
      <c r="U74" s="114">
        <f t="shared" si="7"/>
        <v>0</v>
      </c>
      <c r="V74" s="115">
        <f>IF(U74="","",IF($D$5="Average",INDEX(Tbl_Walk_Avg[#All],MATCH('Model 2 - Permutations'!D74,Tbl_Walk_Avg[[#All],[Ride]],0),MATCH('Model 2 - Permutations'!E74,Tbl_Walk_Avg[#Headers],0)),INDEX(Tbl_Walk_Leisure[#All],MATCH('Model 2 - Permutations'!D74,Tbl_Walk_Leisure[[#All],[Ride]],0),MATCH('Model 2 - Permutations'!E74,Tbl_Walk_Leisure[#Headers],0))))</f>
        <v>0</v>
      </c>
      <c r="W74" s="113">
        <f t="shared" si="8"/>
        <v>0.53263888888888888</v>
      </c>
      <c r="X74" s="116">
        <f>IF(W74="","",IF($D$14="Weekday",INDEX(Tbl_Wait_Wkday[#All],MATCH('Model 2 - Permutations'!W74,Tbl_Wait_Wkday[[#All],[Time]],1),MATCH('Model 2 - Permutations'!E74,Tbl_Wait_Wkday[#Headers],0)),INDEX(Tbl_Wait_Wkend[#All],MATCH('Model 2 - Permutations'!W74,Tbl_Wait_Wkend[[#All],[Time]],1),MATCH('Model 2 - Permutations'!E74,Tbl_Wait_Wkend[#Headers],0))))</f>
        <v>1.7361111111111112E-2</v>
      </c>
      <c r="Y74" s="117">
        <f>IF(X74="","",VLOOKUP(E74,Tbl_Ride[#Data],2,FALSE))</f>
        <v>1.3888888888888889E-3</v>
      </c>
      <c r="Z74" s="118">
        <f t="shared" si="9"/>
        <v>0.55138888888888893</v>
      </c>
      <c r="AA74" s="114">
        <f t="shared" si="10"/>
        <v>1</v>
      </c>
      <c r="AB74" s="115">
        <f>IF(AA74="","",IF($D$5="Average",INDEX(Tbl_Walk_Avg[#All],MATCH('Model 2 - Permutations'!E74,Tbl_Walk_Avg[[#All],[Ride]],0),MATCH('Model 2 - Permutations'!F74,Tbl_Walk_Avg[#Headers],0)),INDEX(Tbl_Walk_Leisure[#All],MATCH('Model 2 - Permutations'!E74,Tbl_Walk_Leisure[[#All],[Ride]],0),MATCH('Model 2 - Permutations'!F74,Tbl_Walk_Leisure[#Headers],0))))</f>
        <v>2.7777777777777779E-3</v>
      </c>
      <c r="AC74" s="113">
        <f t="shared" si="11"/>
        <v>0.63750000000000007</v>
      </c>
      <c r="AD74" s="116">
        <f>IF(AC74="","",IF($D$14="Weekday",INDEX(Tbl_Wait_Wkday[#All],MATCH('Model 2 - Permutations'!AC74,Tbl_Wait_Wkday[[#All],[Time]],1),MATCH('Model 2 - Permutations'!F74,Tbl_Wait_Wkday[#Headers],0)),INDEX(Tbl_Wait_Wkend[#All],MATCH('Model 2 - Permutations'!AC74,Tbl_Wait_Wkend[[#All],[Time]],1),MATCH('Model 2 - Permutations'!F74,Tbl_Wait_Wkend[#Headers],0))))</f>
        <v>2.4305555555555552E-2</v>
      </c>
      <c r="AE74" s="117">
        <f>IF(AD74="","",VLOOKUP(F74,Tbl_Ride[#Data],2,FALSE))</f>
        <v>3.4722222222222225E-3</v>
      </c>
      <c r="AF74" s="118">
        <f t="shared" si="12"/>
        <v>0.66527777777777786</v>
      </c>
      <c r="AG74" s="114">
        <f t="shared" si="13"/>
        <v>0</v>
      </c>
      <c r="AH74" s="115">
        <f>IF(AG74="","",IF($D$5="Average",INDEX(Tbl_Walk_Avg[#All],MATCH('Model 2 - Permutations'!F74,Tbl_Walk_Avg[[#All],[Ride]],0),MATCH('Model 2 - Permutations'!G74,Tbl_Walk_Avg[#Headers],0)),INDEX(Tbl_Walk_Leisure[#All],MATCH('Model 2 - Permutations'!F74,Tbl_Walk_Leisure[[#All],[Ride]],0),MATCH('Model 2 - Permutations'!G74,Tbl_Walk_Leisure[#Headers],0))))</f>
        <v>6.2500000000000003E-3</v>
      </c>
      <c r="AI74" s="113">
        <f t="shared" si="14"/>
        <v>0.67152777777777783</v>
      </c>
      <c r="AJ74" s="116">
        <f>IF(AI74="","",IF($D$14="Weekday",INDEX(Tbl_Wait_Wkday[#All],MATCH('Model 2 - Permutations'!AI74,Tbl_Wait_Wkday[[#All],[Time]],1),MATCH('Model 2 - Permutations'!G74,Tbl_Wait_Wkday[#Headers],0)),INDEX(Tbl_Wait_Wkend[#All],MATCH('Model 2 - Permutations'!AI74,Tbl_Wait_Wkend[[#All],[Time]],1),MATCH('Model 2 - Permutations'!G74,Tbl_Wait_Wkend[#Headers],0))))</f>
        <v>1.7361111111111112E-2</v>
      </c>
      <c r="AK74" s="117">
        <f>IF(AJ74="","",VLOOKUP(G74,Tbl_Ride[#Data],2,FALSE))</f>
        <v>6.9444444444444447E-4</v>
      </c>
      <c r="AL74" s="118">
        <f t="shared" si="15"/>
        <v>0.68958333333333344</v>
      </c>
      <c r="AM74" s="114">
        <f t="shared" si="16"/>
        <v>0</v>
      </c>
      <c r="AN74" s="115">
        <f>IF(AM74="","",IF($D$5="Average",INDEX(Tbl_Walk_Avg[#All],MATCH('Model 2 - Permutations'!G74,Tbl_Walk_Avg[[#All],[Ride]],0),MATCH('Model 2 - Permutations'!H74,Tbl_Walk_Avg[#Headers],0)),INDEX(Tbl_Walk_Leisure[#All],MATCH('Model 2 - Permutations'!G74,Tbl_Walk_Leisure[[#All],[Ride]],0),MATCH('Model 2 - Permutations'!H74,Tbl_Walk_Leisure[#Headers],0))))</f>
        <v>4.8611111111111112E-3</v>
      </c>
      <c r="AO74" s="113">
        <f t="shared" si="17"/>
        <v>0.69444444444444453</v>
      </c>
      <c r="AP74" s="116">
        <f>IF(AO74="","",IF($D$14="Weekday",INDEX(Tbl_Wait_Wkday[#All],MATCH('Model 2 - Permutations'!AO74,Tbl_Wait_Wkday[[#All],[Time]],1),MATCH('Model 2 - Permutations'!H74,Tbl_Wait_Wkday[#Headers],0)),INDEX(Tbl_Wait_Wkend[#All],MATCH('Model 2 - Permutations'!AO74,Tbl_Wait_Wkend[[#All],[Time]],1),MATCH('Model 2 - Permutations'!H74,Tbl_Wait_Wkend[#Headers],0))))</f>
        <v>2.7777777777777776E-2</v>
      </c>
      <c r="AQ74" s="117">
        <f>IF(AP74="","",VLOOKUP(H74,Tbl_Ride[#Data],2,FALSE))</f>
        <v>2.0833333333333333E-3</v>
      </c>
      <c r="AR74" s="118">
        <f t="shared" si="18"/>
        <v>0.72430555555555565</v>
      </c>
      <c r="AS74" s="119">
        <f t="shared" si="19"/>
        <v>2.0833333333333332E-2</v>
      </c>
      <c r="AT74" s="119">
        <f t="shared" si="20"/>
        <v>0.11111111111111109</v>
      </c>
      <c r="AU74" s="119">
        <f t="shared" si="21"/>
        <v>0.13194444444444442</v>
      </c>
    </row>
    <row r="75" spans="2:47">
      <c r="B75" s="111">
        <v>30</v>
      </c>
      <c r="C75" s="111" t="s">
        <v>66</v>
      </c>
      <c r="D75" s="112" t="str">
        <f t="shared" si="2"/>
        <v>Battlestart Galactica: Human</v>
      </c>
      <c r="E75" s="112" t="str">
        <f t="shared" si="2"/>
        <v>Battlestar Galactica: Cylon</v>
      </c>
      <c r="F75" s="112" t="str">
        <f t="shared" si="2"/>
        <v>Transformers The Ride</v>
      </c>
      <c r="G75" s="112" t="str">
        <f t="shared" si="2"/>
        <v>Revenge of the Mummy</v>
      </c>
      <c r="H75" s="112" t="str">
        <f t="shared" si="2"/>
        <v>Enchanted Airways</v>
      </c>
      <c r="I75" s="112">
        <v>2</v>
      </c>
      <c r="J75" s="112">
        <v>1</v>
      </c>
      <c r="K75" s="112">
        <v>5</v>
      </c>
      <c r="L75" s="112">
        <v>4</v>
      </c>
      <c r="M75" s="112">
        <v>3</v>
      </c>
      <c r="N75" s="113">
        <f t="shared" si="3"/>
        <v>0.5</v>
      </c>
      <c r="O75" s="114">
        <f t="shared" si="4"/>
        <v>0</v>
      </c>
      <c r="P75" s="115">
        <f>IF($D$5="Average",INDEX(Tbl_Walk_Avg[#All],MATCH('Model 2 - Permutations'!C75,Tbl_Walk_Avg[[#All],[Ride]],0),MATCH('Model 2 - Permutations'!D75,Tbl_Walk_Avg[#Headers],0)),INDEX(Tbl_Walk_Leisure[#All],MATCH('Model 2 - Permutations'!C75,Tbl_Walk_Leisure[[#All],[Ride]],0),MATCH('Model 2 - Permutations'!D75,Tbl_Walk_Leisure[#Headers],0)))</f>
        <v>6.9444444444444449E-3</v>
      </c>
      <c r="Q75" s="113">
        <f t="shared" si="5"/>
        <v>0.50694444444444442</v>
      </c>
      <c r="R75" s="116">
        <f>IF(Q75="","",IF($D$14="Weekday",INDEX(Tbl_Wait_Wkday[#All],MATCH('Model 2 - Permutations'!Q75,Tbl_Wait_Wkday[[#All],[Time]],1),MATCH('Model 2 - Permutations'!D75,Tbl_Wait_Wkday[#Headers],0)),INDEX(Tbl_Wait_Wkend[#All],MATCH('Model 2 - Permutations'!Q75,Tbl_Wait_Wkend[[#All],[Time]],1),MATCH('Model 2 - Permutations'!D75,Tbl_Wait_Wkend[#Headers],0))))</f>
        <v>2.4305555555555552E-2</v>
      </c>
      <c r="S75" s="117">
        <f>IF(R75="","",VLOOKUP(D75,Tbl_Ride[#Data],2,FALSE))</f>
        <v>1.3888888888888889E-3</v>
      </c>
      <c r="T75" s="118">
        <f t="shared" si="6"/>
        <v>0.53263888888888888</v>
      </c>
      <c r="U75" s="114">
        <f t="shared" si="7"/>
        <v>0</v>
      </c>
      <c r="V75" s="115">
        <f>IF(U75="","",IF($D$5="Average",INDEX(Tbl_Walk_Avg[#All],MATCH('Model 2 - Permutations'!D75,Tbl_Walk_Avg[[#All],[Ride]],0),MATCH('Model 2 - Permutations'!E75,Tbl_Walk_Avg[#Headers],0)),INDEX(Tbl_Walk_Leisure[#All],MATCH('Model 2 - Permutations'!D75,Tbl_Walk_Leisure[[#All],[Ride]],0),MATCH('Model 2 - Permutations'!E75,Tbl_Walk_Leisure[#Headers],0))))</f>
        <v>0</v>
      </c>
      <c r="W75" s="113">
        <f t="shared" si="8"/>
        <v>0.53263888888888888</v>
      </c>
      <c r="X75" s="116">
        <f>IF(W75="","",IF($D$14="Weekday",INDEX(Tbl_Wait_Wkday[#All],MATCH('Model 2 - Permutations'!W75,Tbl_Wait_Wkday[[#All],[Time]],1),MATCH('Model 2 - Permutations'!E75,Tbl_Wait_Wkday[#Headers],0)),INDEX(Tbl_Wait_Wkend[#All],MATCH('Model 2 - Permutations'!W75,Tbl_Wait_Wkend[[#All],[Time]],1),MATCH('Model 2 - Permutations'!E75,Tbl_Wait_Wkend[#Headers],0))))</f>
        <v>1.7361111111111112E-2</v>
      </c>
      <c r="Y75" s="117">
        <f>IF(X75="","",VLOOKUP(E75,Tbl_Ride[#Data],2,FALSE))</f>
        <v>1.3888888888888889E-3</v>
      </c>
      <c r="Z75" s="118">
        <f t="shared" si="9"/>
        <v>0.55138888888888893</v>
      </c>
      <c r="AA75" s="114">
        <f t="shared" si="10"/>
        <v>1</v>
      </c>
      <c r="AB75" s="115">
        <f>IF(AA75="","",IF($D$5="Average",INDEX(Tbl_Walk_Avg[#All],MATCH('Model 2 - Permutations'!E75,Tbl_Walk_Avg[[#All],[Ride]],0),MATCH('Model 2 - Permutations'!F75,Tbl_Walk_Avg[#Headers],0)),INDEX(Tbl_Walk_Leisure[#All],MATCH('Model 2 - Permutations'!E75,Tbl_Walk_Leisure[[#All],[Ride]],0),MATCH('Model 2 - Permutations'!F75,Tbl_Walk_Leisure[#Headers],0))))</f>
        <v>2.7777777777777779E-3</v>
      </c>
      <c r="AC75" s="113">
        <f t="shared" si="11"/>
        <v>0.63750000000000007</v>
      </c>
      <c r="AD75" s="116">
        <f>IF(AC75="","",IF($D$14="Weekday",INDEX(Tbl_Wait_Wkday[#All],MATCH('Model 2 - Permutations'!AC75,Tbl_Wait_Wkday[[#All],[Time]],1),MATCH('Model 2 - Permutations'!F75,Tbl_Wait_Wkday[#Headers],0)),INDEX(Tbl_Wait_Wkend[#All],MATCH('Model 2 - Permutations'!AC75,Tbl_Wait_Wkend[[#All],[Time]],1),MATCH('Model 2 - Permutations'!F75,Tbl_Wait_Wkend[#Headers],0))))</f>
        <v>2.4305555555555552E-2</v>
      </c>
      <c r="AE75" s="117">
        <f>IF(AD75="","",VLOOKUP(F75,Tbl_Ride[#Data],2,FALSE))</f>
        <v>3.4722222222222225E-3</v>
      </c>
      <c r="AF75" s="118">
        <f t="shared" si="12"/>
        <v>0.66527777777777786</v>
      </c>
      <c r="AG75" s="114">
        <f t="shared" si="13"/>
        <v>0</v>
      </c>
      <c r="AH75" s="115">
        <f>IF(AG75="","",IF($D$5="Average",INDEX(Tbl_Walk_Avg[#All],MATCH('Model 2 - Permutations'!F75,Tbl_Walk_Avg[[#All],[Ride]],0),MATCH('Model 2 - Permutations'!G75,Tbl_Walk_Avg[#Headers],0)),INDEX(Tbl_Walk_Leisure[#All],MATCH('Model 2 - Permutations'!F75,Tbl_Walk_Leisure[[#All],[Ride]],0),MATCH('Model 2 - Permutations'!G75,Tbl_Walk_Leisure[#Headers],0))))</f>
        <v>4.1666666666666666E-3</v>
      </c>
      <c r="AI75" s="113">
        <f t="shared" si="14"/>
        <v>0.66944444444444451</v>
      </c>
      <c r="AJ75" s="116">
        <f>IF(AI75="","",IF($D$14="Weekday",INDEX(Tbl_Wait_Wkday[#All],MATCH('Model 2 - Permutations'!AI75,Tbl_Wait_Wkday[[#All],[Time]],1),MATCH('Model 2 - Permutations'!G75,Tbl_Wait_Wkday[#Headers],0)),INDEX(Tbl_Wait_Wkend[#All],MATCH('Model 2 - Permutations'!AI75,Tbl_Wait_Wkend[[#All],[Time]],1),MATCH('Model 2 - Permutations'!G75,Tbl_Wait_Wkend[#Headers],0))))</f>
        <v>2.7777777777777776E-2</v>
      </c>
      <c r="AK75" s="117">
        <f>IF(AJ75="","",VLOOKUP(G75,Tbl_Ride[#Data],2,FALSE))</f>
        <v>2.0833333333333333E-3</v>
      </c>
      <c r="AL75" s="118">
        <f t="shared" si="15"/>
        <v>0.69930555555555562</v>
      </c>
      <c r="AM75" s="114">
        <f t="shared" si="16"/>
        <v>0</v>
      </c>
      <c r="AN75" s="115">
        <f>IF(AM75="","",IF($D$5="Average",INDEX(Tbl_Walk_Avg[#All],MATCH('Model 2 - Permutations'!G75,Tbl_Walk_Avg[[#All],[Ride]],0),MATCH('Model 2 - Permutations'!H75,Tbl_Walk_Avg[#Headers],0)),INDEX(Tbl_Walk_Leisure[#All],MATCH('Model 2 - Permutations'!G75,Tbl_Walk_Leisure[[#All],[Ride]],0),MATCH('Model 2 - Permutations'!H75,Tbl_Walk_Leisure[#Headers],0))))</f>
        <v>4.8611111111111112E-3</v>
      </c>
      <c r="AO75" s="113">
        <f t="shared" si="17"/>
        <v>0.70416666666666672</v>
      </c>
      <c r="AP75" s="116">
        <f>IF(AO75="","",IF($D$14="Weekday",INDEX(Tbl_Wait_Wkday[#All],MATCH('Model 2 - Permutations'!AO75,Tbl_Wait_Wkday[[#All],[Time]],1),MATCH('Model 2 - Permutations'!H75,Tbl_Wait_Wkday[#Headers],0)),INDEX(Tbl_Wait_Wkend[#All],MATCH('Model 2 - Permutations'!AO75,Tbl_Wait_Wkend[[#All],[Time]],1),MATCH('Model 2 - Permutations'!H75,Tbl_Wait_Wkend[#Headers],0))))</f>
        <v>1.7361111111111112E-2</v>
      </c>
      <c r="AQ75" s="117">
        <f>IF(AP75="","",VLOOKUP(H75,Tbl_Ride[#Data],2,FALSE))</f>
        <v>6.9444444444444447E-4</v>
      </c>
      <c r="AR75" s="118">
        <f t="shared" si="18"/>
        <v>0.72222222222222232</v>
      </c>
      <c r="AS75" s="119">
        <f t="shared" si="19"/>
        <v>1.8749999999999999E-2</v>
      </c>
      <c r="AT75" s="119">
        <f t="shared" si="20"/>
        <v>0.1111111111111111</v>
      </c>
      <c r="AU75" s="119">
        <f t="shared" si="21"/>
        <v>0.12986111111111109</v>
      </c>
    </row>
    <row r="76" spans="2:47">
      <c r="B76" s="111">
        <v>31</v>
      </c>
      <c r="C76" s="111" t="s">
        <v>66</v>
      </c>
      <c r="D76" s="112" t="str">
        <f t="shared" si="2"/>
        <v>Battlestart Galactica: Human</v>
      </c>
      <c r="E76" s="112" t="str">
        <f t="shared" si="2"/>
        <v>Enchanted Airways</v>
      </c>
      <c r="F76" s="112" t="str">
        <f t="shared" si="2"/>
        <v>Battlestar Galactica: Cylon</v>
      </c>
      <c r="G76" s="112" t="str">
        <f t="shared" si="2"/>
        <v>Revenge of the Mummy</v>
      </c>
      <c r="H76" s="112" t="str">
        <f t="shared" si="2"/>
        <v>Transformers The Ride</v>
      </c>
      <c r="I76" s="112">
        <v>2</v>
      </c>
      <c r="J76" s="112">
        <v>3</v>
      </c>
      <c r="K76" s="112">
        <v>1</v>
      </c>
      <c r="L76" s="112">
        <v>4</v>
      </c>
      <c r="M76" s="112">
        <v>5</v>
      </c>
      <c r="N76" s="113">
        <f t="shared" si="3"/>
        <v>0.5</v>
      </c>
      <c r="O76" s="114">
        <f t="shared" si="4"/>
        <v>0</v>
      </c>
      <c r="P76" s="115">
        <f>IF($D$5="Average",INDEX(Tbl_Walk_Avg[#All],MATCH('Model 2 - Permutations'!C76,Tbl_Walk_Avg[[#All],[Ride]],0),MATCH('Model 2 - Permutations'!D76,Tbl_Walk_Avg[#Headers],0)),INDEX(Tbl_Walk_Leisure[#All],MATCH('Model 2 - Permutations'!C76,Tbl_Walk_Leisure[[#All],[Ride]],0),MATCH('Model 2 - Permutations'!D76,Tbl_Walk_Leisure[#Headers],0)))</f>
        <v>6.9444444444444449E-3</v>
      </c>
      <c r="Q76" s="113">
        <f t="shared" si="5"/>
        <v>0.50694444444444442</v>
      </c>
      <c r="R76" s="116">
        <f>IF(Q76="","",IF($D$14="Weekday",INDEX(Tbl_Wait_Wkday[#All],MATCH('Model 2 - Permutations'!Q76,Tbl_Wait_Wkday[[#All],[Time]],1),MATCH('Model 2 - Permutations'!D76,Tbl_Wait_Wkday[#Headers],0)),INDEX(Tbl_Wait_Wkend[#All],MATCH('Model 2 - Permutations'!Q76,Tbl_Wait_Wkend[[#All],[Time]],1),MATCH('Model 2 - Permutations'!D76,Tbl_Wait_Wkend[#Headers],0))))</f>
        <v>2.4305555555555552E-2</v>
      </c>
      <c r="S76" s="117">
        <f>IF(R76="","",VLOOKUP(D76,Tbl_Ride[#Data],2,FALSE))</f>
        <v>1.3888888888888889E-3</v>
      </c>
      <c r="T76" s="118">
        <f t="shared" si="6"/>
        <v>0.53263888888888888</v>
      </c>
      <c r="U76" s="114">
        <f t="shared" si="7"/>
        <v>0</v>
      </c>
      <c r="V76" s="115">
        <f>IF(U76="","",IF($D$5="Average",INDEX(Tbl_Walk_Avg[#All],MATCH('Model 2 - Permutations'!D76,Tbl_Walk_Avg[[#All],[Ride]],0),MATCH('Model 2 - Permutations'!E76,Tbl_Walk_Avg[#Headers],0)),INDEX(Tbl_Walk_Leisure[#All],MATCH('Model 2 - Permutations'!D76,Tbl_Walk_Leisure[[#All],[Ride]],0),MATCH('Model 2 - Permutations'!E76,Tbl_Walk_Leisure[#Headers],0))))</f>
        <v>6.2500000000000003E-3</v>
      </c>
      <c r="W76" s="113">
        <f t="shared" si="8"/>
        <v>0.53888888888888886</v>
      </c>
      <c r="X76" s="116">
        <f>IF(W76="","",IF($D$14="Weekday",INDEX(Tbl_Wait_Wkday[#All],MATCH('Model 2 - Permutations'!W76,Tbl_Wait_Wkday[[#All],[Time]],1),MATCH('Model 2 - Permutations'!E76,Tbl_Wait_Wkday[#Headers],0)),INDEX(Tbl_Wait_Wkend[#All],MATCH('Model 2 - Permutations'!W76,Tbl_Wait_Wkend[[#All],[Time]],1),MATCH('Model 2 - Permutations'!E76,Tbl_Wait_Wkend[#Headers],0))))</f>
        <v>1.3888888888888888E-2</v>
      </c>
      <c r="Y76" s="117">
        <f>IF(X76="","",VLOOKUP(E76,Tbl_Ride[#Data],2,FALSE))</f>
        <v>6.9444444444444447E-4</v>
      </c>
      <c r="Z76" s="118">
        <f t="shared" si="9"/>
        <v>0.55347222222222214</v>
      </c>
      <c r="AA76" s="114">
        <f t="shared" si="10"/>
        <v>1</v>
      </c>
      <c r="AB76" s="115">
        <f>IF(AA76="","",IF($D$5="Average",INDEX(Tbl_Walk_Avg[#All],MATCH('Model 2 - Permutations'!E76,Tbl_Walk_Avg[[#All],[Ride]],0),MATCH('Model 2 - Permutations'!F76,Tbl_Walk_Avg[#Headers],0)),INDEX(Tbl_Walk_Leisure[#All],MATCH('Model 2 - Permutations'!E76,Tbl_Walk_Leisure[[#All],[Ride]],0),MATCH('Model 2 - Permutations'!F76,Tbl_Walk_Leisure[#Headers],0))))</f>
        <v>6.2500000000000003E-3</v>
      </c>
      <c r="AC76" s="113">
        <f t="shared" si="11"/>
        <v>0.64305555555555549</v>
      </c>
      <c r="AD76" s="116">
        <f>IF(AC76="","",IF($D$14="Weekday",INDEX(Tbl_Wait_Wkday[#All],MATCH('Model 2 - Permutations'!AC76,Tbl_Wait_Wkday[[#All],[Time]],1),MATCH('Model 2 - Permutations'!F76,Tbl_Wait_Wkday[#Headers],0)),INDEX(Tbl_Wait_Wkend[#All],MATCH('Model 2 - Permutations'!AC76,Tbl_Wait_Wkend[[#All],[Time]],1),MATCH('Model 2 - Permutations'!F76,Tbl_Wait_Wkend[#Headers],0))))</f>
        <v>5.2083333333333329E-2</v>
      </c>
      <c r="AE76" s="117">
        <f>IF(AD76="","",VLOOKUP(F76,Tbl_Ride[#Data],2,FALSE))</f>
        <v>1.3888888888888889E-3</v>
      </c>
      <c r="AF76" s="118">
        <f t="shared" si="12"/>
        <v>0.69652777777777775</v>
      </c>
      <c r="AG76" s="114">
        <f t="shared" si="13"/>
        <v>0</v>
      </c>
      <c r="AH76" s="115">
        <f>IF(AG76="","",IF($D$5="Average",INDEX(Tbl_Walk_Avg[#All],MATCH('Model 2 - Permutations'!F76,Tbl_Walk_Avg[[#All],[Ride]],0),MATCH('Model 2 - Permutations'!G76,Tbl_Walk_Avg[#Headers],0)),INDEX(Tbl_Walk_Leisure[#All],MATCH('Model 2 - Permutations'!F76,Tbl_Walk_Leisure[[#All],[Ride]],0),MATCH('Model 2 - Permutations'!G76,Tbl_Walk_Leisure[#Headers],0))))</f>
        <v>2.7777777777777779E-3</v>
      </c>
      <c r="AI76" s="113">
        <f t="shared" si="14"/>
        <v>0.69930555555555551</v>
      </c>
      <c r="AJ76" s="116">
        <f>IF(AI76="","",IF($D$14="Weekday",INDEX(Tbl_Wait_Wkday[#All],MATCH('Model 2 - Permutations'!AI76,Tbl_Wait_Wkday[[#All],[Time]],1),MATCH('Model 2 - Permutations'!G76,Tbl_Wait_Wkday[#Headers],0)),INDEX(Tbl_Wait_Wkend[#All],MATCH('Model 2 - Permutations'!AI76,Tbl_Wait_Wkend[[#All],[Time]],1),MATCH('Model 2 - Permutations'!G76,Tbl_Wait_Wkend[#Headers],0))))</f>
        <v>2.7777777777777776E-2</v>
      </c>
      <c r="AK76" s="117">
        <f>IF(AJ76="","",VLOOKUP(G76,Tbl_Ride[#Data],2,FALSE))</f>
        <v>2.0833333333333333E-3</v>
      </c>
      <c r="AL76" s="118">
        <f t="shared" si="15"/>
        <v>0.72916666666666663</v>
      </c>
      <c r="AM76" s="114">
        <f t="shared" si="16"/>
        <v>0</v>
      </c>
      <c r="AN76" s="115">
        <f>IF(AM76="","",IF($D$5="Average",INDEX(Tbl_Walk_Avg[#All],MATCH('Model 2 - Permutations'!G76,Tbl_Walk_Avg[[#All],[Ride]],0),MATCH('Model 2 - Permutations'!H76,Tbl_Walk_Avg[#Headers],0)),INDEX(Tbl_Walk_Leisure[#All],MATCH('Model 2 - Permutations'!G76,Tbl_Walk_Leisure[[#All],[Ride]],0),MATCH('Model 2 - Permutations'!H76,Tbl_Walk_Leisure[#Headers],0))))</f>
        <v>4.1666666666666666E-3</v>
      </c>
      <c r="AO76" s="113">
        <f t="shared" si="17"/>
        <v>0.73333333333333328</v>
      </c>
      <c r="AP76" s="116">
        <f>IF(AO76="","",IF($D$14="Weekday",INDEX(Tbl_Wait_Wkday[#All],MATCH('Model 2 - Permutations'!AO76,Tbl_Wait_Wkday[[#All],[Time]],1),MATCH('Model 2 - Permutations'!H76,Tbl_Wait_Wkday[#Headers],0)),INDEX(Tbl_Wait_Wkend[#All],MATCH('Model 2 - Permutations'!AO76,Tbl_Wait_Wkend[[#All],[Time]],1),MATCH('Model 2 - Permutations'!H76,Tbl_Wait_Wkend[#Headers],0))))</f>
        <v>3.125E-2</v>
      </c>
      <c r="AQ76" s="117">
        <f>IF(AP76="","",VLOOKUP(H76,Tbl_Ride[#Data],2,FALSE))</f>
        <v>3.4722222222222225E-3</v>
      </c>
      <c r="AR76" s="118">
        <f t="shared" si="18"/>
        <v>0.76805555555555549</v>
      </c>
      <c r="AS76" s="119">
        <f t="shared" si="19"/>
        <v>2.6388888888888889E-2</v>
      </c>
      <c r="AT76" s="119">
        <f t="shared" si="20"/>
        <v>0.14930555555555552</v>
      </c>
      <c r="AU76" s="119">
        <f t="shared" si="21"/>
        <v>0.1756944444444444</v>
      </c>
    </row>
    <row r="77" spans="2:47">
      <c r="B77" s="111">
        <v>32</v>
      </c>
      <c r="C77" s="111" t="s">
        <v>66</v>
      </c>
      <c r="D77" s="112" t="str">
        <f t="shared" si="2"/>
        <v>Battlestart Galactica: Human</v>
      </c>
      <c r="E77" s="112" t="str">
        <f t="shared" si="2"/>
        <v>Enchanted Airways</v>
      </c>
      <c r="F77" s="112" t="str">
        <f t="shared" si="2"/>
        <v>Battlestar Galactica: Cylon</v>
      </c>
      <c r="G77" s="112" t="str">
        <f t="shared" si="2"/>
        <v>Transformers The Ride</v>
      </c>
      <c r="H77" s="112" t="str">
        <f t="shared" si="2"/>
        <v>Revenge of the Mummy</v>
      </c>
      <c r="I77" s="112">
        <v>2</v>
      </c>
      <c r="J77" s="112">
        <v>3</v>
      </c>
      <c r="K77" s="112">
        <v>1</v>
      </c>
      <c r="L77" s="112">
        <v>5</v>
      </c>
      <c r="M77" s="112">
        <v>4</v>
      </c>
      <c r="N77" s="113">
        <f t="shared" si="3"/>
        <v>0.5</v>
      </c>
      <c r="O77" s="114">
        <f t="shared" si="4"/>
        <v>0</v>
      </c>
      <c r="P77" s="115">
        <f>IF($D$5="Average",INDEX(Tbl_Walk_Avg[#All],MATCH('Model 2 - Permutations'!C77,Tbl_Walk_Avg[[#All],[Ride]],0),MATCH('Model 2 - Permutations'!D77,Tbl_Walk_Avg[#Headers],0)),INDEX(Tbl_Walk_Leisure[#All],MATCH('Model 2 - Permutations'!C77,Tbl_Walk_Leisure[[#All],[Ride]],0),MATCH('Model 2 - Permutations'!D77,Tbl_Walk_Leisure[#Headers],0)))</f>
        <v>6.9444444444444449E-3</v>
      </c>
      <c r="Q77" s="113">
        <f t="shared" si="5"/>
        <v>0.50694444444444442</v>
      </c>
      <c r="R77" s="116">
        <f>IF(Q77="","",IF($D$14="Weekday",INDEX(Tbl_Wait_Wkday[#All],MATCH('Model 2 - Permutations'!Q77,Tbl_Wait_Wkday[[#All],[Time]],1),MATCH('Model 2 - Permutations'!D77,Tbl_Wait_Wkday[#Headers],0)),INDEX(Tbl_Wait_Wkend[#All],MATCH('Model 2 - Permutations'!Q77,Tbl_Wait_Wkend[[#All],[Time]],1),MATCH('Model 2 - Permutations'!D77,Tbl_Wait_Wkend[#Headers],0))))</f>
        <v>2.4305555555555552E-2</v>
      </c>
      <c r="S77" s="117">
        <f>IF(R77="","",VLOOKUP(D77,Tbl_Ride[#Data],2,FALSE))</f>
        <v>1.3888888888888889E-3</v>
      </c>
      <c r="T77" s="118">
        <f t="shared" si="6"/>
        <v>0.53263888888888888</v>
      </c>
      <c r="U77" s="114">
        <f t="shared" si="7"/>
        <v>0</v>
      </c>
      <c r="V77" s="115">
        <f>IF(U77="","",IF($D$5="Average",INDEX(Tbl_Walk_Avg[#All],MATCH('Model 2 - Permutations'!D77,Tbl_Walk_Avg[[#All],[Ride]],0),MATCH('Model 2 - Permutations'!E77,Tbl_Walk_Avg[#Headers],0)),INDEX(Tbl_Walk_Leisure[#All],MATCH('Model 2 - Permutations'!D77,Tbl_Walk_Leisure[[#All],[Ride]],0),MATCH('Model 2 - Permutations'!E77,Tbl_Walk_Leisure[#Headers],0))))</f>
        <v>6.2500000000000003E-3</v>
      </c>
      <c r="W77" s="113">
        <f t="shared" si="8"/>
        <v>0.53888888888888886</v>
      </c>
      <c r="X77" s="116">
        <f>IF(W77="","",IF($D$14="Weekday",INDEX(Tbl_Wait_Wkday[#All],MATCH('Model 2 - Permutations'!W77,Tbl_Wait_Wkday[[#All],[Time]],1),MATCH('Model 2 - Permutations'!E77,Tbl_Wait_Wkday[#Headers],0)),INDEX(Tbl_Wait_Wkend[#All],MATCH('Model 2 - Permutations'!W77,Tbl_Wait_Wkend[[#All],[Time]],1),MATCH('Model 2 - Permutations'!E77,Tbl_Wait_Wkend[#Headers],0))))</f>
        <v>1.3888888888888888E-2</v>
      </c>
      <c r="Y77" s="117">
        <f>IF(X77="","",VLOOKUP(E77,Tbl_Ride[#Data],2,FALSE))</f>
        <v>6.9444444444444447E-4</v>
      </c>
      <c r="Z77" s="118">
        <f t="shared" si="9"/>
        <v>0.55347222222222214</v>
      </c>
      <c r="AA77" s="114">
        <f t="shared" si="10"/>
        <v>1</v>
      </c>
      <c r="AB77" s="115">
        <f>IF(AA77="","",IF($D$5="Average",INDEX(Tbl_Walk_Avg[#All],MATCH('Model 2 - Permutations'!E77,Tbl_Walk_Avg[[#All],[Ride]],0),MATCH('Model 2 - Permutations'!F77,Tbl_Walk_Avg[#Headers],0)),INDEX(Tbl_Walk_Leisure[#All],MATCH('Model 2 - Permutations'!E77,Tbl_Walk_Leisure[[#All],[Ride]],0),MATCH('Model 2 - Permutations'!F77,Tbl_Walk_Leisure[#Headers],0))))</f>
        <v>6.2500000000000003E-3</v>
      </c>
      <c r="AC77" s="113">
        <f t="shared" si="11"/>
        <v>0.64305555555555549</v>
      </c>
      <c r="AD77" s="116">
        <f>IF(AC77="","",IF($D$14="Weekday",INDEX(Tbl_Wait_Wkday[#All],MATCH('Model 2 - Permutations'!AC77,Tbl_Wait_Wkday[[#All],[Time]],1),MATCH('Model 2 - Permutations'!F77,Tbl_Wait_Wkday[#Headers],0)),INDEX(Tbl_Wait_Wkend[#All],MATCH('Model 2 - Permutations'!AC77,Tbl_Wait_Wkend[[#All],[Time]],1),MATCH('Model 2 - Permutations'!F77,Tbl_Wait_Wkend[#Headers],0))))</f>
        <v>5.2083333333333329E-2</v>
      </c>
      <c r="AE77" s="117">
        <f>IF(AD77="","",VLOOKUP(F77,Tbl_Ride[#Data],2,FALSE))</f>
        <v>1.3888888888888889E-3</v>
      </c>
      <c r="AF77" s="118">
        <f t="shared" si="12"/>
        <v>0.69652777777777775</v>
      </c>
      <c r="AG77" s="114">
        <f t="shared" si="13"/>
        <v>0</v>
      </c>
      <c r="AH77" s="115">
        <f>IF(AG77="","",IF($D$5="Average",INDEX(Tbl_Walk_Avg[#All],MATCH('Model 2 - Permutations'!F77,Tbl_Walk_Avg[[#All],[Ride]],0),MATCH('Model 2 - Permutations'!G77,Tbl_Walk_Avg[#Headers],0)),INDEX(Tbl_Walk_Leisure[#All],MATCH('Model 2 - Permutations'!F77,Tbl_Walk_Leisure[[#All],[Ride]],0),MATCH('Model 2 - Permutations'!G77,Tbl_Walk_Leisure[#Headers],0))))</f>
        <v>2.7777777777777779E-3</v>
      </c>
      <c r="AI77" s="113">
        <f t="shared" si="14"/>
        <v>0.69930555555555551</v>
      </c>
      <c r="AJ77" s="116">
        <f>IF(AI77="","",IF($D$14="Weekday",INDEX(Tbl_Wait_Wkday[#All],MATCH('Model 2 - Permutations'!AI77,Tbl_Wait_Wkday[[#All],[Time]],1),MATCH('Model 2 - Permutations'!G77,Tbl_Wait_Wkday[#Headers],0)),INDEX(Tbl_Wait_Wkend[#All],MATCH('Model 2 - Permutations'!AI77,Tbl_Wait_Wkend[[#All],[Time]],1),MATCH('Model 2 - Permutations'!G77,Tbl_Wait_Wkend[#Headers],0))))</f>
        <v>2.4305555555555552E-2</v>
      </c>
      <c r="AK77" s="117">
        <f>IF(AJ77="","",VLOOKUP(G77,Tbl_Ride[#Data],2,FALSE))</f>
        <v>3.4722222222222225E-3</v>
      </c>
      <c r="AL77" s="118">
        <f t="shared" si="15"/>
        <v>0.7270833333333333</v>
      </c>
      <c r="AM77" s="114">
        <f t="shared" si="16"/>
        <v>0</v>
      </c>
      <c r="AN77" s="115">
        <f>IF(AM77="","",IF($D$5="Average",INDEX(Tbl_Walk_Avg[#All],MATCH('Model 2 - Permutations'!G77,Tbl_Walk_Avg[[#All],[Ride]],0),MATCH('Model 2 - Permutations'!H77,Tbl_Walk_Avg[#Headers],0)),INDEX(Tbl_Walk_Leisure[#All],MATCH('Model 2 - Permutations'!G77,Tbl_Walk_Leisure[[#All],[Ride]],0),MATCH('Model 2 - Permutations'!H77,Tbl_Walk_Leisure[#Headers],0))))</f>
        <v>4.1666666666666666E-3</v>
      </c>
      <c r="AO77" s="113">
        <f t="shared" si="17"/>
        <v>0.73124999999999996</v>
      </c>
      <c r="AP77" s="116">
        <f>IF(AO77="","",IF($D$14="Weekday",INDEX(Tbl_Wait_Wkday[#All],MATCH('Model 2 - Permutations'!AO77,Tbl_Wait_Wkday[[#All],[Time]],1),MATCH('Model 2 - Permutations'!H77,Tbl_Wait_Wkday[#Headers],0)),INDEX(Tbl_Wait_Wkend[#All],MATCH('Model 2 - Permutations'!AO77,Tbl_Wait_Wkend[[#All],[Time]],1),MATCH('Model 2 - Permutations'!H77,Tbl_Wait_Wkend[#Headers],0))))</f>
        <v>2.4305555555555552E-2</v>
      </c>
      <c r="AQ77" s="117">
        <f>IF(AP77="","",VLOOKUP(H77,Tbl_Ride[#Data],2,FALSE))</f>
        <v>2.0833333333333333E-3</v>
      </c>
      <c r="AR77" s="118">
        <f t="shared" si="18"/>
        <v>0.75763888888888886</v>
      </c>
      <c r="AS77" s="119">
        <f t="shared" si="19"/>
        <v>2.6388888888888889E-2</v>
      </c>
      <c r="AT77" s="119">
        <f t="shared" si="20"/>
        <v>0.13888888888888887</v>
      </c>
      <c r="AU77" s="119">
        <f t="shared" si="21"/>
        <v>0.16527777777777775</v>
      </c>
    </row>
    <row r="78" spans="2:47">
      <c r="B78" s="111">
        <v>33</v>
      </c>
      <c r="C78" s="111" t="s">
        <v>66</v>
      </c>
      <c r="D78" s="112" t="str">
        <f t="shared" si="2"/>
        <v>Battlestart Galactica: Human</v>
      </c>
      <c r="E78" s="112" t="str">
        <f t="shared" si="2"/>
        <v>Enchanted Airways</v>
      </c>
      <c r="F78" s="112" t="str">
        <f t="shared" si="2"/>
        <v>Revenge of the Mummy</v>
      </c>
      <c r="G78" s="112" t="str">
        <f t="shared" si="2"/>
        <v>Battlestar Galactica: Cylon</v>
      </c>
      <c r="H78" s="112" t="str">
        <f t="shared" si="2"/>
        <v>Transformers The Ride</v>
      </c>
      <c r="I78" s="112">
        <v>2</v>
      </c>
      <c r="J78" s="112">
        <v>3</v>
      </c>
      <c r="K78" s="112">
        <v>4</v>
      </c>
      <c r="L78" s="112">
        <v>1</v>
      </c>
      <c r="M78" s="112">
        <v>5</v>
      </c>
      <c r="N78" s="113">
        <f t="shared" si="3"/>
        <v>0.5</v>
      </c>
      <c r="O78" s="114">
        <f t="shared" si="4"/>
        <v>0</v>
      </c>
      <c r="P78" s="115">
        <f>IF($D$5="Average",INDEX(Tbl_Walk_Avg[#All],MATCH('Model 2 - Permutations'!C78,Tbl_Walk_Avg[[#All],[Ride]],0),MATCH('Model 2 - Permutations'!D78,Tbl_Walk_Avg[#Headers],0)),INDEX(Tbl_Walk_Leisure[#All],MATCH('Model 2 - Permutations'!C78,Tbl_Walk_Leisure[[#All],[Ride]],0),MATCH('Model 2 - Permutations'!D78,Tbl_Walk_Leisure[#Headers],0)))</f>
        <v>6.9444444444444449E-3</v>
      </c>
      <c r="Q78" s="113">
        <f t="shared" si="5"/>
        <v>0.50694444444444442</v>
      </c>
      <c r="R78" s="116">
        <f>IF(Q78="","",IF($D$14="Weekday",INDEX(Tbl_Wait_Wkday[#All],MATCH('Model 2 - Permutations'!Q78,Tbl_Wait_Wkday[[#All],[Time]],1),MATCH('Model 2 - Permutations'!D78,Tbl_Wait_Wkday[#Headers],0)),INDEX(Tbl_Wait_Wkend[#All],MATCH('Model 2 - Permutations'!Q78,Tbl_Wait_Wkend[[#All],[Time]],1),MATCH('Model 2 - Permutations'!D78,Tbl_Wait_Wkend[#Headers],0))))</f>
        <v>2.4305555555555552E-2</v>
      </c>
      <c r="S78" s="117">
        <f>IF(R78="","",VLOOKUP(D78,Tbl_Ride[#Data],2,FALSE))</f>
        <v>1.3888888888888889E-3</v>
      </c>
      <c r="T78" s="118">
        <f t="shared" si="6"/>
        <v>0.53263888888888888</v>
      </c>
      <c r="U78" s="114">
        <f t="shared" si="7"/>
        <v>0</v>
      </c>
      <c r="V78" s="115">
        <f>IF(U78="","",IF($D$5="Average",INDEX(Tbl_Walk_Avg[#All],MATCH('Model 2 - Permutations'!D78,Tbl_Walk_Avg[[#All],[Ride]],0),MATCH('Model 2 - Permutations'!E78,Tbl_Walk_Avg[#Headers],0)),INDEX(Tbl_Walk_Leisure[#All],MATCH('Model 2 - Permutations'!D78,Tbl_Walk_Leisure[[#All],[Ride]],0),MATCH('Model 2 - Permutations'!E78,Tbl_Walk_Leisure[#Headers],0))))</f>
        <v>6.2500000000000003E-3</v>
      </c>
      <c r="W78" s="113">
        <f t="shared" si="8"/>
        <v>0.53888888888888886</v>
      </c>
      <c r="X78" s="116">
        <f>IF(W78="","",IF($D$14="Weekday",INDEX(Tbl_Wait_Wkday[#All],MATCH('Model 2 - Permutations'!W78,Tbl_Wait_Wkday[[#All],[Time]],1),MATCH('Model 2 - Permutations'!E78,Tbl_Wait_Wkday[#Headers],0)),INDEX(Tbl_Wait_Wkend[#All],MATCH('Model 2 - Permutations'!W78,Tbl_Wait_Wkend[[#All],[Time]],1),MATCH('Model 2 - Permutations'!E78,Tbl_Wait_Wkend[#Headers],0))))</f>
        <v>1.3888888888888888E-2</v>
      </c>
      <c r="Y78" s="117">
        <f>IF(X78="","",VLOOKUP(E78,Tbl_Ride[#Data],2,FALSE))</f>
        <v>6.9444444444444447E-4</v>
      </c>
      <c r="Z78" s="118">
        <f t="shared" si="9"/>
        <v>0.55347222222222214</v>
      </c>
      <c r="AA78" s="114">
        <f t="shared" si="10"/>
        <v>1</v>
      </c>
      <c r="AB78" s="115">
        <f>IF(AA78="","",IF($D$5="Average",INDEX(Tbl_Walk_Avg[#All],MATCH('Model 2 - Permutations'!E78,Tbl_Walk_Avg[[#All],[Ride]],0),MATCH('Model 2 - Permutations'!F78,Tbl_Walk_Avg[#Headers],0)),INDEX(Tbl_Walk_Leisure[#All],MATCH('Model 2 - Permutations'!E78,Tbl_Walk_Leisure[[#All],[Ride]],0),MATCH('Model 2 - Permutations'!F78,Tbl_Walk_Leisure[#Headers],0))))</f>
        <v>4.8611111111111112E-3</v>
      </c>
      <c r="AC78" s="113">
        <f t="shared" si="11"/>
        <v>0.64166666666666661</v>
      </c>
      <c r="AD78" s="116">
        <f>IF(AC78="","",IF($D$14="Weekday",INDEX(Tbl_Wait_Wkday[#All],MATCH('Model 2 - Permutations'!AC78,Tbl_Wait_Wkday[[#All],[Time]],1),MATCH('Model 2 - Permutations'!F78,Tbl_Wait_Wkday[#Headers],0)),INDEX(Tbl_Wait_Wkend[#All],MATCH('Model 2 - Permutations'!AC78,Tbl_Wait_Wkend[[#All],[Time]],1),MATCH('Model 2 - Permutations'!F78,Tbl_Wait_Wkend[#Headers],0))))</f>
        <v>3.125E-2</v>
      </c>
      <c r="AE78" s="117">
        <f>IF(AD78="","",VLOOKUP(F78,Tbl_Ride[#Data],2,FALSE))</f>
        <v>2.0833333333333333E-3</v>
      </c>
      <c r="AF78" s="118">
        <f t="shared" si="12"/>
        <v>0.67499999999999993</v>
      </c>
      <c r="AG78" s="114">
        <f t="shared" si="13"/>
        <v>0</v>
      </c>
      <c r="AH78" s="115">
        <f>IF(AG78="","",IF($D$5="Average",INDEX(Tbl_Walk_Avg[#All],MATCH('Model 2 - Permutations'!F78,Tbl_Walk_Avg[[#All],[Ride]],0),MATCH('Model 2 - Permutations'!G78,Tbl_Walk_Avg[#Headers],0)),INDEX(Tbl_Walk_Leisure[#All],MATCH('Model 2 - Permutations'!F78,Tbl_Walk_Leisure[[#All],[Ride]],0),MATCH('Model 2 - Permutations'!G78,Tbl_Walk_Leisure[#Headers],0))))</f>
        <v>2.7777777777777779E-3</v>
      </c>
      <c r="AI78" s="113">
        <f t="shared" si="14"/>
        <v>0.6777777777777777</v>
      </c>
      <c r="AJ78" s="116">
        <f>IF(AI78="","",IF($D$14="Weekday",INDEX(Tbl_Wait_Wkday[#All],MATCH('Model 2 - Permutations'!AI78,Tbl_Wait_Wkday[[#All],[Time]],1),MATCH('Model 2 - Permutations'!G78,Tbl_Wait_Wkday[#Headers],0)),INDEX(Tbl_Wait_Wkend[#All],MATCH('Model 2 - Permutations'!AI78,Tbl_Wait_Wkend[[#All],[Time]],1),MATCH('Model 2 - Permutations'!G78,Tbl_Wait_Wkend[#Headers],0))))</f>
        <v>3.4722222222222224E-2</v>
      </c>
      <c r="AK78" s="117">
        <f>IF(AJ78="","",VLOOKUP(G78,Tbl_Ride[#Data],2,FALSE))</f>
        <v>1.3888888888888889E-3</v>
      </c>
      <c r="AL78" s="118">
        <f t="shared" si="15"/>
        <v>0.7138888888888888</v>
      </c>
      <c r="AM78" s="114">
        <f t="shared" si="16"/>
        <v>0</v>
      </c>
      <c r="AN78" s="115">
        <f>IF(AM78="","",IF($D$5="Average",INDEX(Tbl_Walk_Avg[#All],MATCH('Model 2 - Permutations'!G78,Tbl_Walk_Avg[[#All],[Ride]],0),MATCH('Model 2 - Permutations'!H78,Tbl_Walk_Avg[#Headers],0)),INDEX(Tbl_Walk_Leisure[#All],MATCH('Model 2 - Permutations'!G78,Tbl_Walk_Leisure[[#All],[Ride]],0),MATCH('Model 2 - Permutations'!H78,Tbl_Walk_Leisure[#Headers],0))))</f>
        <v>2.7777777777777779E-3</v>
      </c>
      <c r="AO78" s="113">
        <f t="shared" si="17"/>
        <v>0.71666666666666656</v>
      </c>
      <c r="AP78" s="116">
        <f>IF(AO78="","",IF($D$14="Weekday",INDEX(Tbl_Wait_Wkday[#All],MATCH('Model 2 - Permutations'!AO78,Tbl_Wait_Wkday[[#All],[Time]],1),MATCH('Model 2 - Permutations'!H78,Tbl_Wait_Wkday[#Headers],0)),INDEX(Tbl_Wait_Wkend[#All],MATCH('Model 2 - Permutations'!AO78,Tbl_Wait_Wkend[[#All],[Time]],1),MATCH('Model 2 - Permutations'!H78,Tbl_Wait_Wkend[#Headers],0))))</f>
        <v>3.125E-2</v>
      </c>
      <c r="AQ78" s="117">
        <f>IF(AP78="","",VLOOKUP(H78,Tbl_Ride[#Data],2,FALSE))</f>
        <v>3.4722222222222225E-3</v>
      </c>
      <c r="AR78" s="118">
        <f t="shared" si="18"/>
        <v>0.75138888888888877</v>
      </c>
      <c r="AS78" s="119">
        <f t="shared" si="19"/>
        <v>2.3611111111111114E-2</v>
      </c>
      <c r="AT78" s="119">
        <f t="shared" si="20"/>
        <v>0.13541666666666669</v>
      </c>
      <c r="AU78" s="119">
        <f t="shared" si="21"/>
        <v>0.1590277777777778</v>
      </c>
    </row>
    <row r="79" spans="2:47">
      <c r="B79" s="111">
        <v>34</v>
      </c>
      <c r="C79" s="111" t="s">
        <v>66</v>
      </c>
      <c r="D79" s="112" t="str">
        <f t="shared" si="2"/>
        <v>Battlestart Galactica: Human</v>
      </c>
      <c r="E79" s="112" t="str">
        <f t="shared" si="2"/>
        <v>Enchanted Airways</v>
      </c>
      <c r="F79" s="112" t="str">
        <f t="shared" si="2"/>
        <v>Revenge of the Mummy</v>
      </c>
      <c r="G79" s="112" t="str">
        <f t="shared" si="2"/>
        <v>Transformers The Ride</v>
      </c>
      <c r="H79" s="112" t="str">
        <f t="shared" si="2"/>
        <v>Battlestar Galactica: Cylon</v>
      </c>
      <c r="I79" s="112">
        <v>2</v>
      </c>
      <c r="J79" s="112">
        <v>3</v>
      </c>
      <c r="K79" s="112">
        <v>4</v>
      </c>
      <c r="L79" s="112">
        <v>5</v>
      </c>
      <c r="M79" s="112">
        <v>1</v>
      </c>
      <c r="N79" s="113">
        <f t="shared" si="3"/>
        <v>0.5</v>
      </c>
      <c r="O79" s="114">
        <f t="shared" si="4"/>
        <v>0</v>
      </c>
      <c r="P79" s="115">
        <f>IF($D$5="Average",INDEX(Tbl_Walk_Avg[#All],MATCH('Model 2 - Permutations'!C79,Tbl_Walk_Avg[[#All],[Ride]],0),MATCH('Model 2 - Permutations'!D79,Tbl_Walk_Avg[#Headers],0)),INDEX(Tbl_Walk_Leisure[#All],MATCH('Model 2 - Permutations'!C79,Tbl_Walk_Leisure[[#All],[Ride]],0),MATCH('Model 2 - Permutations'!D79,Tbl_Walk_Leisure[#Headers],0)))</f>
        <v>6.9444444444444449E-3</v>
      </c>
      <c r="Q79" s="113">
        <f t="shared" si="5"/>
        <v>0.50694444444444442</v>
      </c>
      <c r="R79" s="116">
        <f>IF(Q79="","",IF($D$14="Weekday",INDEX(Tbl_Wait_Wkday[#All],MATCH('Model 2 - Permutations'!Q79,Tbl_Wait_Wkday[[#All],[Time]],1),MATCH('Model 2 - Permutations'!D79,Tbl_Wait_Wkday[#Headers],0)),INDEX(Tbl_Wait_Wkend[#All],MATCH('Model 2 - Permutations'!Q79,Tbl_Wait_Wkend[[#All],[Time]],1),MATCH('Model 2 - Permutations'!D79,Tbl_Wait_Wkend[#Headers],0))))</f>
        <v>2.4305555555555552E-2</v>
      </c>
      <c r="S79" s="117">
        <f>IF(R79="","",VLOOKUP(D79,Tbl_Ride[#Data],2,FALSE))</f>
        <v>1.3888888888888889E-3</v>
      </c>
      <c r="T79" s="118">
        <f t="shared" si="6"/>
        <v>0.53263888888888888</v>
      </c>
      <c r="U79" s="114">
        <f t="shared" si="7"/>
        <v>0</v>
      </c>
      <c r="V79" s="115">
        <f>IF(U79="","",IF($D$5="Average",INDEX(Tbl_Walk_Avg[#All],MATCH('Model 2 - Permutations'!D79,Tbl_Walk_Avg[[#All],[Ride]],0),MATCH('Model 2 - Permutations'!E79,Tbl_Walk_Avg[#Headers],0)),INDEX(Tbl_Walk_Leisure[#All],MATCH('Model 2 - Permutations'!D79,Tbl_Walk_Leisure[[#All],[Ride]],0),MATCH('Model 2 - Permutations'!E79,Tbl_Walk_Leisure[#Headers],0))))</f>
        <v>6.2500000000000003E-3</v>
      </c>
      <c r="W79" s="113">
        <f t="shared" si="8"/>
        <v>0.53888888888888886</v>
      </c>
      <c r="X79" s="116">
        <f>IF(W79="","",IF($D$14="Weekday",INDEX(Tbl_Wait_Wkday[#All],MATCH('Model 2 - Permutations'!W79,Tbl_Wait_Wkday[[#All],[Time]],1),MATCH('Model 2 - Permutations'!E79,Tbl_Wait_Wkday[#Headers],0)),INDEX(Tbl_Wait_Wkend[#All],MATCH('Model 2 - Permutations'!W79,Tbl_Wait_Wkend[[#All],[Time]],1),MATCH('Model 2 - Permutations'!E79,Tbl_Wait_Wkend[#Headers],0))))</f>
        <v>1.3888888888888888E-2</v>
      </c>
      <c r="Y79" s="117">
        <f>IF(X79="","",VLOOKUP(E79,Tbl_Ride[#Data],2,FALSE))</f>
        <v>6.9444444444444447E-4</v>
      </c>
      <c r="Z79" s="118">
        <f t="shared" si="9"/>
        <v>0.55347222222222214</v>
      </c>
      <c r="AA79" s="114">
        <f t="shared" si="10"/>
        <v>1</v>
      </c>
      <c r="AB79" s="115">
        <f>IF(AA79="","",IF($D$5="Average",INDEX(Tbl_Walk_Avg[#All],MATCH('Model 2 - Permutations'!E79,Tbl_Walk_Avg[[#All],[Ride]],0),MATCH('Model 2 - Permutations'!F79,Tbl_Walk_Avg[#Headers],0)),INDEX(Tbl_Walk_Leisure[#All],MATCH('Model 2 - Permutations'!E79,Tbl_Walk_Leisure[[#All],[Ride]],0),MATCH('Model 2 - Permutations'!F79,Tbl_Walk_Leisure[#Headers],0))))</f>
        <v>4.8611111111111112E-3</v>
      </c>
      <c r="AC79" s="113">
        <f t="shared" si="11"/>
        <v>0.64166666666666661</v>
      </c>
      <c r="AD79" s="116">
        <f>IF(AC79="","",IF($D$14="Weekday",INDEX(Tbl_Wait_Wkday[#All],MATCH('Model 2 - Permutations'!AC79,Tbl_Wait_Wkday[[#All],[Time]],1),MATCH('Model 2 - Permutations'!F79,Tbl_Wait_Wkday[#Headers],0)),INDEX(Tbl_Wait_Wkend[#All],MATCH('Model 2 - Permutations'!AC79,Tbl_Wait_Wkend[[#All],[Time]],1),MATCH('Model 2 - Permutations'!F79,Tbl_Wait_Wkend[#Headers],0))))</f>
        <v>3.125E-2</v>
      </c>
      <c r="AE79" s="117">
        <f>IF(AD79="","",VLOOKUP(F79,Tbl_Ride[#Data],2,FALSE))</f>
        <v>2.0833333333333333E-3</v>
      </c>
      <c r="AF79" s="118">
        <f t="shared" si="12"/>
        <v>0.67499999999999993</v>
      </c>
      <c r="AG79" s="114">
        <f t="shared" si="13"/>
        <v>0</v>
      </c>
      <c r="AH79" s="115">
        <f>IF(AG79="","",IF($D$5="Average",INDEX(Tbl_Walk_Avg[#All],MATCH('Model 2 - Permutations'!F79,Tbl_Walk_Avg[[#All],[Ride]],0),MATCH('Model 2 - Permutations'!G79,Tbl_Walk_Avg[#Headers],0)),INDEX(Tbl_Walk_Leisure[#All],MATCH('Model 2 - Permutations'!F79,Tbl_Walk_Leisure[[#All],[Ride]],0),MATCH('Model 2 - Permutations'!G79,Tbl_Walk_Leisure[#Headers],0))))</f>
        <v>4.1666666666666666E-3</v>
      </c>
      <c r="AI79" s="113">
        <f t="shared" si="14"/>
        <v>0.67916666666666659</v>
      </c>
      <c r="AJ79" s="116">
        <f>IF(AI79="","",IF($D$14="Weekday",INDEX(Tbl_Wait_Wkday[#All],MATCH('Model 2 - Permutations'!AI79,Tbl_Wait_Wkday[[#All],[Time]],1),MATCH('Model 2 - Permutations'!G79,Tbl_Wait_Wkday[#Headers],0)),INDEX(Tbl_Wait_Wkend[#All],MATCH('Model 2 - Permutations'!AI79,Tbl_Wait_Wkend[[#All],[Time]],1),MATCH('Model 2 - Permutations'!G79,Tbl_Wait_Wkend[#Headers],0))))</f>
        <v>2.4305555555555552E-2</v>
      </c>
      <c r="AK79" s="117">
        <f>IF(AJ79="","",VLOOKUP(G79,Tbl_Ride[#Data],2,FALSE))</f>
        <v>3.4722222222222225E-3</v>
      </c>
      <c r="AL79" s="118">
        <f t="shared" si="15"/>
        <v>0.70694444444444438</v>
      </c>
      <c r="AM79" s="114">
        <f t="shared" si="16"/>
        <v>0</v>
      </c>
      <c r="AN79" s="115">
        <f>IF(AM79="","",IF($D$5="Average",INDEX(Tbl_Walk_Avg[#All],MATCH('Model 2 - Permutations'!G79,Tbl_Walk_Avg[[#All],[Ride]],0),MATCH('Model 2 - Permutations'!H79,Tbl_Walk_Avg[#Headers],0)),INDEX(Tbl_Walk_Leisure[#All],MATCH('Model 2 - Permutations'!G79,Tbl_Walk_Leisure[[#All],[Ride]],0),MATCH('Model 2 - Permutations'!H79,Tbl_Walk_Leisure[#Headers],0))))</f>
        <v>2.7777777777777779E-3</v>
      </c>
      <c r="AO79" s="113">
        <f t="shared" si="17"/>
        <v>0.70972222222222214</v>
      </c>
      <c r="AP79" s="116">
        <f>IF(AO79="","",IF($D$14="Weekday",INDEX(Tbl_Wait_Wkday[#All],MATCH('Model 2 - Permutations'!AO79,Tbl_Wait_Wkday[[#All],[Time]],1),MATCH('Model 2 - Permutations'!H79,Tbl_Wait_Wkday[#Headers],0)),INDEX(Tbl_Wait_Wkend[#All],MATCH('Model 2 - Permutations'!AO79,Tbl_Wait_Wkend[[#All],[Time]],1),MATCH('Model 2 - Permutations'!H79,Tbl_Wait_Wkend[#Headers],0))))</f>
        <v>3.8194444444444441E-2</v>
      </c>
      <c r="AQ79" s="117">
        <f>IF(AP79="","",VLOOKUP(H79,Tbl_Ride[#Data],2,FALSE))</f>
        <v>1.3888888888888889E-3</v>
      </c>
      <c r="AR79" s="118">
        <f t="shared" si="18"/>
        <v>0.74930555555555545</v>
      </c>
      <c r="AS79" s="119">
        <f t="shared" si="19"/>
        <v>2.5000000000000001E-2</v>
      </c>
      <c r="AT79" s="119">
        <f t="shared" si="20"/>
        <v>0.13194444444444445</v>
      </c>
      <c r="AU79" s="119">
        <f t="shared" si="21"/>
        <v>0.15694444444444444</v>
      </c>
    </row>
    <row r="80" spans="2:47">
      <c r="B80" s="111">
        <v>35</v>
      </c>
      <c r="C80" s="111" t="s">
        <v>66</v>
      </c>
      <c r="D80" s="112" t="str">
        <f t="shared" si="2"/>
        <v>Battlestart Galactica: Human</v>
      </c>
      <c r="E80" s="112" t="str">
        <f t="shared" si="2"/>
        <v>Enchanted Airways</v>
      </c>
      <c r="F80" s="112" t="str">
        <f t="shared" si="2"/>
        <v>Transformers The Ride</v>
      </c>
      <c r="G80" s="112" t="str">
        <f t="shared" si="2"/>
        <v>Battlestar Galactica: Cylon</v>
      </c>
      <c r="H80" s="112" t="str">
        <f t="shared" si="2"/>
        <v>Revenge of the Mummy</v>
      </c>
      <c r="I80" s="112">
        <v>2</v>
      </c>
      <c r="J80" s="112">
        <v>3</v>
      </c>
      <c r="K80" s="112">
        <v>5</v>
      </c>
      <c r="L80" s="112">
        <v>1</v>
      </c>
      <c r="M80" s="112">
        <v>4</v>
      </c>
      <c r="N80" s="113">
        <f t="shared" si="3"/>
        <v>0.5</v>
      </c>
      <c r="O80" s="114">
        <f t="shared" si="4"/>
        <v>0</v>
      </c>
      <c r="P80" s="115">
        <f>IF($D$5="Average",INDEX(Tbl_Walk_Avg[#All],MATCH('Model 2 - Permutations'!C80,Tbl_Walk_Avg[[#All],[Ride]],0),MATCH('Model 2 - Permutations'!D80,Tbl_Walk_Avg[#Headers],0)),INDEX(Tbl_Walk_Leisure[#All],MATCH('Model 2 - Permutations'!C80,Tbl_Walk_Leisure[[#All],[Ride]],0),MATCH('Model 2 - Permutations'!D80,Tbl_Walk_Leisure[#Headers],0)))</f>
        <v>6.9444444444444449E-3</v>
      </c>
      <c r="Q80" s="113">
        <f t="shared" si="5"/>
        <v>0.50694444444444442</v>
      </c>
      <c r="R80" s="116">
        <f>IF(Q80="","",IF($D$14="Weekday",INDEX(Tbl_Wait_Wkday[#All],MATCH('Model 2 - Permutations'!Q80,Tbl_Wait_Wkday[[#All],[Time]],1),MATCH('Model 2 - Permutations'!D80,Tbl_Wait_Wkday[#Headers],0)),INDEX(Tbl_Wait_Wkend[#All],MATCH('Model 2 - Permutations'!Q80,Tbl_Wait_Wkend[[#All],[Time]],1),MATCH('Model 2 - Permutations'!D80,Tbl_Wait_Wkend[#Headers],0))))</f>
        <v>2.4305555555555552E-2</v>
      </c>
      <c r="S80" s="117">
        <f>IF(R80="","",VLOOKUP(D80,Tbl_Ride[#Data],2,FALSE))</f>
        <v>1.3888888888888889E-3</v>
      </c>
      <c r="T80" s="118">
        <f t="shared" si="6"/>
        <v>0.53263888888888888</v>
      </c>
      <c r="U80" s="114">
        <f t="shared" si="7"/>
        <v>0</v>
      </c>
      <c r="V80" s="115">
        <f>IF(U80="","",IF($D$5="Average",INDEX(Tbl_Walk_Avg[#All],MATCH('Model 2 - Permutations'!D80,Tbl_Walk_Avg[[#All],[Ride]],0),MATCH('Model 2 - Permutations'!E80,Tbl_Walk_Avg[#Headers],0)),INDEX(Tbl_Walk_Leisure[#All],MATCH('Model 2 - Permutations'!D80,Tbl_Walk_Leisure[[#All],[Ride]],0),MATCH('Model 2 - Permutations'!E80,Tbl_Walk_Leisure[#Headers],0))))</f>
        <v>6.2500000000000003E-3</v>
      </c>
      <c r="W80" s="113">
        <f t="shared" si="8"/>
        <v>0.53888888888888886</v>
      </c>
      <c r="X80" s="116">
        <f>IF(W80="","",IF($D$14="Weekday",INDEX(Tbl_Wait_Wkday[#All],MATCH('Model 2 - Permutations'!W80,Tbl_Wait_Wkday[[#All],[Time]],1),MATCH('Model 2 - Permutations'!E80,Tbl_Wait_Wkday[#Headers],0)),INDEX(Tbl_Wait_Wkend[#All],MATCH('Model 2 - Permutations'!W80,Tbl_Wait_Wkend[[#All],[Time]],1),MATCH('Model 2 - Permutations'!E80,Tbl_Wait_Wkend[#Headers],0))))</f>
        <v>1.3888888888888888E-2</v>
      </c>
      <c r="Y80" s="117">
        <f>IF(X80="","",VLOOKUP(E80,Tbl_Ride[#Data],2,FALSE))</f>
        <v>6.9444444444444447E-4</v>
      </c>
      <c r="Z80" s="118">
        <f t="shared" si="9"/>
        <v>0.55347222222222214</v>
      </c>
      <c r="AA80" s="114">
        <f t="shared" si="10"/>
        <v>1</v>
      </c>
      <c r="AB80" s="115">
        <f>IF(AA80="","",IF($D$5="Average",INDEX(Tbl_Walk_Avg[#All],MATCH('Model 2 - Permutations'!E80,Tbl_Walk_Avg[[#All],[Ride]],0),MATCH('Model 2 - Permutations'!F80,Tbl_Walk_Avg[#Headers],0)),INDEX(Tbl_Walk_Leisure[#All],MATCH('Model 2 - Permutations'!E80,Tbl_Walk_Leisure[[#All],[Ride]],0),MATCH('Model 2 - Permutations'!F80,Tbl_Walk_Leisure[#Headers],0))))</f>
        <v>6.2500000000000003E-3</v>
      </c>
      <c r="AC80" s="113">
        <f t="shared" si="11"/>
        <v>0.64305555555555549</v>
      </c>
      <c r="AD80" s="116">
        <f>IF(AC80="","",IF($D$14="Weekday",INDEX(Tbl_Wait_Wkday[#All],MATCH('Model 2 - Permutations'!AC80,Tbl_Wait_Wkday[[#All],[Time]],1),MATCH('Model 2 - Permutations'!F80,Tbl_Wait_Wkday[#Headers],0)),INDEX(Tbl_Wait_Wkend[#All],MATCH('Model 2 - Permutations'!AC80,Tbl_Wait_Wkend[[#All],[Time]],1),MATCH('Model 2 - Permutations'!F80,Tbl_Wait_Wkend[#Headers],0))))</f>
        <v>2.4305555555555552E-2</v>
      </c>
      <c r="AE80" s="117">
        <f>IF(AD80="","",VLOOKUP(F80,Tbl_Ride[#Data],2,FALSE))</f>
        <v>3.4722222222222225E-3</v>
      </c>
      <c r="AF80" s="118">
        <f t="shared" si="12"/>
        <v>0.67083333333333328</v>
      </c>
      <c r="AG80" s="114">
        <f t="shared" si="13"/>
        <v>0</v>
      </c>
      <c r="AH80" s="115">
        <f>IF(AG80="","",IF($D$5="Average",INDEX(Tbl_Walk_Avg[#All],MATCH('Model 2 - Permutations'!F80,Tbl_Walk_Avg[[#All],[Ride]],0),MATCH('Model 2 - Permutations'!G80,Tbl_Walk_Avg[#Headers],0)),INDEX(Tbl_Walk_Leisure[#All],MATCH('Model 2 - Permutations'!F80,Tbl_Walk_Leisure[[#All],[Ride]],0),MATCH('Model 2 - Permutations'!G80,Tbl_Walk_Leisure[#Headers],0))))</f>
        <v>2.7777777777777779E-3</v>
      </c>
      <c r="AI80" s="113">
        <f t="shared" si="14"/>
        <v>0.67361111111111105</v>
      </c>
      <c r="AJ80" s="116">
        <f>IF(AI80="","",IF($D$14="Weekday",INDEX(Tbl_Wait_Wkday[#All],MATCH('Model 2 - Permutations'!AI80,Tbl_Wait_Wkday[[#All],[Time]],1),MATCH('Model 2 - Permutations'!G80,Tbl_Wait_Wkday[#Headers],0)),INDEX(Tbl_Wait_Wkend[#All],MATCH('Model 2 - Permutations'!AI80,Tbl_Wait_Wkend[[#All],[Time]],1),MATCH('Model 2 - Permutations'!G80,Tbl_Wait_Wkend[#Headers],0))))</f>
        <v>3.4722222222222224E-2</v>
      </c>
      <c r="AK80" s="117">
        <f>IF(AJ80="","",VLOOKUP(G80,Tbl_Ride[#Data],2,FALSE))</f>
        <v>1.3888888888888889E-3</v>
      </c>
      <c r="AL80" s="118">
        <f t="shared" si="15"/>
        <v>0.70972222222222214</v>
      </c>
      <c r="AM80" s="114">
        <f t="shared" si="16"/>
        <v>0</v>
      </c>
      <c r="AN80" s="115">
        <f>IF(AM80="","",IF($D$5="Average",INDEX(Tbl_Walk_Avg[#All],MATCH('Model 2 - Permutations'!G80,Tbl_Walk_Avg[[#All],[Ride]],0),MATCH('Model 2 - Permutations'!H80,Tbl_Walk_Avg[#Headers],0)),INDEX(Tbl_Walk_Leisure[#All],MATCH('Model 2 - Permutations'!G80,Tbl_Walk_Leisure[[#All],[Ride]],0),MATCH('Model 2 - Permutations'!H80,Tbl_Walk_Leisure[#Headers],0))))</f>
        <v>2.7777777777777779E-3</v>
      </c>
      <c r="AO80" s="113">
        <f t="shared" si="17"/>
        <v>0.71249999999999991</v>
      </c>
      <c r="AP80" s="116">
        <f>IF(AO80="","",IF($D$14="Weekday",INDEX(Tbl_Wait_Wkday[#All],MATCH('Model 2 - Permutations'!AO80,Tbl_Wait_Wkday[[#All],[Time]],1),MATCH('Model 2 - Permutations'!H80,Tbl_Wait_Wkday[#Headers],0)),INDEX(Tbl_Wait_Wkend[#All],MATCH('Model 2 - Permutations'!AO80,Tbl_Wait_Wkend[[#All],[Time]],1),MATCH('Model 2 - Permutations'!H80,Tbl_Wait_Wkend[#Headers],0))))</f>
        <v>2.4305555555555552E-2</v>
      </c>
      <c r="AQ80" s="117">
        <f>IF(AP80="","",VLOOKUP(H80,Tbl_Ride[#Data],2,FALSE))</f>
        <v>2.0833333333333333E-3</v>
      </c>
      <c r="AR80" s="118">
        <f t="shared" si="18"/>
        <v>0.73888888888888882</v>
      </c>
      <c r="AS80" s="119">
        <f t="shared" si="19"/>
        <v>2.5000000000000001E-2</v>
      </c>
      <c r="AT80" s="119">
        <f t="shared" si="20"/>
        <v>0.12152777777777776</v>
      </c>
      <c r="AU80" s="119">
        <f t="shared" si="21"/>
        <v>0.14652777777777776</v>
      </c>
    </row>
    <row r="81" spans="2:47">
      <c r="B81" s="111">
        <v>36</v>
      </c>
      <c r="C81" s="111" t="s">
        <v>66</v>
      </c>
      <c r="D81" s="112" t="str">
        <f t="shared" si="2"/>
        <v>Battlestart Galactica: Human</v>
      </c>
      <c r="E81" s="112" t="str">
        <f t="shared" si="2"/>
        <v>Enchanted Airways</v>
      </c>
      <c r="F81" s="112" t="str">
        <f t="shared" si="2"/>
        <v>Transformers The Ride</v>
      </c>
      <c r="G81" s="112" t="str">
        <f t="shared" si="2"/>
        <v>Revenge of the Mummy</v>
      </c>
      <c r="H81" s="112" t="str">
        <f t="shared" si="2"/>
        <v>Battlestar Galactica: Cylon</v>
      </c>
      <c r="I81" s="112">
        <v>2</v>
      </c>
      <c r="J81" s="112">
        <v>3</v>
      </c>
      <c r="K81" s="112">
        <v>5</v>
      </c>
      <c r="L81" s="112">
        <v>4</v>
      </c>
      <c r="M81" s="112">
        <v>1</v>
      </c>
      <c r="N81" s="113">
        <f t="shared" si="3"/>
        <v>0.5</v>
      </c>
      <c r="O81" s="114">
        <f t="shared" si="4"/>
        <v>0</v>
      </c>
      <c r="P81" s="115">
        <f>IF($D$5="Average",INDEX(Tbl_Walk_Avg[#All],MATCH('Model 2 - Permutations'!C81,Tbl_Walk_Avg[[#All],[Ride]],0),MATCH('Model 2 - Permutations'!D81,Tbl_Walk_Avg[#Headers],0)),INDEX(Tbl_Walk_Leisure[#All],MATCH('Model 2 - Permutations'!C81,Tbl_Walk_Leisure[[#All],[Ride]],0),MATCH('Model 2 - Permutations'!D81,Tbl_Walk_Leisure[#Headers],0)))</f>
        <v>6.9444444444444449E-3</v>
      </c>
      <c r="Q81" s="113">
        <f t="shared" si="5"/>
        <v>0.50694444444444442</v>
      </c>
      <c r="R81" s="116">
        <f>IF(Q81="","",IF($D$14="Weekday",INDEX(Tbl_Wait_Wkday[#All],MATCH('Model 2 - Permutations'!Q81,Tbl_Wait_Wkday[[#All],[Time]],1),MATCH('Model 2 - Permutations'!D81,Tbl_Wait_Wkday[#Headers],0)),INDEX(Tbl_Wait_Wkend[#All],MATCH('Model 2 - Permutations'!Q81,Tbl_Wait_Wkend[[#All],[Time]],1),MATCH('Model 2 - Permutations'!D81,Tbl_Wait_Wkend[#Headers],0))))</f>
        <v>2.4305555555555552E-2</v>
      </c>
      <c r="S81" s="117">
        <f>IF(R81="","",VLOOKUP(D81,Tbl_Ride[#Data],2,FALSE))</f>
        <v>1.3888888888888889E-3</v>
      </c>
      <c r="T81" s="118">
        <f t="shared" si="6"/>
        <v>0.53263888888888888</v>
      </c>
      <c r="U81" s="114">
        <f t="shared" si="7"/>
        <v>0</v>
      </c>
      <c r="V81" s="115">
        <f>IF(U81="","",IF($D$5="Average",INDEX(Tbl_Walk_Avg[#All],MATCH('Model 2 - Permutations'!D81,Tbl_Walk_Avg[[#All],[Ride]],0),MATCH('Model 2 - Permutations'!E81,Tbl_Walk_Avg[#Headers],0)),INDEX(Tbl_Walk_Leisure[#All],MATCH('Model 2 - Permutations'!D81,Tbl_Walk_Leisure[[#All],[Ride]],0),MATCH('Model 2 - Permutations'!E81,Tbl_Walk_Leisure[#Headers],0))))</f>
        <v>6.2500000000000003E-3</v>
      </c>
      <c r="W81" s="113">
        <f t="shared" si="8"/>
        <v>0.53888888888888886</v>
      </c>
      <c r="X81" s="116">
        <f>IF(W81="","",IF($D$14="Weekday",INDEX(Tbl_Wait_Wkday[#All],MATCH('Model 2 - Permutations'!W81,Tbl_Wait_Wkday[[#All],[Time]],1),MATCH('Model 2 - Permutations'!E81,Tbl_Wait_Wkday[#Headers],0)),INDEX(Tbl_Wait_Wkend[#All],MATCH('Model 2 - Permutations'!W81,Tbl_Wait_Wkend[[#All],[Time]],1),MATCH('Model 2 - Permutations'!E81,Tbl_Wait_Wkend[#Headers],0))))</f>
        <v>1.3888888888888888E-2</v>
      </c>
      <c r="Y81" s="117">
        <f>IF(X81="","",VLOOKUP(E81,Tbl_Ride[#Data],2,FALSE))</f>
        <v>6.9444444444444447E-4</v>
      </c>
      <c r="Z81" s="118">
        <f t="shared" si="9"/>
        <v>0.55347222222222214</v>
      </c>
      <c r="AA81" s="114">
        <f t="shared" si="10"/>
        <v>1</v>
      </c>
      <c r="AB81" s="115">
        <f>IF(AA81="","",IF($D$5="Average",INDEX(Tbl_Walk_Avg[#All],MATCH('Model 2 - Permutations'!E81,Tbl_Walk_Avg[[#All],[Ride]],0),MATCH('Model 2 - Permutations'!F81,Tbl_Walk_Avg[#Headers],0)),INDEX(Tbl_Walk_Leisure[#All],MATCH('Model 2 - Permutations'!E81,Tbl_Walk_Leisure[[#All],[Ride]],0),MATCH('Model 2 - Permutations'!F81,Tbl_Walk_Leisure[#Headers],0))))</f>
        <v>6.2500000000000003E-3</v>
      </c>
      <c r="AC81" s="113">
        <f t="shared" si="11"/>
        <v>0.64305555555555549</v>
      </c>
      <c r="AD81" s="116">
        <f>IF(AC81="","",IF($D$14="Weekday",INDEX(Tbl_Wait_Wkday[#All],MATCH('Model 2 - Permutations'!AC81,Tbl_Wait_Wkday[[#All],[Time]],1),MATCH('Model 2 - Permutations'!F81,Tbl_Wait_Wkday[#Headers],0)),INDEX(Tbl_Wait_Wkend[#All],MATCH('Model 2 - Permutations'!AC81,Tbl_Wait_Wkend[[#All],[Time]],1),MATCH('Model 2 - Permutations'!F81,Tbl_Wait_Wkend[#Headers],0))))</f>
        <v>2.4305555555555552E-2</v>
      </c>
      <c r="AE81" s="117">
        <f>IF(AD81="","",VLOOKUP(F81,Tbl_Ride[#Data],2,FALSE))</f>
        <v>3.4722222222222225E-3</v>
      </c>
      <c r="AF81" s="118">
        <f t="shared" si="12"/>
        <v>0.67083333333333328</v>
      </c>
      <c r="AG81" s="114">
        <f t="shared" si="13"/>
        <v>0</v>
      </c>
      <c r="AH81" s="115">
        <f>IF(AG81="","",IF($D$5="Average",INDEX(Tbl_Walk_Avg[#All],MATCH('Model 2 - Permutations'!F81,Tbl_Walk_Avg[[#All],[Ride]],0),MATCH('Model 2 - Permutations'!G81,Tbl_Walk_Avg[#Headers],0)),INDEX(Tbl_Walk_Leisure[#All],MATCH('Model 2 - Permutations'!F81,Tbl_Walk_Leisure[[#All],[Ride]],0),MATCH('Model 2 - Permutations'!G81,Tbl_Walk_Leisure[#Headers],0))))</f>
        <v>4.1666666666666666E-3</v>
      </c>
      <c r="AI81" s="113">
        <f t="shared" si="14"/>
        <v>0.67499999999999993</v>
      </c>
      <c r="AJ81" s="116">
        <f>IF(AI81="","",IF($D$14="Weekday",INDEX(Tbl_Wait_Wkday[#All],MATCH('Model 2 - Permutations'!AI81,Tbl_Wait_Wkday[[#All],[Time]],1),MATCH('Model 2 - Permutations'!G81,Tbl_Wait_Wkday[#Headers],0)),INDEX(Tbl_Wait_Wkend[#All],MATCH('Model 2 - Permutations'!AI81,Tbl_Wait_Wkend[[#All],[Time]],1),MATCH('Model 2 - Permutations'!G81,Tbl_Wait_Wkend[#Headers],0))))</f>
        <v>2.7777777777777776E-2</v>
      </c>
      <c r="AK81" s="117">
        <f>IF(AJ81="","",VLOOKUP(G81,Tbl_Ride[#Data],2,FALSE))</f>
        <v>2.0833333333333333E-3</v>
      </c>
      <c r="AL81" s="118">
        <f t="shared" si="15"/>
        <v>0.70486111111111105</v>
      </c>
      <c r="AM81" s="114">
        <f t="shared" si="16"/>
        <v>0</v>
      </c>
      <c r="AN81" s="115">
        <f>IF(AM81="","",IF($D$5="Average",INDEX(Tbl_Walk_Avg[#All],MATCH('Model 2 - Permutations'!G81,Tbl_Walk_Avg[[#All],[Ride]],0),MATCH('Model 2 - Permutations'!H81,Tbl_Walk_Avg[#Headers],0)),INDEX(Tbl_Walk_Leisure[#All],MATCH('Model 2 - Permutations'!G81,Tbl_Walk_Leisure[[#All],[Ride]],0),MATCH('Model 2 - Permutations'!H81,Tbl_Walk_Leisure[#Headers],0))))</f>
        <v>2.7777777777777779E-3</v>
      </c>
      <c r="AO81" s="113">
        <f t="shared" si="17"/>
        <v>0.70763888888888882</v>
      </c>
      <c r="AP81" s="116">
        <f>IF(AO81="","",IF($D$14="Weekday",INDEX(Tbl_Wait_Wkday[#All],MATCH('Model 2 - Permutations'!AO81,Tbl_Wait_Wkday[[#All],[Time]],1),MATCH('Model 2 - Permutations'!H81,Tbl_Wait_Wkday[#Headers],0)),INDEX(Tbl_Wait_Wkend[#All],MATCH('Model 2 - Permutations'!AO81,Tbl_Wait_Wkend[[#All],[Time]],1),MATCH('Model 2 - Permutations'!H81,Tbl_Wait_Wkend[#Headers],0))))</f>
        <v>3.4722222222222224E-2</v>
      </c>
      <c r="AQ81" s="117">
        <f>IF(AP81="","",VLOOKUP(H81,Tbl_Ride[#Data],2,FALSE))</f>
        <v>1.3888888888888889E-3</v>
      </c>
      <c r="AR81" s="118">
        <f t="shared" si="18"/>
        <v>0.74374999999999991</v>
      </c>
      <c r="AS81" s="119">
        <f t="shared" si="19"/>
        <v>2.6388888888888889E-2</v>
      </c>
      <c r="AT81" s="119">
        <f t="shared" si="20"/>
        <v>0.12499999999999999</v>
      </c>
      <c r="AU81" s="119">
        <f t="shared" si="21"/>
        <v>0.15138888888888888</v>
      </c>
    </row>
    <row r="82" spans="2:47">
      <c r="B82" s="111">
        <v>37</v>
      </c>
      <c r="C82" s="111" t="s">
        <v>66</v>
      </c>
      <c r="D82" s="112" t="str">
        <f t="shared" si="2"/>
        <v>Battlestart Galactica: Human</v>
      </c>
      <c r="E82" s="112" t="str">
        <f t="shared" si="2"/>
        <v>Revenge of the Mummy</v>
      </c>
      <c r="F82" s="112" t="str">
        <f t="shared" si="2"/>
        <v>Battlestar Galactica: Cylon</v>
      </c>
      <c r="G82" s="112" t="str">
        <f t="shared" si="2"/>
        <v>Enchanted Airways</v>
      </c>
      <c r="H82" s="112" t="str">
        <f t="shared" si="2"/>
        <v>Transformers The Ride</v>
      </c>
      <c r="I82" s="112">
        <v>2</v>
      </c>
      <c r="J82" s="112">
        <v>4</v>
      </c>
      <c r="K82" s="112">
        <v>1</v>
      </c>
      <c r="L82" s="112">
        <v>3</v>
      </c>
      <c r="M82" s="112">
        <v>5</v>
      </c>
      <c r="N82" s="113">
        <f t="shared" si="3"/>
        <v>0.5</v>
      </c>
      <c r="O82" s="114">
        <f t="shared" si="4"/>
        <v>0</v>
      </c>
      <c r="P82" s="115">
        <f>IF($D$5="Average",INDEX(Tbl_Walk_Avg[#All],MATCH('Model 2 - Permutations'!C82,Tbl_Walk_Avg[[#All],[Ride]],0),MATCH('Model 2 - Permutations'!D82,Tbl_Walk_Avg[#Headers],0)),INDEX(Tbl_Walk_Leisure[#All],MATCH('Model 2 - Permutations'!C82,Tbl_Walk_Leisure[[#All],[Ride]],0),MATCH('Model 2 - Permutations'!D82,Tbl_Walk_Leisure[#Headers],0)))</f>
        <v>6.9444444444444449E-3</v>
      </c>
      <c r="Q82" s="113">
        <f t="shared" si="5"/>
        <v>0.50694444444444442</v>
      </c>
      <c r="R82" s="116">
        <f>IF(Q82="","",IF($D$14="Weekday",INDEX(Tbl_Wait_Wkday[#All],MATCH('Model 2 - Permutations'!Q82,Tbl_Wait_Wkday[[#All],[Time]],1),MATCH('Model 2 - Permutations'!D82,Tbl_Wait_Wkday[#Headers],0)),INDEX(Tbl_Wait_Wkend[#All],MATCH('Model 2 - Permutations'!Q82,Tbl_Wait_Wkend[[#All],[Time]],1),MATCH('Model 2 - Permutations'!D82,Tbl_Wait_Wkend[#Headers],0))))</f>
        <v>2.4305555555555552E-2</v>
      </c>
      <c r="S82" s="117">
        <f>IF(R82="","",VLOOKUP(D82,Tbl_Ride[#Data],2,FALSE))</f>
        <v>1.3888888888888889E-3</v>
      </c>
      <c r="T82" s="118">
        <f t="shared" si="6"/>
        <v>0.53263888888888888</v>
      </c>
      <c r="U82" s="114">
        <f t="shared" si="7"/>
        <v>0</v>
      </c>
      <c r="V82" s="115">
        <f>IF(U82="","",IF($D$5="Average",INDEX(Tbl_Walk_Avg[#All],MATCH('Model 2 - Permutations'!D82,Tbl_Walk_Avg[[#All],[Ride]],0),MATCH('Model 2 - Permutations'!E82,Tbl_Walk_Avg[#Headers],0)),INDEX(Tbl_Walk_Leisure[#All],MATCH('Model 2 - Permutations'!D82,Tbl_Walk_Leisure[[#All],[Ride]],0),MATCH('Model 2 - Permutations'!E82,Tbl_Walk_Leisure[#Headers],0))))</f>
        <v>2.7777777777777779E-3</v>
      </c>
      <c r="W82" s="113">
        <f t="shared" si="8"/>
        <v>0.53541666666666665</v>
      </c>
      <c r="X82" s="116">
        <f>IF(W82="","",IF($D$14="Weekday",INDEX(Tbl_Wait_Wkday[#All],MATCH('Model 2 - Permutations'!W82,Tbl_Wait_Wkday[[#All],[Time]],1),MATCH('Model 2 - Permutations'!E82,Tbl_Wait_Wkday[#Headers],0)),INDEX(Tbl_Wait_Wkend[#All],MATCH('Model 2 - Permutations'!W82,Tbl_Wait_Wkend[[#All],[Time]],1),MATCH('Model 2 - Permutations'!E82,Tbl_Wait_Wkend[#Headers],0))))</f>
        <v>1.0416666666666666E-2</v>
      </c>
      <c r="Y82" s="117">
        <f>IF(X82="","",VLOOKUP(E82,Tbl_Ride[#Data],2,FALSE))</f>
        <v>2.0833333333333333E-3</v>
      </c>
      <c r="Z82" s="118">
        <f t="shared" si="9"/>
        <v>0.54791666666666661</v>
      </c>
      <c r="AA82" s="114">
        <f t="shared" si="10"/>
        <v>1</v>
      </c>
      <c r="AB82" s="115">
        <f>IF(AA82="","",IF($D$5="Average",INDEX(Tbl_Walk_Avg[#All],MATCH('Model 2 - Permutations'!E82,Tbl_Walk_Avg[[#All],[Ride]],0),MATCH('Model 2 - Permutations'!F82,Tbl_Walk_Avg[#Headers],0)),INDEX(Tbl_Walk_Leisure[#All],MATCH('Model 2 - Permutations'!E82,Tbl_Walk_Leisure[[#All],[Ride]],0),MATCH('Model 2 - Permutations'!F82,Tbl_Walk_Leisure[#Headers],0))))</f>
        <v>2.7777777777777779E-3</v>
      </c>
      <c r="AC82" s="113">
        <f t="shared" si="11"/>
        <v>0.63402777777777775</v>
      </c>
      <c r="AD82" s="116">
        <f>IF(AC82="","",IF($D$14="Weekday",INDEX(Tbl_Wait_Wkday[#All],MATCH('Model 2 - Permutations'!AC82,Tbl_Wait_Wkday[[#All],[Time]],1),MATCH('Model 2 - Permutations'!F82,Tbl_Wait_Wkday[#Headers],0)),INDEX(Tbl_Wait_Wkend[#All],MATCH('Model 2 - Permutations'!AC82,Tbl_Wait_Wkend[[#All],[Time]],1),MATCH('Model 2 - Permutations'!F82,Tbl_Wait_Wkend[#Headers],0))))</f>
        <v>5.2083333333333329E-2</v>
      </c>
      <c r="AE82" s="117">
        <f>IF(AD82="","",VLOOKUP(F82,Tbl_Ride[#Data],2,FALSE))</f>
        <v>1.3888888888888889E-3</v>
      </c>
      <c r="AF82" s="118">
        <f t="shared" si="12"/>
        <v>0.6875</v>
      </c>
      <c r="AG82" s="114">
        <f t="shared" si="13"/>
        <v>0</v>
      </c>
      <c r="AH82" s="115">
        <f>IF(AG82="","",IF($D$5="Average",INDEX(Tbl_Walk_Avg[#All],MATCH('Model 2 - Permutations'!F82,Tbl_Walk_Avg[[#All],[Ride]],0),MATCH('Model 2 - Permutations'!G82,Tbl_Walk_Avg[#Headers],0)),INDEX(Tbl_Walk_Leisure[#All],MATCH('Model 2 - Permutations'!F82,Tbl_Walk_Leisure[[#All],[Ride]],0),MATCH('Model 2 - Permutations'!G82,Tbl_Walk_Leisure[#Headers],0))))</f>
        <v>6.2500000000000003E-3</v>
      </c>
      <c r="AI82" s="113">
        <f t="shared" si="14"/>
        <v>0.69374999999999998</v>
      </c>
      <c r="AJ82" s="116">
        <f>IF(AI82="","",IF($D$14="Weekday",INDEX(Tbl_Wait_Wkday[#All],MATCH('Model 2 - Permutations'!AI82,Tbl_Wait_Wkday[[#All],[Time]],1),MATCH('Model 2 - Permutations'!G82,Tbl_Wait_Wkday[#Headers],0)),INDEX(Tbl_Wait_Wkend[#All],MATCH('Model 2 - Permutations'!AI82,Tbl_Wait_Wkend[[#All],[Time]],1),MATCH('Model 2 - Permutations'!G82,Tbl_Wait_Wkend[#Headers],0))))</f>
        <v>1.7361111111111112E-2</v>
      </c>
      <c r="AK82" s="117">
        <f>IF(AJ82="","",VLOOKUP(G82,Tbl_Ride[#Data],2,FALSE))</f>
        <v>6.9444444444444447E-4</v>
      </c>
      <c r="AL82" s="118">
        <f t="shared" si="15"/>
        <v>0.71180555555555558</v>
      </c>
      <c r="AM82" s="114">
        <f t="shared" si="16"/>
        <v>0</v>
      </c>
      <c r="AN82" s="115">
        <f>IF(AM82="","",IF($D$5="Average",INDEX(Tbl_Walk_Avg[#All],MATCH('Model 2 - Permutations'!G82,Tbl_Walk_Avg[[#All],[Ride]],0),MATCH('Model 2 - Permutations'!H82,Tbl_Walk_Avg[#Headers],0)),INDEX(Tbl_Walk_Leisure[#All],MATCH('Model 2 - Permutations'!G82,Tbl_Walk_Leisure[[#All],[Ride]],0),MATCH('Model 2 - Permutations'!H82,Tbl_Walk_Leisure[#Headers],0))))</f>
        <v>6.2500000000000003E-3</v>
      </c>
      <c r="AO82" s="113">
        <f t="shared" si="17"/>
        <v>0.71805555555555556</v>
      </c>
      <c r="AP82" s="116">
        <f>IF(AO82="","",IF($D$14="Weekday",INDEX(Tbl_Wait_Wkday[#All],MATCH('Model 2 - Permutations'!AO82,Tbl_Wait_Wkday[[#All],[Time]],1),MATCH('Model 2 - Permutations'!H82,Tbl_Wait_Wkday[#Headers],0)),INDEX(Tbl_Wait_Wkend[#All],MATCH('Model 2 - Permutations'!AO82,Tbl_Wait_Wkend[[#All],[Time]],1),MATCH('Model 2 - Permutations'!H82,Tbl_Wait_Wkend[#Headers],0))))</f>
        <v>3.125E-2</v>
      </c>
      <c r="AQ82" s="117">
        <f>IF(AP82="","",VLOOKUP(H82,Tbl_Ride[#Data],2,FALSE))</f>
        <v>3.4722222222222225E-3</v>
      </c>
      <c r="AR82" s="118">
        <f t="shared" si="18"/>
        <v>0.75277777777777777</v>
      </c>
      <c r="AS82" s="119">
        <f t="shared" si="19"/>
        <v>2.5000000000000001E-2</v>
      </c>
      <c r="AT82" s="119">
        <f t="shared" si="20"/>
        <v>0.13541666666666666</v>
      </c>
      <c r="AU82" s="119">
        <f t="shared" si="21"/>
        <v>0.16041666666666665</v>
      </c>
    </row>
    <row r="83" spans="2:47">
      <c r="B83" s="111">
        <v>38</v>
      </c>
      <c r="C83" s="111" t="s">
        <v>66</v>
      </c>
      <c r="D83" s="112" t="str">
        <f t="shared" si="2"/>
        <v>Battlestart Galactica: Human</v>
      </c>
      <c r="E83" s="112" t="str">
        <f t="shared" si="2"/>
        <v>Revenge of the Mummy</v>
      </c>
      <c r="F83" s="112" t="str">
        <f t="shared" si="2"/>
        <v>Battlestar Galactica: Cylon</v>
      </c>
      <c r="G83" s="112" t="str">
        <f t="shared" si="2"/>
        <v>Transformers The Ride</v>
      </c>
      <c r="H83" s="112" t="str">
        <f t="shared" si="2"/>
        <v>Enchanted Airways</v>
      </c>
      <c r="I83" s="112">
        <v>2</v>
      </c>
      <c r="J83" s="112">
        <v>4</v>
      </c>
      <c r="K83" s="112">
        <v>1</v>
      </c>
      <c r="L83" s="112">
        <v>5</v>
      </c>
      <c r="M83" s="112">
        <v>3</v>
      </c>
      <c r="N83" s="113">
        <f t="shared" si="3"/>
        <v>0.5</v>
      </c>
      <c r="O83" s="114">
        <f t="shared" si="4"/>
        <v>0</v>
      </c>
      <c r="P83" s="115">
        <f>IF($D$5="Average",INDEX(Tbl_Walk_Avg[#All],MATCH('Model 2 - Permutations'!C83,Tbl_Walk_Avg[[#All],[Ride]],0),MATCH('Model 2 - Permutations'!D83,Tbl_Walk_Avg[#Headers],0)),INDEX(Tbl_Walk_Leisure[#All],MATCH('Model 2 - Permutations'!C83,Tbl_Walk_Leisure[[#All],[Ride]],0),MATCH('Model 2 - Permutations'!D83,Tbl_Walk_Leisure[#Headers],0)))</f>
        <v>6.9444444444444449E-3</v>
      </c>
      <c r="Q83" s="113">
        <f t="shared" si="5"/>
        <v>0.50694444444444442</v>
      </c>
      <c r="R83" s="116">
        <f>IF(Q83="","",IF($D$14="Weekday",INDEX(Tbl_Wait_Wkday[#All],MATCH('Model 2 - Permutations'!Q83,Tbl_Wait_Wkday[[#All],[Time]],1),MATCH('Model 2 - Permutations'!D83,Tbl_Wait_Wkday[#Headers],0)),INDEX(Tbl_Wait_Wkend[#All],MATCH('Model 2 - Permutations'!Q83,Tbl_Wait_Wkend[[#All],[Time]],1),MATCH('Model 2 - Permutations'!D83,Tbl_Wait_Wkend[#Headers],0))))</f>
        <v>2.4305555555555552E-2</v>
      </c>
      <c r="S83" s="117">
        <f>IF(R83="","",VLOOKUP(D83,Tbl_Ride[#Data],2,FALSE))</f>
        <v>1.3888888888888889E-3</v>
      </c>
      <c r="T83" s="118">
        <f t="shared" si="6"/>
        <v>0.53263888888888888</v>
      </c>
      <c r="U83" s="114">
        <f t="shared" si="7"/>
        <v>0</v>
      </c>
      <c r="V83" s="115">
        <f>IF(U83="","",IF($D$5="Average",INDEX(Tbl_Walk_Avg[#All],MATCH('Model 2 - Permutations'!D83,Tbl_Walk_Avg[[#All],[Ride]],0),MATCH('Model 2 - Permutations'!E83,Tbl_Walk_Avg[#Headers],0)),INDEX(Tbl_Walk_Leisure[#All],MATCH('Model 2 - Permutations'!D83,Tbl_Walk_Leisure[[#All],[Ride]],0),MATCH('Model 2 - Permutations'!E83,Tbl_Walk_Leisure[#Headers],0))))</f>
        <v>2.7777777777777779E-3</v>
      </c>
      <c r="W83" s="113">
        <f t="shared" si="8"/>
        <v>0.53541666666666665</v>
      </c>
      <c r="X83" s="116">
        <f>IF(W83="","",IF($D$14="Weekday",INDEX(Tbl_Wait_Wkday[#All],MATCH('Model 2 - Permutations'!W83,Tbl_Wait_Wkday[[#All],[Time]],1),MATCH('Model 2 - Permutations'!E83,Tbl_Wait_Wkday[#Headers],0)),INDEX(Tbl_Wait_Wkend[#All],MATCH('Model 2 - Permutations'!W83,Tbl_Wait_Wkend[[#All],[Time]],1),MATCH('Model 2 - Permutations'!E83,Tbl_Wait_Wkend[#Headers],0))))</f>
        <v>1.0416666666666666E-2</v>
      </c>
      <c r="Y83" s="117">
        <f>IF(X83="","",VLOOKUP(E83,Tbl_Ride[#Data],2,FALSE))</f>
        <v>2.0833333333333333E-3</v>
      </c>
      <c r="Z83" s="118">
        <f t="shared" si="9"/>
        <v>0.54791666666666661</v>
      </c>
      <c r="AA83" s="114">
        <f t="shared" si="10"/>
        <v>1</v>
      </c>
      <c r="AB83" s="115">
        <f>IF(AA83="","",IF($D$5="Average",INDEX(Tbl_Walk_Avg[#All],MATCH('Model 2 - Permutations'!E83,Tbl_Walk_Avg[[#All],[Ride]],0),MATCH('Model 2 - Permutations'!F83,Tbl_Walk_Avg[#Headers],0)),INDEX(Tbl_Walk_Leisure[#All],MATCH('Model 2 - Permutations'!E83,Tbl_Walk_Leisure[[#All],[Ride]],0),MATCH('Model 2 - Permutations'!F83,Tbl_Walk_Leisure[#Headers],0))))</f>
        <v>2.7777777777777779E-3</v>
      </c>
      <c r="AC83" s="113">
        <f t="shared" si="11"/>
        <v>0.63402777777777775</v>
      </c>
      <c r="AD83" s="116">
        <f>IF(AC83="","",IF($D$14="Weekday",INDEX(Tbl_Wait_Wkday[#All],MATCH('Model 2 - Permutations'!AC83,Tbl_Wait_Wkday[[#All],[Time]],1),MATCH('Model 2 - Permutations'!F83,Tbl_Wait_Wkday[#Headers],0)),INDEX(Tbl_Wait_Wkend[#All],MATCH('Model 2 - Permutations'!AC83,Tbl_Wait_Wkend[[#All],[Time]],1),MATCH('Model 2 - Permutations'!F83,Tbl_Wait_Wkend[#Headers],0))))</f>
        <v>5.2083333333333329E-2</v>
      </c>
      <c r="AE83" s="117">
        <f>IF(AD83="","",VLOOKUP(F83,Tbl_Ride[#Data],2,FALSE))</f>
        <v>1.3888888888888889E-3</v>
      </c>
      <c r="AF83" s="118">
        <f t="shared" si="12"/>
        <v>0.6875</v>
      </c>
      <c r="AG83" s="114">
        <f t="shared" si="13"/>
        <v>0</v>
      </c>
      <c r="AH83" s="115">
        <f>IF(AG83="","",IF($D$5="Average",INDEX(Tbl_Walk_Avg[#All],MATCH('Model 2 - Permutations'!F83,Tbl_Walk_Avg[[#All],[Ride]],0),MATCH('Model 2 - Permutations'!G83,Tbl_Walk_Avg[#Headers],0)),INDEX(Tbl_Walk_Leisure[#All],MATCH('Model 2 - Permutations'!F83,Tbl_Walk_Leisure[[#All],[Ride]],0),MATCH('Model 2 - Permutations'!G83,Tbl_Walk_Leisure[#Headers],0))))</f>
        <v>2.7777777777777779E-3</v>
      </c>
      <c r="AI83" s="113">
        <f t="shared" si="14"/>
        <v>0.69027777777777777</v>
      </c>
      <c r="AJ83" s="116">
        <f>IF(AI83="","",IF($D$14="Weekday",INDEX(Tbl_Wait_Wkday[#All],MATCH('Model 2 - Permutations'!AI83,Tbl_Wait_Wkday[[#All],[Time]],1),MATCH('Model 2 - Permutations'!G83,Tbl_Wait_Wkday[#Headers],0)),INDEX(Tbl_Wait_Wkend[#All],MATCH('Model 2 - Permutations'!AI83,Tbl_Wait_Wkend[[#All],[Time]],1),MATCH('Model 2 - Permutations'!G83,Tbl_Wait_Wkend[#Headers],0))))</f>
        <v>2.4305555555555552E-2</v>
      </c>
      <c r="AK83" s="117">
        <f>IF(AJ83="","",VLOOKUP(G83,Tbl_Ride[#Data],2,FALSE))</f>
        <v>3.4722222222222225E-3</v>
      </c>
      <c r="AL83" s="118">
        <f t="shared" si="15"/>
        <v>0.71805555555555556</v>
      </c>
      <c r="AM83" s="114">
        <f t="shared" si="16"/>
        <v>0</v>
      </c>
      <c r="AN83" s="115">
        <f>IF(AM83="","",IF($D$5="Average",INDEX(Tbl_Walk_Avg[#All],MATCH('Model 2 - Permutations'!G83,Tbl_Walk_Avg[[#All],[Ride]],0),MATCH('Model 2 - Permutations'!H83,Tbl_Walk_Avg[#Headers],0)),INDEX(Tbl_Walk_Leisure[#All],MATCH('Model 2 - Permutations'!G83,Tbl_Walk_Leisure[[#All],[Ride]],0),MATCH('Model 2 - Permutations'!H83,Tbl_Walk_Leisure[#Headers],0))))</f>
        <v>6.2500000000000003E-3</v>
      </c>
      <c r="AO83" s="113">
        <f t="shared" si="17"/>
        <v>0.72430555555555554</v>
      </c>
      <c r="AP83" s="116">
        <f>IF(AO83="","",IF($D$14="Weekday",INDEX(Tbl_Wait_Wkday[#All],MATCH('Model 2 - Permutations'!AO83,Tbl_Wait_Wkday[[#All],[Time]],1),MATCH('Model 2 - Permutations'!H83,Tbl_Wait_Wkday[#Headers],0)),INDEX(Tbl_Wait_Wkend[#All],MATCH('Model 2 - Permutations'!AO83,Tbl_Wait_Wkend[[#All],[Time]],1),MATCH('Model 2 - Permutations'!H83,Tbl_Wait_Wkend[#Headers],0))))</f>
        <v>1.7361111111111112E-2</v>
      </c>
      <c r="AQ83" s="117">
        <f>IF(AP83="","",VLOOKUP(H83,Tbl_Ride[#Data],2,FALSE))</f>
        <v>6.9444444444444447E-4</v>
      </c>
      <c r="AR83" s="118">
        <f t="shared" si="18"/>
        <v>0.74236111111111114</v>
      </c>
      <c r="AS83" s="119">
        <f t="shared" si="19"/>
        <v>2.1527777777777778E-2</v>
      </c>
      <c r="AT83" s="119">
        <f t="shared" si="20"/>
        <v>0.12847222222222221</v>
      </c>
      <c r="AU83" s="119">
        <f t="shared" si="21"/>
        <v>0.15</v>
      </c>
    </row>
    <row r="84" spans="2:47">
      <c r="B84" s="111">
        <v>39</v>
      </c>
      <c r="C84" s="111" t="s">
        <v>66</v>
      </c>
      <c r="D84" s="112" t="str">
        <f t="shared" si="2"/>
        <v>Battlestart Galactica: Human</v>
      </c>
      <c r="E84" s="112" t="str">
        <f t="shared" si="2"/>
        <v>Revenge of the Mummy</v>
      </c>
      <c r="F84" s="112" t="str">
        <f t="shared" si="2"/>
        <v>Enchanted Airways</v>
      </c>
      <c r="G84" s="112" t="str">
        <f t="shared" si="2"/>
        <v>Battlestar Galactica: Cylon</v>
      </c>
      <c r="H84" s="112" t="str">
        <f t="shared" si="2"/>
        <v>Transformers The Ride</v>
      </c>
      <c r="I84" s="112">
        <v>2</v>
      </c>
      <c r="J84" s="112">
        <v>4</v>
      </c>
      <c r="K84" s="112">
        <v>3</v>
      </c>
      <c r="L84" s="112">
        <v>1</v>
      </c>
      <c r="M84" s="112">
        <v>5</v>
      </c>
      <c r="N84" s="113">
        <f t="shared" si="3"/>
        <v>0.5</v>
      </c>
      <c r="O84" s="114">
        <f t="shared" si="4"/>
        <v>0</v>
      </c>
      <c r="P84" s="115">
        <f>IF($D$5="Average",INDEX(Tbl_Walk_Avg[#All],MATCH('Model 2 - Permutations'!C84,Tbl_Walk_Avg[[#All],[Ride]],0),MATCH('Model 2 - Permutations'!D84,Tbl_Walk_Avg[#Headers],0)),INDEX(Tbl_Walk_Leisure[#All],MATCH('Model 2 - Permutations'!C84,Tbl_Walk_Leisure[[#All],[Ride]],0),MATCH('Model 2 - Permutations'!D84,Tbl_Walk_Leisure[#Headers],0)))</f>
        <v>6.9444444444444449E-3</v>
      </c>
      <c r="Q84" s="113">
        <f t="shared" si="5"/>
        <v>0.50694444444444442</v>
      </c>
      <c r="R84" s="116">
        <f>IF(Q84="","",IF($D$14="Weekday",INDEX(Tbl_Wait_Wkday[#All],MATCH('Model 2 - Permutations'!Q84,Tbl_Wait_Wkday[[#All],[Time]],1),MATCH('Model 2 - Permutations'!D84,Tbl_Wait_Wkday[#Headers],0)),INDEX(Tbl_Wait_Wkend[#All],MATCH('Model 2 - Permutations'!Q84,Tbl_Wait_Wkend[[#All],[Time]],1),MATCH('Model 2 - Permutations'!D84,Tbl_Wait_Wkend[#Headers],0))))</f>
        <v>2.4305555555555552E-2</v>
      </c>
      <c r="S84" s="117">
        <f>IF(R84="","",VLOOKUP(D84,Tbl_Ride[#Data],2,FALSE))</f>
        <v>1.3888888888888889E-3</v>
      </c>
      <c r="T84" s="118">
        <f t="shared" si="6"/>
        <v>0.53263888888888888</v>
      </c>
      <c r="U84" s="114">
        <f t="shared" si="7"/>
        <v>0</v>
      </c>
      <c r="V84" s="115">
        <f>IF(U84="","",IF($D$5="Average",INDEX(Tbl_Walk_Avg[#All],MATCH('Model 2 - Permutations'!D84,Tbl_Walk_Avg[[#All],[Ride]],0),MATCH('Model 2 - Permutations'!E84,Tbl_Walk_Avg[#Headers],0)),INDEX(Tbl_Walk_Leisure[#All],MATCH('Model 2 - Permutations'!D84,Tbl_Walk_Leisure[[#All],[Ride]],0),MATCH('Model 2 - Permutations'!E84,Tbl_Walk_Leisure[#Headers],0))))</f>
        <v>2.7777777777777779E-3</v>
      </c>
      <c r="W84" s="113">
        <f t="shared" si="8"/>
        <v>0.53541666666666665</v>
      </c>
      <c r="X84" s="116">
        <f>IF(W84="","",IF($D$14="Weekday",INDEX(Tbl_Wait_Wkday[#All],MATCH('Model 2 - Permutations'!W84,Tbl_Wait_Wkday[[#All],[Time]],1),MATCH('Model 2 - Permutations'!E84,Tbl_Wait_Wkday[#Headers],0)),INDEX(Tbl_Wait_Wkend[#All],MATCH('Model 2 - Permutations'!W84,Tbl_Wait_Wkend[[#All],[Time]],1),MATCH('Model 2 - Permutations'!E84,Tbl_Wait_Wkend[#Headers],0))))</f>
        <v>1.0416666666666666E-2</v>
      </c>
      <c r="Y84" s="117">
        <f>IF(X84="","",VLOOKUP(E84,Tbl_Ride[#Data],2,FALSE))</f>
        <v>2.0833333333333333E-3</v>
      </c>
      <c r="Z84" s="118">
        <f t="shared" si="9"/>
        <v>0.54791666666666661</v>
      </c>
      <c r="AA84" s="114">
        <f t="shared" si="10"/>
        <v>1</v>
      </c>
      <c r="AB84" s="115">
        <f>IF(AA84="","",IF($D$5="Average",INDEX(Tbl_Walk_Avg[#All],MATCH('Model 2 - Permutations'!E84,Tbl_Walk_Avg[[#All],[Ride]],0),MATCH('Model 2 - Permutations'!F84,Tbl_Walk_Avg[#Headers],0)),INDEX(Tbl_Walk_Leisure[#All],MATCH('Model 2 - Permutations'!E84,Tbl_Walk_Leisure[[#All],[Ride]],0),MATCH('Model 2 - Permutations'!F84,Tbl_Walk_Leisure[#Headers],0))))</f>
        <v>4.8611111111111112E-3</v>
      </c>
      <c r="AC84" s="113">
        <f t="shared" si="11"/>
        <v>0.63611111111111107</v>
      </c>
      <c r="AD84" s="116">
        <f>IF(AC84="","",IF($D$14="Weekday",INDEX(Tbl_Wait_Wkday[#All],MATCH('Model 2 - Permutations'!AC84,Tbl_Wait_Wkday[[#All],[Time]],1),MATCH('Model 2 - Permutations'!F84,Tbl_Wait_Wkday[#Headers],0)),INDEX(Tbl_Wait_Wkend[#All],MATCH('Model 2 - Permutations'!AC84,Tbl_Wait_Wkend[[#All],[Time]],1),MATCH('Model 2 - Permutations'!F84,Tbl_Wait_Wkend[#Headers],0))))</f>
        <v>1.3888888888888888E-2</v>
      </c>
      <c r="AE84" s="117">
        <f>IF(AD84="","",VLOOKUP(F84,Tbl_Ride[#Data],2,FALSE))</f>
        <v>6.9444444444444447E-4</v>
      </c>
      <c r="AF84" s="118">
        <f t="shared" si="12"/>
        <v>0.65069444444444435</v>
      </c>
      <c r="AG84" s="114">
        <f t="shared" si="13"/>
        <v>0</v>
      </c>
      <c r="AH84" s="115">
        <f>IF(AG84="","",IF($D$5="Average",INDEX(Tbl_Walk_Avg[#All],MATCH('Model 2 - Permutations'!F84,Tbl_Walk_Avg[[#All],[Ride]],0),MATCH('Model 2 - Permutations'!G84,Tbl_Walk_Avg[#Headers],0)),INDEX(Tbl_Walk_Leisure[#All],MATCH('Model 2 - Permutations'!F84,Tbl_Walk_Leisure[[#All],[Ride]],0),MATCH('Model 2 - Permutations'!G84,Tbl_Walk_Leisure[#Headers],0))))</f>
        <v>6.2500000000000003E-3</v>
      </c>
      <c r="AI84" s="113">
        <f t="shared" si="14"/>
        <v>0.65694444444444433</v>
      </c>
      <c r="AJ84" s="116">
        <f>IF(AI84="","",IF($D$14="Weekday",INDEX(Tbl_Wait_Wkday[#All],MATCH('Model 2 - Permutations'!AI84,Tbl_Wait_Wkday[[#All],[Time]],1),MATCH('Model 2 - Permutations'!G84,Tbl_Wait_Wkday[#Headers],0)),INDEX(Tbl_Wait_Wkend[#All],MATCH('Model 2 - Permutations'!AI84,Tbl_Wait_Wkend[[#All],[Time]],1),MATCH('Model 2 - Permutations'!G84,Tbl_Wait_Wkend[#Headers],0))))</f>
        <v>5.2083333333333329E-2</v>
      </c>
      <c r="AK84" s="117">
        <f>IF(AJ84="","",VLOOKUP(G84,Tbl_Ride[#Data],2,FALSE))</f>
        <v>1.3888888888888889E-3</v>
      </c>
      <c r="AL84" s="118">
        <f t="shared" si="15"/>
        <v>0.71041666666666659</v>
      </c>
      <c r="AM84" s="114">
        <f t="shared" si="16"/>
        <v>0</v>
      </c>
      <c r="AN84" s="115">
        <f>IF(AM84="","",IF($D$5="Average",INDEX(Tbl_Walk_Avg[#All],MATCH('Model 2 - Permutations'!G84,Tbl_Walk_Avg[[#All],[Ride]],0),MATCH('Model 2 - Permutations'!H84,Tbl_Walk_Avg[#Headers],0)),INDEX(Tbl_Walk_Leisure[#All],MATCH('Model 2 - Permutations'!G84,Tbl_Walk_Leisure[[#All],[Ride]],0),MATCH('Model 2 - Permutations'!H84,Tbl_Walk_Leisure[#Headers],0))))</f>
        <v>2.7777777777777779E-3</v>
      </c>
      <c r="AO84" s="113">
        <f t="shared" si="17"/>
        <v>0.71319444444444435</v>
      </c>
      <c r="AP84" s="116">
        <f>IF(AO84="","",IF($D$14="Weekday",INDEX(Tbl_Wait_Wkday[#All],MATCH('Model 2 - Permutations'!AO84,Tbl_Wait_Wkday[[#All],[Time]],1),MATCH('Model 2 - Permutations'!H84,Tbl_Wait_Wkday[#Headers],0)),INDEX(Tbl_Wait_Wkend[#All],MATCH('Model 2 - Permutations'!AO84,Tbl_Wait_Wkend[[#All],[Time]],1),MATCH('Model 2 - Permutations'!H84,Tbl_Wait_Wkend[#Headers],0))))</f>
        <v>3.125E-2</v>
      </c>
      <c r="AQ84" s="117">
        <f>IF(AP84="","",VLOOKUP(H84,Tbl_Ride[#Data],2,FALSE))</f>
        <v>3.4722222222222225E-3</v>
      </c>
      <c r="AR84" s="118">
        <f t="shared" si="18"/>
        <v>0.74791666666666656</v>
      </c>
      <c r="AS84" s="119">
        <f t="shared" si="19"/>
        <v>2.3611111111111114E-2</v>
      </c>
      <c r="AT84" s="119">
        <f t="shared" si="20"/>
        <v>0.13194444444444442</v>
      </c>
      <c r="AU84" s="119">
        <f t="shared" si="21"/>
        <v>0.15555555555555553</v>
      </c>
    </row>
    <row r="85" spans="2:47">
      <c r="B85" s="111">
        <v>40</v>
      </c>
      <c r="C85" s="111" t="s">
        <v>66</v>
      </c>
      <c r="D85" s="112" t="str">
        <f t="shared" si="2"/>
        <v>Battlestart Galactica: Human</v>
      </c>
      <c r="E85" s="112" t="str">
        <f t="shared" si="2"/>
        <v>Revenge of the Mummy</v>
      </c>
      <c r="F85" s="112" t="str">
        <f t="shared" si="2"/>
        <v>Enchanted Airways</v>
      </c>
      <c r="G85" s="112" t="str">
        <f t="shared" si="2"/>
        <v>Transformers The Ride</v>
      </c>
      <c r="H85" s="112" t="str">
        <f t="shared" si="2"/>
        <v>Battlestar Galactica: Cylon</v>
      </c>
      <c r="I85" s="112">
        <v>2</v>
      </c>
      <c r="J85" s="112">
        <v>4</v>
      </c>
      <c r="K85" s="112">
        <v>3</v>
      </c>
      <c r="L85" s="112">
        <v>5</v>
      </c>
      <c r="M85" s="112">
        <v>1</v>
      </c>
      <c r="N85" s="113">
        <f t="shared" si="3"/>
        <v>0.5</v>
      </c>
      <c r="O85" s="114">
        <f t="shared" si="4"/>
        <v>0</v>
      </c>
      <c r="P85" s="115">
        <f>IF($D$5="Average",INDEX(Tbl_Walk_Avg[#All],MATCH('Model 2 - Permutations'!C85,Tbl_Walk_Avg[[#All],[Ride]],0),MATCH('Model 2 - Permutations'!D85,Tbl_Walk_Avg[#Headers],0)),INDEX(Tbl_Walk_Leisure[#All],MATCH('Model 2 - Permutations'!C85,Tbl_Walk_Leisure[[#All],[Ride]],0),MATCH('Model 2 - Permutations'!D85,Tbl_Walk_Leisure[#Headers],0)))</f>
        <v>6.9444444444444449E-3</v>
      </c>
      <c r="Q85" s="113">
        <f t="shared" si="5"/>
        <v>0.50694444444444442</v>
      </c>
      <c r="R85" s="116">
        <f>IF(Q85="","",IF($D$14="Weekday",INDEX(Tbl_Wait_Wkday[#All],MATCH('Model 2 - Permutations'!Q85,Tbl_Wait_Wkday[[#All],[Time]],1),MATCH('Model 2 - Permutations'!D85,Tbl_Wait_Wkday[#Headers],0)),INDEX(Tbl_Wait_Wkend[#All],MATCH('Model 2 - Permutations'!Q85,Tbl_Wait_Wkend[[#All],[Time]],1),MATCH('Model 2 - Permutations'!D85,Tbl_Wait_Wkend[#Headers],0))))</f>
        <v>2.4305555555555552E-2</v>
      </c>
      <c r="S85" s="117">
        <f>IF(R85="","",VLOOKUP(D85,Tbl_Ride[#Data],2,FALSE))</f>
        <v>1.3888888888888889E-3</v>
      </c>
      <c r="T85" s="118">
        <f t="shared" si="6"/>
        <v>0.53263888888888888</v>
      </c>
      <c r="U85" s="114">
        <f t="shared" si="7"/>
        <v>0</v>
      </c>
      <c r="V85" s="115">
        <f>IF(U85="","",IF($D$5="Average",INDEX(Tbl_Walk_Avg[#All],MATCH('Model 2 - Permutations'!D85,Tbl_Walk_Avg[[#All],[Ride]],0),MATCH('Model 2 - Permutations'!E85,Tbl_Walk_Avg[#Headers],0)),INDEX(Tbl_Walk_Leisure[#All],MATCH('Model 2 - Permutations'!D85,Tbl_Walk_Leisure[[#All],[Ride]],0),MATCH('Model 2 - Permutations'!E85,Tbl_Walk_Leisure[#Headers],0))))</f>
        <v>2.7777777777777779E-3</v>
      </c>
      <c r="W85" s="113">
        <f t="shared" si="8"/>
        <v>0.53541666666666665</v>
      </c>
      <c r="X85" s="116">
        <f>IF(W85="","",IF($D$14="Weekday",INDEX(Tbl_Wait_Wkday[#All],MATCH('Model 2 - Permutations'!W85,Tbl_Wait_Wkday[[#All],[Time]],1),MATCH('Model 2 - Permutations'!E85,Tbl_Wait_Wkday[#Headers],0)),INDEX(Tbl_Wait_Wkend[#All],MATCH('Model 2 - Permutations'!W85,Tbl_Wait_Wkend[[#All],[Time]],1),MATCH('Model 2 - Permutations'!E85,Tbl_Wait_Wkend[#Headers],0))))</f>
        <v>1.0416666666666666E-2</v>
      </c>
      <c r="Y85" s="117">
        <f>IF(X85="","",VLOOKUP(E85,Tbl_Ride[#Data],2,FALSE))</f>
        <v>2.0833333333333333E-3</v>
      </c>
      <c r="Z85" s="118">
        <f t="shared" si="9"/>
        <v>0.54791666666666661</v>
      </c>
      <c r="AA85" s="114">
        <f t="shared" si="10"/>
        <v>1</v>
      </c>
      <c r="AB85" s="115">
        <f>IF(AA85="","",IF($D$5="Average",INDEX(Tbl_Walk_Avg[#All],MATCH('Model 2 - Permutations'!E85,Tbl_Walk_Avg[[#All],[Ride]],0),MATCH('Model 2 - Permutations'!F85,Tbl_Walk_Avg[#Headers],0)),INDEX(Tbl_Walk_Leisure[#All],MATCH('Model 2 - Permutations'!E85,Tbl_Walk_Leisure[[#All],[Ride]],0),MATCH('Model 2 - Permutations'!F85,Tbl_Walk_Leisure[#Headers],0))))</f>
        <v>4.8611111111111112E-3</v>
      </c>
      <c r="AC85" s="113">
        <f t="shared" si="11"/>
        <v>0.63611111111111107</v>
      </c>
      <c r="AD85" s="116">
        <f>IF(AC85="","",IF($D$14="Weekday",INDEX(Tbl_Wait_Wkday[#All],MATCH('Model 2 - Permutations'!AC85,Tbl_Wait_Wkday[[#All],[Time]],1),MATCH('Model 2 - Permutations'!F85,Tbl_Wait_Wkday[#Headers],0)),INDEX(Tbl_Wait_Wkend[#All],MATCH('Model 2 - Permutations'!AC85,Tbl_Wait_Wkend[[#All],[Time]],1),MATCH('Model 2 - Permutations'!F85,Tbl_Wait_Wkend[#Headers],0))))</f>
        <v>1.3888888888888888E-2</v>
      </c>
      <c r="AE85" s="117">
        <f>IF(AD85="","",VLOOKUP(F85,Tbl_Ride[#Data],2,FALSE))</f>
        <v>6.9444444444444447E-4</v>
      </c>
      <c r="AF85" s="118">
        <f t="shared" si="12"/>
        <v>0.65069444444444435</v>
      </c>
      <c r="AG85" s="114">
        <f t="shared" si="13"/>
        <v>0</v>
      </c>
      <c r="AH85" s="115">
        <f>IF(AG85="","",IF($D$5="Average",INDEX(Tbl_Walk_Avg[#All],MATCH('Model 2 - Permutations'!F85,Tbl_Walk_Avg[[#All],[Ride]],0),MATCH('Model 2 - Permutations'!G85,Tbl_Walk_Avg[#Headers],0)),INDEX(Tbl_Walk_Leisure[#All],MATCH('Model 2 - Permutations'!F85,Tbl_Walk_Leisure[[#All],[Ride]],0),MATCH('Model 2 - Permutations'!G85,Tbl_Walk_Leisure[#Headers],0))))</f>
        <v>6.2500000000000003E-3</v>
      </c>
      <c r="AI85" s="113">
        <f t="shared" si="14"/>
        <v>0.65694444444444433</v>
      </c>
      <c r="AJ85" s="116">
        <f>IF(AI85="","",IF($D$14="Weekday",INDEX(Tbl_Wait_Wkday[#All],MATCH('Model 2 - Permutations'!AI85,Tbl_Wait_Wkday[[#All],[Time]],1),MATCH('Model 2 - Permutations'!G85,Tbl_Wait_Wkday[#Headers],0)),INDEX(Tbl_Wait_Wkend[#All],MATCH('Model 2 - Permutations'!AI85,Tbl_Wait_Wkend[[#All],[Time]],1),MATCH('Model 2 - Permutations'!G85,Tbl_Wait_Wkend[#Headers],0))))</f>
        <v>2.4305555555555552E-2</v>
      </c>
      <c r="AK85" s="117">
        <f>IF(AJ85="","",VLOOKUP(G85,Tbl_Ride[#Data],2,FALSE))</f>
        <v>3.4722222222222225E-3</v>
      </c>
      <c r="AL85" s="118">
        <f t="shared" si="15"/>
        <v>0.68472222222222212</v>
      </c>
      <c r="AM85" s="114">
        <f t="shared" si="16"/>
        <v>0</v>
      </c>
      <c r="AN85" s="115">
        <f>IF(AM85="","",IF($D$5="Average",INDEX(Tbl_Walk_Avg[#All],MATCH('Model 2 - Permutations'!G85,Tbl_Walk_Avg[[#All],[Ride]],0),MATCH('Model 2 - Permutations'!H85,Tbl_Walk_Avg[#Headers],0)),INDEX(Tbl_Walk_Leisure[#All],MATCH('Model 2 - Permutations'!G85,Tbl_Walk_Leisure[[#All],[Ride]],0),MATCH('Model 2 - Permutations'!H85,Tbl_Walk_Leisure[#Headers],0))))</f>
        <v>2.7777777777777779E-3</v>
      </c>
      <c r="AO85" s="113">
        <f t="shared" si="17"/>
        <v>0.68749999999999989</v>
      </c>
      <c r="AP85" s="116">
        <f>IF(AO85="","",IF($D$14="Weekday",INDEX(Tbl_Wait_Wkday[#All],MATCH('Model 2 - Permutations'!AO85,Tbl_Wait_Wkday[[#All],[Time]],1),MATCH('Model 2 - Permutations'!H85,Tbl_Wait_Wkday[#Headers],0)),INDEX(Tbl_Wait_Wkend[#All],MATCH('Model 2 - Permutations'!AO85,Tbl_Wait_Wkend[[#All],[Time]],1),MATCH('Model 2 - Permutations'!H85,Tbl_Wait_Wkend[#Headers],0))))</f>
        <v>3.4722222222222224E-2</v>
      </c>
      <c r="AQ85" s="117">
        <f>IF(AP85="","",VLOOKUP(H85,Tbl_Ride[#Data],2,FALSE))</f>
        <v>1.3888888888888889E-3</v>
      </c>
      <c r="AR85" s="118">
        <f t="shared" si="18"/>
        <v>0.72361111111111098</v>
      </c>
      <c r="AS85" s="119">
        <f t="shared" si="19"/>
        <v>2.3611111111111114E-2</v>
      </c>
      <c r="AT85" s="119">
        <f t="shared" si="20"/>
        <v>0.10763888888888888</v>
      </c>
      <c r="AU85" s="119">
        <f t="shared" si="21"/>
        <v>0.13125000000000001</v>
      </c>
    </row>
    <row r="86" spans="2:47">
      <c r="B86" s="111">
        <v>41</v>
      </c>
      <c r="C86" s="111" t="s">
        <v>66</v>
      </c>
      <c r="D86" s="112" t="str">
        <f t="shared" si="2"/>
        <v>Battlestart Galactica: Human</v>
      </c>
      <c r="E86" s="112" t="str">
        <f t="shared" si="2"/>
        <v>Revenge of the Mummy</v>
      </c>
      <c r="F86" s="112" t="str">
        <f t="shared" si="2"/>
        <v>Transformers The Ride</v>
      </c>
      <c r="G86" s="112" t="str">
        <f t="shared" si="2"/>
        <v>Battlestar Galactica: Cylon</v>
      </c>
      <c r="H86" s="112" t="str">
        <f t="shared" si="2"/>
        <v>Enchanted Airways</v>
      </c>
      <c r="I86" s="112">
        <v>2</v>
      </c>
      <c r="J86" s="112">
        <v>4</v>
      </c>
      <c r="K86" s="112">
        <v>5</v>
      </c>
      <c r="L86" s="112">
        <v>1</v>
      </c>
      <c r="M86" s="112">
        <v>3</v>
      </c>
      <c r="N86" s="113">
        <f t="shared" si="3"/>
        <v>0.5</v>
      </c>
      <c r="O86" s="114">
        <f t="shared" si="4"/>
        <v>0</v>
      </c>
      <c r="P86" s="115">
        <f>IF($D$5="Average",INDEX(Tbl_Walk_Avg[#All],MATCH('Model 2 - Permutations'!C86,Tbl_Walk_Avg[[#All],[Ride]],0),MATCH('Model 2 - Permutations'!D86,Tbl_Walk_Avg[#Headers],0)),INDEX(Tbl_Walk_Leisure[#All],MATCH('Model 2 - Permutations'!C86,Tbl_Walk_Leisure[[#All],[Ride]],0),MATCH('Model 2 - Permutations'!D86,Tbl_Walk_Leisure[#Headers],0)))</f>
        <v>6.9444444444444449E-3</v>
      </c>
      <c r="Q86" s="113">
        <f t="shared" si="5"/>
        <v>0.50694444444444442</v>
      </c>
      <c r="R86" s="116">
        <f>IF(Q86="","",IF($D$14="Weekday",INDEX(Tbl_Wait_Wkday[#All],MATCH('Model 2 - Permutations'!Q86,Tbl_Wait_Wkday[[#All],[Time]],1),MATCH('Model 2 - Permutations'!D86,Tbl_Wait_Wkday[#Headers],0)),INDEX(Tbl_Wait_Wkend[#All],MATCH('Model 2 - Permutations'!Q86,Tbl_Wait_Wkend[[#All],[Time]],1),MATCH('Model 2 - Permutations'!D86,Tbl_Wait_Wkend[#Headers],0))))</f>
        <v>2.4305555555555552E-2</v>
      </c>
      <c r="S86" s="117">
        <f>IF(R86="","",VLOOKUP(D86,Tbl_Ride[#Data],2,FALSE))</f>
        <v>1.3888888888888889E-3</v>
      </c>
      <c r="T86" s="118">
        <f t="shared" si="6"/>
        <v>0.53263888888888888</v>
      </c>
      <c r="U86" s="114">
        <f t="shared" si="7"/>
        <v>0</v>
      </c>
      <c r="V86" s="115">
        <f>IF(U86="","",IF($D$5="Average",INDEX(Tbl_Walk_Avg[#All],MATCH('Model 2 - Permutations'!D86,Tbl_Walk_Avg[[#All],[Ride]],0),MATCH('Model 2 - Permutations'!E86,Tbl_Walk_Avg[#Headers],0)),INDEX(Tbl_Walk_Leisure[#All],MATCH('Model 2 - Permutations'!D86,Tbl_Walk_Leisure[[#All],[Ride]],0),MATCH('Model 2 - Permutations'!E86,Tbl_Walk_Leisure[#Headers],0))))</f>
        <v>2.7777777777777779E-3</v>
      </c>
      <c r="W86" s="113">
        <f t="shared" si="8"/>
        <v>0.53541666666666665</v>
      </c>
      <c r="X86" s="116">
        <f>IF(W86="","",IF($D$14="Weekday",INDEX(Tbl_Wait_Wkday[#All],MATCH('Model 2 - Permutations'!W86,Tbl_Wait_Wkday[[#All],[Time]],1),MATCH('Model 2 - Permutations'!E86,Tbl_Wait_Wkday[#Headers],0)),INDEX(Tbl_Wait_Wkend[#All],MATCH('Model 2 - Permutations'!W86,Tbl_Wait_Wkend[[#All],[Time]],1),MATCH('Model 2 - Permutations'!E86,Tbl_Wait_Wkend[#Headers],0))))</f>
        <v>1.0416666666666666E-2</v>
      </c>
      <c r="Y86" s="117">
        <f>IF(X86="","",VLOOKUP(E86,Tbl_Ride[#Data],2,FALSE))</f>
        <v>2.0833333333333333E-3</v>
      </c>
      <c r="Z86" s="118">
        <f t="shared" si="9"/>
        <v>0.54791666666666661</v>
      </c>
      <c r="AA86" s="114">
        <f t="shared" si="10"/>
        <v>1</v>
      </c>
      <c r="AB86" s="115">
        <f>IF(AA86="","",IF($D$5="Average",INDEX(Tbl_Walk_Avg[#All],MATCH('Model 2 - Permutations'!E86,Tbl_Walk_Avg[[#All],[Ride]],0),MATCH('Model 2 - Permutations'!F86,Tbl_Walk_Avg[#Headers],0)),INDEX(Tbl_Walk_Leisure[#All],MATCH('Model 2 - Permutations'!E86,Tbl_Walk_Leisure[[#All],[Ride]],0),MATCH('Model 2 - Permutations'!F86,Tbl_Walk_Leisure[#Headers],0))))</f>
        <v>4.1666666666666666E-3</v>
      </c>
      <c r="AC86" s="113">
        <f t="shared" si="11"/>
        <v>0.63541666666666663</v>
      </c>
      <c r="AD86" s="116">
        <f>IF(AC86="","",IF($D$14="Weekday",INDEX(Tbl_Wait_Wkday[#All],MATCH('Model 2 - Permutations'!AC86,Tbl_Wait_Wkday[[#All],[Time]],1),MATCH('Model 2 - Permutations'!F86,Tbl_Wait_Wkday[#Headers],0)),INDEX(Tbl_Wait_Wkend[#All],MATCH('Model 2 - Permutations'!AC86,Tbl_Wait_Wkend[[#All],[Time]],1),MATCH('Model 2 - Permutations'!F86,Tbl_Wait_Wkend[#Headers],0))))</f>
        <v>2.4305555555555552E-2</v>
      </c>
      <c r="AE86" s="117">
        <f>IF(AD86="","",VLOOKUP(F86,Tbl_Ride[#Data],2,FALSE))</f>
        <v>3.4722222222222225E-3</v>
      </c>
      <c r="AF86" s="118">
        <f t="shared" si="12"/>
        <v>0.66319444444444442</v>
      </c>
      <c r="AG86" s="114">
        <f t="shared" si="13"/>
        <v>0</v>
      </c>
      <c r="AH86" s="115">
        <f>IF(AG86="","",IF($D$5="Average",INDEX(Tbl_Walk_Avg[#All],MATCH('Model 2 - Permutations'!F86,Tbl_Walk_Avg[[#All],[Ride]],0),MATCH('Model 2 - Permutations'!G86,Tbl_Walk_Avg[#Headers],0)),INDEX(Tbl_Walk_Leisure[#All],MATCH('Model 2 - Permutations'!F86,Tbl_Walk_Leisure[[#All],[Ride]],0),MATCH('Model 2 - Permutations'!G86,Tbl_Walk_Leisure[#Headers],0))))</f>
        <v>2.7777777777777779E-3</v>
      </c>
      <c r="AI86" s="113">
        <f t="shared" si="14"/>
        <v>0.66597222222222219</v>
      </c>
      <c r="AJ86" s="116">
        <f>IF(AI86="","",IF($D$14="Weekday",INDEX(Tbl_Wait_Wkday[#All],MATCH('Model 2 - Permutations'!AI86,Tbl_Wait_Wkday[[#All],[Time]],1),MATCH('Model 2 - Permutations'!G86,Tbl_Wait_Wkday[#Headers],0)),INDEX(Tbl_Wait_Wkend[#All],MATCH('Model 2 - Permutations'!AI86,Tbl_Wait_Wkend[[#All],[Time]],1),MATCH('Model 2 - Permutations'!G86,Tbl_Wait_Wkend[#Headers],0))))</f>
        <v>5.2083333333333329E-2</v>
      </c>
      <c r="AK86" s="117">
        <f>IF(AJ86="","",VLOOKUP(G86,Tbl_Ride[#Data],2,FALSE))</f>
        <v>1.3888888888888889E-3</v>
      </c>
      <c r="AL86" s="118">
        <f t="shared" si="15"/>
        <v>0.71944444444444444</v>
      </c>
      <c r="AM86" s="114">
        <f t="shared" si="16"/>
        <v>0</v>
      </c>
      <c r="AN86" s="115">
        <f>IF(AM86="","",IF($D$5="Average",INDEX(Tbl_Walk_Avg[#All],MATCH('Model 2 - Permutations'!G86,Tbl_Walk_Avg[[#All],[Ride]],0),MATCH('Model 2 - Permutations'!H86,Tbl_Walk_Avg[#Headers],0)),INDEX(Tbl_Walk_Leisure[#All],MATCH('Model 2 - Permutations'!G86,Tbl_Walk_Leisure[[#All],[Ride]],0),MATCH('Model 2 - Permutations'!H86,Tbl_Walk_Leisure[#Headers],0))))</f>
        <v>6.2500000000000003E-3</v>
      </c>
      <c r="AO86" s="113">
        <f t="shared" si="17"/>
        <v>0.72569444444444442</v>
      </c>
      <c r="AP86" s="116">
        <f>IF(AO86="","",IF($D$14="Weekday",INDEX(Tbl_Wait_Wkday[#All],MATCH('Model 2 - Permutations'!AO86,Tbl_Wait_Wkday[[#All],[Time]],1),MATCH('Model 2 - Permutations'!H86,Tbl_Wait_Wkday[#Headers],0)),INDEX(Tbl_Wait_Wkend[#All],MATCH('Model 2 - Permutations'!AO86,Tbl_Wait_Wkend[[#All],[Time]],1),MATCH('Model 2 - Permutations'!H86,Tbl_Wait_Wkend[#Headers],0))))</f>
        <v>1.7361111111111112E-2</v>
      </c>
      <c r="AQ86" s="117">
        <f>IF(AP86="","",VLOOKUP(H86,Tbl_Ride[#Data],2,FALSE))</f>
        <v>6.9444444444444447E-4</v>
      </c>
      <c r="AR86" s="118">
        <f t="shared" si="18"/>
        <v>0.74375000000000002</v>
      </c>
      <c r="AS86" s="119">
        <f t="shared" si="19"/>
        <v>2.2916666666666669E-2</v>
      </c>
      <c r="AT86" s="119">
        <f t="shared" si="20"/>
        <v>0.12847222222222221</v>
      </c>
      <c r="AU86" s="119">
        <f t="shared" si="21"/>
        <v>0.15138888888888888</v>
      </c>
    </row>
    <row r="87" spans="2:47">
      <c r="B87" s="111">
        <v>42</v>
      </c>
      <c r="C87" s="111" t="s">
        <v>66</v>
      </c>
      <c r="D87" s="112" t="str">
        <f t="shared" si="2"/>
        <v>Battlestart Galactica: Human</v>
      </c>
      <c r="E87" s="112" t="str">
        <f t="shared" si="2"/>
        <v>Revenge of the Mummy</v>
      </c>
      <c r="F87" s="112" t="str">
        <f t="shared" si="2"/>
        <v>Transformers The Ride</v>
      </c>
      <c r="G87" s="112" t="str">
        <f t="shared" si="2"/>
        <v>Enchanted Airways</v>
      </c>
      <c r="H87" s="112" t="str">
        <f t="shared" si="2"/>
        <v>Battlestar Galactica: Cylon</v>
      </c>
      <c r="I87" s="112">
        <v>2</v>
      </c>
      <c r="J87" s="112">
        <v>4</v>
      </c>
      <c r="K87" s="112">
        <v>5</v>
      </c>
      <c r="L87" s="112">
        <v>3</v>
      </c>
      <c r="M87" s="112">
        <v>1</v>
      </c>
      <c r="N87" s="113">
        <f t="shared" si="3"/>
        <v>0.5</v>
      </c>
      <c r="O87" s="114">
        <f t="shared" si="4"/>
        <v>0</v>
      </c>
      <c r="P87" s="115">
        <f>IF($D$5="Average",INDEX(Tbl_Walk_Avg[#All],MATCH('Model 2 - Permutations'!C87,Tbl_Walk_Avg[[#All],[Ride]],0),MATCH('Model 2 - Permutations'!D87,Tbl_Walk_Avg[#Headers],0)),INDEX(Tbl_Walk_Leisure[#All],MATCH('Model 2 - Permutations'!C87,Tbl_Walk_Leisure[[#All],[Ride]],0),MATCH('Model 2 - Permutations'!D87,Tbl_Walk_Leisure[#Headers],0)))</f>
        <v>6.9444444444444449E-3</v>
      </c>
      <c r="Q87" s="113">
        <f t="shared" si="5"/>
        <v>0.50694444444444442</v>
      </c>
      <c r="R87" s="116">
        <f>IF(Q87="","",IF($D$14="Weekday",INDEX(Tbl_Wait_Wkday[#All],MATCH('Model 2 - Permutations'!Q87,Tbl_Wait_Wkday[[#All],[Time]],1),MATCH('Model 2 - Permutations'!D87,Tbl_Wait_Wkday[#Headers],0)),INDEX(Tbl_Wait_Wkend[#All],MATCH('Model 2 - Permutations'!Q87,Tbl_Wait_Wkend[[#All],[Time]],1),MATCH('Model 2 - Permutations'!D87,Tbl_Wait_Wkend[#Headers],0))))</f>
        <v>2.4305555555555552E-2</v>
      </c>
      <c r="S87" s="117">
        <f>IF(R87="","",VLOOKUP(D87,Tbl_Ride[#Data],2,FALSE))</f>
        <v>1.3888888888888889E-3</v>
      </c>
      <c r="T87" s="118">
        <f t="shared" si="6"/>
        <v>0.53263888888888888</v>
      </c>
      <c r="U87" s="114">
        <f t="shared" si="7"/>
        <v>0</v>
      </c>
      <c r="V87" s="115">
        <f>IF(U87="","",IF($D$5="Average",INDEX(Tbl_Walk_Avg[#All],MATCH('Model 2 - Permutations'!D87,Tbl_Walk_Avg[[#All],[Ride]],0),MATCH('Model 2 - Permutations'!E87,Tbl_Walk_Avg[#Headers],0)),INDEX(Tbl_Walk_Leisure[#All],MATCH('Model 2 - Permutations'!D87,Tbl_Walk_Leisure[[#All],[Ride]],0),MATCH('Model 2 - Permutations'!E87,Tbl_Walk_Leisure[#Headers],0))))</f>
        <v>2.7777777777777779E-3</v>
      </c>
      <c r="W87" s="113">
        <f t="shared" si="8"/>
        <v>0.53541666666666665</v>
      </c>
      <c r="X87" s="116">
        <f>IF(W87="","",IF($D$14="Weekday",INDEX(Tbl_Wait_Wkday[#All],MATCH('Model 2 - Permutations'!W87,Tbl_Wait_Wkday[[#All],[Time]],1),MATCH('Model 2 - Permutations'!E87,Tbl_Wait_Wkday[#Headers],0)),INDEX(Tbl_Wait_Wkend[#All],MATCH('Model 2 - Permutations'!W87,Tbl_Wait_Wkend[[#All],[Time]],1),MATCH('Model 2 - Permutations'!E87,Tbl_Wait_Wkend[#Headers],0))))</f>
        <v>1.0416666666666666E-2</v>
      </c>
      <c r="Y87" s="117">
        <f>IF(X87="","",VLOOKUP(E87,Tbl_Ride[#Data],2,FALSE))</f>
        <v>2.0833333333333333E-3</v>
      </c>
      <c r="Z87" s="118">
        <f t="shared" si="9"/>
        <v>0.54791666666666661</v>
      </c>
      <c r="AA87" s="114">
        <f t="shared" si="10"/>
        <v>1</v>
      </c>
      <c r="AB87" s="115">
        <f>IF(AA87="","",IF($D$5="Average",INDEX(Tbl_Walk_Avg[#All],MATCH('Model 2 - Permutations'!E87,Tbl_Walk_Avg[[#All],[Ride]],0),MATCH('Model 2 - Permutations'!F87,Tbl_Walk_Avg[#Headers],0)),INDEX(Tbl_Walk_Leisure[#All],MATCH('Model 2 - Permutations'!E87,Tbl_Walk_Leisure[[#All],[Ride]],0),MATCH('Model 2 - Permutations'!F87,Tbl_Walk_Leisure[#Headers],0))))</f>
        <v>4.1666666666666666E-3</v>
      </c>
      <c r="AC87" s="113">
        <f t="shared" si="11"/>
        <v>0.63541666666666663</v>
      </c>
      <c r="AD87" s="116">
        <f>IF(AC87="","",IF($D$14="Weekday",INDEX(Tbl_Wait_Wkday[#All],MATCH('Model 2 - Permutations'!AC87,Tbl_Wait_Wkday[[#All],[Time]],1),MATCH('Model 2 - Permutations'!F87,Tbl_Wait_Wkday[#Headers],0)),INDEX(Tbl_Wait_Wkend[#All],MATCH('Model 2 - Permutations'!AC87,Tbl_Wait_Wkend[[#All],[Time]],1),MATCH('Model 2 - Permutations'!F87,Tbl_Wait_Wkend[#Headers],0))))</f>
        <v>2.4305555555555552E-2</v>
      </c>
      <c r="AE87" s="117">
        <f>IF(AD87="","",VLOOKUP(F87,Tbl_Ride[#Data],2,FALSE))</f>
        <v>3.4722222222222225E-3</v>
      </c>
      <c r="AF87" s="118">
        <f t="shared" si="12"/>
        <v>0.66319444444444442</v>
      </c>
      <c r="AG87" s="114">
        <f t="shared" si="13"/>
        <v>0</v>
      </c>
      <c r="AH87" s="115">
        <f>IF(AG87="","",IF($D$5="Average",INDEX(Tbl_Walk_Avg[#All],MATCH('Model 2 - Permutations'!F87,Tbl_Walk_Avg[[#All],[Ride]],0),MATCH('Model 2 - Permutations'!G87,Tbl_Walk_Avg[#Headers],0)),INDEX(Tbl_Walk_Leisure[#All],MATCH('Model 2 - Permutations'!F87,Tbl_Walk_Leisure[[#All],[Ride]],0),MATCH('Model 2 - Permutations'!G87,Tbl_Walk_Leisure[#Headers],0))))</f>
        <v>6.2500000000000003E-3</v>
      </c>
      <c r="AI87" s="113">
        <f t="shared" si="14"/>
        <v>0.6694444444444444</v>
      </c>
      <c r="AJ87" s="116">
        <f>IF(AI87="","",IF($D$14="Weekday",INDEX(Tbl_Wait_Wkday[#All],MATCH('Model 2 - Permutations'!AI87,Tbl_Wait_Wkday[[#All],[Time]],1),MATCH('Model 2 - Permutations'!G87,Tbl_Wait_Wkday[#Headers],0)),INDEX(Tbl_Wait_Wkend[#All],MATCH('Model 2 - Permutations'!AI87,Tbl_Wait_Wkend[[#All],[Time]],1),MATCH('Model 2 - Permutations'!G87,Tbl_Wait_Wkend[#Headers],0))))</f>
        <v>1.7361111111111112E-2</v>
      </c>
      <c r="AK87" s="117">
        <f>IF(AJ87="","",VLOOKUP(G87,Tbl_Ride[#Data],2,FALSE))</f>
        <v>6.9444444444444447E-4</v>
      </c>
      <c r="AL87" s="118">
        <f t="shared" si="15"/>
        <v>0.6875</v>
      </c>
      <c r="AM87" s="114">
        <f t="shared" si="16"/>
        <v>0</v>
      </c>
      <c r="AN87" s="115">
        <f>IF(AM87="","",IF($D$5="Average",INDEX(Tbl_Walk_Avg[#All],MATCH('Model 2 - Permutations'!G87,Tbl_Walk_Avg[[#All],[Ride]],0),MATCH('Model 2 - Permutations'!H87,Tbl_Walk_Avg[#Headers],0)),INDEX(Tbl_Walk_Leisure[#All],MATCH('Model 2 - Permutations'!G87,Tbl_Walk_Leisure[[#All],[Ride]],0),MATCH('Model 2 - Permutations'!H87,Tbl_Walk_Leisure[#Headers],0))))</f>
        <v>6.2500000000000003E-3</v>
      </c>
      <c r="AO87" s="113">
        <f t="shared" si="17"/>
        <v>0.69374999999999998</v>
      </c>
      <c r="AP87" s="116">
        <f>IF(AO87="","",IF($D$14="Weekday",INDEX(Tbl_Wait_Wkday[#All],MATCH('Model 2 - Permutations'!AO87,Tbl_Wait_Wkday[[#All],[Time]],1),MATCH('Model 2 - Permutations'!H87,Tbl_Wait_Wkday[#Headers],0)),INDEX(Tbl_Wait_Wkend[#All],MATCH('Model 2 - Permutations'!AO87,Tbl_Wait_Wkend[[#All],[Time]],1),MATCH('Model 2 - Permutations'!H87,Tbl_Wait_Wkend[#Headers],0))))</f>
        <v>3.4722222222222224E-2</v>
      </c>
      <c r="AQ87" s="117">
        <f>IF(AP87="","",VLOOKUP(H87,Tbl_Ride[#Data],2,FALSE))</f>
        <v>1.3888888888888889E-3</v>
      </c>
      <c r="AR87" s="118">
        <f t="shared" si="18"/>
        <v>0.72986111111111107</v>
      </c>
      <c r="AS87" s="119">
        <f t="shared" si="19"/>
        <v>2.6388888888888885E-2</v>
      </c>
      <c r="AT87" s="119">
        <f t="shared" si="20"/>
        <v>0.1111111111111111</v>
      </c>
      <c r="AU87" s="119">
        <f t="shared" si="21"/>
        <v>0.13749999999999998</v>
      </c>
    </row>
    <row r="88" spans="2:47">
      <c r="B88" s="111">
        <v>43</v>
      </c>
      <c r="C88" s="111" t="s">
        <v>66</v>
      </c>
      <c r="D88" s="112" t="str">
        <f t="shared" si="2"/>
        <v>Battlestart Galactica: Human</v>
      </c>
      <c r="E88" s="112" t="str">
        <f t="shared" si="2"/>
        <v>Transformers The Ride</v>
      </c>
      <c r="F88" s="112" t="str">
        <f t="shared" si="2"/>
        <v>Battlestar Galactica: Cylon</v>
      </c>
      <c r="G88" s="112" t="str">
        <f t="shared" si="2"/>
        <v>Enchanted Airways</v>
      </c>
      <c r="H88" s="112" t="str">
        <f t="shared" si="2"/>
        <v>Revenge of the Mummy</v>
      </c>
      <c r="I88" s="112">
        <v>2</v>
      </c>
      <c r="J88" s="112">
        <v>5</v>
      </c>
      <c r="K88" s="112">
        <v>1</v>
      </c>
      <c r="L88" s="112">
        <v>3</v>
      </c>
      <c r="M88" s="112">
        <v>4</v>
      </c>
      <c r="N88" s="113">
        <f t="shared" si="3"/>
        <v>0.5</v>
      </c>
      <c r="O88" s="114">
        <f t="shared" si="4"/>
        <v>0</v>
      </c>
      <c r="P88" s="115">
        <f>IF($D$5="Average",INDEX(Tbl_Walk_Avg[#All],MATCH('Model 2 - Permutations'!C88,Tbl_Walk_Avg[[#All],[Ride]],0),MATCH('Model 2 - Permutations'!D88,Tbl_Walk_Avg[#Headers],0)),INDEX(Tbl_Walk_Leisure[#All],MATCH('Model 2 - Permutations'!C88,Tbl_Walk_Leisure[[#All],[Ride]],0),MATCH('Model 2 - Permutations'!D88,Tbl_Walk_Leisure[#Headers],0)))</f>
        <v>6.9444444444444449E-3</v>
      </c>
      <c r="Q88" s="113">
        <f t="shared" si="5"/>
        <v>0.50694444444444442</v>
      </c>
      <c r="R88" s="116">
        <f>IF(Q88="","",IF($D$14="Weekday",INDEX(Tbl_Wait_Wkday[#All],MATCH('Model 2 - Permutations'!Q88,Tbl_Wait_Wkday[[#All],[Time]],1),MATCH('Model 2 - Permutations'!D88,Tbl_Wait_Wkday[#Headers],0)),INDEX(Tbl_Wait_Wkend[#All],MATCH('Model 2 - Permutations'!Q88,Tbl_Wait_Wkend[[#All],[Time]],1),MATCH('Model 2 - Permutations'!D88,Tbl_Wait_Wkend[#Headers],0))))</f>
        <v>2.4305555555555552E-2</v>
      </c>
      <c r="S88" s="117">
        <f>IF(R88="","",VLOOKUP(D88,Tbl_Ride[#Data],2,FALSE))</f>
        <v>1.3888888888888889E-3</v>
      </c>
      <c r="T88" s="118">
        <f t="shared" si="6"/>
        <v>0.53263888888888888</v>
      </c>
      <c r="U88" s="114">
        <f t="shared" si="7"/>
        <v>0</v>
      </c>
      <c r="V88" s="115">
        <f>IF(U88="","",IF($D$5="Average",INDEX(Tbl_Walk_Avg[#All],MATCH('Model 2 - Permutations'!D88,Tbl_Walk_Avg[[#All],[Ride]],0),MATCH('Model 2 - Permutations'!E88,Tbl_Walk_Avg[#Headers],0)),INDEX(Tbl_Walk_Leisure[#All],MATCH('Model 2 - Permutations'!D88,Tbl_Walk_Leisure[[#All],[Ride]],0),MATCH('Model 2 - Permutations'!E88,Tbl_Walk_Leisure[#Headers],0))))</f>
        <v>2.7777777777777779E-3</v>
      </c>
      <c r="W88" s="113">
        <f t="shared" si="8"/>
        <v>0.53541666666666665</v>
      </c>
      <c r="X88" s="116">
        <f>IF(W88="","",IF($D$14="Weekday",INDEX(Tbl_Wait_Wkday[#All],MATCH('Model 2 - Permutations'!W88,Tbl_Wait_Wkday[[#All],[Time]],1),MATCH('Model 2 - Permutations'!E88,Tbl_Wait_Wkday[#Headers],0)),INDEX(Tbl_Wait_Wkend[#All],MATCH('Model 2 - Permutations'!W88,Tbl_Wait_Wkend[[#All],[Time]],1),MATCH('Model 2 - Permutations'!E88,Tbl_Wait_Wkend[#Headers],0))))</f>
        <v>6.5972222222222224E-2</v>
      </c>
      <c r="Y88" s="117">
        <f>IF(X88="","",VLOOKUP(E88,Tbl_Ride[#Data],2,FALSE))</f>
        <v>3.4722222222222225E-3</v>
      </c>
      <c r="Z88" s="118">
        <f t="shared" si="9"/>
        <v>0.60486111111111107</v>
      </c>
      <c r="AA88" s="114">
        <f t="shared" si="10"/>
        <v>1</v>
      </c>
      <c r="AB88" s="115">
        <f>IF(AA88="","",IF($D$5="Average",INDEX(Tbl_Walk_Avg[#All],MATCH('Model 2 - Permutations'!E88,Tbl_Walk_Avg[[#All],[Ride]],0),MATCH('Model 2 - Permutations'!F88,Tbl_Walk_Avg[#Headers],0)),INDEX(Tbl_Walk_Leisure[#All],MATCH('Model 2 - Permutations'!E88,Tbl_Walk_Leisure[[#All],[Ride]],0),MATCH('Model 2 - Permutations'!F88,Tbl_Walk_Leisure[#Headers],0))))</f>
        <v>2.7777777777777779E-3</v>
      </c>
      <c r="AC88" s="113">
        <f t="shared" si="11"/>
        <v>0.69097222222222221</v>
      </c>
      <c r="AD88" s="116">
        <f>IF(AC88="","",IF($D$14="Weekday",INDEX(Tbl_Wait_Wkday[#All],MATCH('Model 2 - Permutations'!AC88,Tbl_Wait_Wkday[[#All],[Time]],1),MATCH('Model 2 - Permutations'!F88,Tbl_Wait_Wkday[#Headers],0)),INDEX(Tbl_Wait_Wkend[#All],MATCH('Model 2 - Permutations'!AC88,Tbl_Wait_Wkend[[#All],[Time]],1),MATCH('Model 2 - Permutations'!F88,Tbl_Wait_Wkend[#Headers],0))))</f>
        <v>3.4722222222222224E-2</v>
      </c>
      <c r="AE88" s="117">
        <f>IF(AD88="","",VLOOKUP(F88,Tbl_Ride[#Data],2,FALSE))</f>
        <v>1.3888888888888889E-3</v>
      </c>
      <c r="AF88" s="118">
        <f t="shared" si="12"/>
        <v>0.7270833333333333</v>
      </c>
      <c r="AG88" s="114">
        <f t="shared" si="13"/>
        <v>0</v>
      </c>
      <c r="AH88" s="115">
        <f>IF(AG88="","",IF($D$5="Average",INDEX(Tbl_Walk_Avg[#All],MATCH('Model 2 - Permutations'!F88,Tbl_Walk_Avg[[#All],[Ride]],0),MATCH('Model 2 - Permutations'!G88,Tbl_Walk_Avg[#Headers],0)),INDEX(Tbl_Walk_Leisure[#All],MATCH('Model 2 - Permutations'!F88,Tbl_Walk_Leisure[[#All],[Ride]],0),MATCH('Model 2 - Permutations'!G88,Tbl_Walk_Leisure[#Headers],0))))</f>
        <v>6.2500000000000003E-3</v>
      </c>
      <c r="AI88" s="113">
        <f t="shared" si="14"/>
        <v>0.73333333333333328</v>
      </c>
      <c r="AJ88" s="116">
        <f>IF(AI88="","",IF($D$14="Weekday",INDEX(Tbl_Wait_Wkday[#All],MATCH('Model 2 - Permutations'!AI88,Tbl_Wait_Wkday[[#All],[Time]],1),MATCH('Model 2 - Permutations'!G88,Tbl_Wait_Wkday[#Headers],0)),INDEX(Tbl_Wait_Wkend[#All],MATCH('Model 2 - Permutations'!AI88,Tbl_Wait_Wkend[[#All],[Time]],1),MATCH('Model 2 - Permutations'!G88,Tbl_Wait_Wkend[#Headers],0))))</f>
        <v>1.7361111111111112E-2</v>
      </c>
      <c r="AK88" s="117">
        <f>IF(AJ88="","",VLOOKUP(G88,Tbl_Ride[#Data],2,FALSE))</f>
        <v>6.9444444444444447E-4</v>
      </c>
      <c r="AL88" s="118">
        <f t="shared" si="15"/>
        <v>0.75138888888888888</v>
      </c>
      <c r="AM88" s="114">
        <f t="shared" si="16"/>
        <v>0</v>
      </c>
      <c r="AN88" s="115">
        <f>IF(AM88="","",IF($D$5="Average",INDEX(Tbl_Walk_Avg[#All],MATCH('Model 2 - Permutations'!G88,Tbl_Walk_Avg[[#All],[Ride]],0),MATCH('Model 2 - Permutations'!H88,Tbl_Walk_Avg[#Headers],0)),INDEX(Tbl_Walk_Leisure[#All],MATCH('Model 2 - Permutations'!G88,Tbl_Walk_Leisure[[#All],[Ride]],0),MATCH('Model 2 - Permutations'!H88,Tbl_Walk_Leisure[#Headers],0))))</f>
        <v>4.8611111111111112E-3</v>
      </c>
      <c r="AO88" s="113" t="str">
        <f t="shared" si="17"/>
        <v/>
      </c>
      <c r="AP88" s="116" t="str">
        <f>IF(AO88="","",IF($D$14="Weekday",INDEX(Tbl_Wait_Wkday[#All],MATCH('Model 2 - Permutations'!AO88,Tbl_Wait_Wkday[[#All],[Time]],1),MATCH('Model 2 - Permutations'!H88,Tbl_Wait_Wkday[#Headers],0)),INDEX(Tbl_Wait_Wkend[#All],MATCH('Model 2 - Permutations'!AO88,Tbl_Wait_Wkend[[#All],[Time]],1),MATCH('Model 2 - Permutations'!H88,Tbl_Wait_Wkend[#Headers],0))))</f>
        <v/>
      </c>
      <c r="AQ88" s="117" t="str">
        <f>IF(AP88="","",VLOOKUP(H88,Tbl_Ride[#Data],2,FALSE))</f>
        <v/>
      </c>
      <c r="AR88" s="118" t="str">
        <f t="shared" si="18"/>
        <v/>
      </c>
      <c r="AS88" s="119" t="str">
        <f t="shared" si="19"/>
        <v>Incomplete</v>
      </c>
      <c r="AT88" s="119" t="str">
        <f t="shared" si="20"/>
        <v>Incomplete</v>
      </c>
      <c r="AU88" s="119" t="str">
        <f t="shared" si="21"/>
        <v>Incomplete</v>
      </c>
    </row>
    <row r="89" spans="2:47">
      <c r="B89" s="111">
        <v>44</v>
      </c>
      <c r="C89" s="111" t="s">
        <v>66</v>
      </c>
      <c r="D89" s="112" t="str">
        <f t="shared" si="2"/>
        <v>Battlestart Galactica: Human</v>
      </c>
      <c r="E89" s="112" t="str">
        <f t="shared" si="2"/>
        <v>Transformers The Ride</v>
      </c>
      <c r="F89" s="112" t="str">
        <f t="shared" si="2"/>
        <v>Battlestar Galactica: Cylon</v>
      </c>
      <c r="G89" s="112" t="str">
        <f t="shared" si="2"/>
        <v>Revenge of the Mummy</v>
      </c>
      <c r="H89" s="112" t="str">
        <f t="shared" si="2"/>
        <v>Enchanted Airways</v>
      </c>
      <c r="I89" s="112">
        <v>2</v>
      </c>
      <c r="J89" s="112">
        <v>5</v>
      </c>
      <c r="K89" s="112">
        <v>1</v>
      </c>
      <c r="L89" s="112">
        <v>4</v>
      </c>
      <c r="M89" s="112">
        <v>3</v>
      </c>
      <c r="N89" s="113">
        <f t="shared" si="3"/>
        <v>0.5</v>
      </c>
      <c r="O89" s="114">
        <f t="shared" si="4"/>
        <v>0</v>
      </c>
      <c r="P89" s="115">
        <f>IF($D$5="Average",INDEX(Tbl_Walk_Avg[#All],MATCH('Model 2 - Permutations'!C89,Tbl_Walk_Avg[[#All],[Ride]],0),MATCH('Model 2 - Permutations'!D89,Tbl_Walk_Avg[#Headers],0)),INDEX(Tbl_Walk_Leisure[#All],MATCH('Model 2 - Permutations'!C89,Tbl_Walk_Leisure[[#All],[Ride]],0),MATCH('Model 2 - Permutations'!D89,Tbl_Walk_Leisure[#Headers],0)))</f>
        <v>6.9444444444444449E-3</v>
      </c>
      <c r="Q89" s="113">
        <f t="shared" si="5"/>
        <v>0.50694444444444442</v>
      </c>
      <c r="R89" s="116">
        <f>IF(Q89="","",IF($D$14="Weekday",INDEX(Tbl_Wait_Wkday[#All],MATCH('Model 2 - Permutations'!Q89,Tbl_Wait_Wkday[[#All],[Time]],1),MATCH('Model 2 - Permutations'!D89,Tbl_Wait_Wkday[#Headers],0)),INDEX(Tbl_Wait_Wkend[#All],MATCH('Model 2 - Permutations'!Q89,Tbl_Wait_Wkend[[#All],[Time]],1),MATCH('Model 2 - Permutations'!D89,Tbl_Wait_Wkend[#Headers],0))))</f>
        <v>2.4305555555555552E-2</v>
      </c>
      <c r="S89" s="117">
        <f>IF(R89="","",VLOOKUP(D89,Tbl_Ride[#Data],2,FALSE))</f>
        <v>1.3888888888888889E-3</v>
      </c>
      <c r="T89" s="118">
        <f t="shared" si="6"/>
        <v>0.53263888888888888</v>
      </c>
      <c r="U89" s="114">
        <f t="shared" si="7"/>
        <v>0</v>
      </c>
      <c r="V89" s="115">
        <f>IF(U89="","",IF($D$5="Average",INDEX(Tbl_Walk_Avg[#All],MATCH('Model 2 - Permutations'!D89,Tbl_Walk_Avg[[#All],[Ride]],0),MATCH('Model 2 - Permutations'!E89,Tbl_Walk_Avg[#Headers],0)),INDEX(Tbl_Walk_Leisure[#All],MATCH('Model 2 - Permutations'!D89,Tbl_Walk_Leisure[[#All],[Ride]],0),MATCH('Model 2 - Permutations'!E89,Tbl_Walk_Leisure[#Headers],0))))</f>
        <v>2.7777777777777779E-3</v>
      </c>
      <c r="W89" s="113">
        <f t="shared" si="8"/>
        <v>0.53541666666666665</v>
      </c>
      <c r="X89" s="116">
        <f>IF(W89="","",IF($D$14="Weekday",INDEX(Tbl_Wait_Wkday[#All],MATCH('Model 2 - Permutations'!W89,Tbl_Wait_Wkday[[#All],[Time]],1),MATCH('Model 2 - Permutations'!E89,Tbl_Wait_Wkday[#Headers],0)),INDEX(Tbl_Wait_Wkend[#All],MATCH('Model 2 - Permutations'!W89,Tbl_Wait_Wkend[[#All],[Time]],1),MATCH('Model 2 - Permutations'!E89,Tbl_Wait_Wkend[#Headers],0))))</f>
        <v>6.5972222222222224E-2</v>
      </c>
      <c r="Y89" s="117">
        <f>IF(X89="","",VLOOKUP(E89,Tbl_Ride[#Data],2,FALSE))</f>
        <v>3.4722222222222225E-3</v>
      </c>
      <c r="Z89" s="118">
        <f t="shared" si="9"/>
        <v>0.60486111111111107</v>
      </c>
      <c r="AA89" s="114">
        <f t="shared" si="10"/>
        <v>1</v>
      </c>
      <c r="AB89" s="115">
        <f>IF(AA89="","",IF($D$5="Average",INDEX(Tbl_Walk_Avg[#All],MATCH('Model 2 - Permutations'!E89,Tbl_Walk_Avg[[#All],[Ride]],0),MATCH('Model 2 - Permutations'!F89,Tbl_Walk_Avg[#Headers],0)),INDEX(Tbl_Walk_Leisure[#All],MATCH('Model 2 - Permutations'!E89,Tbl_Walk_Leisure[[#All],[Ride]],0),MATCH('Model 2 - Permutations'!F89,Tbl_Walk_Leisure[#Headers],0))))</f>
        <v>2.7777777777777779E-3</v>
      </c>
      <c r="AC89" s="113">
        <f t="shared" si="11"/>
        <v>0.69097222222222221</v>
      </c>
      <c r="AD89" s="116">
        <f>IF(AC89="","",IF($D$14="Weekday",INDEX(Tbl_Wait_Wkday[#All],MATCH('Model 2 - Permutations'!AC89,Tbl_Wait_Wkday[[#All],[Time]],1),MATCH('Model 2 - Permutations'!F89,Tbl_Wait_Wkday[#Headers],0)),INDEX(Tbl_Wait_Wkend[#All],MATCH('Model 2 - Permutations'!AC89,Tbl_Wait_Wkend[[#All],[Time]],1),MATCH('Model 2 - Permutations'!F89,Tbl_Wait_Wkend[#Headers],0))))</f>
        <v>3.4722222222222224E-2</v>
      </c>
      <c r="AE89" s="117">
        <f>IF(AD89="","",VLOOKUP(F89,Tbl_Ride[#Data],2,FALSE))</f>
        <v>1.3888888888888889E-3</v>
      </c>
      <c r="AF89" s="118">
        <f t="shared" si="12"/>
        <v>0.7270833333333333</v>
      </c>
      <c r="AG89" s="114">
        <f t="shared" si="13"/>
        <v>0</v>
      </c>
      <c r="AH89" s="115">
        <f>IF(AG89="","",IF($D$5="Average",INDEX(Tbl_Walk_Avg[#All],MATCH('Model 2 - Permutations'!F89,Tbl_Walk_Avg[[#All],[Ride]],0),MATCH('Model 2 - Permutations'!G89,Tbl_Walk_Avg[#Headers],0)),INDEX(Tbl_Walk_Leisure[#All],MATCH('Model 2 - Permutations'!F89,Tbl_Walk_Leisure[[#All],[Ride]],0),MATCH('Model 2 - Permutations'!G89,Tbl_Walk_Leisure[#Headers],0))))</f>
        <v>2.7777777777777779E-3</v>
      </c>
      <c r="AI89" s="113">
        <f t="shared" si="14"/>
        <v>0.72986111111111107</v>
      </c>
      <c r="AJ89" s="116">
        <f>IF(AI89="","",IF($D$14="Weekday",INDEX(Tbl_Wait_Wkday[#All],MATCH('Model 2 - Permutations'!AI89,Tbl_Wait_Wkday[[#All],[Time]],1),MATCH('Model 2 - Permutations'!G89,Tbl_Wait_Wkday[#Headers],0)),INDEX(Tbl_Wait_Wkend[#All],MATCH('Model 2 - Permutations'!AI89,Tbl_Wait_Wkend[[#All],[Time]],1),MATCH('Model 2 - Permutations'!G89,Tbl_Wait_Wkend[#Headers],0))))</f>
        <v>2.4305555555555552E-2</v>
      </c>
      <c r="AK89" s="117">
        <f>IF(AJ89="","",VLOOKUP(G89,Tbl_Ride[#Data],2,FALSE))</f>
        <v>2.0833333333333333E-3</v>
      </c>
      <c r="AL89" s="118">
        <f t="shared" si="15"/>
        <v>0.75624999999999998</v>
      </c>
      <c r="AM89" s="114">
        <f t="shared" si="16"/>
        <v>0</v>
      </c>
      <c r="AN89" s="115">
        <f>IF(AM89="","",IF($D$5="Average",INDEX(Tbl_Walk_Avg[#All],MATCH('Model 2 - Permutations'!G89,Tbl_Walk_Avg[[#All],[Ride]],0),MATCH('Model 2 - Permutations'!H89,Tbl_Walk_Avg[#Headers],0)),INDEX(Tbl_Walk_Leisure[#All],MATCH('Model 2 - Permutations'!G89,Tbl_Walk_Leisure[[#All],[Ride]],0),MATCH('Model 2 - Permutations'!H89,Tbl_Walk_Leisure[#Headers],0))))</f>
        <v>4.8611111111111112E-3</v>
      </c>
      <c r="AO89" s="113" t="str">
        <f t="shared" si="17"/>
        <v/>
      </c>
      <c r="AP89" s="116" t="str">
        <f>IF(AO89="","",IF($D$14="Weekday",INDEX(Tbl_Wait_Wkday[#All],MATCH('Model 2 - Permutations'!AO89,Tbl_Wait_Wkday[[#All],[Time]],1),MATCH('Model 2 - Permutations'!H89,Tbl_Wait_Wkday[#Headers],0)),INDEX(Tbl_Wait_Wkend[#All],MATCH('Model 2 - Permutations'!AO89,Tbl_Wait_Wkend[[#All],[Time]],1),MATCH('Model 2 - Permutations'!H89,Tbl_Wait_Wkend[#Headers],0))))</f>
        <v/>
      </c>
      <c r="AQ89" s="117" t="str">
        <f>IF(AP89="","",VLOOKUP(H89,Tbl_Ride[#Data],2,FALSE))</f>
        <v/>
      </c>
      <c r="AR89" s="118" t="str">
        <f t="shared" si="18"/>
        <v/>
      </c>
      <c r="AS89" s="119" t="str">
        <f t="shared" si="19"/>
        <v>Incomplete</v>
      </c>
      <c r="AT89" s="119" t="str">
        <f t="shared" si="20"/>
        <v>Incomplete</v>
      </c>
      <c r="AU89" s="119" t="str">
        <f t="shared" si="21"/>
        <v>Incomplete</v>
      </c>
    </row>
    <row r="90" spans="2:47">
      <c r="B90" s="111">
        <v>45</v>
      </c>
      <c r="C90" s="111" t="s">
        <v>66</v>
      </c>
      <c r="D90" s="112" t="str">
        <f t="shared" si="2"/>
        <v>Battlestart Galactica: Human</v>
      </c>
      <c r="E90" s="112" t="str">
        <f t="shared" si="2"/>
        <v>Transformers The Ride</v>
      </c>
      <c r="F90" s="112" t="str">
        <f t="shared" si="2"/>
        <v>Enchanted Airways</v>
      </c>
      <c r="G90" s="112" t="str">
        <f t="shared" si="2"/>
        <v>Battlestar Galactica: Cylon</v>
      </c>
      <c r="H90" s="112" t="str">
        <f t="shared" si="2"/>
        <v>Revenge of the Mummy</v>
      </c>
      <c r="I90" s="112">
        <v>2</v>
      </c>
      <c r="J90" s="112">
        <v>5</v>
      </c>
      <c r="K90" s="112">
        <v>3</v>
      </c>
      <c r="L90" s="112">
        <v>1</v>
      </c>
      <c r="M90" s="112">
        <v>4</v>
      </c>
      <c r="N90" s="113">
        <f t="shared" si="3"/>
        <v>0.5</v>
      </c>
      <c r="O90" s="114">
        <f t="shared" si="4"/>
        <v>0</v>
      </c>
      <c r="P90" s="115">
        <f>IF($D$5="Average",INDEX(Tbl_Walk_Avg[#All],MATCH('Model 2 - Permutations'!C90,Tbl_Walk_Avg[[#All],[Ride]],0),MATCH('Model 2 - Permutations'!D90,Tbl_Walk_Avg[#Headers],0)),INDEX(Tbl_Walk_Leisure[#All],MATCH('Model 2 - Permutations'!C90,Tbl_Walk_Leisure[[#All],[Ride]],0),MATCH('Model 2 - Permutations'!D90,Tbl_Walk_Leisure[#Headers],0)))</f>
        <v>6.9444444444444449E-3</v>
      </c>
      <c r="Q90" s="113">
        <f t="shared" si="5"/>
        <v>0.50694444444444442</v>
      </c>
      <c r="R90" s="116">
        <f>IF(Q90="","",IF($D$14="Weekday",INDEX(Tbl_Wait_Wkday[#All],MATCH('Model 2 - Permutations'!Q90,Tbl_Wait_Wkday[[#All],[Time]],1),MATCH('Model 2 - Permutations'!D90,Tbl_Wait_Wkday[#Headers],0)),INDEX(Tbl_Wait_Wkend[#All],MATCH('Model 2 - Permutations'!Q90,Tbl_Wait_Wkend[[#All],[Time]],1),MATCH('Model 2 - Permutations'!D90,Tbl_Wait_Wkend[#Headers],0))))</f>
        <v>2.4305555555555552E-2</v>
      </c>
      <c r="S90" s="117">
        <f>IF(R90="","",VLOOKUP(D90,Tbl_Ride[#Data],2,FALSE))</f>
        <v>1.3888888888888889E-3</v>
      </c>
      <c r="T90" s="118">
        <f t="shared" si="6"/>
        <v>0.53263888888888888</v>
      </c>
      <c r="U90" s="114">
        <f t="shared" si="7"/>
        <v>0</v>
      </c>
      <c r="V90" s="115">
        <f>IF(U90="","",IF($D$5="Average",INDEX(Tbl_Walk_Avg[#All],MATCH('Model 2 - Permutations'!D90,Tbl_Walk_Avg[[#All],[Ride]],0),MATCH('Model 2 - Permutations'!E90,Tbl_Walk_Avg[#Headers],0)),INDEX(Tbl_Walk_Leisure[#All],MATCH('Model 2 - Permutations'!D90,Tbl_Walk_Leisure[[#All],[Ride]],0),MATCH('Model 2 - Permutations'!E90,Tbl_Walk_Leisure[#Headers],0))))</f>
        <v>2.7777777777777779E-3</v>
      </c>
      <c r="W90" s="113">
        <f t="shared" si="8"/>
        <v>0.53541666666666665</v>
      </c>
      <c r="X90" s="116">
        <f>IF(W90="","",IF($D$14="Weekday",INDEX(Tbl_Wait_Wkday[#All],MATCH('Model 2 - Permutations'!W90,Tbl_Wait_Wkday[[#All],[Time]],1),MATCH('Model 2 - Permutations'!E90,Tbl_Wait_Wkday[#Headers],0)),INDEX(Tbl_Wait_Wkend[#All],MATCH('Model 2 - Permutations'!W90,Tbl_Wait_Wkend[[#All],[Time]],1),MATCH('Model 2 - Permutations'!E90,Tbl_Wait_Wkend[#Headers],0))))</f>
        <v>6.5972222222222224E-2</v>
      </c>
      <c r="Y90" s="117">
        <f>IF(X90="","",VLOOKUP(E90,Tbl_Ride[#Data],2,FALSE))</f>
        <v>3.4722222222222225E-3</v>
      </c>
      <c r="Z90" s="118">
        <f t="shared" si="9"/>
        <v>0.60486111111111107</v>
      </c>
      <c r="AA90" s="114">
        <f t="shared" si="10"/>
        <v>1</v>
      </c>
      <c r="AB90" s="115">
        <f>IF(AA90="","",IF($D$5="Average",INDEX(Tbl_Walk_Avg[#All],MATCH('Model 2 - Permutations'!E90,Tbl_Walk_Avg[[#All],[Ride]],0),MATCH('Model 2 - Permutations'!F90,Tbl_Walk_Avg[#Headers],0)),INDEX(Tbl_Walk_Leisure[#All],MATCH('Model 2 - Permutations'!E90,Tbl_Walk_Leisure[[#All],[Ride]],0),MATCH('Model 2 - Permutations'!F90,Tbl_Walk_Leisure[#Headers],0))))</f>
        <v>6.2500000000000003E-3</v>
      </c>
      <c r="AC90" s="113">
        <f t="shared" si="11"/>
        <v>0.69444444444444442</v>
      </c>
      <c r="AD90" s="116">
        <f>IF(AC90="","",IF($D$14="Weekday",INDEX(Tbl_Wait_Wkday[#All],MATCH('Model 2 - Permutations'!AC90,Tbl_Wait_Wkday[[#All],[Time]],1),MATCH('Model 2 - Permutations'!F90,Tbl_Wait_Wkday[#Headers],0)),INDEX(Tbl_Wait_Wkend[#All],MATCH('Model 2 - Permutations'!AC90,Tbl_Wait_Wkend[[#All],[Time]],1),MATCH('Model 2 - Permutations'!F90,Tbl_Wait_Wkend[#Headers],0))))</f>
        <v>1.7361111111111112E-2</v>
      </c>
      <c r="AE90" s="117">
        <f>IF(AD90="","",VLOOKUP(F90,Tbl_Ride[#Data],2,FALSE))</f>
        <v>6.9444444444444447E-4</v>
      </c>
      <c r="AF90" s="118">
        <f t="shared" si="12"/>
        <v>0.71250000000000002</v>
      </c>
      <c r="AG90" s="114">
        <f t="shared" si="13"/>
        <v>0</v>
      </c>
      <c r="AH90" s="115">
        <f>IF(AG90="","",IF($D$5="Average",INDEX(Tbl_Walk_Avg[#All],MATCH('Model 2 - Permutations'!F90,Tbl_Walk_Avg[[#All],[Ride]],0),MATCH('Model 2 - Permutations'!G90,Tbl_Walk_Avg[#Headers],0)),INDEX(Tbl_Walk_Leisure[#All],MATCH('Model 2 - Permutations'!F90,Tbl_Walk_Leisure[[#All],[Ride]],0),MATCH('Model 2 - Permutations'!G90,Tbl_Walk_Leisure[#Headers],0))))</f>
        <v>6.2500000000000003E-3</v>
      </c>
      <c r="AI90" s="113">
        <f t="shared" si="14"/>
        <v>0.71875</v>
      </c>
      <c r="AJ90" s="116">
        <f>IF(AI90="","",IF($D$14="Weekday",INDEX(Tbl_Wait_Wkday[#All],MATCH('Model 2 - Permutations'!AI90,Tbl_Wait_Wkday[[#All],[Time]],1),MATCH('Model 2 - Permutations'!G90,Tbl_Wait_Wkday[#Headers],0)),INDEX(Tbl_Wait_Wkend[#All],MATCH('Model 2 - Permutations'!AI90,Tbl_Wait_Wkend[[#All],[Time]],1),MATCH('Model 2 - Permutations'!G90,Tbl_Wait_Wkend[#Headers],0))))</f>
        <v>3.8194444444444441E-2</v>
      </c>
      <c r="AK90" s="117">
        <f>IF(AJ90="","",VLOOKUP(G90,Tbl_Ride[#Data],2,FALSE))</f>
        <v>1.3888888888888889E-3</v>
      </c>
      <c r="AL90" s="118">
        <f t="shared" si="15"/>
        <v>0.7583333333333333</v>
      </c>
      <c r="AM90" s="114">
        <f t="shared" si="16"/>
        <v>0</v>
      </c>
      <c r="AN90" s="115">
        <f>IF(AM90="","",IF($D$5="Average",INDEX(Tbl_Walk_Avg[#All],MATCH('Model 2 - Permutations'!G90,Tbl_Walk_Avg[[#All],[Ride]],0),MATCH('Model 2 - Permutations'!H90,Tbl_Walk_Avg[#Headers],0)),INDEX(Tbl_Walk_Leisure[#All],MATCH('Model 2 - Permutations'!G90,Tbl_Walk_Leisure[[#All],[Ride]],0),MATCH('Model 2 - Permutations'!H90,Tbl_Walk_Leisure[#Headers],0))))</f>
        <v>2.7777777777777779E-3</v>
      </c>
      <c r="AO90" s="113" t="str">
        <f t="shared" si="17"/>
        <v/>
      </c>
      <c r="AP90" s="116" t="str">
        <f>IF(AO90="","",IF($D$14="Weekday",INDEX(Tbl_Wait_Wkday[#All],MATCH('Model 2 - Permutations'!AO90,Tbl_Wait_Wkday[[#All],[Time]],1),MATCH('Model 2 - Permutations'!H90,Tbl_Wait_Wkday[#Headers],0)),INDEX(Tbl_Wait_Wkend[#All],MATCH('Model 2 - Permutations'!AO90,Tbl_Wait_Wkend[[#All],[Time]],1),MATCH('Model 2 - Permutations'!H90,Tbl_Wait_Wkend[#Headers],0))))</f>
        <v/>
      </c>
      <c r="AQ90" s="117" t="str">
        <f>IF(AP90="","",VLOOKUP(H90,Tbl_Ride[#Data],2,FALSE))</f>
        <v/>
      </c>
      <c r="AR90" s="118" t="str">
        <f t="shared" si="18"/>
        <v/>
      </c>
      <c r="AS90" s="119" t="str">
        <f t="shared" si="19"/>
        <v>Incomplete</v>
      </c>
      <c r="AT90" s="119" t="str">
        <f t="shared" si="20"/>
        <v>Incomplete</v>
      </c>
      <c r="AU90" s="119" t="str">
        <f t="shared" si="21"/>
        <v>Incomplete</v>
      </c>
    </row>
    <row r="91" spans="2:47">
      <c r="B91" s="111">
        <v>46</v>
      </c>
      <c r="C91" s="111" t="s">
        <v>66</v>
      </c>
      <c r="D91" s="112" t="str">
        <f t="shared" si="2"/>
        <v>Battlestart Galactica: Human</v>
      </c>
      <c r="E91" s="112" t="str">
        <f t="shared" si="2"/>
        <v>Transformers The Ride</v>
      </c>
      <c r="F91" s="112" t="str">
        <f t="shared" si="2"/>
        <v>Enchanted Airways</v>
      </c>
      <c r="G91" s="112" t="str">
        <f t="shared" si="2"/>
        <v>Revenge of the Mummy</v>
      </c>
      <c r="H91" s="112" t="str">
        <f t="shared" si="2"/>
        <v>Battlestar Galactica: Cylon</v>
      </c>
      <c r="I91" s="112">
        <v>2</v>
      </c>
      <c r="J91" s="112">
        <v>5</v>
      </c>
      <c r="K91" s="112">
        <v>3</v>
      </c>
      <c r="L91" s="112">
        <v>4</v>
      </c>
      <c r="M91" s="112">
        <v>1</v>
      </c>
      <c r="N91" s="113">
        <f t="shared" si="3"/>
        <v>0.5</v>
      </c>
      <c r="O91" s="114">
        <f t="shared" si="4"/>
        <v>0</v>
      </c>
      <c r="P91" s="115">
        <f>IF($D$5="Average",INDEX(Tbl_Walk_Avg[#All],MATCH('Model 2 - Permutations'!C91,Tbl_Walk_Avg[[#All],[Ride]],0),MATCH('Model 2 - Permutations'!D91,Tbl_Walk_Avg[#Headers],0)),INDEX(Tbl_Walk_Leisure[#All],MATCH('Model 2 - Permutations'!C91,Tbl_Walk_Leisure[[#All],[Ride]],0),MATCH('Model 2 - Permutations'!D91,Tbl_Walk_Leisure[#Headers],0)))</f>
        <v>6.9444444444444449E-3</v>
      </c>
      <c r="Q91" s="113">
        <f t="shared" si="5"/>
        <v>0.50694444444444442</v>
      </c>
      <c r="R91" s="116">
        <f>IF(Q91="","",IF($D$14="Weekday",INDEX(Tbl_Wait_Wkday[#All],MATCH('Model 2 - Permutations'!Q91,Tbl_Wait_Wkday[[#All],[Time]],1),MATCH('Model 2 - Permutations'!D91,Tbl_Wait_Wkday[#Headers],0)),INDEX(Tbl_Wait_Wkend[#All],MATCH('Model 2 - Permutations'!Q91,Tbl_Wait_Wkend[[#All],[Time]],1),MATCH('Model 2 - Permutations'!D91,Tbl_Wait_Wkend[#Headers],0))))</f>
        <v>2.4305555555555552E-2</v>
      </c>
      <c r="S91" s="117">
        <f>IF(R91="","",VLOOKUP(D91,Tbl_Ride[#Data],2,FALSE))</f>
        <v>1.3888888888888889E-3</v>
      </c>
      <c r="T91" s="118">
        <f t="shared" si="6"/>
        <v>0.53263888888888888</v>
      </c>
      <c r="U91" s="114">
        <f t="shared" si="7"/>
        <v>0</v>
      </c>
      <c r="V91" s="115">
        <f>IF(U91="","",IF($D$5="Average",INDEX(Tbl_Walk_Avg[#All],MATCH('Model 2 - Permutations'!D91,Tbl_Walk_Avg[[#All],[Ride]],0),MATCH('Model 2 - Permutations'!E91,Tbl_Walk_Avg[#Headers],0)),INDEX(Tbl_Walk_Leisure[#All],MATCH('Model 2 - Permutations'!D91,Tbl_Walk_Leisure[[#All],[Ride]],0),MATCH('Model 2 - Permutations'!E91,Tbl_Walk_Leisure[#Headers],0))))</f>
        <v>2.7777777777777779E-3</v>
      </c>
      <c r="W91" s="113">
        <f t="shared" si="8"/>
        <v>0.53541666666666665</v>
      </c>
      <c r="X91" s="116">
        <f>IF(W91="","",IF($D$14="Weekday",INDEX(Tbl_Wait_Wkday[#All],MATCH('Model 2 - Permutations'!W91,Tbl_Wait_Wkday[[#All],[Time]],1),MATCH('Model 2 - Permutations'!E91,Tbl_Wait_Wkday[#Headers],0)),INDEX(Tbl_Wait_Wkend[#All],MATCH('Model 2 - Permutations'!W91,Tbl_Wait_Wkend[[#All],[Time]],1),MATCH('Model 2 - Permutations'!E91,Tbl_Wait_Wkend[#Headers],0))))</f>
        <v>6.5972222222222224E-2</v>
      </c>
      <c r="Y91" s="117">
        <f>IF(X91="","",VLOOKUP(E91,Tbl_Ride[#Data],2,FALSE))</f>
        <v>3.4722222222222225E-3</v>
      </c>
      <c r="Z91" s="118">
        <f t="shared" si="9"/>
        <v>0.60486111111111107</v>
      </c>
      <c r="AA91" s="114">
        <f t="shared" si="10"/>
        <v>1</v>
      </c>
      <c r="AB91" s="115">
        <f>IF(AA91="","",IF($D$5="Average",INDEX(Tbl_Walk_Avg[#All],MATCH('Model 2 - Permutations'!E91,Tbl_Walk_Avg[[#All],[Ride]],0),MATCH('Model 2 - Permutations'!F91,Tbl_Walk_Avg[#Headers],0)),INDEX(Tbl_Walk_Leisure[#All],MATCH('Model 2 - Permutations'!E91,Tbl_Walk_Leisure[[#All],[Ride]],0),MATCH('Model 2 - Permutations'!F91,Tbl_Walk_Leisure[#Headers],0))))</f>
        <v>6.2500000000000003E-3</v>
      </c>
      <c r="AC91" s="113">
        <f t="shared" si="11"/>
        <v>0.69444444444444442</v>
      </c>
      <c r="AD91" s="116">
        <f>IF(AC91="","",IF($D$14="Weekday",INDEX(Tbl_Wait_Wkday[#All],MATCH('Model 2 - Permutations'!AC91,Tbl_Wait_Wkday[[#All],[Time]],1),MATCH('Model 2 - Permutations'!F91,Tbl_Wait_Wkday[#Headers],0)),INDEX(Tbl_Wait_Wkend[#All],MATCH('Model 2 - Permutations'!AC91,Tbl_Wait_Wkend[[#All],[Time]],1),MATCH('Model 2 - Permutations'!F91,Tbl_Wait_Wkend[#Headers],0))))</f>
        <v>1.7361111111111112E-2</v>
      </c>
      <c r="AE91" s="117">
        <f>IF(AD91="","",VLOOKUP(F91,Tbl_Ride[#Data],2,FALSE))</f>
        <v>6.9444444444444447E-4</v>
      </c>
      <c r="AF91" s="118">
        <f t="shared" si="12"/>
        <v>0.71250000000000002</v>
      </c>
      <c r="AG91" s="114">
        <f t="shared" si="13"/>
        <v>0</v>
      </c>
      <c r="AH91" s="115">
        <f>IF(AG91="","",IF($D$5="Average",INDEX(Tbl_Walk_Avg[#All],MATCH('Model 2 - Permutations'!F91,Tbl_Walk_Avg[[#All],[Ride]],0),MATCH('Model 2 - Permutations'!G91,Tbl_Walk_Avg[#Headers],0)),INDEX(Tbl_Walk_Leisure[#All],MATCH('Model 2 - Permutations'!F91,Tbl_Walk_Leisure[[#All],[Ride]],0),MATCH('Model 2 - Permutations'!G91,Tbl_Walk_Leisure[#Headers],0))))</f>
        <v>4.8611111111111112E-3</v>
      </c>
      <c r="AI91" s="113">
        <f t="shared" si="14"/>
        <v>0.71736111111111112</v>
      </c>
      <c r="AJ91" s="116">
        <f>IF(AI91="","",IF($D$14="Weekday",INDEX(Tbl_Wait_Wkday[#All],MATCH('Model 2 - Permutations'!AI91,Tbl_Wait_Wkday[[#All],[Time]],1),MATCH('Model 2 - Permutations'!G91,Tbl_Wait_Wkday[#Headers],0)),INDEX(Tbl_Wait_Wkend[#All],MATCH('Model 2 - Permutations'!AI91,Tbl_Wait_Wkend[[#All],[Time]],1),MATCH('Model 2 - Permutations'!G91,Tbl_Wait_Wkend[#Headers],0))))</f>
        <v>2.4305555555555552E-2</v>
      </c>
      <c r="AK91" s="117">
        <f>IF(AJ91="","",VLOOKUP(G91,Tbl_Ride[#Data],2,FALSE))</f>
        <v>2.0833333333333333E-3</v>
      </c>
      <c r="AL91" s="118">
        <f t="shared" si="15"/>
        <v>0.74375000000000002</v>
      </c>
      <c r="AM91" s="114">
        <f t="shared" si="16"/>
        <v>0</v>
      </c>
      <c r="AN91" s="115">
        <f>IF(AM91="","",IF($D$5="Average",INDEX(Tbl_Walk_Avg[#All],MATCH('Model 2 - Permutations'!G91,Tbl_Walk_Avg[[#All],[Ride]],0),MATCH('Model 2 - Permutations'!H91,Tbl_Walk_Avg[#Headers],0)),INDEX(Tbl_Walk_Leisure[#All],MATCH('Model 2 - Permutations'!G91,Tbl_Walk_Leisure[[#All],[Ride]],0),MATCH('Model 2 - Permutations'!H91,Tbl_Walk_Leisure[#Headers],0))))</f>
        <v>2.7777777777777779E-3</v>
      </c>
      <c r="AO91" s="113">
        <f t="shared" si="17"/>
        <v>0.74652777777777779</v>
      </c>
      <c r="AP91" s="116">
        <f>IF(AO91="","",IF($D$14="Weekday",INDEX(Tbl_Wait_Wkday[#All],MATCH('Model 2 - Permutations'!AO91,Tbl_Wait_Wkday[[#All],[Time]],1),MATCH('Model 2 - Permutations'!H91,Tbl_Wait_Wkday[#Headers],0)),INDEX(Tbl_Wait_Wkend[#All],MATCH('Model 2 - Permutations'!AO91,Tbl_Wait_Wkend[[#All],[Time]],1),MATCH('Model 2 - Permutations'!H91,Tbl_Wait_Wkend[#Headers],0))))</f>
        <v>3.8194444444444441E-2</v>
      </c>
      <c r="AQ91" s="117">
        <f>IF(AP91="","",VLOOKUP(H91,Tbl_Ride[#Data],2,FALSE))</f>
        <v>1.3888888888888889E-3</v>
      </c>
      <c r="AR91" s="118">
        <f t="shared" si="18"/>
        <v>0.78611111111111109</v>
      </c>
      <c r="AS91" s="119">
        <f t="shared" si="19"/>
        <v>2.361111111111111E-2</v>
      </c>
      <c r="AT91" s="119">
        <f t="shared" si="20"/>
        <v>0.1701388888888889</v>
      </c>
      <c r="AU91" s="119">
        <f t="shared" si="21"/>
        <v>0.19375000000000001</v>
      </c>
    </row>
    <row r="92" spans="2:47">
      <c r="B92" s="111">
        <v>47</v>
      </c>
      <c r="C92" s="111" t="s">
        <v>66</v>
      </c>
      <c r="D92" s="112" t="str">
        <f t="shared" si="2"/>
        <v>Battlestart Galactica: Human</v>
      </c>
      <c r="E92" s="112" t="str">
        <f t="shared" si="2"/>
        <v>Transformers The Ride</v>
      </c>
      <c r="F92" s="112" t="str">
        <f t="shared" si="2"/>
        <v>Revenge of the Mummy</v>
      </c>
      <c r="G92" s="112" t="str">
        <f t="shared" si="2"/>
        <v>Battlestar Galactica: Cylon</v>
      </c>
      <c r="H92" s="112" t="str">
        <f t="shared" si="2"/>
        <v>Enchanted Airways</v>
      </c>
      <c r="I92" s="112">
        <v>2</v>
      </c>
      <c r="J92" s="112">
        <v>5</v>
      </c>
      <c r="K92" s="112">
        <v>4</v>
      </c>
      <c r="L92" s="112">
        <v>1</v>
      </c>
      <c r="M92" s="112">
        <v>3</v>
      </c>
      <c r="N92" s="113">
        <f t="shared" si="3"/>
        <v>0.5</v>
      </c>
      <c r="O92" s="114">
        <f t="shared" si="4"/>
        <v>0</v>
      </c>
      <c r="P92" s="115">
        <f>IF($D$5="Average",INDEX(Tbl_Walk_Avg[#All],MATCH('Model 2 - Permutations'!C92,Tbl_Walk_Avg[[#All],[Ride]],0),MATCH('Model 2 - Permutations'!D92,Tbl_Walk_Avg[#Headers],0)),INDEX(Tbl_Walk_Leisure[#All],MATCH('Model 2 - Permutations'!C92,Tbl_Walk_Leisure[[#All],[Ride]],0),MATCH('Model 2 - Permutations'!D92,Tbl_Walk_Leisure[#Headers],0)))</f>
        <v>6.9444444444444449E-3</v>
      </c>
      <c r="Q92" s="113">
        <f t="shared" si="5"/>
        <v>0.50694444444444442</v>
      </c>
      <c r="R92" s="116">
        <f>IF(Q92="","",IF($D$14="Weekday",INDEX(Tbl_Wait_Wkday[#All],MATCH('Model 2 - Permutations'!Q92,Tbl_Wait_Wkday[[#All],[Time]],1),MATCH('Model 2 - Permutations'!D92,Tbl_Wait_Wkday[#Headers],0)),INDEX(Tbl_Wait_Wkend[#All],MATCH('Model 2 - Permutations'!Q92,Tbl_Wait_Wkend[[#All],[Time]],1),MATCH('Model 2 - Permutations'!D92,Tbl_Wait_Wkend[#Headers],0))))</f>
        <v>2.4305555555555552E-2</v>
      </c>
      <c r="S92" s="117">
        <f>IF(R92="","",VLOOKUP(D92,Tbl_Ride[#Data],2,FALSE))</f>
        <v>1.3888888888888889E-3</v>
      </c>
      <c r="T92" s="118">
        <f t="shared" si="6"/>
        <v>0.53263888888888888</v>
      </c>
      <c r="U92" s="114">
        <f t="shared" si="7"/>
        <v>0</v>
      </c>
      <c r="V92" s="115">
        <f>IF(U92="","",IF($D$5="Average",INDEX(Tbl_Walk_Avg[#All],MATCH('Model 2 - Permutations'!D92,Tbl_Walk_Avg[[#All],[Ride]],0),MATCH('Model 2 - Permutations'!E92,Tbl_Walk_Avg[#Headers],0)),INDEX(Tbl_Walk_Leisure[#All],MATCH('Model 2 - Permutations'!D92,Tbl_Walk_Leisure[[#All],[Ride]],0),MATCH('Model 2 - Permutations'!E92,Tbl_Walk_Leisure[#Headers],0))))</f>
        <v>2.7777777777777779E-3</v>
      </c>
      <c r="W92" s="113">
        <f t="shared" si="8"/>
        <v>0.53541666666666665</v>
      </c>
      <c r="X92" s="116">
        <f>IF(W92="","",IF($D$14="Weekday",INDEX(Tbl_Wait_Wkday[#All],MATCH('Model 2 - Permutations'!W92,Tbl_Wait_Wkday[[#All],[Time]],1),MATCH('Model 2 - Permutations'!E92,Tbl_Wait_Wkday[#Headers],0)),INDEX(Tbl_Wait_Wkend[#All],MATCH('Model 2 - Permutations'!W92,Tbl_Wait_Wkend[[#All],[Time]],1),MATCH('Model 2 - Permutations'!E92,Tbl_Wait_Wkend[#Headers],0))))</f>
        <v>6.5972222222222224E-2</v>
      </c>
      <c r="Y92" s="117">
        <f>IF(X92="","",VLOOKUP(E92,Tbl_Ride[#Data],2,FALSE))</f>
        <v>3.4722222222222225E-3</v>
      </c>
      <c r="Z92" s="118">
        <f t="shared" si="9"/>
        <v>0.60486111111111107</v>
      </c>
      <c r="AA92" s="114">
        <f t="shared" si="10"/>
        <v>1</v>
      </c>
      <c r="AB92" s="115">
        <f>IF(AA92="","",IF($D$5="Average",INDEX(Tbl_Walk_Avg[#All],MATCH('Model 2 - Permutations'!E92,Tbl_Walk_Avg[[#All],[Ride]],0),MATCH('Model 2 - Permutations'!F92,Tbl_Walk_Avg[#Headers],0)),INDEX(Tbl_Walk_Leisure[#All],MATCH('Model 2 - Permutations'!E92,Tbl_Walk_Leisure[[#All],[Ride]],0),MATCH('Model 2 - Permutations'!F92,Tbl_Walk_Leisure[#Headers],0))))</f>
        <v>4.1666666666666666E-3</v>
      </c>
      <c r="AC92" s="113">
        <f t="shared" si="11"/>
        <v>0.69236111111111109</v>
      </c>
      <c r="AD92" s="116">
        <f>IF(AC92="","",IF($D$14="Weekday",INDEX(Tbl_Wait_Wkday[#All],MATCH('Model 2 - Permutations'!AC92,Tbl_Wait_Wkday[[#All],[Time]],1),MATCH('Model 2 - Permutations'!F92,Tbl_Wait_Wkday[#Headers],0)),INDEX(Tbl_Wait_Wkend[#All],MATCH('Model 2 - Permutations'!AC92,Tbl_Wait_Wkend[[#All],[Time]],1),MATCH('Model 2 - Permutations'!F92,Tbl_Wait_Wkend[#Headers],0))))</f>
        <v>2.7777777777777776E-2</v>
      </c>
      <c r="AE92" s="117">
        <f>IF(AD92="","",VLOOKUP(F92,Tbl_Ride[#Data],2,FALSE))</f>
        <v>2.0833333333333333E-3</v>
      </c>
      <c r="AF92" s="118">
        <f t="shared" si="12"/>
        <v>0.72222222222222221</v>
      </c>
      <c r="AG92" s="114">
        <f t="shared" si="13"/>
        <v>0</v>
      </c>
      <c r="AH92" s="115">
        <f>IF(AG92="","",IF($D$5="Average",INDEX(Tbl_Walk_Avg[#All],MATCH('Model 2 - Permutations'!F92,Tbl_Walk_Avg[[#All],[Ride]],0),MATCH('Model 2 - Permutations'!G92,Tbl_Walk_Avg[#Headers],0)),INDEX(Tbl_Walk_Leisure[#All],MATCH('Model 2 - Permutations'!F92,Tbl_Walk_Leisure[[#All],[Ride]],0),MATCH('Model 2 - Permutations'!G92,Tbl_Walk_Leisure[#Headers],0))))</f>
        <v>2.7777777777777779E-3</v>
      </c>
      <c r="AI92" s="113">
        <f t="shared" si="14"/>
        <v>0.72499999999999998</v>
      </c>
      <c r="AJ92" s="116">
        <f>IF(AI92="","",IF($D$14="Weekday",INDEX(Tbl_Wait_Wkday[#All],MATCH('Model 2 - Permutations'!AI92,Tbl_Wait_Wkday[[#All],[Time]],1),MATCH('Model 2 - Permutations'!G92,Tbl_Wait_Wkday[#Headers],0)),INDEX(Tbl_Wait_Wkend[#All],MATCH('Model 2 - Permutations'!AI92,Tbl_Wait_Wkend[[#All],[Time]],1),MATCH('Model 2 - Permutations'!G92,Tbl_Wait_Wkend[#Headers],0))))</f>
        <v>3.8194444444444441E-2</v>
      </c>
      <c r="AK92" s="117">
        <f>IF(AJ92="","",VLOOKUP(G92,Tbl_Ride[#Data],2,FALSE))</f>
        <v>1.3888888888888889E-3</v>
      </c>
      <c r="AL92" s="118">
        <f t="shared" si="15"/>
        <v>0.76458333333333328</v>
      </c>
      <c r="AM92" s="114">
        <f t="shared" si="16"/>
        <v>0</v>
      </c>
      <c r="AN92" s="115">
        <f>IF(AM92="","",IF($D$5="Average",INDEX(Tbl_Walk_Avg[#All],MATCH('Model 2 - Permutations'!G92,Tbl_Walk_Avg[[#All],[Ride]],0),MATCH('Model 2 - Permutations'!H92,Tbl_Walk_Avg[#Headers],0)),INDEX(Tbl_Walk_Leisure[#All],MATCH('Model 2 - Permutations'!G92,Tbl_Walk_Leisure[[#All],[Ride]],0),MATCH('Model 2 - Permutations'!H92,Tbl_Walk_Leisure[#Headers],0))))</f>
        <v>6.2500000000000003E-3</v>
      </c>
      <c r="AO92" s="113" t="str">
        <f t="shared" si="17"/>
        <v/>
      </c>
      <c r="AP92" s="116" t="str">
        <f>IF(AO92="","",IF($D$14="Weekday",INDEX(Tbl_Wait_Wkday[#All],MATCH('Model 2 - Permutations'!AO92,Tbl_Wait_Wkday[[#All],[Time]],1),MATCH('Model 2 - Permutations'!H92,Tbl_Wait_Wkday[#Headers],0)),INDEX(Tbl_Wait_Wkend[#All],MATCH('Model 2 - Permutations'!AO92,Tbl_Wait_Wkend[[#All],[Time]],1),MATCH('Model 2 - Permutations'!H92,Tbl_Wait_Wkend[#Headers],0))))</f>
        <v/>
      </c>
      <c r="AQ92" s="117" t="str">
        <f>IF(AP92="","",VLOOKUP(H92,Tbl_Ride[#Data],2,FALSE))</f>
        <v/>
      </c>
      <c r="AR92" s="118" t="str">
        <f t="shared" si="18"/>
        <v/>
      </c>
      <c r="AS92" s="119" t="str">
        <f t="shared" si="19"/>
        <v>Incomplete</v>
      </c>
      <c r="AT92" s="119" t="str">
        <f t="shared" si="20"/>
        <v>Incomplete</v>
      </c>
      <c r="AU92" s="119" t="str">
        <f t="shared" si="21"/>
        <v>Incomplete</v>
      </c>
    </row>
    <row r="93" spans="2:47">
      <c r="B93" s="111">
        <v>48</v>
      </c>
      <c r="C93" s="111" t="s">
        <v>66</v>
      </c>
      <c r="D93" s="112" t="str">
        <f t="shared" si="2"/>
        <v>Battlestart Galactica: Human</v>
      </c>
      <c r="E93" s="112" t="str">
        <f t="shared" si="2"/>
        <v>Transformers The Ride</v>
      </c>
      <c r="F93" s="112" t="str">
        <f t="shared" si="2"/>
        <v>Revenge of the Mummy</v>
      </c>
      <c r="G93" s="112" t="str">
        <f t="shared" si="2"/>
        <v>Enchanted Airways</v>
      </c>
      <c r="H93" s="112" t="str">
        <f t="shared" si="2"/>
        <v>Battlestar Galactica: Cylon</v>
      </c>
      <c r="I93" s="112">
        <v>2</v>
      </c>
      <c r="J93" s="112">
        <v>5</v>
      </c>
      <c r="K93" s="112">
        <v>4</v>
      </c>
      <c r="L93" s="112">
        <v>3</v>
      </c>
      <c r="M93" s="112">
        <v>1</v>
      </c>
      <c r="N93" s="113">
        <f t="shared" si="3"/>
        <v>0.5</v>
      </c>
      <c r="O93" s="114">
        <f t="shared" si="4"/>
        <v>0</v>
      </c>
      <c r="P93" s="115">
        <f>IF($D$5="Average",INDEX(Tbl_Walk_Avg[#All],MATCH('Model 2 - Permutations'!C93,Tbl_Walk_Avg[[#All],[Ride]],0),MATCH('Model 2 - Permutations'!D93,Tbl_Walk_Avg[#Headers],0)),INDEX(Tbl_Walk_Leisure[#All],MATCH('Model 2 - Permutations'!C93,Tbl_Walk_Leisure[[#All],[Ride]],0),MATCH('Model 2 - Permutations'!D93,Tbl_Walk_Leisure[#Headers],0)))</f>
        <v>6.9444444444444449E-3</v>
      </c>
      <c r="Q93" s="113">
        <f t="shared" si="5"/>
        <v>0.50694444444444442</v>
      </c>
      <c r="R93" s="116">
        <f>IF(Q93="","",IF($D$14="Weekday",INDEX(Tbl_Wait_Wkday[#All],MATCH('Model 2 - Permutations'!Q93,Tbl_Wait_Wkday[[#All],[Time]],1),MATCH('Model 2 - Permutations'!D93,Tbl_Wait_Wkday[#Headers],0)),INDEX(Tbl_Wait_Wkend[#All],MATCH('Model 2 - Permutations'!Q93,Tbl_Wait_Wkend[[#All],[Time]],1),MATCH('Model 2 - Permutations'!D93,Tbl_Wait_Wkend[#Headers],0))))</f>
        <v>2.4305555555555552E-2</v>
      </c>
      <c r="S93" s="117">
        <f>IF(R93="","",VLOOKUP(D93,Tbl_Ride[#Data],2,FALSE))</f>
        <v>1.3888888888888889E-3</v>
      </c>
      <c r="T93" s="118">
        <f t="shared" si="6"/>
        <v>0.53263888888888888</v>
      </c>
      <c r="U93" s="114">
        <f t="shared" si="7"/>
        <v>0</v>
      </c>
      <c r="V93" s="115">
        <f>IF(U93="","",IF($D$5="Average",INDEX(Tbl_Walk_Avg[#All],MATCH('Model 2 - Permutations'!D93,Tbl_Walk_Avg[[#All],[Ride]],0),MATCH('Model 2 - Permutations'!E93,Tbl_Walk_Avg[#Headers],0)),INDEX(Tbl_Walk_Leisure[#All],MATCH('Model 2 - Permutations'!D93,Tbl_Walk_Leisure[[#All],[Ride]],0),MATCH('Model 2 - Permutations'!E93,Tbl_Walk_Leisure[#Headers],0))))</f>
        <v>2.7777777777777779E-3</v>
      </c>
      <c r="W93" s="113">
        <f t="shared" si="8"/>
        <v>0.53541666666666665</v>
      </c>
      <c r="X93" s="116">
        <f>IF(W93="","",IF($D$14="Weekday",INDEX(Tbl_Wait_Wkday[#All],MATCH('Model 2 - Permutations'!W93,Tbl_Wait_Wkday[[#All],[Time]],1),MATCH('Model 2 - Permutations'!E93,Tbl_Wait_Wkday[#Headers],0)),INDEX(Tbl_Wait_Wkend[#All],MATCH('Model 2 - Permutations'!W93,Tbl_Wait_Wkend[[#All],[Time]],1),MATCH('Model 2 - Permutations'!E93,Tbl_Wait_Wkend[#Headers],0))))</f>
        <v>6.5972222222222224E-2</v>
      </c>
      <c r="Y93" s="117">
        <f>IF(X93="","",VLOOKUP(E93,Tbl_Ride[#Data],2,FALSE))</f>
        <v>3.4722222222222225E-3</v>
      </c>
      <c r="Z93" s="118">
        <f t="shared" si="9"/>
        <v>0.60486111111111107</v>
      </c>
      <c r="AA93" s="114">
        <f t="shared" si="10"/>
        <v>1</v>
      </c>
      <c r="AB93" s="115">
        <f>IF(AA93="","",IF($D$5="Average",INDEX(Tbl_Walk_Avg[#All],MATCH('Model 2 - Permutations'!E93,Tbl_Walk_Avg[[#All],[Ride]],0),MATCH('Model 2 - Permutations'!F93,Tbl_Walk_Avg[#Headers],0)),INDEX(Tbl_Walk_Leisure[#All],MATCH('Model 2 - Permutations'!E93,Tbl_Walk_Leisure[[#All],[Ride]],0),MATCH('Model 2 - Permutations'!F93,Tbl_Walk_Leisure[#Headers],0))))</f>
        <v>4.1666666666666666E-3</v>
      </c>
      <c r="AC93" s="113">
        <f t="shared" si="11"/>
        <v>0.69236111111111109</v>
      </c>
      <c r="AD93" s="116">
        <f>IF(AC93="","",IF($D$14="Weekday",INDEX(Tbl_Wait_Wkday[#All],MATCH('Model 2 - Permutations'!AC93,Tbl_Wait_Wkday[[#All],[Time]],1),MATCH('Model 2 - Permutations'!F93,Tbl_Wait_Wkday[#Headers],0)),INDEX(Tbl_Wait_Wkend[#All],MATCH('Model 2 - Permutations'!AC93,Tbl_Wait_Wkend[[#All],[Time]],1),MATCH('Model 2 - Permutations'!F93,Tbl_Wait_Wkend[#Headers],0))))</f>
        <v>2.7777777777777776E-2</v>
      </c>
      <c r="AE93" s="117">
        <f>IF(AD93="","",VLOOKUP(F93,Tbl_Ride[#Data],2,FALSE))</f>
        <v>2.0833333333333333E-3</v>
      </c>
      <c r="AF93" s="118">
        <f t="shared" si="12"/>
        <v>0.72222222222222221</v>
      </c>
      <c r="AG93" s="114">
        <f t="shared" si="13"/>
        <v>0</v>
      </c>
      <c r="AH93" s="115">
        <f>IF(AG93="","",IF($D$5="Average",INDEX(Tbl_Walk_Avg[#All],MATCH('Model 2 - Permutations'!F93,Tbl_Walk_Avg[[#All],[Ride]],0),MATCH('Model 2 - Permutations'!G93,Tbl_Walk_Avg[#Headers],0)),INDEX(Tbl_Walk_Leisure[#All],MATCH('Model 2 - Permutations'!F93,Tbl_Walk_Leisure[[#All],[Ride]],0),MATCH('Model 2 - Permutations'!G93,Tbl_Walk_Leisure[#Headers],0))))</f>
        <v>4.8611111111111112E-3</v>
      </c>
      <c r="AI93" s="113">
        <f t="shared" si="14"/>
        <v>0.7270833333333333</v>
      </c>
      <c r="AJ93" s="116">
        <f>IF(AI93="","",IF($D$14="Weekday",INDEX(Tbl_Wait_Wkday[#All],MATCH('Model 2 - Permutations'!AI93,Tbl_Wait_Wkday[[#All],[Time]],1),MATCH('Model 2 - Permutations'!G93,Tbl_Wait_Wkday[#Headers],0)),INDEX(Tbl_Wait_Wkend[#All],MATCH('Model 2 - Permutations'!AI93,Tbl_Wait_Wkend[[#All],[Time]],1),MATCH('Model 2 - Permutations'!G93,Tbl_Wait_Wkend[#Headers],0))))</f>
        <v>1.7361111111111112E-2</v>
      </c>
      <c r="AK93" s="117">
        <f>IF(AJ93="","",VLOOKUP(G93,Tbl_Ride[#Data],2,FALSE))</f>
        <v>6.9444444444444447E-4</v>
      </c>
      <c r="AL93" s="118">
        <f t="shared" si="15"/>
        <v>0.74513888888888891</v>
      </c>
      <c r="AM93" s="114">
        <f t="shared" si="16"/>
        <v>0</v>
      </c>
      <c r="AN93" s="115">
        <f>IF(AM93="","",IF($D$5="Average",INDEX(Tbl_Walk_Avg[#All],MATCH('Model 2 - Permutations'!G93,Tbl_Walk_Avg[[#All],[Ride]],0),MATCH('Model 2 - Permutations'!H93,Tbl_Walk_Avg[#Headers],0)),INDEX(Tbl_Walk_Leisure[#All],MATCH('Model 2 - Permutations'!G93,Tbl_Walk_Leisure[[#All],[Ride]],0),MATCH('Model 2 - Permutations'!H93,Tbl_Walk_Leisure[#Headers],0))))</f>
        <v>6.2500000000000003E-3</v>
      </c>
      <c r="AO93" s="113" t="str">
        <f t="shared" si="17"/>
        <v/>
      </c>
      <c r="AP93" s="116" t="str">
        <f>IF(AO93="","",IF($D$14="Weekday",INDEX(Tbl_Wait_Wkday[#All],MATCH('Model 2 - Permutations'!AO93,Tbl_Wait_Wkday[[#All],[Time]],1),MATCH('Model 2 - Permutations'!H93,Tbl_Wait_Wkday[#Headers],0)),INDEX(Tbl_Wait_Wkend[#All],MATCH('Model 2 - Permutations'!AO93,Tbl_Wait_Wkend[[#All],[Time]],1),MATCH('Model 2 - Permutations'!H93,Tbl_Wait_Wkend[#Headers],0))))</f>
        <v/>
      </c>
      <c r="AQ93" s="117" t="str">
        <f>IF(AP93="","",VLOOKUP(H93,Tbl_Ride[#Data],2,FALSE))</f>
        <v/>
      </c>
      <c r="AR93" s="118" t="str">
        <f t="shared" si="18"/>
        <v/>
      </c>
      <c r="AS93" s="119" t="str">
        <f t="shared" si="19"/>
        <v>Incomplete</v>
      </c>
      <c r="AT93" s="119" t="str">
        <f t="shared" si="20"/>
        <v>Incomplete</v>
      </c>
      <c r="AU93" s="119" t="str">
        <f t="shared" si="21"/>
        <v>Incomplete</v>
      </c>
    </row>
    <row r="94" spans="2:47">
      <c r="B94" s="111">
        <v>49</v>
      </c>
      <c r="C94" s="111" t="s">
        <v>66</v>
      </c>
      <c r="D94" s="112" t="str">
        <f t="shared" si="2"/>
        <v>Enchanted Airways</v>
      </c>
      <c r="E94" s="112" t="str">
        <f t="shared" si="2"/>
        <v>Battlestar Galactica: Cylon</v>
      </c>
      <c r="F94" s="112" t="str">
        <f t="shared" si="2"/>
        <v>Battlestart Galactica: Human</v>
      </c>
      <c r="G94" s="112" t="str">
        <f t="shared" si="2"/>
        <v>Revenge of the Mummy</v>
      </c>
      <c r="H94" s="112" t="str">
        <f t="shared" si="2"/>
        <v>Transformers The Ride</v>
      </c>
      <c r="I94" s="112">
        <v>3</v>
      </c>
      <c r="J94" s="112">
        <v>1</v>
      </c>
      <c r="K94" s="112">
        <v>2</v>
      </c>
      <c r="L94" s="112">
        <v>4</v>
      </c>
      <c r="M94" s="112">
        <v>5</v>
      </c>
      <c r="N94" s="113">
        <f t="shared" si="3"/>
        <v>0.5</v>
      </c>
      <c r="O94" s="114">
        <f t="shared" si="4"/>
        <v>0</v>
      </c>
      <c r="P94" s="115">
        <f>IF($D$5="Average",INDEX(Tbl_Walk_Avg[#All],MATCH('Model 2 - Permutations'!C94,Tbl_Walk_Avg[[#All],[Ride]],0),MATCH('Model 2 - Permutations'!D94,Tbl_Walk_Avg[#Headers],0)),INDEX(Tbl_Walk_Leisure[#All],MATCH('Model 2 - Permutations'!C94,Tbl_Walk_Leisure[[#All],[Ride]],0),MATCH('Model 2 - Permutations'!D94,Tbl_Walk_Leisure[#Headers],0)))</f>
        <v>4.8611111111111112E-3</v>
      </c>
      <c r="Q94" s="113">
        <f t="shared" si="5"/>
        <v>0.50486111111111109</v>
      </c>
      <c r="R94" s="116">
        <f>IF(Q94="","",IF($D$14="Weekday",INDEX(Tbl_Wait_Wkday[#All],MATCH('Model 2 - Permutations'!Q94,Tbl_Wait_Wkday[[#All],[Time]],1),MATCH('Model 2 - Permutations'!D94,Tbl_Wait_Wkday[#Headers],0)),INDEX(Tbl_Wait_Wkend[#All],MATCH('Model 2 - Permutations'!Q94,Tbl_Wait_Wkend[[#All],[Time]],1),MATCH('Model 2 - Permutations'!D94,Tbl_Wait_Wkend[#Headers],0))))</f>
        <v>1.3888888888888888E-2</v>
      </c>
      <c r="S94" s="117">
        <f>IF(R94="","",VLOOKUP(D94,Tbl_Ride[#Data],2,FALSE))</f>
        <v>6.9444444444444447E-4</v>
      </c>
      <c r="T94" s="118">
        <f t="shared" si="6"/>
        <v>0.51944444444444438</v>
      </c>
      <c r="U94" s="114">
        <f t="shared" si="7"/>
        <v>0</v>
      </c>
      <c r="V94" s="115">
        <f>IF(U94="","",IF($D$5="Average",INDEX(Tbl_Walk_Avg[#All],MATCH('Model 2 - Permutations'!D94,Tbl_Walk_Avg[[#All],[Ride]],0),MATCH('Model 2 - Permutations'!E94,Tbl_Walk_Avg[#Headers],0)),INDEX(Tbl_Walk_Leisure[#All],MATCH('Model 2 - Permutations'!D94,Tbl_Walk_Leisure[[#All],[Ride]],0),MATCH('Model 2 - Permutations'!E94,Tbl_Walk_Leisure[#Headers],0))))</f>
        <v>6.2500000000000003E-3</v>
      </c>
      <c r="W94" s="113">
        <f t="shared" si="8"/>
        <v>0.52569444444444435</v>
      </c>
      <c r="X94" s="116">
        <f>IF(W94="","",IF($D$14="Weekday",INDEX(Tbl_Wait_Wkday[#All],MATCH('Model 2 - Permutations'!W94,Tbl_Wait_Wkday[[#All],[Time]],1),MATCH('Model 2 - Permutations'!E94,Tbl_Wait_Wkday[#Headers],0)),INDEX(Tbl_Wait_Wkend[#All],MATCH('Model 2 - Permutations'!W94,Tbl_Wait_Wkend[[#All],[Time]],1),MATCH('Model 2 - Permutations'!E94,Tbl_Wait_Wkend[#Headers],0))))</f>
        <v>1.7361111111111112E-2</v>
      </c>
      <c r="Y94" s="117">
        <f>IF(X94="","",VLOOKUP(E94,Tbl_Ride[#Data],2,FALSE))</f>
        <v>1.3888888888888889E-3</v>
      </c>
      <c r="Z94" s="118">
        <f t="shared" si="9"/>
        <v>0.5444444444444444</v>
      </c>
      <c r="AA94" s="114">
        <f t="shared" si="10"/>
        <v>1</v>
      </c>
      <c r="AB94" s="115">
        <f>IF(AA94="","",IF($D$5="Average",INDEX(Tbl_Walk_Avg[#All],MATCH('Model 2 - Permutations'!E94,Tbl_Walk_Avg[[#All],[Ride]],0),MATCH('Model 2 - Permutations'!F94,Tbl_Walk_Avg[#Headers],0)),INDEX(Tbl_Walk_Leisure[#All],MATCH('Model 2 - Permutations'!E94,Tbl_Walk_Leisure[[#All],[Ride]],0),MATCH('Model 2 - Permutations'!F94,Tbl_Walk_Leisure[#Headers],0))))</f>
        <v>0</v>
      </c>
      <c r="AC94" s="113">
        <f t="shared" si="11"/>
        <v>0.62777777777777777</v>
      </c>
      <c r="AD94" s="116">
        <f>IF(AC94="","",IF($D$14="Weekday",INDEX(Tbl_Wait_Wkday[#All],MATCH('Model 2 - Permutations'!AC94,Tbl_Wait_Wkday[[#All],[Time]],1),MATCH('Model 2 - Permutations'!F94,Tbl_Wait_Wkday[#Headers],0)),INDEX(Tbl_Wait_Wkend[#All],MATCH('Model 2 - Permutations'!AC94,Tbl_Wait_Wkend[[#All],[Time]],1),MATCH('Model 2 - Permutations'!F94,Tbl_Wait_Wkend[#Headers],0))))</f>
        <v>5.5555555555555552E-2</v>
      </c>
      <c r="AE94" s="117">
        <f>IF(AD94="","",VLOOKUP(F94,Tbl_Ride[#Data],2,FALSE))</f>
        <v>1.3888888888888889E-3</v>
      </c>
      <c r="AF94" s="118">
        <f t="shared" si="12"/>
        <v>0.68472222222222223</v>
      </c>
      <c r="AG94" s="114">
        <f t="shared" si="13"/>
        <v>0</v>
      </c>
      <c r="AH94" s="115">
        <f>IF(AG94="","",IF($D$5="Average",INDEX(Tbl_Walk_Avg[#All],MATCH('Model 2 - Permutations'!F94,Tbl_Walk_Avg[[#All],[Ride]],0),MATCH('Model 2 - Permutations'!G94,Tbl_Walk_Avg[#Headers],0)),INDEX(Tbl_Walk_Leisure[#All],MATCH('Model 2 - Permutations'!F94,Tbl_Walk_Leisure[[#All],[Ride]],0),MATCH('Model 2 - Permutations'!G94,Tbl_Walk_Leisure[#Headers],0))))</f>
        <v>2.7777777777777779E-3</v>
      </c>
      <c r="AI94" s="113">
        <f t="shared" si="14"/>
        <v>0.6875</v>
      </c>
      <c r="AJ94" s="116">
        <f>IF(AI94="","",IF($D$14="Weekday",INDEX(Tbl_Wait_Wkday[#All],MATCH('Model 2 - Permutations'!AI94,Tbl_Wait_Wkday[[#All],[Time]],1),MATCH('Model 2 - Permutations'!G94,Tbl_Wait_Wkday[#Headers],0)),INDEX(Tbl_Wait_Wkend[#All],MATCH('Model 2 - Permutations'!AI94,Tbl_Wait_Wkend[[#All],[Time]],1),MATCH('Model 2 - Permutations'!G94,Tbl_Wait_Wkend[#Headers],0))))</f>
        <v>2.7777777777777776E-2</v>
      </c>
      <c r="AK94" s="117">
        <f>IF(AJ94="","",VLOOKUP(G94,Tbl_Ride[#Data],2,FALSE))</f>
        <v>2.0833333333333333E-3</v>
      </c>
      <c r="AL94" s="118">
        <f t="shared" si="15"/>
        <v>0.71736111111111112</v>
      </c>
      <c r="AM94" s="114">
        <f t="shared" si="16"/>
        <v>0</v>
      </c>
      <c r="AN94" s="115">
        <f>IF(AM94="","",IF($D$5="Average",INDEX(Tbl_Walk_Avg[#All],MATCH('Model 2 - Permutations'!G94,Tbl_Walk_Avg[[#All],[Ride]],0),MATCH('Model 2 - Permutations'!H94,Tbl_Walk_Avg[#Headers],0)),INDEX(Tbl_Walk_Leisure[#All],MATCH('Model 2 - Permutations'!G94,Tbl_Walk_Leisure[[#All],[Ride]],0),MATCH('Model 2 - Permutations'!H94,Tbl_Walk_Leisure[#Headers],0))))</f>
        <v>4.1666666666666666E-3</v>
      </c>
      <c r="AO94" s="113">
        <f t="shared" si="17"/>
        <v>0.72152777777777777</v>
      </c>
      <c r="AP94" s="116">
        <f>IF(AO94="","",IF($D$14="Weekday",INDEX(Tbl_Wait_Wkday[#All],MATCH('Model 2 - Permutations'!AO94,Tbl_Wait_Wkday[[#All],[Time]],1),MATCH('Model 2 - Permutations'!H94,Tbl_Wait_Wkday[#Headers],0)),INDEX(Tbl_Wait_Wkend[#All],MATCH('Model 2 - Permutations'!AO94,Tbl_Wait_Wkend[[#All],[Time]],1),MATCH('Model 2 - Permutations'!H94,Tbl_Wait_Wkend[#Headers],0))))</f>
        <v>3.125E-2</v>
      </c>
      <c r="AQ94" s="117">
        <f>IF(AP94="","",VLOOKUP(H94,Tbl_Ride[#Data],2,FALSE))</f>
        <v>3.4722222222222225E-3</v>
      </c>
      <c r="AR94" s="118">
        <f t="shared" si="18"/>
        <v>0.75624999999999998</v>
      </c>
      <c r="AS94" s="119">
        <f t="shared" si="19"/>
        <v>1.8055555555555557E-2</v>
      </c>
      <c r="AT94" s="119">
        <f t="shared" si="20"/>
        <v>0.14583333333333331</v>
      </c>
      <c r="AU94" s="119">
        <f t="shared" si="21"/>
        <v>0.16388888888888886</v>
      </c>
    </row>
    <row r="95" spans="2:47">
      <c r="B95" s="111">
        <v>50</v>
      </c>
      <c r="C95" s="111" t="s">
        <v>66</v>
      </c>
      <c r="D95" s="112" t="str">
        <f t="shared" si="2"/>
        <v>Enchanted Airways</v>
      </c>
      <c r="E95" s="112" t="str">
        <f t="shared" si="2"/>
        <v>Battlestar Galactica: Cylon</v>
      </c>
      <c r="F95" s="112" t="str">
        <f t="shared" si="2"/>
        <v>Battlestart Galactica: Human</v>
      </c>
      <c r="G95" s="112" t="str">
        <f t="shared" si="2"/>
        <v>Transformers The Ride</v>
      </c>
      <c r="H95" s="112" t="str">
        <f t="shared" si="2"/>
        <v>Revenge of the Mummy</v>
      </c>
      <c r="I95" s="112">
        <v>3</v>
      </c>
      <c r="J95" s="112">
        <v>1</v>
      </c>
      <c r="K95" s="112">
        <v>2</v>
      </c>
      <c r="L95" s="112">
        <v>5</v>
      </c>
      <c r="M95" s="112">
        <v>4</v>
      </c>
      <c r="N95" s="113">
        <f t="shared" si="3"/>
        <v>0.5</v>
      </c>
      <c r="O95" s="114">
        <f t="shared" si="4"/>
        <v>0</v>
      </c>
      <c r="P95" s="115">
        <f>IF($D$5="Average",INDEX(Tbl_Walk_Avg[#All],MATCH('Model 2 - Permutations'!C95,Tbl_Walk_Avg[[#All],[Ride]],0),MATCH('Model 2 - Permutations'!D95,Tbl_Walk_Avg[#Headers],0)),INDEX(Tbl_Walk_Leisure[#All],MATCH('Model 2 - Permutations'!C95,Tbl_Walk_Leisure[[#All],[Ride]],0),MATCH('Model 2 - Permutations'!D95,Tbl_Walk_Leisure[#Headers],0)))</f>
        <v>4.8611111111111112E-3</v>
      </c>
      <c r="Q95" s="113">
        <f t="shared" si="5"/>
        <v>0.50486111111111109</v>
      </c>
      <c r="R95" s="116">
        <f>IF(Q95="","",IF($D$14="Weekday",INDEX(Tbl_Wait_Wkday[#All],MATCH('Model 2 - Permutations'!Q95,Tbl_Wait_Wkday[[#All],[Time]],1),MATCH('Model 2 - Permutations'!D95,Tbl_Wait_Wkday[#Headers],0)),INDEX(Tbl_Wait_Wkend[#All],MATCH('Model 2 - Permutations'!Q95,Tbl_Wait_Wkend[[#All],[Time]],1),MATCH('Model 2 - Permutations'!D95,Tbl_Wait_Wkend[#Headers],0))))</f>
        <v>1.3888888888888888E-2</v>
      </c>
      <c r="S95" s="117">
        <f>IF(R95="","",VLOOKUP(D95,Tbl_Ride[#Data],2,FALSE))</f>
        <v>6.9444444444444447E-4</v>
      </c>
      <c r="T95" s="118">
        <f t="shared" si="6"/>
        <v>0.51944444444444438</v>
      </c>
      <c r="U95" s="114">
        <f t="shared" si="7"/>
        <v>0</v>
      </c>
      <c r="V95" s="115">
        <f>IF(U95="","",IF($D$5="Average",INDEX(Tbl_Walk_Avg[#All],MATCH('Model 2 - Permutations'!D95,Tbl_Walk_Avg[[#All],[Ride]],0),MATCH('Model 2 - Permutations'!E95,Tbl_Walk_Avg[#Headers],0)),INDEX(Tbl_Walk_Leisure[#All],MATCH('Model 2 - Permutations'!D95,Tbl_Walk_Leisure[[#All],[Ride]],0),MATCH('Model 2 - Permutations'!E95,Tbl_Walk_Leisure[#Headers],0))))</f>
        <v>6.2500000000000003E-3</v>
      </c>
      <c r="W95" s="113">
        <f t="shared" si="8"/>
        <v>0.52569444444444435</v>
      </c>
      <c r="X95" s="116">
        <f>IF(W95="","",IF($D$14="Weekday",INDEX(Tbl_Wait_Wkday[#All],MATCH('Model 2 - Permutations'!W95,Tbl_Wait_Wkday[[#All],[Time]],1),MATCH('Model 2 - Permutations'!E95,Tbl_Wait_Wkday[#Headers],0)),INDEX(Tbl_Wait_Wkend[#All],MATCH('Model 2 - Permutations'!W95,Tbl_Wait_Wkend[[#All],[Time]],1),MATCH('Model 2 - Permutations'!E95,Tbl_Wait_Wkend[#Headers],0))))</f>
        <v>1.7361111111111112E-2</v>
      </c>
      <c r="Y95" s="117">
        <f>IF(X95="","",VLOOKUP(E95,Tbl_Ride[#Data],2,FALSE))</f>
        <v>1.3888888888888889E-3</v>
      </c>
      <c r="Z95" s="118">
        <f t="shared" si="9"/>
        <v>0.5444444444444444</v>
      </c>
      <c r="AA95" s="114">
        <f t="shared" si="10"/>
        <v>1</v>
      </c>
      <c r="AB95" s="115">
        <f>IF(AA95="","",IF($D$5="Average",INDEX(Tbl_Walk_Avg[#All],MATCH('Model 2 - Permutations'!E95,Tbl_Walk_Avg[[#All],[Ride]],0),MATCH('Model 2 - Permutations'!F95,Tbl_Walk_Avg[#Headers],0)),INDEX(Tbl_Walk_Leisure[#All],MATCH('Model 2 - Permutations'!E95,Tbl_Walk_Leisure[[#All],[Ride]],0),MATCH('Model 2 - Permutations'!F95,Tbl_Walk_Leisure[#Headers],0))))</f>
        <v>0</v>
      </c>
      <c r="AC95" s="113">
        <f t="shared" si="11"/>
        <v>0.62777777777777777</v>
      </c>
      <c r="AD95" s="116">
        <f>IF(AC95="","",IF($D$14="Weekday",INDEX(Tbl_Wait_Wkday[#All],MATCH('Model 2 - Permutations'!AC95,Tbl_Wait_Wkday[[#All],[Time]],1),MATCH('Model 2 - Permutations'!F95,Tbl_Wait_Wkday[#Headers],0)),INDEX(Tbl_Wait_Wkend[#All],MATCH('Model 2 - Permutations'!AC95,Tbl_Wait_Wkend[[#All],[Time]],1),MATCH('Model 2 - Permutations'!F95,Tbl_Wait_Wkend[#Headers],0))))</f>
        <v>5.5555555555555552E-2</v>
      </c>
      <c r="AE95" s="117">
        <f>IF(AD95="","",VLOOKUP(F95,Tbl_Ride[#Data],2,FALSE))</f>
        <v>1.3888888888888889E-3</v>
      </c>
      <c r="AF95" s="118">
        <f t="shared" si="12"/>
        <v>0.68472222222222223</v>
      </c>
      <c r="AG95" s="114">
        <f t="shared" si="13"/>
        <v>0</v>
      </c>
      <c r="AH95" s="115">
        <f>IF(AG95="","",IF($D$5="Average",INDEX(Tbl_Walk_Avg[#All],MATCH('Model 2 - Permutations'!F95,Tbl_Walk_Avg[[#All],[Ride]],0),MATCH('Model 2 - Permutations'!G95,Tbl_Walk_Avg[#Headers],0)),INDEX(Tbl_Walk_Leisure[#All],MATCH('Model 2 - Permutations'!F95,Tbl_Walk_Leisure[[#All],[Ride]],0),MATCH('Model 2 - Permutations'!G95,Tbl_Walk_Leisure[#Headers],0))))</f>
        <v>2.7777777777777779E-3</v>
      </c>
      <c r="AI95" s="113">
        <f t="shared" si="14"/>
        <v>0.6875</v>
      </c>
      <c r="AJ95" s="116">
        <f>IF(AI95="","",IF($D$14="Weekday",INDEX(Tbl_Wait_Wkday[#All],MATCH('Model 2 - Permutations'!AI95,Tbl_Wait_Wkday[[#All],[Time]],1),MATCH('Model 2 - Permutations'!G95,Tbl_Wait_Wkday[#Headers],0)),INDEX(Tbl_Wait_Wkend[#All],MATCH('Model 2 - Permutations'!AI95,Tbl_Wait_Wkend[[#All],[Time]],1),MATCH('Model 2 - Permutations'!G95,Tbl_Wait_Wkend[#Headers],0))))</f>
        <v>2.4305555555555552E-2</v>
      </c>
      <c r="AK95" s="117">
        <f>IF(AJ95="","",VLOOKUP(G95,Tbl_Ride[#Data],2,FALSE))</f>
        <v>3.4722222222222225E-3</v>
      </c>
      <c r="AL95" s="118">
        <f t="shared" si="15"/>
        <v>0.71527777777777779</v>
      </c>
      <c r="AM95" s="114">
        <f t="shared" si="16"/>
        <v>0</v>
      </c>
      <c r="AN95" s="115">
        <f>IF(AM95="","",IF($D$5="Average",INDEX(Tbl_Walk_Avg[#All],MATCH('Model 2 - Permutations'!G95,Tbl_Walk_Avg[[#All],[Ride]],0),MATCH('Model 2 - Permutations'!H95,Tbl_Walk_Avg[#Headers],0)),INDEX(Tbl_Walk_Leisure[#All],MATCH('Model 2 - Permutations'!G95,Tbl_Walk_Leisure[[#All],[Ride]],0),MATCH('Model 2 - Permutations'!H95,Tbl_Walk_Leisure[#Headers],0))))</f>
        <v>4.1666666666666666E-3</v>
      </c>
      <c r="AO95" s="113">
        <f t="shared" si="17"/>
        <v>0.71944444444444444</v>
      </c>
      <c r="AP95" s="116">
        <f>IF(AO95="","",IF($D$14="Weekday",INDEX(Tbl_Wait_Wkday[#All],MATCH('Model 2 - Permutations'!AO95,Tbl_Wait_Wkday[[#All],[Time]],1),MATCH('Model 2 - Permutations'!H95,Tbl_Wait_Wkday[#Headers],0)),INDEX(Tbl_Wait_Wkend[#All],MATCH('Model 2 - Permutations'!AO95,Tbl_Wait_Wkend[[#All],[Time]],1),MATCH('Model 2 - Permutations'!H95,Tbl_Wait_Wkend[#Headers],0))))</f>
        <v>2.4305555555555552E-2</v>
      </c>
      <c r="AQ95" s="117">
        <f>IF(AP95="","",VLOOKUP(H95,Tbl_Ride[#Data],2,FALSE))</f>
        <v>2.0833333333333333E-3</v>
      </c>
      <c r="AR95" s="118">
        <f t="shared" si="18"/>
        <v>0.74583333333333335</v>
      </c>
      <c r="AS95" s="119">
        <f t="shared" si="19"/>
        <v>1.8055555555555557E-2</v>
      </c>
      <c r="AT95" s="119">
        <f t="shared" si="20"/>
        <v>0.13541666666666666</v>
      </c>
      <c r="AU95" s="119">
        <f t="shared" si="21"/>
        <v>0.1534722222222222</v>
      </c>
    </row>
    <row r="96" spans="2:47">
      <c r="B96" s="111">
        <v>51</v>
      </c>
      <c r="C96" s="111" t="s">
        <v>66</v>
      </c>
      <c r="D96" s="112" t="str">
        <f t="shared" si="2"/>
        <v>Enchanted Airways</v>
      </c>
      <c r="E96" s="112" t="str">
        <f t="shared" si="2"/>
        <v>Battlestar Galactica: Cylon</v>
      </c>
      <c r="F96" s="112" t="str">
        <f t="shared" si="2"/>
        <v>Revenge of the Mummy</v>
      </c>
      <c r="G96" s="112" t="str">
        <f t="shared" si="2"/>
        <v>Battlestart Galactica: Human</v>
      </c>
      <c r="H96" s="112" t="str">
        <f t="shared" si="2"/>
        <v>Transformers The Ride</v>
      </c>
      <c r="I96" s="112">
        <v>3</v>
      </c>
      <c r="J96" s="112">
        <v>1</v>
      </c>
      <c r="K96" s="112">
        <v>4</v>
      </c>
      <c r="L96" s="112">
        <v>2</v>
      </c>
      <c r="M96" s="112">
        <v>5</v>
      </c>
      <c r="N96" s="113">
        <f t="shared" si="3"/>
        <v>0.5</v>
      </c>
      <c r="O96" s="114">
        <f t="shared" si="4"/>
        <v>0</v>
      </c>
      <c r="P96" s="115">
        <f>IF($D$5="Average",INDEX(Tbl_Walk_Avg[#All],MATCH('Model 2 - Permutations'!C96,Tbl_Walk_Avg[[#All],[Ride]],0),MATCH('Model 2 - Permutations'!D96,Tbl_Walk_Avg[#Headers],0)),INDEX(Tbl_Walk_Leisure[#All],MATCH('Model 2 - Permutations'!C96,Tbl_Walk_Leisure[[#All],[Ride]],0),MATCH('Model 2 - Permutations'!D96,Tbl_Walk_Leisure[#Headers],0)))</f>
        <v>4.8611111111111112E-3</v>
      </c>
      <c r="Q96" s="113">
        <f t="shared" si="5"/>
        <v>0.50486111111111109</v>
      </c>
      <c r="R96" s="116">
        <f>IF(Q96="","",IF($D$14="Weekday",INDEX(Tbl_Wait_Wkday[#All],MATCH('Model 2 - Permutations'!Q96,Tbl_Wait_Wkday[[#All],[Time]],1),MATCH('Model 2 - Permutations'!D96,Tbl_Wait_Wkday[#Headers],0)),INDEX(Tbl_Wait_Wkend[#All],MATCH('Model 2 - Permutations'!Q96,Tbl_Wait_Wkend[[#All],[Time]],1),MATCH('Model 2 - Permutations'!D96,Tbl_Wait_Wkend[#Headers],0))))</f>
        <v>1.3888888888888888E-2</v>
      </c>
      <c r="S96" s="117">
        <f>IF(R96="","",VLOOKUP(D96,Tbl_Ride[#Data],2,FALSE))</f>
        <v>6.9444444444444447E-4</v>
      </c>
      <c r="T96" s="118">
        <f t="shared" si="6"/>
        <v>0.51944444444444438</v>
      </c>
      <c r="U96" s="114">
        <f t="shared" si="7"/>
        <v>0</v>
      </c>
      <c r="V96" s="115">
        <f>IF(U96="","",IF($D$5="Average",INDEX(Tbl_Walk_Avg[#All],MATCH('Model 2 - Permutations'!D96,Tbl_Walk_Avg[[#All],[Ride]],0),MATCH('Model 2 - Permutations'!E96,Tbl_Walk_Avg[#Headers],0)),INDEX(Tbl_Walk_Leisure[#All],MATCH('Model 2 - Permutations'!D96,Tbl_Walk_Leisure[[#All],[Ride]],0),MATCH('Model 2 - Permutations'!E96,Tbl_Walk_Leisure[#Headers],0))))</f>
        <v>6.2500000000000003E-3</v>
      </c>
      <c r="W96" s="113">
        <f t="shared" si="8"/>
        <v>0.52569444444444435</v>
      </c>
      <c r="X96" s="116">
        <f>IF(W96="","",IF($D$14="Weekday",INDEX(Tbl_Wait_Wkday[#All],MATCH('Model 2 - Permutations'!W96,Tbl_Wait_Wkday[[#All],[Time]],1),MATCH('Model 2 - Permutations'!E96,Tbl_Wait_Wkday[#Headers],0)),INDEX(Tbl_Wait_Wkend[#All],MATCH('Model 2 - Permutations'!W96,Tbl_Wait_Wkend[[#All],[Time]],1),MATCH('Model 2 - Permutations'!E96,Tbl_Wait_Wkend[#Headers],0))))</f>
        <v>1.7361111111111112E-2</v>
      </c>
      <c r="Y96" s="117">
        <f>IF(X96="","",VLOOKUP(E96,Tbl_Ride[#Data],2,FALSE))</f>
        <v>1.3888888888888889E-3</v>
      </c>
      <c r="Z96" s="118">
        <f t="shared" si="9"/>
        <v>0.5444444444444444</v>
      </c>
      <c r="AA96" s="114">
        <f t="shared" si="10"/>
        <v>1</v>
      </c>
      <c r="AB96" s="115">
        <f>IF(AA96="","",IF($D$5="Average",INDEX(Tbl_Walk_Avg[#All],MATCH('Model 2 - Permutations'!E96,Tbl_Walk_Avg[[#All],[Ride]],0),MATCH('Model 2 - Permutations'!F96,Tbl_Walk_Avg[#Headers],0)),INDEX(Tbl_Walk_Leisure[#All],MATCH('Model 2 - Permutations'!E96,Tbl_Walk_Leisure[[#All],[Ride]],0),MATCH('Model 2 - Permutations'!F96,Tbl_Walk_Leisure[#Headers],0))))</f>
        <v>2.7777777777777779E-3</v>
      </c>
      <c r="AC96" s="113">
        <f t="shared" si="11"/>
        <v>0.63055555555555554</v>
      </c>
      <c r="AD96" s="116">
        <f>IF(AC96="","",IF($D$14="Weekday",INDEX(Tbl_Wait_Wkday[#All],MATCH('Model 2 - Permutations'!AC96,Tbl_Wait_Wkday[[#All],[Time]],1),MATCH('Model 2 - Permutations'!F96,Tbl_Wait_Wkday[#Headers],0)),INDEX(Tbl_Wait_Wkend[#All],MATCH('Model 2 - Permutations'!AC96,Tbl_Wait_Wkend[[#All],[Time]],1),MATCH('Model 2 - Permutations'!F96,Tbl_Wait_Wkend[#Headers],0))))</f>
        <v>3.125E-2</v>
      </c>
      <c r="AE96" s="117">
        <f>IF(AD96="","",VLOOKUP(F96,Tbl_Ride[#Data],2,FALSE))</f>
        <v>2.0833333333333333E-3</v>
      </c>
      <c r="AF96" s="118">
        <f t="shared" si="12"/>
        <v>0.66388888888888886</v>
      </c>
      <c r="AG96" s="114">
        <f t="shared" si="13"/>
        <v>0</v>
      </c>
      <c r="AH96" s="115">
        <f>IF(AG96="","",IF($D$5="Average",INDEX(Tbl_Walk_Avg[#All],MATCH('Model 2 - Permutations'!F96,Tbl_Walk_Avg[[#All],[Ride]],0),MATCH('Model 2 - Permutations'!G96,Tbl_Walk_Avg[#Headers],0)),INDEX(Tbl_Walk_Leisure[#All],MATCH('Model 2 - Permutations'!F96,Tbl_Walk_Leisure[[#All],[Ride]],0),MATCH('Model 2 - Permutations'!G96,Tbl_Walk_Leisure[#Headers],0))))</f>
        <v>2.7777777777777779E-3</v>
      </c>
      <c r="AI96" s="113">
        <f t="shared" si="14"/>
        <v>0.66666666666666663</v>
      </c>
      <c r="AJ96" s="116">
        <f>IF(AI96="","",IF($D$14="Weekday",INDEX(Tbl_Wait_Wkday[#All],MATCH('Model 2 - Permutations'!AI96,Tbl_Wait_Wkday[[#All],[Time]],1),MATCH('Model 2 - Permutations'!G96,Tbl_Wait_Wkday[#Headers],0)),INDEX(Tbl_Wait_Wkend[#All],MATCH('Model 2 - Permutations'!AI96,Tbl_Wait_Wkend[[#All],[Time]],1),MATCH('Model 2 - Permutations'!G96,Tbl_Wait_Wkend[#Headers],0))))</f>
        <v>4.1666666666666664E-2</v>
      </c>
      <c r="AK96" s="117">
        <f>IF(AJ96="","",VLOOKUP(G96,Tbl_Ride[#Data],2,FALSE))</f>
        <v>1.3888888888888889E-3</v>
      </c>
      <c r="AL96" s="118">
        <f t="shared" si="15"/>
        <v>0.70972222222222214</v>
      </c>
      <c r="AM96" s="114">
        <f t="shared" si="16"/>
        <v>0</v>
      </c>
      <c r="AN96" s="115">
        <f>IF(AM96="","",IF($D$5="Average",INDEX(Tbl_Walk_Avg[#All],MATCH('Model 2 - Permutations'!G96,Tbl_Walk_Avg[[#All],[Ride]],0),MATCH('Model 2 - Permutations'!H96,Tbl_Walk_Avg[#Headers],0)),INDEX(Tbl_Walk_Leisure[#All],MATCH('Model 2 - Permutations'!G96,Tbl_Walk_Leisure[[#All],[Ride]],0),MATCH('Model 2 - Permutations'!H96,Tbl_Walk_Leisure[#Headers],0))))</f>
        <v>2.7777777777777779E-3</v>
      </c>
      <c r="AO96" s="113">
        <f t="shared" si="17"/>
        <v>0.71249999999999991</v>
      </c>
      <c r="AP96" s="116">
        <f>IF(AO96="","",IF($D$14="Weekday",INDEX(Tbl_Wait_Wkday[#All],MATCH('Model 2 - Permutations'!AO96,Tbl_Wait_Wkday[[#All],[Time]],1),MATCH('Model 2 - Permutations'!H96,Tbl_Wait_Wkday[#Headers],0)),INDEX(Tbl_Wait_Wkend[#All],MATCH('Model 2 - Permutations'!AO96,Tbl_Wait_Wkend[[#All],[Time]],1),MATCH('Model 2 - Permutations'!H96,Tbl_Wait_Wkend[#Headers],0))))</f>
        <v>3.125E-2</v>
      </c>
      <c r="AQ96" s="117">
        <f>IF(AP96="","",VLOOKUP(H96,Tbl_Ride[#Data],2,FALSE))</f>
        <v>3.4722222222222225E-3</v>
      </c>
      <c r="AR96" s="118">
        <f t="shared" si="18"/>
        <v>0.74722222222222212</v>
      </c>
      <c r="AS96" s="119">
        <f t="shared" si="19"/>
        <v>1.9444444444444445E-2</v>
      </c>
      <c r="AT96" s="119">
        <f t="shared" si="20"/>
        <v>0.13541666666666666</v>
      </c>
      <c r="AU96" s="119">
        <f t="shared" si="21"/>
        <v>0.15486111111111112</v>
      </c>
    </row>
    <row r="97" spans="2:47">
      <c r="B97" s="111">
        <v>52</v>
      </c>
      <c r="C97" s="111" t="s">
        <v>66</v>
      </c>
      <c r="D97" s="112" t="str">
        <f t="shared" si="2"/>
        <v>Enchanted Airways</v>
      </c>
      <c r="E97" s="112" t="str">
        <f t="shared" si="2"/>
        <v>Battlestar Galactica: Cylon</v>
      </c>
      <c r="F97" s="112" t="str">
        <f t="shared" si="2"/>
        <v>Revenge of the Mummy</v>
      </c>
      <c r="G97" s="112" t="str">
        <f t="shared" si="2"/>
        <v>Transformers The Ride</v>
      </c>
      <c r="H97" s="112" t="str">
        <f t="shared" si="2"/>
        <v>Battlestart Galactica: Human</v>
      </c>
      <c r="I97" s="112">
        <v>3</v>
      </c>
      <c r="J97" s="112">
        <v>1</v>
      </c>
      <c r="K97" s="112">
        <v>4</v>
      </c>
      <c r="L97" s="112">
        <v>5</v>
      </c>
      <c r="M97" s="112">
        <v>2</v>
      </c>
      <c r="N97" s="113">
        <f t="shared" si="3"/>
        <v>0.5</v>
      </c>
      <c r="O97" s="114">
        <f t="shared" si="4"/>
        <v>0</v>
      </c>
      <c r="P97" s="115">
        <f>IF($D$5="Average",INDEX(Tbl_Walk_Avg[#All],MATCH('Model 2 - Permutations'!C97,Tbl_Walk_Avg[[#All],[Ride]],0),MATCH('Model 2 - Permutations'!D97,Tbl_Walk_Avg[#Headers],0)),INDEX(Tbl_Walk_Leisure[#All],MATCH('Model 2 - Permutations'!C97,Tbl_Walk_Leisure[[#All],[Ride]],0),MATCH('Model 2 - Permutations'!D97,Tbl_Walk_Leisure[#Headers],0)))</f>
        <v>4.8611111111111112E-3</v>
      </c>
      <c r="Q97" s="113">
        <f t="shared" si="5"/>
        <v>0.50486111111111109</v>
      </c>
      <c r="R97" s="116">
        <f>IF(Q97="","",IF($D$14="Weekday",INDEX(Tbl_Wait_Wkday[#All],MATCH('Model 2 - Permutations'!Q97,Tbl_Wait_Wkday[[#All],[Time]],1),MATCH('Model 2 - Permutations'!D97,Tbl_Wait_Wkday[#Headers],0)),INDEX(Tbl_Wait_Wkend[#All],MATCH('Model 2 - Permutations'!Q97,Tbl_Wait_Wkend[[#All],[Time]],1),MATCH('Model 2 - Permutations'!D97,Tbl_Wait_Wkend[#Headers],0))))</f>
        <v>1.3888888888888888E-2</v>
      </c>
      <c r="S97" s="117">
        <f>IF(R97="","",VLOOKUP(D97,Tbl_Ride[#Data],2,FALSE))</f>
        <v>6.9444444444444447E-4</v>
      </c>
      <c r="T97" s="118">
        <f t="shared" si="6"/>
        <v>0.51944444444444438</v>
      </c>
      <c r="U97" s="114">
        <f t="shared" si="7"/>
        <v>0</v>
      </c>
      <c r="V97" s="115">
        <f>IF(U97="","",IF($D$5="Average",INDEX(Tbl_Walk_Avg[#All],MATCH('Model 2 - Permutations'!D97,Tbl_Walk_Avg[[#All],[Ride]],0),MATCH('Model 2 - Permutations'!E97,Tbl_Walk_Avg[#Headers],0)),INDEX(Tbl_Walk_Leisure[#All],MATCH('Model 2 - Permutations'!D97,Tbl_Walk_Leisure[[#All],[Ride]],0),MATCH('Model 2 - Permutations'!E97,Tbl_Walk_Leisure[#Headers],0))))</f>
        <v>6.2500000000000003E-3</v>
      </c>
      <c r="W97" s="113">
        <f t="shared" si="8"/>
        <v>0.52569444444444435</v>
      </c>
      <c r="X97" s="116">
        <f>IF(W97="","",IF($D$14="Weekday",INDEX(Tbl_Wait_Wkday[#All],MATCH('Model 2 - Permutations'!W97,Tbl_Wait_Wkday[[#All],[Time]],1),MATCH('Model 2 - Permutations'!E97,Tbl_Wait_Wkday[#Headers],0)),INDEX(Tbl_Wait_Wkend[#All],MATCH('Model 2 - Permutations'!W97,Tbl_Wait_Wkend[[#All],[Time]],1),MATCH('Model 2 - Permutations'!E97,Tbl_Wait_Wkend[#Headers],0))))</f>
        <v>1.7361111111111112E-2</v>
      </c>
      <c r="Y97" s="117">
        <f>IF(X97="","",VLOOKUP(E97,Tbl_Ride[#Data],2,FALSE))</f>
        <v>1.3888888888888889E-3</v>
      </c>
      <c r="Z97" s="118">
        <f t="shared" si="9"/>
        <v>0.5444444444444444</v>
      </c>
      <c r="AA97" s="114">
        <f t="shared" si="10"/>
        <v>1</v>
      </c>
      <c r="AB97" s="115">
        <f>IF(AA97="","",IF($D$5="Average",INDEX(Tbl_Walk_Avg[#All],MATCH('Model 2 - Permutations'!E97,Tbl_Walk_Avg[[#All],[Ride]],0),MATCH('Model 2 - Permutations'!F97,Tbl_Walk_Avg[#Headers],0)),INDEX(Tbl_Walk_Leisure[#All],MATCH('Model 2 - Permutations'!E97,Tbl_Walk_Leisure[[#All],[Ride]],0),MATCH('Model 2 - Permutations'!F97,Tbl_Walk_Leisure[#Headers],0))))</f>
        <v>2.7777777777777779E-3</v>
      </c>
      <c r="AC97" s="113">
        <f t="shared" si="11"/>
        <v>0.63055555555555554</v>
      </c>
      <c r="AD97" s="116">
        <f>IF(AC97="","",IF($D$14="Weekday",INDEX(Tbl_Wait_Wkday[#All],MATCH('Model 2 - Permutations'!AC97,Tbl_Wait_Wkday[[#All],[Time]],1),MATCH('Model 2 - Permutations'!F97,Tbl_Wait_Wkday[#Headers],0)),INDEX(Tbl_Wait_Wkend[#All],MATCH('Model 2 - Permutations'!AC97,Tbl_Wait_Wkend[[#All],[Time]],1),MATCH('Model 2 - Permutations'!F97,Tbl_Wait_Wkend[#Headers],0))))</f>
        <v>3.125E-2</v>
      </c>
      <c r="AE97" s="117">
        <f>IF(AD97="","",VLOOKUP(F97,Tbl_Ride[#Data],2,FALSE))</f>
        <v>2.0833333333333333E-3</v>
      </c>
      <c r="AF97" s="118">
        <f t="shared" si="12"/>
        <v>0.66388888888888886</v>
      </c>
      <c r="AG97" s="114">
        <f t="shared" si="13"/>
        <v>0</v>
      </c>
      <c r="AH97" s="115">
        <f>IF(AG97="","",IF($D$5="Average",INDEX(Tbl_Walk_Avg[#All],MATCH('Model 2 - Permutations'!F97,Tbl_Walk_Avg[[#All],[Ride]],0),MATCH('Model 2 - Permutations'!G97,Tbl_Walk_Avg[#Headers],0)),INDEX(Tbl_Walk_Leisure[#All],MATCH('Model 2 - Permutations'!F97,Tbl_Walk_Leisure[[#All],[Ride]],0),MATCH('Model 2 - Permutations'!G97,Tbl_Walk_Leisure[#Headers],0))))</f>
        <v>4.1666666666666666E-3</v>
      </c>
      <c r="AI97" s="113">
        <f t="shared" si="14"/>
        <v>0.66805555555555551</v>
      </c>
      <c r="AJ97" s="116">
        <f>IF(AI97="","",IF($D$14="Weekday",INDEX(Tbl_Wait_Wkday[#All],MATCH('Model 2 - Permutations'!AI97,Tbl_Wait_Wkday[[#All],[Time]],1),MATCH('Model 2 - Permutations'!G97,Tbl_Wait_Wkday[#Headers],0)),INDEX(Tbl_Wait_Wkend[#All],MATCH('Model 2 - Permutations'!AI97,Tbl_Wait_Wkend[[#All],[Time]],1),MATCH('Model 2 - Permutations'!G97,Tbl_Wait_Wkend[#Headers],0))))</f>
        <v>2.4305555555555552E-2</v>
      </c>
      <c r="AK97" s="117">
        <f>IF(AJ97="","",VLOOKUP(G97,Tbl_Ride[#Data],2,FALSE))</f>
        <v>3.4722222222222225E-3</v>
      </c>
      <c r="AL97" s="118">
        <f t="shared" si="15"/>
        <v>0.6958333333333333</v>
      </c>
      <c r="AM97" s="114">
        <f t="shared" si="16"/>
        <v>0</v>
      </c>
      <c r="AN97" s="115">
        <f>IF(AM97="","",IF($D$5="Average",INDEX(Tbl_Walk_Avg[#All],MATCH('Model 2 - Permutations'!G97,Tbl_Walk_Avg[[#All],[Ride]],0),MATCH('Model 2 - Permutations'!H97,Tbl_Walk_Avg[#Headers],0)),INDEX(Tbl_Walk_Leisure[#All],MATCH('Model 2 - Permutations'!G97,Tbl_Walk_Leisure[[#All],[Ride]],0),MATCH('Model 2 - Permutations'!H97,Tbl_Walk_Leisure[#Headers],0))))</f>
        <v>2.7777777777777779E-3</v>
      </c>
      <c r="AO97" s="113">
        <f t="shared" si="17"/>
        <v>0.69861111111111107</v>
      </c>
      <c r="AP97" s="116">
        <f>IF(AO97="","",IF($D$14="Weekday",INDEX(Tbl_Wait_Wkday[#All],MATCH('Model 2 - Permutations'!AO97,Tbl_Wait_Wkday[[#All],[Time]],1),MATCH('Model 2 - Permutations'!H97,Tbl_Wait_Wkday[#Headers],0)),INDEX(Tbl_Wait_Wkend[#All],MATCH('Model 2 - Permutations'!AO97,Tbl_Wait_Wkend[[#All],[Time]],1),MATCH('Model 2 - Permutations'!H97,Tbl_Wait_Wkend[#Headers],0))))</f>
        <v>4.1666666666666664E-2</v>
      </c>
      <c r="AQ97" s="117">
        <f>IF(AP97="","",VLOOKUP(H97,Tbl_Ride[#Data],2,FALSE))</f>
        <v>1.3888888888888889E-3</v>
      </c>
      <c r="AR97" s="118">
        <f t="shared" si="18"/>
        <v>0.74166666666666659</v>
      </c>
      <c r="AS97" s="119">
        <f t="shared" si="19"/>
        <v>2.0833333333333336E-2</v>
      </c>
      <c r="AT97" s="119">
        <f t="shared" si="20"/>
        <v>0.12847222222222221</v>
      </c>
      <c r="AU97" s="119">
        <f t="shared" si="21"/>
        <v>0.14930555555555555</v>
      </c>
    </row>
    <row r="98" spans="2:47">
      <c r="B98" s="111">
        <v>53</v>
      </c>
      <c r="C98" s="111" t="s">
        <v>66</v>
      </c>
      <c r="D98" s="112" t="str">
        <f t="shared" si="2"/>
        <v>Enchanted Airways</v>
      </c>
      <c r="E98" s="112" t="str">
        <f t="shared" si="2"/>
        <v>Battlestar Galactica: Cylon</v>
      </c>
      <c r="F98" s="112" t="str">
        <f t="shared" si="2"/>
        <v>Transformers The Ride</v>
      </c>
      <c r="G98" s="112" t="str">
        <f t="shared" si="2"/>
        <v>Battlestart Galactica: Human</v>
      </c>
      <c r="H98" s="112" t="str">
        <f t="shared" si="2"/>
        <v>Revenge of the Mummy</v>
      </c>
      <c r="I98" s="112">
        <v>3</v>
      </c>
      <c r="J98" s="112">
        <v>1</v>
      </c>
      <c r="K98" s="112">
        <v>5</v>
      </c>
      <c r="L98" s="112">
        <v>2</v>
      </c>
      <c r="M98" s="112">
        <v>4</v>
      </c>
      <c r="N98" s="113">
        <f t="shared" si="3"/>
        <v>0.5</v>
      </c>
      <c r="O98" s="114">
        <f t="shared" si="4"/>
        <v>0</v>
      </c>
      <c r="P98" s="115">
        <f>IF($D$5="Average",INDEX(Tbl_Walk_Avg[#All],MATCH('Model 2 - Permutations'!C98,Tbl_Walk_Avg[[#All],[Ride]],0),MATCH('Model 2 - Permutations'!D98,Tbl_Walk_Avg[#Headers],0)),INDEX(Tbl_Walk_Leisure[#All],MATCH('Model 2 - Permutations'!C98,Tbl_Walk_Leisure[[#All],[Ride]],0),MATCH('Model 2 - Permutations'!D98,Tbl_Walk_Leisure[#Headers],0)))</f>
        <v>4.8611111111111112E-3</v>
      </c>
      <c r="Q98" s="113">
        <f t="shared" si="5"/>
        <v>0.50486111111111109</v>
      </c>
      <c r="R98" s="116">
        <f>IF(Q98="","",IF($D$14="Weekday",INDEX(Tbl_Wait_Wkday[#All],MATCH('Model 2 - Permutations'!Q98,Tbl_Wait_Wkday[[#All],[Time]],1),MATCH('Model 2 - Permutations'!D98,Tbl_Wait_Wkday[#Headers],0)),INDEX(Tbl_Wait_Wkend[#All],MATCH('Model 2 - Permutations'!Q98,Tbl_Wait_Wkend[[#All],[Time]],1),MATCH('Model 2 - Permutations'!D98,Tbl_Wait_Wkend[#Headers],0))))</f>
        <v>1.3888888888888888E-2</v>
      </c>
      <c r="S98" s="117">
        <f>IF(R98="","",VLOOKUP(D98,Tbl_Ride[#Data],2,FALSE))</f>
        <v>6.9444444444444447E-4</v>
      </c>
      <c r="T98" s="118">
        <f t="shared" si="6"/>
        <v>0.51944444444444438</v>
      </c>
      <c r="U98" s="114">
        <f t="shared" si="7"/>
        <v>0</v>
      </c>
      <c r="V98" s="115">
        <f>IF(U98="","",IF($D$5="Average",INDEX(Tbl_Walk_Avg[#All],MATCH('Model 2 - Permutations'!D98,Tbl_Walk_Avg[[#All],[Ride]],0),MATCH('Model 2 - Permutations'!E98,Tbl_Walk_Avg[#Headers],0)),INDEX(Tbl_Walk_Leisure[#All],MATCH('Model 2 - Permutations'!D98,Tbl_Walk_Leisure[[#All],[Ride]],0),MATCH('Model 2 - Permutations'!E98,Tbl_Walk_Leisure[#Headers],0))))</f>
        <v>6.2500000000000003E-3</v>
      </c>
      <c r="W98" s="113">
        <f t="shared" si="8"/>
        <v>0.52569444444444435</v>
      </c>
      <c r="X98" s="116">
        <f>IF(W98="","",IF($D$14="Weekday",INDEX(Tbl_Wait_Wkday[#All],MATCH('Model 2 - Permutations'!W98,Tbl_Wait_Wkday[[#All],[Time]],1),MATCH('Model 2 - Permutations'!E98,Tbl_Wait_Wkday[#Headers],0)),INDEX(Tbl_Wait_Wkend[#All],MATCH('Model 2 - Permutations'!W98,Tbl_Wait_Wkend[[#All],[Time]],1),MATCH('Model 2 - Permutations'!E98,Tbl_Wait_Wkend[#Headers],0))))</f>
        <v>1.7361111111111112E-2</v>
      </c>
      <c r="Y98" s="117">
        <f>IF(X98="","",VLOOKUP(E98,Tbl_Ride[#Data],2,FALSE))</f>
        <v>1.3888888888888889E-3</v>
      </c>
      <c r="Z98" s="118">
        <f t="shared" si="9"/>
        <v>0.5444444444444444</v>
      </c>
      <c r="AA98" s="114">
        <f t="shared" si="10"/>
        <v>1</v>
      </c>
      <c r="AB98" s="115">
        <f>IF(AA98="","",IF($D$5="Average",INDEX(Tbl_Walk_Avg[#All],MATCH('Model 2 - Permutations'!E98,Tbl_Walk_Avg[[#All],[Ride]],0),MATCH('Model 2 - Permutations'!F98,Tbl_Walk_Avg[#Headers],0)),INDEX(Tbl_Walk_Leisure[#All],MATCH('Model 2 - Permutations'!E98,Tbl_Walk_Leisure[[#All],[Ride]],0),MATCH('Model 2 - Permutations'!F98,Tbl_Walk_Leisure[#Headers],0))))</f>
        <v>2.7777777777777779E-3</v>
      </c>
      <c r="AC98" s="113">
        <f t="shared" si="11"/>
        <v>0.63055555555555554</v>
      </c>
      <c r="AD98" s="116">
        <f>IF(AC98="","",IF($D$14="Weekday",INDEX(Tbl_Wait_Wkday[#All],MATCH('Model 2 - Permutations'!AC98,Tbl_Wait_Wkday[[#All],[Time]],1),MATCH('Model 2 - Permutations'!F98,Tbl_Wait_Wkday[#Headers],0)),INDEX(Tbl_Wait_Wkend[#All],MATCH('Model 2 - Permutations'!AC98,Tbl_Wait_Wkend[[#All],[Time]],1),MATCH('Model 2 - Permutations'!F98,Tbl_Wait_Wkend[#Headers],0))))</f>
        <v>2.4305555555555552E-2</v>
      </c>
      <c r="AE98" s="117">
        <f>IF(AD98="","",VLOOKUP(F98,Tbl_Ride[#Data],2,FALSE))</f>
        <v>3.4722222222222225E-3</v>
      </c>
      <c r="AF98" s="118">
        <f t="shared" si="12"/>
        <v>0.65833333333333333</v>
      </c>
      <c r="AG98" s="114">
        <f t="shared" si="13"/>
        <v>0</v>
      </c>
      <c r="AH98" s="115">
        <f>IF(AG98="","",IF($D$5="Average",INDEX(Tbl_Walk_Avg[#All],MATCH('Model 2 - Permutations'!F98,Tbl_Walk_Avg[[#All],[Ride]],0),MATCH('Model 2 - Permutations'!G98,Tbl_Walk_Avg[#Headers],0)),INDEX(Tbl_Walk_Leisure[#All],MATCH('Model 2 - Permutations'!F98,Tbl_Walk_Leisure[[#All],[Ride]],0),MATCH('Model 2 - Permutations'!G98,Tbl_Walk_Leisure[#Headers],0))))</f>
        <v>2.7777777777777779E-3</v>
      </c>
      <c r="AI98" s="113">
        <f t="shared" si="14"/>
        <v>0.66111111111111109</v>
      </c>
      <c r="AJ98" s="116">
        <f>IF(AI98="","",IF($D$14="Weekday",INDEX(Tbl_Wait_Wkday[#All],MATCH('Model 2 - Permutations'!AI98,Tbl_Wait_Wkday[[#All],[Time]],1),MATCH('Model 2 - Permutations'!G98,Tbl_Wait_Wkday[#Headers],0)),INDEX(Tbl_Wait_Wkend[#All],MATCH('Model 2 - Permutations'!AI98,Tbl_Wait_Wkend[[#All],[Time]],1),MATCH('Model 2 - Permutations'!G98,Tbl_Wait_Wkend[#Headers],0))))</f>
        <v>5.5555555555555552E-2</v>
      </c>
      <c r="AK98" s="117">
        <f>IF(AJ98="","",VLOOKUP(G98,Tbl_Ride[#Data],2,FALSE))</f>
        <v>1.3888888888888889E-3</v>
      </c>
      <c r="AL98" s="118">
        <f t="shared" si="15"/>
        <v>0.71805555555555556</v>
      </c>
      <c r="AM98" s="114">
        <f t="shared" si="16"/>
        <v>0</v>
      </c>
      <c r="AN98" s="115">
        <f>IF(AM98="","",IF($D$5="Average",INDEX(Tbl_Walk_Avg[#All],MATCH('Model 2 - Permutations'!G98,Tbl_Walk_Avg[[#All],[Ride]],0),MATCH('Model 2 - Permutations'!H98,Tbl_Walk_Avg[#Headers],0)),INDEX(Tbl_Walk_Leisure[#All],MATCH('Model 2 - Permutations'!G98,Tbl_Walk_Leisure[[#All],[Ride]],0),MATCH('Model 2 - Permutations'!H98,Tbl_Walk_Leisure[#Headers],0))))</f>
        <v>2.7777777777777779E-3</v>
      </c>
      <c r="AO98" s="113">
        <f t="shared" si="17"/>
        <v>0.72083333333333333</v>
      </c>
      <c r="AP98" s="116">
        <f>IF(AO98="","",IF($D$14="Weekday",INDEX(Tbl_Wait_Wkday[#All],MATCH('Model 2 - Permutations'!AO98,Tbl_Wait_Wkday[[#All],[Time]],1),MATCH('Model 2 - Permutations'!H98,Tbl_Wait_Wkday[#Headers],0)),INDEX(Tbl_Wait_Wkend[#All],MATCH('Model 2 - Permutations'!AO98,Tbl_Wait_Wkend[[#All],[Time]],1),MATCH('Model 2 - Permutations'!H98,Tbl_Wait_Wkend[#Headers],0))))</f>
        <v>2.4305555555555552E-2</v>
      </c>
      <c r="AQ98" s="117">
        <f>IF(AP98="","",VLOOKUP(H98,Tbl_Ride[#Data],2,FALSE))</f>
        <v>2.0833333333333333E-3</v>
      </c>
      <c r="AR98" s="118">
        <f t="shared" si="18"/>
        <v>0.74722222222222223</v>
      </c>
      <c r="AS98" s="119">
        <f t="shared" si="19"/>
        <v>1.9444444444444445E-2</v>
      </c>
      <c r="AT98" s="119">
        <f t="shared" si="20"/>
        <v>0.13541666666666666</v>
      </c>
      <c r="AU98" s="119">
        <f t="shared" si="21"/>
        <v>0.15486111111111112</v>
      </c>
    </row>
    <row r="99" spans="2:47">
      <c r="B99" s="111">
        <v>54</v>
      </c>
      <c r="C99" s="111" t="s">
        <v>66</v>
      </c>
      <c r="D99" s="112" t="str">
        <f t="shared" si="2"/>
        <v>Enchanted Airways</v>
      </c>
      <c r="E99" s="112" t="str">
        <f t="shared" si="2"/>
        <v>Battlestar Galactica: Cylon</v>
      </c>
      <c r="F99" s="112" t="str">
        <f t="shared" si="2"/>
        <v>Transformers The Ride</v>
      </c>
      <c r="G99" s="112" t="str">
        <f t="shared" si="2"/>
        <v>Revenge of the Mummy</v>
      </c>
      <c r="H99" s="112" t="str">
        <f t="shared" si="2"/>
        <v>Battlestart Galactica: Human</v>
      </c>
      <c r="I99" s="112">
        <v>3</v>
      </c>
      <c r="J99" s="112">
        <v>1</v>
      </c>
      <c r="K99" s="112">
        <v>5</v>
      </c>
      <c r="L99" s="112">
        <v>4</v>
      </c>
      <c r="M99" s="112">
        <v>2</v>
      </c>
      <c r="N99" s="113">
        <f t="shared" si="3"/>
        <v>0.5</v>
      </c>
      <c r="O99" s="114">
        <f t="shared" si="4"/>
        <v>0</v>
      </c>
      <c r="P99" s="115">
        <f>IF($D$5="Average",INDEX(Tbl_Walk_Avg[#All],MATCH('Model 2 - Permutations'!C99,Tbl_Walk_Avg[[#All],[Ride]],0),MATCH('Model 2 - Permutations'!D99,Tbl_Walk_Avg[#Headers],0)),INDEX(Tbl_Walk_Leisure[#All],MATCH('Model 2 - Permutations'!C99,Tbl_Walk_Leisure[[#All],[Ride]],0),MATCH('Model 2 - Permutations'!D99,Tbl_Walk_Leisure[#Headers],0)))</f>
        <v>4.8611111111111112E-3</v>
      </c>
      <c r="Q99" s="113">
        <f t="shared" si="5"/>
        <v>0.50486111111111109</v>
      </c>
      <c r="R99" s="116">
        <f>IF(Q99="","",IF($D$14="Weekday",INDEX(Tbl_Wait_Wkday[#All],MATCH('Model 2 - Permutations'!Q99,Tbl_Wait_Wkday[[#All],[Time]],1),MATCH('Model 2 - Permutations'!D99,Tbl_Wait_Wkday[#Headers],0)),INDEX(Tbl_Wait_Wkend[#All],MATCH('Model 2 - Permutations'!Q99,Tbl_Wait_Wkend[[#All],[Time]],1),MATCH('Model 2 - Permutations'!D99,Tbl_Wait_Wkend[#Headers],0))))</f>
        <v>1.3888888888888888E-2</v>
      </c>
      <c r="S99" s="117">
        <f>IF(R99="","",VLOOKUP(D99,Tbl_Ride[#Data],2,FALSE))</f>
        <v>6.9444444444444447E-4</v>
      </c>
      <c r="T99" s="118">
        <f t="shared" si="6"/>
        <v>0.51944444444444438</v>
      </c>
      <c r="U99" s="114">
        <f t="shared" si="7"/>
        <v>0</v>
      </c>
      <c r="V99" s="115">
        <f>IF(U99="","",IF($D$5="Average",INDEX(Tbl_Walk_Avg[#All],MATCH('Model 2 - Permutations'!D99,Tbl_Walk_Avg[[#All],[Ride]],0),MATCH('Model 2 - Permutations'!E99,Tbl_Walk_Avg[#Headers],0)),INDEX(Tbl_Walk_Leisure[#All],MATCH('Model 2 - Permutations'!D99,Tbl_Walk_Leisure[[#All],[Ride]],0),MATCH('Model 2 - Permutations'!E99,Tbl_Walk_Leisure[#Headers],0))))</f>
        <v>6.2500000000000003E-3</v>
      </c>
      <c r="W99" s="113">
        <f t="shared" si="8"/>
        <v>0.52569444444444435</v>
      </c>
      <c r="X99" s="116">
        <f>IF(W99="","",IF($D$14="Weekday",INDEX(Tbl_Wait_Wkday[#All],MATCH('Model 2 - Permutations'!W99,Tbl_Wait_Wkday[[#All],[Time]],1),MATCH('Model 2 - Permutations'!E99,Tbl_Wait_Wkday[#Headers],0)),INDEX(Tbl_Wait_Wkend[#All],MATCH('Model 2 - Permutations'!W99,Tbl_Wait_Wkend[[#All],[Time]],1),MATCH('Model 2 - Permutations'!E99,Tbl_Wait_Wkend[#Headers],0))))</f>
        <v>1.7361111111111112E-2</v>
      </c>
      <c r="Y99" s="117">
        <f>IF(X99="","",VLOOKUP(E99,Tbl_Ride[#Data],2,FALSE))</f>
        <v>1.3888888888888889E-3</v>
      </c>
      <c r="Z99" s="118">
        <f t="shared" si="9"/>
        <v>0.5444444444444444</v>
      </c>
      <c r="AA99" s="114">
        <f t="shared" si="10"/>
        <v>1</v>
      </c>
      <c r="AB99" s="115">
        <f>IF(AA99="","",IF($D$5="Average",INDEX(Tbl_Walk_Avg[#All],MATCH('Model 2 - Permutations'!E99,Tbl_Walk_Avg[[#All],[Ride]],0),MATCH('Model 2 - Permutations'!F99,Tbl_Walk_Avg[#Headers],0)),INDEX(Tbl_Walk_Leisure[#All],MATCH('Model 2 - Permutations'!E99,Tbl_Walk_Leisure[[#All],[Ride]],0),MATCH('Model 2 - Permutations'!F99,Tbl_Walk_Leisure[#Headers],0))))</f>
        <v>2.7777777777777779E-3</v>
      </c>
      <c r="AC99" s="113">
        <f t="shared" si="11"/>
        <v>0.63055555555555554</v>
      </c>
      <c r="AD99" s="116">
        <f>IF(AC99="","",IF($D$14="Weekday",INDEX(Tbl_Wait_Wkday[#All],MATCH('Model 2 - Permutations'!AC99,Tbl_Wait_Wkday[[#All],[Time]],1),MATCH('Model 2 - Permutations'!F99,Tbl_Wait_Wkday[#Headers],0)),INDEX(Tbl_Wait_Wkend[#All],MATCH('Model 2 - Permutations'!AC99,Tbl_Wait_Wkend[[#All],[Time]],1),MATCH('Model 2 - Permutations'!F99,Tbl_Wait_Wkend[#Headers],0))))</f>
        <v>2.4305555555555552E-2</v>
      </c>
      <c r="AE99" s="117">
        <f>IF(AD99="","",VLOOKUP(F99,Tbl_Ride[#Data],2,FALSE))</f>
        <v>3.4722222222222225E-3</v>
      </c>
      <c r="AF99" s="118">
        <f t="shared" si="12"/>
        <v>0.65833333333333333</v>
      </c>
      <c r="AG99" s="114">
        <f t="shared" si="13"/>
        <v>0</v>
      </c>
      <c r="AH99" s="115">
        <f>IF(AG99="","",IF($D$5="Average",INDEX(Tbl_Walk_Avg[#All],MATCH('Model 2 - Permutations'!F99,Tbl_Walk_Avg[[#All],[Ride]],0),MATCH('Model 2 - Permutations'!G99,Tbl_Walk_Avg[#Headers],0)),INDEX(Tbl_Walk_Leisure[#All],MATCH('Model 2 - Permutations'!F99,Tbl_Walk_Leisure[[#All],[Ride]],0),MATCH('Model 2 - Permutations'!G99,Tbl_Walk_Leisure[#Headers],0))))</f>
        <v>4.1666666666666666E-3</v>
      </c>
      <c r="AI99" s="113">
        <f t="shared" si="14"/>
        <v>0.66249999999999998</v>
      </c>
      <c r="AJ99" s="116">
        <f>IF(AI99="","",IF($D$14="Weekday",INDEX(Tbl_Wait_Wkday[#All],MATCH('Model 2 - Permutations'!AI99,Tbl_Wait_Wkday[[#All],[Time]],1),MATCH('Model 2 - Permutations'!G99,Tbl_Wait_Wkday[#Headers],0)),INDEX(Tbl_Wait_Wkend[#All],MATCH('Model 2 - Permutations'!AI99,Tbl_Wait_Wkend[[#All],[Time]],1),MATCH('Model 2 - Permutations'!G99,Tbl_Wait_Wkend[#Headers],0))))</f>
        <v>3.125E-2</v>
      </c>
      <c r="AK99" s="117">
        <f>IF(AJ99="","",VLOOKUP(G99,Tbl_Ride[#Data],2,FALSE))</f>
        <v>2.0833333333333333E-3</v>
      </c>
      <c r="AL99" s="118">
        <f t="shared" si="15"/>
        <v>0.6958333333333333</v>
      </c>
      <c r="AM99" s="114">
        <f t="shared" si="16"/>
        <v>0</v>
      </c>
      <c r="AN99" s="115">
        <f>IF(AM99="","",IF($D$5="Average",INDEX(Tbl_Walk_Avg[#All],MATCH('Model 2 - Permutations'!G99,Tbl_Walk_Avg[[#All],[Ride]],0),MATCH('Model 2 - Permutations'!H99,Tbl_Walk_Avg[#Headers],0)),INDEX(Tbl_Walk_Leisure[#All],MATCH('Model 2 - Permutations'!G99,Tbl_Walk_Leisure[[#All],[Ride]],0),MATCH('Model 2 - Permutations'!H99,Tbl_Walk_Leisure[#Headers],0))))</f>
        <v>2.7777777777777779E-3</v>
      </c>
      <c r="AO99" s="113">
        <f t="shared" si="17"/>
        <v>0.69861111111111107</v>
      </c>
      <c r="AP99" s="116">
        <f>IF(AO99="","",IF($D$14="Weekday",INDEX(Tbl_Wait_Wkday[#All],MATCH('Model 2 - Permutations'!AO99,Tbl_Wait_Wkday[[#All],[Time]],1),MATCH('Model 2 - Permutations'!H99,Tbl_Wait_Wkday[#Headers],0)),INDEX(Tbl_Wait_Wkend[#All],MATCH('Model 2 - Permutations'!AO99,Tbl_Wait_Wkend[[#All],[Time]],1),MATCH('Model 2 - Permutations'!H99,Tbl_Wait_Wkend[#Headers],0))))</f>
        <v>4.1666666666666664E-2</v>
      </c>
      <c r="AQ99" s="117">
        <f>IF(AP99="","",VLOOKUP(H99,Tbl_Ride[#Data],2,FALSE))</f>
        <v>1.3888888888888889E-3</v>
      </c>
      <c r="AR99" s="118">
        <f t="shared" si="18"/>
        <v>0.74166666666666659</v>
      </c>
      <c r="AS99" s="119">
        <f t="shared" si="19"/>
        <v>2.0833333333333336E-2</v>
      </c>
      <c r="AT99" s="119">
        <f t="shared" si="20"/>
        <v>0.12847222222222221</v>
      </c>
      <c r="AU99" s="119">
        <f t="shared" si="21"/>
        <v>0.14930555555555555</v>
      </c>
    </row>
    <row r="100" spans="2:47">
      <c r="B100" s="111">
        <v>55</v>
      </c>
      <c r="C100" s="111" t="s">
        <v>66</v>
      </c>
      <c r="D100" s="112" t="str">
        <f t="shared" si="2"/>
        <v>Enchanted Airways</v>
      </c>
      <c r="E100" s="112" t="str">
        <f t="shared" si="2"/>
        <v>Battlestart Galactica: Human</v>
      </c>
      <c r="F100" s="112" t="str">
        <f t="shared" si="2"/>
        <v>Battlestar Galactica: Cylon</v>
      </c>
      <c r="G100" s="112" t="str">
        <f t="shared" si="2"/>
        <v>Revenge of the Mummy</v>
      </c>
      <c r="H100" s="112" t="str">
        <f t="shared" si="2"/>
        <v>Transformers The Ride</v>
      </c>
      <c r="I100" s="112">
        <v>3</v>
      </c>
      <c r="J100" s="112">
        <v>2</v>
      </c>
      <c r="K100" s="112">
        <v>1</v>
      </c>
      <c r="L100" s="112">
        <v>4</v>
      </c>
      <c r="M100" s="112">
        <v>5</v>
      </c>
      <c r="N100" s="113">
        <f t="shared" si="3"/>
        <v>0.5</v>
      </c>
      <c r="O100" s="114">
        <f t="shared" si="4"/>
        <v>0</v>
      </c>
      <c r="P100" s="115">
        <f>IF($D$5="Average",INDEX(Tbl_Walk_Avg[#All],MATCH('Model 2 - Permutations'!C100,Tbl_Walk_Avg[[#All],[Ride]],0),MATCH('Model 2 - Permutations'!D100,Tbl_Walk_Avg[#Headers],0)),INDEX(Tbl_Walk_Leisure[#All],MATCH('Model 2 - Permutations'!C100,Tbl_Walk_Leisure[[#All],[Ride]],0),MATCH('Model 2 - Permutations'!D100,Tbl_Walk_Leisure[#Headers],0)))</f>
        <v>4.8611111111111112E-3</v>
      </c>
      <c r="Q100" s="113">
        <f t="shared" si="5"/>
        <v>0.50486111111111109</v>
      </c>
      <c r="R100" s="116">
        <f>IF(Q100="","",IF($D$14="Weekday",INDEX(Tbl_Wait_Wkday[#All],MATCH('Model 2 - Permutations'!Q100,Tbl_Wait_Wkday[[#All],[Time]],1),MATCH('Model 2 - Permutations'!D100,Tbl_Wait_Wkday[#Headers],0)),INDEX(Tbl_Wait_Wkend[#All],MATCH('Model 2 - Permutations'!Q100,Tbl_Wait_Wkend[[#All],[Time]],1),MATCH('Model 2 - Permutations'!D100,Tbl_Wait_Wkend[#Headers],0))))</f>
        <v>1.3888888888888888E-2</v>
      </c>
      <c r="S100" s="117">
        <f>IF(R100="","",VLOOKUP(D100,Tbl_Ride[#Data],2,FALSE))</f>
        <v>6.9444444444444447E-4</v>
      </c>
      <c r="T100" s="118">
        <f t="shared" si="6"/>
        <v>0.51944444444444438</v>
      </c>
      <c r="U100" s="114">
        <f t="shared" si="7"/>
        <v>0</v>
      </c>
      <c r="V100" s="115">
        <f>IF(U100="","",IF($D$5="Average",INDEX(Tbl_Walk_Avg[#All],MATCH('Model 2 - Permutations'!D100,Tbl_Walk_Avg[[#All],[Ride]],0),MATCH('Model 2 - Permutations'!E100,Tbl_Walk_Avg[#Headers],0)),INDEX(Tbl_Walk_Leisure[#All],MATCH('Model 2 - Permutations'!D100,Tbl_Walk_Leisure[[#All],[Ride]],0),MATCH('Model 2 - Permutations'!E100,Tbl_Walk_Leisure[#Headers],0))))</f>
        <v>6.2500000000000003E-3</v>
      </c>
      <c r="W100" s="113">
        <f t="shared" si="8"/>
        <v>0.52569444444444435</v>
      </c>
      <c r="X100" s="116">
        <f>IF(W100="","",IF($D$14="Weekday",INDEX(Tbl_Wait_Wkday[#All],MATCH('Model 2 - Permutations'!W100,Tbl_Wait_Wkday[[#All],[Time]],1),MATCH('Model 2 - Permutations'!E100,Tbl_Wait_Wkday[#Headers],0)),INDEX(Tbl_Wait_Wkend[#All],MATCH('Model 2 - Permutations'!W100,Tbl_Wait_Wkend[[#All],[Time]],1),MATCH('Model 2 - Permutations'!E100,Tbl_Wait_Wkend[#Headers],0))))</f>
        <v>2.4305555555555552E-2</v>
      </c>
      <c r="Y100" s="117">
        <f>IF(X100="","",VLOOKUP(E100,Tbl_Ride[#Data],2,FALSE))</f>
        <v>1.3888888888888889E-3</v>
      </c>
      <c r="Z100" s="118">
        <f t="shared" si="9"/>
        <v>0.55138888888888882</v>
      </c>
      <c r="AA100" s="114">
        <f t="shared" si="10"/>
        <v>1</v>
      </c>
      <c r="AB100" s="115">
        <f>IF(AA100="","",IF($D$5="Average",INDEX(Tbl_Walk_Avg[#All],MATCH('Model 2 - Permutations'!E100,Tbl_Walk_Avg[[#All],[Ride]],0),MATCH('Model 2 - Permutations'!F100,Tbl_Walk_Avg[#Headers],0)),INDEX(Tbl_Walk_Leisure[#All],MATCH('Model 2 - Permutations'!E100,Tbl_Walk_Leisure[[#All],[Ride]],0),MATCH('Model 2 - Permutations'!F100,Tbl_Walk_Leisure[#Headers],0))))</f>
        <v>0</v>
      </c>
      <c r="AC100" s="113">
        <f t="shared" si="11"/>
        <v>0.63472222222222219</v>
      </c>
      <c r="AD100" s="116">
        <f>IF(AC100="","",IF($D$14="Weekday",INDEX(Tbl_Wait_Wkday[#All],MATCH('Model 2 - Permutations'!AC100,Tbl_Wait_Wkday[[#All],[Time]],1),MATCH('Model 2 - Permutations'!F100,Tbl_Wait_Wkday[#Headers],0)),INDEX(Tbl_Wait_Wkend[#All],MATCH('Model 2 - Permutations'!AC100,Tbl_Wait_Wkend[[#All],[Time]],1),MATCH('Model 2 - Permutations'!F100,Tbl_Wait_Wkend[#Headers],0))))</f>
        <v>5.2083333333333329E-2</v>
      </c>
      <c r="AE100" s="117">
        <f>IF(AD100="","",VLOOKUP(F100,Tbl_Ride[#Data],2,FALSE))</f>
        <v>1.3888888888888889E-3</v>
      </c>
      <c r="AF100" s="118">
        <f t="shared" si="12"/>
        <v>0.68819444444444444</v>
      </c>
      <c r="AG100" s="114">
        <f t="shared" si="13"/>
        <v>0</v>
      </c>
      <c r="AH100" s="115">
        <f>IF(AG100="","",IF($D$5="Average",INDEX(Tbl_Walk_Avg[#All],MATCH('Model 2 - Permutations'!F100,Tbl_Walk_Avg[[#All],[Ride]],0),MATCH('Model 2 - Permutations'!G100,Tbl_Walk_Avg[#Headers],0)),INDEX(Tbl_Walk_Leisure[#All],MATCH('Model 2 - Permutations'!F100,Tbl_Walk_Leisure[[#All],[Ride]],0),MATCH('Model 2 - Permutations'!G100,Tbl_Walk_Leisure[#Headers],0))))</f>
        <v>2.7777777777777779E-3</v>
      </c>
      <c r="AI100" s="113">
        <f t="shared" si="14"/>
        <v>0.69097222222222221</v>
      </c>
      <c r="AJ100" s="116">
        <f>IF(AI100="","",IF($D$14="Weekday",INDEX(Tbl_Wait_Wkday[#All],MATCH('Model 2 - Permutations'!AI100,Tbl_Wait_Wkday[[#All],[Time]],1),MATCH('Model 2 - Permutations'!G100,Tbl_Wait_Wkday[#Headers],0)),INDEX(Tbl_Wait_Wkend[#All],MATCH('Model 2 - Permutations'!AI100,Tbl_Wait_Wkend[[#All],[Time]],1),MATCH('Model 2 - Permutations'!G100,Tbl_Wait_Wkend[#Headers],0))))</f>
        <v>2.7777777777777776E-2</v>
      </c>
      <c r="AK100" s="117">
        <f>IF(AJ100="","",VLOOKUP(G100,Tbl_Ride[#Data],2,FALSE))</f>
        <v>2.0833333333333333E-3</v>
      </c>
      <c r="AL100" s="118">
        <f t="shared" si="15"/>
        <v>0.72083333333333333</v>
      </c>
      <c r="AM100" s="114">
        <f t="shared" si="16"/>
        <v>0</v>
      </c>
      <c r="AN100" s="115">
        <f>IF(AM100="","",IF($D$5="Average",INDEX(Tbl_Walk_Avg[#All],MATCH('Model 2 - Permutations'!G100,Tbl_Walk_Avg[[#All],[Ride]],0),MATCH('Model 2 - Permutations'!H100,Tbl_Walk_Avg[#Headers],0)),INDEX(Tbl_Walk_Leisure[#All],MATCH('Model 2 - Permutations'!G100,Tbl_Walk_Leisure[[#All],[Ride]],0),MATCH('Model 2 - Permutations'!H100,Tbl_Walk_Leisure[#Headers],0))))</f>
        <v>4.1666666666666666E-3</v>
      </c>
      <c r="AO100" s="113">
        <f t="shared" si="17"/>
        <v>0.72499999999999998</v>
      </c>
      <c r="AP100" s="116">
        <f>IF(AO100="","",IF($D$14="Weekday",INDEX(Tbl_Wait_Wkday[#All],MATCH('Model 2 - Permutations'!AO100,Tbl_Wait_Wkday[[#All],[Time]],1),MATCH('Model 2 - Permutations'!H100,Tbl_Wait_Wkday[#Headers],0)),INDEX(Tbl_Wait_Wkend[#All],MATCH('Model 2 - Permutations'!AO100,Tbl_Wait_Wkend[[#All],[Time]],1),MATCH('Model 2 - Permutations'!H100,Tbl_Wait_Wkend[#Headers],0))))</f>
        <v>3.125E-2</v>
      </c>
      <c r="AQ100" s="117">
        <f>IF(AP100="","",VLOOKUP(H100,Tbl_Ride[#Data],2,FALSE))</f>
        <v>3.4722222222222225E-3</v>
      </c>
      <c r="AR100" s="118">
        <f t="shared" si="18"/>
        <v>0.75972222222222219</v>
      </c>
      <c r="AS100" s="119">
        <f t="shared" si="19"/>
        <v>1.8055555555555557E-2</v>
      </c>
      <c r="AT100" s="119">
        <f t="shared" si="20"/>
        <v>0.14930555555555552</v>
      </c>
      <c r="AU100" s="119">
        <f t="shared" si="21"/>
        <v>0.16736111111111107</v>
      </c>
    </row>
    <row r="101" spans="2:47">
      <c r="B101" s="111">
        <v>56</v>
      </c>
      <c r="C101" s="111" t="s">
        <v>66</v>
      </c>
      <c r="D101" s="112" t="str">
        <f t="shared" si="2"/>
        <v>Enchanted Airways</v>
      </c>
      <c r="E101" s="112" t="str">
        <f t="shared" si="2"/>
        <v>Battlestart Galactica: Human</v>
      </c>
      <c r="F101" s="112" t="str">
        <f t="shared" si="2"/>
        <v>Battlestar Galactica: Cylon</v>
      </c>
      <c r="G101" s="112" t="str">
        <f t="shared" si="2"/>
        <v>Transformers The Ride</v>
      </c>
      <c r="H101" s="112" t="str">
        <f t="shared" si="2"/>
        <v>Revenge of the Mummy</v>
      </c>
      <c r="I101" s="112">
        <v>3</v>
      </c>
      <c r="J101" s="112">
        <v>2</v>
      </c>
      <c r="K101" s="112">
        <v>1</v>
      </c>
      <c r="L101" s="112">
        <v>5</v>
      </c>
      <c r="M101" s="112">
        <v>4</v>
      </c>
      <c r="N101" s="113">
        <f t="shared" si="3"/>
        <v>0.5</v>
      </c>
      <c r="O101" s="114">
        <f t="shared" si="4"/>
        <v>0</v>
      </c>
      <c r="P101" s="115">
        <f>IF($D$5="Average",INDEX(Tbl_Walk_Avg[#All],MATCH('Model 2 - Permutations'!C101,Tbl_Walk_Avg[[#All],[Ride]],0),MATCH('Model 2 - Permutations'!D101,Tbl_Walk_Avg[#Headers],0)),INDEX(Tbl_Walk_Leisure[#All],MATCH('Model 2 - Permutations'!C101,Tbl_Walk_Leisure[[#All],[Ride]],0),MATCH('Model 2 - Permutations'!D101,Tbl_Walk_Leisure[#Headers],0)))</f>
        <v>4.8611111111111112E-3</v>
      </c>
      <c r="Q101" s="113">
        <f t="shared" si="5"/>
        <v>0.50486111111111109</v>
      </c>
      <c r="R101" s="116">
        <f>IF(Q101="","",IF($D$14="Weekday",INDEX(Tbl_Wait_Wkday[#All],MATCH('Model 2 - Permutations'!Q101,Tbl_Wait_Wkday[[#All],[Time]],1),MATCH('Model 2 - Permutations'!D101,Tbl_Wait_Wkday[#Headers],0)),INDEX(Tbl_Wait_Wkend[#All],MATCH('Model 2 - Permutations'!Q101,Tbl_Wait_Wkend[[#All],[Time]],1),MATCH('Model 2 - Permutations'!D101,Tbl_Wait_Wkend[#Headers],0))))</f>
        <v>1.3888888888888888E-2</v>
      </c>
      <c r="S101" s="117">
        <f>IF(R101="","",VLOOKUP(D101,Tbl_Ride[#Data],2,FALSE))</f>
        <v>6.9444444444444447E-4</v>
      </c>
      <c r="T101" s="118">
        <f t="shared" si="6"/>
        <v>0.51944444444444438</v>
      </c>
      <c r="U101" s="114">
        <f t="shared" si="7"/>
        <v>0</v>
      </c>
      <c r="V101" s="115">
        <f>IF(U101="","",IF($D$5="Average",INDEX(Tbl_Walk_Avg[#All],MATCH('Model 2 - Permutations'!D101,Tbl_Walk_Avg[[#All],[Ride]],0),MATCH('Model 2 - Permutations'!E101,Tbl_Walk_Avg[#Headers],0)),INDEX(Tbl_Walk_Leisure[#All],MATCH('Model 2 - Permutations'!D101,Tbl_Walk_Leisure[[#All],[Ride]],0),MATCH('Model 2 - Permutations'!E101,Tbl_Walk_Leisure[#Headers],0))))</f>
        <v>6.2500000000000003E-3</v>
      </c>
      <c r="W101" s="113">
        <f t="shared" si="8"/>
        <v>0.52569444444444435</v>
      </c>
      <c r="X101" s="116">
        <f>IF(W101="","",IF($D$14="Weekday",INDEX(Tbl_Wait_Wkday[#All],MATCH('Model 2 - Permutations'!W101,Tbl_Wait_Wkday[[#All],[Time]],1),MATCH('Model 2 - Permutations'!E101,Tbl_Wait_Wkday[#Headers],0)),INDEX(Tbl_Wait_Wkend[#All],MATCH('Model 2 - Permutations'!W101,Tbl_Wait_Wkend[[#All],[Time]],1),MATCH('Model 2 - Permutations'!E101,Tbl_Wait_Wkend[#Headers],0))))</f>
        <v>2.4305555555555552E-2</v>
      </c>
      <c r="Y101" s="117">
        <f>IF(X101="","",VLOOKUP(E101,Tbl_Ride[#Data],2,FALSE))</f>
        <v>1.3888888888888889E-3</v>
      </c>
      <c r="Z101" s="118">
        <f t="shared" si="9"/>
        <v>0.55138888888888882</v>
      </c>
      <c r="AA101" s="114">
        <f t="shared" si="10"/>
        <v>1</v>
      </c>
      <c r="AB101" s="115">
        <f>IF(AA101="","",IF($D$5="Average",INDEX(Tbl_Walk_Avg[#All],MATCH('Model 2 - Permutations'!E101,Tbl_Walk_Avg[[#All],[Ride]],0),MATCH('Model 2 - Permutations'!F101,Tbl_Walk_Avg[#Headers],0)),INDEX(Tbl_Walk_Leisure[#All],MATCH('Model 2 - Permutations'!E101,Tbl_Walk_Leisure[[#All],[Ride]],0),MATCH('Model 2 - Permutations'!F101,Tbl_Walk_Leisure[#Headers],0))))</f>
        <v>0</v>
      </c>
      <c r="AC101" s="113">
        <f t="shared" si="11"/>
        <v>0.63472222222222219</v>
      </c>
      <c r="AD101" s="116">
        <f>IF(AC101="","",IF($D$14="Weekday",INDEX(Tbl_Wait_Wkday[#All],MATCH('Model 2 - Permutations'!AC101,Tbl_Wait_Wkday[[#All],[Time]],1),MATCH('Model 2 - Permutations'!F101,Tbl_Wait_Wkday[#Headers],0)),INDEX(Tbl_Wait_Wkend[#All],MATCH('Model 2 - Permutations'!AC101,Tbl_Wait_Wkend[[#All],[Time]],1),MATCH('Model 2 - Permutations'!F101,Tbl_Wait_Wkend[#Headers],0))))</f>
        <v>5.2083333333333329E-2</v>
      </c>
      <c r="AE101" s="117">
        <f>IF(AD101="","",VLOOKUP(F101,Tbl_Ride[#Data],2,FALSE))</f>
        <v>1.3888888888888889E-3</v>
      </c>
      <c r="AF101" s="118">
        <f t="shared" si="12"/>
        <v>0.68819444444444444</v>
      </c>
      <c r="AG101" s="114">
        <f t="shared" si="13"/>
        <v>0</v>
      </c>
      <c r="AH101" s="115">
        <f>IF(AG101="","",IF($D$5="Average",INDEX(Tbl_Walk_Avg[#All],MATCH('Model 2 - Permutations'!F101,Tbl_Walk_Avg[[#All],[Ride]],0),MATCH('Model 2 - Permutations'!G101,Tbl_Walk_Avg[#Headers],0)),INDEX(Tbl_Walk_Leisure[#All],MATCH('Model 2 - Permutations'!F101,Tbl_Walk_Leisure[[#All],[Ride]],0),MATCH('Model 2 - Permutations'!G101,Tbl_Walk_Leisure[#Headers],0))))</f>
        <v>2.7777777777777779E-3</v>
      </c>
      <c r="AI101" s="113">
        <f t="shared" si="14"/>
        <v>0.69097222222222221</v>
      </c>
      <c r="AJ101" s="116">
        <f>IF(AI101="","",IF($D$14="Weekday",INDEX(Tbl_Wait_Wkday[#All],MATCH('Model 2 - Permutations'!AI101,Tbl_Wait_Wkday[[#All],[Time]],1),MATCH('Model 2 - Permutations'!G101,Tbl_Wait_Wkday[#Headers],0)),INDEX(Tbl_Wait_Wkend[#All],MATCH('Model 2 - Permutations'!AI101,Tbl_Wait_Wkend[[#All],[Time]],1),MATCH('Model 2 - Permutations'!G101,Tbl_Wait_Wkend[#Headers],0))))</f>
        <v>2.4305555555555552E-2</v>
      </c>
      <c r="AK101" s="117">
        <f>IF(AJ101="","",VLOOKUP(G101,Tbl_Ride[#Data],2,FALSE))</f>
        <v>3.4722222222222225E-3</v>
      </c>
      <c r="AL101" s="118">
        <f t="shared" si="15"/>
        <v>0.71875</v>
      </c>
      <c r="AM101" s="114">
        <f t="shared" si="16"/>
        <v>0</v>
      </c>
      <c r="AN101" s="115">
        <f>IF(AM101="","",IF($D$5="Average",INDEX(Tbl_Walk_Avg[#All],MATCH('Model 2 - Permutations'!G101,Tbl_Walk_Avg[[#All],[Ride]],0),MATCH('Model 2 - Permutations'!H101,Tbl_Walk_Avg[#Headers],0)),INDEX(Tbl_Walk_Leisure[#All],MATCH('Model 2 - Permutations'!G101,Tbl_Walk_Leisure[[#All],[Ride]],0),MATCH('Model 2 - Permutations'!H101,Tbl_Walk_Leisure[#Headers],0))))</f>
        <v>4.1666666666666666E-3</v>
      </c>
      <c r="AO101" s="113">
        <f t="shared" si="17"/>
        <v>0.72291666666666665</v>
      </c>
      <c r="AP101" s="116">
        <f>IF(AO101="","",IF($D$14="Weekday",INDEX(Tbl_Wait_Wkday[#All],MATCH('Model 2 - Permutations'!AO101,Tbl_Wait_Wkday[[#All],[Time]],1),MATCH('Model 2 - Permutations'!H101,Tbl_Wait_Wkday[#Headers],0)),INDEX(Tbl_Wait_Wkend[#All],MATCH('Model 2 - Permutations'!AO101,Tbl_Wait_Wkend[[#All],[Time]],1),MATCH('Model 2 - Permutations'!H101,Tbl_Wait_Wkend[#Headers],0))))</f>
        <v>2.4305555555555552E-2</v>
      </c>
      <c r="AQ101" s="117">
        <f>IF(AP101="","",VLOOKUP(H101,Tbl_Ride[#Data],2,FALSE))</f>
        <v>2.0833333333333333E-3</v>
      </c>
      <c r="AR101" s="118">
        <f t="shared" si="18"/>
        <v>0.74930555555555556</v>
      </c>
      <c r="AS101" s="119">
        <f t="shared" si="19"/>
        <v>1.8055555555555557E-2</v>
      </c>
      <c r="AT101" s="119">
        <f t="shared" si="20"/>
        <v>0.13888888888888887</v>
      </c>
      <c r="AU101" s="119">
        <f t="shared" si="21"/>
        <v>0.15694444444444441</v>
      </c>
    </row>
    <row r="102" spans="2:47">
      <c r="B102" s="111">
        <v>57</v>
      </c>
      <c r="C102" s="111" t="s">
        <v>66</v>
      </c>
      <c r="D102" s="112" t="str">
        <f t="shared" si="2"/>
        <v>Enchanted Airways</v>
      </c>
      <c r="E102" s="112" t="str">
        <f t="shared" si="2"/>
        <v>Battlestart Galactica: Human</v>
      </c>
      <c r="F102" s="112" t="str">
        <f t="shared" si="2"/>
        <v>Revenge of the Mummy</v>
      </c>
      <c r="G102" s="112" t="str">
        <f t="shared" si="2"/>
        <v>Battlestar Galactica: Cylon</v>
      </c>
      <c r="H102" s="112" t="str">
        <f t="shared" si="2"/>
        <v>Transformers The Ride</v>
      </c>
      <c r="I102" s="112">
        <v>3</v>
      </c>
      <c r="J102" s="112">
        <v>2</v>
      </c>
      <c r="K102" s="112">
        <v>4</v>
      </c>
      <c r="L102" s="112">
        <v>1</v>
      </c>
      <c r="M102" s="112">
        <v>5</v>
      </c>
      <c r="N102" s="113">
        <f t="shared" si="3"/>
        <v>0.5</v>
      </c>
      <c r="O102" s="114">
        <f t="shared" si="4"/>
        <v>0</v>
      </c>
      <c r="P102" s="115">
        <f>IF($D$5="Average",INDEX(Tbl_Walk_Avg[#All],MATCH('Model 2 - Permutations'!C102,Tbl_Walk_Avg[[#All],[Ride]],0),MATCH('Model 2 - Permutations'!D102,Tbl_Walk_Avg[#Headers],0)),INDEX(Tbl_Walk_Leisure[#All],MATCH('Model 2 - Permutations'!C102,Tbl_Walk_Leisure[[#All],[Ride]],0),MATCH('Model 2 - Permutations'!D102,Tbl_Walk_Leisure[#Headers],0)))</f>
        <v>4.8611111111111112E-3</v>
      </c>
      <c r="Q102" s="113">
        <f t="shared" si="5"/>
        <v>0.50486111111111109</v>
      </c>
      <c r="R102" s="116">
        <f>IF(Q102="","",IF($D$14="Weekday",INDEX(Tbl_Wait_Wkday[#All],MATCH('Model 2 - Permutations'!Q102,Tbl_Wait_Wkday[[#All],[Time]],1),MATCH('Model 2 - Permutations'!D102,Tbl_Wait_Wkday[#Headers],0)),INDEX(Tbl_Wait_Wkend[#All],MATCH('Model 2 - Permutations'!Q102,Tbl_Wait_Wkend[[#All],[Time]],1),MATCH('Model 2 - Permutations'!D102,Tbl_Wait_Wkend[#Headers],0))))</f>
        <v>1.3888888888888888E-2</v>
      </c>
      <c r="S102" s="117">
        <f>IF(R102="","",VLOOKUP(D102,Tbl_Ride[#Data],2,FALSE))</f>
        <v>6.9444444444444447E-4</v>
      </c>
      <c r="T102" s="118">
        <f t="shared" si="6"/>
        <v>0.51944444444444438</v>
      </c>
      <c r="U102" s="114">
        <f t="shared" si="7"/>
        <v>0</v>
      </c>
      <c r="V102" s="115">
        <f>IF(U102="","",IF($D$5="Average",INDEX(Tbl_Walk_Avg[#All],MATCH('Model 2 - Permutations'!D102,Tbl_Walk_Avg[[#All],[Ride]],0),MATCH('Model 2 - Permutations'!E102,Tbl_Walk_Avg[#Headers],0)),INDEX(Tbl_Walk_Leisure[#All],MATCH('Model 2 - Permutations'!D102,Tbl_Walk_Leisure[[#All],[Ride]],0),MATCH('Model 2 - Permutations'!E102,Tbl_Walk_Leisure[#Headers],0))))</f>
        <v>6.2500000000000003E-3</v>
      </c>
      <c r="W102" s="113">
        <f t="shared" si="8"/>
        <v>0.52569444444444435</v>
      </c>
      <c r="X102" s="116">
        <f>IF(W102="","",IF($D$14="Weekday",INDEX(Tbl_Wait_Wkday[#All],MATCH('Model 2 - Permutations'!W102,Tbl_Wait_Wkday[[#All],[Time]],1),MATCH('Model 2 - Permutations'!E102,Tbl_Wait_Wkday[#Headers],0)),INDEX(Tbl_Wait_Wkend[#All],MATCH('Model 2 - Permutations'!W102,Tbl_Wait_Wkend[[#All],[Time]],1),MATCH('Model 2 - Permutations'!E102,Tbl_Wait_Wkend[#Headers],0))))</f>
        <v>2.4305555555555552E-2</v>
      </c>
      <c r="Y102" s="117">
        <f>IF(X102="","",VLOOKUP(E102,Tbl_Ride[#Data],2,FALSE))</f>
        <v>1.3888888888888889E-3</v>
      </c>
      <c r="Z102" s="118">
        <f t="shared" si="9"/>
        <v>0.55138888888888882</v>
      </c>
      <c r="AA102" s="114">
        <f t="shared" si="10"/>
        <v>1</v>
      </c>
      <c r="AB102" s="115">
        <f>IF(AA102="","",IF($D$5="Average",INDEX(Tbl_Walk_Avg[#All],MATCH('Model 2 - Permutations'!E102,Tbl_Walk_Avg[[#All],[Ride]],0),MATCH('Model 2 - Permutations'!F102,Tbl_Walk_Avg[#Headers],0)),INDEX(Tbl_Walk_Leisure[#All],MATCH('Model 2 - Permutations'!E102,Tbl_Walk_Leisure[[#All],[Ride]],0),MATCH('Model 2 - Permutations'!F102,Tbl_Walk_Leisure[#Headers],0))))</f>
        <v>2.7777777777777779E-3</v>
      </c>
      <c r="AC102" s="113">
        <f t="shared" si="11"/>
        <v>0.63749999999999996</v>
      </c>
      <c r="AD102" s="116">
        <f>IF(AC102="","",IF($D$14="Weekday",INDEX(Tbl_Wait_Wkday[#All],MATCH('Model 2 - Permutations'!AC102,Tbl_Wait_Wkday[[#All],[Time]],1),MATCH('Model 2 - Permutations'!F102,Tbl_Wait_Wkday[#Headers],0)),INDEX(Tbl_Wait_Wkend[#All],MATCH('Model 2 - Permutations'!AC102,Tbl_Wait_Wkend[[#All],[Time]],1),MATCH('Model 2 - Permutations'!F102,Tbl_Wait_Wkend[#Headers],0))))</f>
        <v>3.125E-2</v>
      </c>
      <c r="AE102" s="117">
        <f>IF(AD102="","",VLOOKUP(F102,Tbl_Ride[#Data],2,FALSE))</f>
        <v>2.0833333333333333E-3</v>
      </c>
      <c r="AF102" s="118">
        <f t="shared" si="12"/>
        <v>0.67083333333333328</v>
      </c>
      <c r="AG102" s="114">
        <f t="shared" si="13"/>
        <v>0</v>
      </c>
      <c r="AH102" s="115">
        <f>IF(AG102="","",IF($D$5="Average",INDEX(Tbl_Walk_Avg[#All],MATCH('Model 2 - Permutations'!F102,Tbl_Walk_Avg[[#All],[Ride]],0),MATCH('Model 2 - Permutations'!G102,Tbl_Walk_Avg[#Headers],0)),INDEX(Tbl_Walk_Leisure[#All],MATCH('Model 2 - Permutations'!F102,Tbl_Walk_Leisure[[#All],[Ride]],0),MATCH('Model 2 - Permutations'!G102,Tbl_Walk_Leisure[#Headers],0))))</f>
        <v>2.7777777777777779E-3</v>
      </c>
      <c r="AI102" s="113">
        <f t="shared" si="14"/>
        <v>0.67361111111111105</v>
      </c>
      <c r="AJ102" s="116">
        <f>IF(AI102="","",IF($D$14="Weekday",INDEX(Tbl_Wait_Wkday[#All],MATCH('Model 2 - Permutations'!AI102,Tbl_Wait_Wkday[[#All],[Time]],1),MATCH('Model 2 - Permutations'!G102,Tbl_Wait_Wkday[#Headers],0)),INDEX(Tbl_Wait_Wkend[#All],MATCH('Model 2 - Permutations'!AI102,Tbl_Wait_Wkend[[#All],[Time]],1),MATCH('Model 2 - Permutations'!G102,Tbl_Wait_Wkend[#Headers],0))))</f>
        <v>3.4722222222222224E-2</v>
      </c>
      <c r="AK102" s="117">
        <f>IF(AJ102="","",VLOOKUP(G102,Tbl_Ride[#Data],2,FALSE))</f>
        <v>1.3888888888888889E-3</v>
      </c>
      <c r="AL102" s="118">
        <f t="shared" si="15"/>
        <v>0.70972222222222214</v>
      </c>
      <c r="AM102" s="114">
        <f t="shared" si="16"/>
        <v>0</v>
      </c>
      <c r="AN102" s="115">
        <f>IF(AM102="","",IF($D$5="Average",INDEX(Tbl_Walk_Avg[#All],MATCH('Model 2 - Permutations'!G102,Tbl_Walk_Avg[[#All],[Ride]],0),MATCH('Model 2 - Permutations'!H102,Tbl_Walk_Avg[#Headers],0)),INDEX(Tbl_Walk_Leisure[#All],MATCH('Model 2 - Permutations'!G102,Tbl_Walk_Leisure[[#All],[Ride]],0),MATCH('Model 2 - Permutations'!H102,Tbl_Walk_Leisure[#Headers],0))))</f>
        <v>2.7777777777777779E-3</v>
      </c>
      <c r="AO102" s="113">
        <f t="shared" si="17"/>
        <v>0.71249999999999991</v>
      </c>
      <c r="AP102" s="116">
        <f>IF(AO102="","",IF($D$14="Weekday",INDEX(Tbl_Wait_Wkday[#All],MATCH('Model 2 - Permutations'!AO102,Tbl_Wait_Wkday[[#All],[Time]],1),MATCH('Model 2 - Permutations'!H102,Tbl_Wait_Wkday[#Headers],0)),INDEX(Tbl_Wait_Wkend[#All],MATCH('Model 2 - Permutations'!AO102,Tbl_Wait_Wkend[[#All],[Time]],1),MATCH('Model 2 - Permutations'!H102,Tbl_Wait_Wkend[#Headers],0))))</f>
        <v>3.125E-2</v>
      </c>
      <c r="AQ102" s="117">
        <f>IF(AP102="","",VLOOKUP(H102,Tbl_Ride[#Data],2,FALSE))</f>
        <v>3.4722222222222225E-3</v>
      </c>
      <c r="AR102" s="118">
        <f t="shared" si="18"/>
        <v>0.74722222222222212</v>
      </c>
      <c r="AS102" s="119">
        <f t="shared" si="19"/>
        <v>1.9444444444444445E-2</v>
      </c>
      <c r="AT102" s="119">
        <f t="shared" si="20"/>
        <v>0.13541666666666669</v>
      </c>
      <c r="AU102" s="119">
        <f t="shared" si="21"/>
        <v>0.15486111111111112</v>
      </c>
    </row>
    <row r="103" spans="2:47">
      <c r="B103" s="111">
        <v>58</v>
      </c>
      <c r="C103" s="111" t="s">
        <v>66</v>
      </c>
      <c r="D103" s="112" t="str">
        <f t="shared" si="2"/>
        <v>Enchanted Airways</v>
      </c>
      <c r="E103" s="112" t="str">
        <f t="shared" si="2"/>
        <v>Battlestart Galactica: Human</v>
      </c>
      <c r="F103" s="112" t="str">
        <f t="shared" si="2"/>
        <v>Revenge of the Mummy</v>
      </c>
      <c r="G103" s="112" t="str">
        <f t="shared" si="2"/>
        <v>Transformers The Ride</v>
      </c>
      <c r="H103" s="112" t="str">
        <f t="shared" si="2"/>
        <v>Battlestar Galactica: Cylon</v>
      </c>
      <c r="I103" s="112">
        <v>3</v>
      </c>
      <c r="J103" s="112">
        <v>2</v>
      </c>
      <c r="K103" s="112">
        <v>4</v>
      </c>
      <c r="L103" s="112">
        <v>5</v>
      </c>
      <c r="M103" s="112">
        <v>1</v>
      </c>
      <c r="N103" s="113">
        <f t="shared" si="3"/>
        <v>0.5</v>
      </c>
      <c r="O103" s="114">
        <f t="shared" si="4"/>
        <v>0</v>
      </c>
      <c r="P103" s="115">
        <f>IF($D$5="Average",INDEX(Tbl_Walk_Avg[#All],MATCH('Model 2 - Permutations'!C103,Tbl_Walk_Avg[[#All],[Ride]],0),MATCH('Model 2 - Permutations'!D103,Tbl_Walk_Avg[#Headers],0)),INDEX(Tbl_Walk_Leisure[#All],MATCH('Model 2 - Permutations'!C103,Tbl_Walk_Leisure[[#All],[Ride]],0),MATCH('Model 2 - Permutations'!D103,Tbl_Walk_Leisure[#Headers],0)))</f>
        <v>4.8611111111111112E-3</v>
      </c>
      <c r="Q103" s="113">
        <f t="shared" si="5"/>
        <v>0.50486111111111109</v>
      </c>
      <c r="R103" s="116">
        <f>IF(Q103="","",IF($D$14="Weekday",INDEX(Tbl_Wait_Wkday[#All],MATCH('Model 2 - Permutations'!Q103,Tbl_Wait_Wkday[[#All],[Time]],1),MATCH('Model 2 - Permutations'!D103,Tbl_Wait_Wkday[#Headers],0)),INDEX(Tbl_Wait_Wkend[#All],MATCH('Model 2 - Permutations'!Q103,Tbl_Wait_Wkend[[#All],[Time]],1),MATCH('Model 2 - Permutations'!D103,Tbl_Wait_Wkend[#Headers],0))))</f>
        <v>1.3888888888888888E-2</v>
      </c>
      <c r="S103" s="117">
        <f>IF(R103="","",VLOOKUP(D103,Tbl_Ride[#Data],2,FALSE))</f>
        <v>6.9444444444444447E-4</v>
      </c>
      <c r="T103" s="118">
        <f t="shared" si="6"/>
        <v>0.51944444444444438</v>
      </c>
      <c r="U103" s="114">
        <f t="shared" si="7"/>
        <v>0</v>
      </c>
      <c r="V103" s="115">
        <f>IF(U103="","",IF($D$5="Average",INDEX(Tbl_Walk_Avg[#All],MATCH('Model 2 - Permutations'!D103,Tbl_Walk_Avg[[#All],[Ride]],0),MATCH('Model 2 - Permutations'!E103,Tbl_Walk_Avg[#Headers],0)),INDEX(Tbl_Walk_Leisure[#All],MATCH('Model 2 - Permutations'!D103,Tbl_Walk_Leisure[[#All],[Ride]],0),MATCH('Model 2 - Permutations'!E103,Tbl_Walk_Leisure[#Headers],0))))</f>
        <v>6.2500000000000003E-3</v>
      </c>
      <c r="W103" s="113">
        <f t="shared" si="8"/>
        <v>0.52569444444444435</v>
      </c>
      <c r="X103" s="116">
        <f>IF(W103="","",IF($D$14="Weekday",INDEX(Tbl_Wait_Wkday[#All],MATCH('Model 2 - Permutations'!W103,Tbl_Wait_Wkday[[#All],[Time]],1),MATCH('Model 2 - Permutations'!E103,Tbl_Wait_Wkday[#Headers],0)),INDEX(Tbl_Wait_Wkend[#All],MATCH('Model 2 - Permutations'!W103,Tbl_Wait_Wkend[[#All],[Time]],1),MATCH('Model 2 - Permutations'!E103,Tbl_Wait_Wkend[#Headers],0))))</f>
        <v>2.4305555555555552E-2</v>
      </c>
      <c r="Y103" s="117">
        <f>IF(X103="","",VLOOKUP(E103,Tbl_Ride[#Data],2,FALSE))</f>
        <v>1.3888888888888889E-3</v>
      </c>
      <c r="Z103" s="118">
        <f t="shared" si="9"/>
        <v>0.55138888888888882</v>
      </c>
      <c r="AA103" s="114">
        <f t="shared" si="10"/>
        <v>1</v>
      </c>
      <c r="AB103" s="115">
        <f>IF(AA103="","",IF($D$5="Average",INDEX(Tbl_Walk_Avg[#All],MATCH('Model 2 - Permutations'!E103,Tbl_Walk_Avg[[#All],[Ride]],0),MATCH('Model 2 - Permutations'!F103,Tbl_Walk_Avg[#Headers],0)),INDEX(Tbl_Walk_Leisure[#All],MATCH('Model 2 - Permutations'!E103,Tbl_Walk_Leisure[[#All],[Ride]],0),MATCH('Model 2 - Permutations'!F103,Tbl_Walk_Leisure[#Headers],0))))</f>
        <v>2.7777777777777779E-3</v>
      </c>
      <c r="AC103" s="113">
        <f t="shared" si="11"/>
        <v>0.63749999999999996</v>
      </c>
      <c r="AD103" s="116">
        <f>IF(AC103="","",IF($D$14="Weekday",INDEX(Tbl_Wait_Wkday[#All],MATCH('Model 2 - Permutations'!AC103,Tbl_Wait_Wkday[[#All],[Time]],1),MATCH('Model 2 - Permutations'!F103,Tbl_Wait_Wkday[#Headers],0)),INDEX(Tbl_Wait_Wkend[#All],MATCH('Model 2 - Permutations'!AC103,Tbl_Wait_Wkend[[#All],[Time]],1),MATCH('Model 2 - Permutations'!F103,Tbl_Wait_Wkend[#Headers],0))))</f>
        <v>3.125E-2</v>
      </c>
      <c r="AE103" s="117">
        <f>IF(AD103="","",VLOOKUP(F103,Tbl_Ride[#Data],2,FALSE))</f>
        <v>2.0833333333333333E-3</v>
      </c>
      <c r="AF103" s="118">
        <f t="shared" si="12"/>
        <v>0.67083333333333328</v>
      </c>
      <c r="AG103" s="114">
        <f t="shared" si="13"/>
        <v>0</v>
      </c>
      <c r="AH103" s="115">
        <f>IF(AG103="","",IF($D$5="Average",INDEX(Tbl_Walk_Avg[#All],MATCH('Model 2 - Permutations'!F103,Tbl_Walk_Avg[[#All],[Ride]],0),MATCH('Model 2 - Permutations'!G103,Tbl_Walk_Avg[#Headers],0)),INDEX(Tbl_Walk_Leisure[#All],MATCH('Model 2 - Permutations'!F103,Tbl_Walk_Leisure[[#All],[Ride]],0),MATCH('Model 2 - Permutations'!G103,Tbl_Walk_Leisure[#Headers],0))))</f>
        <v>4.1666666666666666E-3</v>
      </c>
      <c r="AI103" s="113">
        <f t="shared" si="14"/>
        <v>0.67499999999999993</v>
      </c>
      <c r="AJ103" s="116">
        <f>IF(AI103="","",IF($D$14="Weekday",INDEX(Tbl_Wait_Wkday[#All],MATCH('Model 2 - Permutations'!AI103,Tbl_Wait_Wkday[[#All],[Time]],1),MATCH('Model 2 - Permutations'!G103,Tbl_Wait_Wkday[#Headers],0)),INDEX(Tbl_Wait_Wkend[#All],MATCH('Model 2 - Permutations'!AI103,Tbl_Wait_Wkend[[#All],[Time]],1),MATCH('Model 2 - Permutations'!G103,Tbl_Wait_Wkend[#Headers],0))))</f>
        <v>2.4305555555555552E-2</v>
      </c>
      <c r="AK103" s="117">
        <f>IF(AJ103="","",VLOOKUP(G103,Tbl_Ride[#Data],2,FALSE))</f>
        <v>3.4722222222222225E-3</v>
      </c>
      <c r="AL103" s="118">
        <f t="shared" si="15"/>
        <v>0.70277777777777772</v>
      </c>
      <c r="AM103" s="114">
        <f t="shared" si="16"/>
        <v>0</v>
      </c>
      <c r="AN103" s="115">
        <f>IF(AM103="","",IF($D$5="Average",INDEX(Tbl_Walk_Avg[#All],MATCH('Model 2 - Permutations'!G103,Tbl_Walk_Avg[[#All],[Ride]],0),MATCH('Model 2 - Permutations'!H103,Tbl_Walk_Avg[#Headers],0)),INDEX(Tbl_Walk_Leisure[#All],MATCH('Model 2 - Permutations'!G103,Tbl_Walk_Leisure[[#All],[Ride]],0),MATCH('Model 2 - Permutations'!H103,Tbl_Walk_Leisure[#Headers],0))))</f>
        <v>2.7777777777777779E-3</v>
      </c>
      <c r="AO103" s="113">
        <f t="shared" si="17"/>
        <v>0.70555555555555549</v>
      </c>
      <c r="AP103" s="116">
        <f>IF(AO103="","",IF($D$14="Weekday",INDEX(Tbl_Wait_Wkday[#All],MATCH('Model 2 - Permutations'!AO103,Tbl_Wait_Wkday[[#All],[Time]],1),MATCH('Model 2 - Permutations'!H103,Tbl_Wait_Wkday[#Headers],0)),INDEX(Tbl_Wait_Wkend[#All],MATCH('Model 2 - Permutations'!AO103,Tbl_Wait_Wkend[[#All],[Time]],1),MATCH('Model 2 - Permutations'!H103,Tbl_Wait_Wkend[#Headers],0))))</f>
        <v>3.4722222222222224E-2</v>
      </c>
      <c r="AQ103" s="117">
        <f>IF(AP103="","",VLOOKUP(H103,Tbl_Ride[#Data],2,FALSE))</f>
        <v>1.3888888888888889E-3</v>
      </c>
      <c r="AR103" s="118">
        <f t="shared" si="18"/>
        <v>0.74166666666666659</v>
      </c>
      <c r="AS103" s="119">
        <f t="shared" si="19"/>
        <v>2.0833333333333336E-2</v>
      </c>
      <c r="AT103" s="119">
        <f t="shared" si="20"/>
        <v>0.12847222222222221</v>
      </c>
      <c r="AU103" s="119">
        <f t="shared" si="21"/>
        <v>0.14930555555555555</v>
      </c>
    </row>
    <row r="104" spans="2:47">
      <c r="B104" s="111">
        <v>59</v>
      </c>
      <c r="C104" s="111" t="s">
        <v>66</v>
      </c>
      <c r="D104" s="112" t="str">
        <f t="shared" si="2"/>
        <v>Enchanted Airways</v>
      </c>
      <c r="E104" s="112" t="str">
        <f t="shared" si="2"/>
        <v>Battlestart Galactica: Human</v>
      </c>
      <c r="F104" s="112" t="str">
        <f t="shared" si="2"/>
        <v>Transformers The Ride</v>
      </c>
      <c r="G104" s="112" t="str">
        <f t="shared" si="2"/>
        <v>Battlestar Galactica: Cylon</v>
      </c>
      <c r="H104" s="112" t="str">
        <f t="shared" si="2"/>
        <v>Revenge of the Mummy</v>
      </c>
      <c r="I104" s="112">
        <v>3</v>
      </c>
      <c r="J104" s="112">
        <v>2</v>
      </c>
      <c r="K104" s="112">
        <v>5</v>
      </c>
      <c r="L104" s="112">
        <v>1</v>
      </c>
      <c r="M104" s="112">
        <v>4</v>
      </c>
      <c r="N104" s="113">
        <f t="shared" si="3"/>
        <v>0.5</v>
      </c>
      <c r="O104" s="114">
        <f t="shared" si="4"/>
        <v>0</v>
      </c>
      <c r="P104" s="115">
        <f>IF($D$5="Average",INDEX(Tbl_Walk_Avg[#All],MATCH('Model 2 - Permutations'!C104,Tbl_Walk_Avg[[#All],[Ride]],0),MATCH('Model 2 - Permutations'!D104,Tbl_Walk_Avg[#Headers],0)),INDEX(Tbl_Walk_Leisure[#All],MATCH('Model 2 - Permutations'!C104,Tbl_Walk_Leisure[[#All],[Ride]],0),MATCH('Model 2 - Permutations'!D104,Tbl_Walk_Leisure[#Headers],0)))</f>
        <v>4.8611111111111112E-3</v>
      </c>
      <c r="Q104" s="113">
        <f t="shared" si="5"/>
        <v>0.50486111111111109</v>
      </c>
      <c r="R104" s="116">
        <f>IF(Q104="","",IF($D$14="Weekday",INDEX(Tbl_Wait_Wkday[#All],MATCH('Model 2 - Permutations'!Q104,Tbl_Wait_Wkday[[#All],[Time]],1),MATCH('Model 2 - Permutations'!D104,Tbl_Wait_Wkday[#Headers],0)),INDEX(Tbl_Wait_Wkend[#All],MATCH('Model 2 - Permutations'!Q104,Tbl_Wait_Wkend[[#All],[Time]],1),MATCH('Model 2 - Permutations'!D104,Tbl_Wait_Wkend[#Headers],0))))</f>
        <v>1.3888888888888888E-2</v>
      </c>
      <c r="S104" s="117">
        <f>IF(R104="","",VLOOKUP(D104,Tbl_Ride[#Data],2,FALSE))</f>
        <v>6.9444444444444447E-4</v>
      </c>
      <c r="T104" s="118">
        <f t="shared" si="6"/>
        <v>0.51944444444444438</v>
      </c>
      <c r="U104" s="114">
        <f t="shared" si="7"/>
        <v>0</v>
      </c>
      <c r="V104" s="115">
        <f>IF(U104="","",IF($D$5="Average",INDEX(Tbl_Walk_Avg[#All],MATCH('Model 2 - Permutations'!D104,Tbl_Walk_Avg[[#All],[Ride]],0),MATCH('Model 2 - Permutations'!E104,Tbl_Walk_Avg[#Headers],0)),INDEX(Tbl_Walk_Leisure[#All],MATCH('Model 2 - Permutations'!D104,Tbl_Walk_Leisure[[#All],[Ride]],0),MATCH('Model 2 - Permutations'!E104,Tbl_Walk_Leisure[#Headers],0))))</f>
        <v>6.2500000000000003E-3</v>
      </c>
      <c r="W104" s="113">
        <f t="shared" si="8"/>
        <v>0.52569444444444435</v>
      </c>
      <c r="X104" s="116">
        <f>IF(W104="","",IF($D$14="Weekday",INDEX(Tbl_Wait_Wkday[#All],MATCH('Model 2 - Permutations'!W104,Tbl_Wait_Wkday[[#All],[Time]],1),MATCH('Model 2 - Permutations'!E104,Tbl_Wait_Wkday[#Headers],0)),INDEX(Tbl_Wait_Wkend[#All],MATCH('Model 2 - Permutations'!W104,Tbl_Wait_Wkend[[#All],[Time]],1),MATCH('Model 2 - Permutations'!E104,Tbl_Wait_Wkend[#Headers],0))))</f>
        <v>2.4305555555555552E-2</v>
      </c>
      <c r="Y104" s="117">
        <f>IF(X104="","",VLOOKUP(E104,Tbl_Ride[#Data],2,FALSE))</f>
        <v>1.3888888888888889E-3</v>
      </c>
      <c r="Z104" s="118">
        <f t="shared" si="9"/>
        <v>0.55138888888888882</v>
      </c>
      <c r="AA104" s="114">
        <f t="shared" si="10"/>
        <v>1</v>
      </c>
      <c r="AB104" s="115">
        <f>IF(AA104="","",IF($D$5="Average",INDEX(Tbl_Walk_Avg[#All],MATCH('Model 2 - Permutations'!E104,Tbl_Walk_Avg[[#All],[Ride]],0),MATCH('Model 2 - Permutations'!F104,Tbl_Walk_Avg[#Headers],0)),INDEX(Tbl_Walk_Leisure[#All],MATCH('Model 2 - Permutations'!E104,Tbl_Walk_Leisure[[#All],[Ride]],0),MATCH('Model 2 - Permutations'!F104,Tbl_Walk_Leisure[#Headers],0))))</f>
        <v>2.7777777777777779E-3</v>
      </c>
      <c r="AC104" s="113">
        <f t="shared" si="11"/>
        <v>0.63749999999999996</v>
      </c>
      <c r="AD104" s="116">
        <f>IF(AC104="","",IF($D$14="Weekday",INDEX(Tbl_Wait_Wkday[#All],MATCH('Model 2 - Permutations'!AC104,Tbl_Wait_Wkday[[#All],[Time]],1),MATCH('Model 2 - Permutations'!F104,Tbl_Wait_Wkday[#Headers],0)),INDEX(Tbl_Wait_Wkend[#All],MATCH('Model 2 - Permutations'!AC104,Tbl_Wait_Wkend[[#All],[Time]],1),MATCH('Model 2 - Permutations'!F104,Tbl_Wait_Wkend[#Headers],0))))</f>
        <v>2.4305555555555552E-2</v>
      </c>
      <c r="AE104" s="117">
        <f>IF(AD104="","",VLOOKUP(F104,Tbl_Ride[#Data],2,FALSE))</f>
        <v>3.4722222222222225E-3</v>
      </c>
      <c r="AF104" s="118">
        <f t="shared" si="12"/>
        <v>0.66527777777777775</v>
      </c>
      <c r="AG104" s="114">
        <f t="shared" si="13"/>
        <v>0</v>
      </c>
      <c r="AH104" s="115">
        <f>IF(AG104="","",IF($D$5="Average",INDEX(Tbl_Walk_Avg[#All],MATCH('Model 2 - Permutations'!F104,Tbl_Walk_Avg[[#All],[Ride]],0),MATCH('Model 2 - Permutations'!G104,Tbl_Walk_Avg[#Headers],0)),INDEX(Tbl_Walk_Leisure[#All],MATCH('Model 2 - Permutations'!F104,Tbl_Walk_Leisure[[#All],[Ride]],0),MATCH('Model 2 - Permutations'!G104,Tbl_Walk_Leisure[#Headers],0))))</f>
        <v>2.7777777777777779E-3</v>
      </c>
      <c r="AI104" s="113">
        <f t="shared" si="14"/>
        <v>0.66805555555555551</v>
      </c>
      <c r="AJ104" s="116">
        <f>IF(AI104="","",IF($D$14="Weekday",INDEX(Tbl_Wait_Wkday[#All],MATCH('Model 2 - Permutations'!AI104,Tbl_Wait_Wkday[[#All],[Time]],1),MATCH('Model 2 - Permutations'!G104,Tbl_Wait_Wkday[#Headers],0)),INDEX(Tbl_Wait_Wkend[#All],MATCH('Model 2 - Permutations'!AI104,Tbl_Wait_Wkend[[#All],[Time]],1),MATCH('Model 2 - Permutations'!G104,Tbl_Wait_Wkend[#Headers],0))))</f>
        <v>3.4722222222222224E-2</v>
      </c>
      <c r="AK104" s="117">
        <f>IF(AJ104="","",VLOOKUP(G104,Tbl_Ride[#Data],2,FALSE))</f>
        <v>1.3888888888888889E-3</v>
      </c>
      <c r="AL104" s="118">
        <f t="shared" si="15"/>
        <v>0.70416666666666661</v>
      </c>
      <c r="AM104" s="114">
        <f t="shared" si="16"/>
        <v>0</v>
      </c>
      <c r="AN104" s="115">
        <f>IF(AM104="","",IF($D$5="Average",INDEX(Tbl_Walk_Avg[#All],MATCH('Model 2 - Permutations'!G104,Tbl_Walk_Avg[[#All],[Ride]],0),MATCH('Model 2 - Permutations'!H104,Tbl_Walk_Avg[#Headers],0)),INDEX(Tbl_Walk_Leisure[#All],MATCH('Model 2 - Permutations'!G104,Tbl_Walk_Leisure[[#All],[Ride]],0),MATCH('Model 2 - Permutations'!H104,Tbl_Walk_Leisure[#Headers],0))))</f>
        <v>2.7777777777777779E-3</v>
      </c>
      <c r="AO104" s="113">
        <f t="shared" si="17"/>
        <v>0.70694444444444438</v>
      </c>
      <c r="AP104" s="116">
        <f>IF(AO104="","",IF($D$14="Weekday",INDEX(Tbl_Wait_Wkday[#All],MATCH('Model 2 - Permutations'!AO104,Tbl_Wait_Wkday[[#All],[Time]],1),MATCH('Model 2 - Permutations'!H104,Tbl_Wait_Wkday[#Headers],0)),INDEX(Tbl_Wait_Wkend[#All],MATCH('Model 2 - Permutations'!AO104,Tbl_Wait_Wkend[[#All],[Time]],1),MATCH('Model 2 - Permutations'!H104,Tbl_Wait_Wkend[#Headers],0))))</f>
        <v>2.7777777777777776E-2</v>
      </c>
      <c r="AQ104" s="117">
        <f>IF(AP104="","",VLOOKUP(H104,Tbl_Ride[#Data],2,FALSE))</f>
        <v>2.0833333333333333E-3</v>
      </c>
      <c r="AR104" s="118">
        <f t="shared" si="18"/>
        <v>0.73680555555555549</v>
      </c>
      <c r="AS104" s="119">
        <f t="shared" si="19"/>
        <v>1.9444444444444445E-2</v>
      </c>
      <c r="AT104" s="119">
        <f t="shared" si="20"/>
        <v>0.12499999999999999</v>
      </c>
      <c r="AU104" s="119">
        <f t="shared" si="21"/>
        <v>0.14444444444444443</v>
      </c>
    </row>
    <row r="105" spans="2:47">
      <c r="B105" s="111">
        <v>60</v>
      </c>
      <c r="C105" s="111" t="s">
        <v>66</v>
      </c>
      <c r="D105" s="112" t="str">
        <f t="shared" si="2"/>
        <v>Enchanted Airways</v>
      </c>
      <c r="E105" s="112" t="str">
        <f t="shared" si="2"/>
        <v>Battlestart Galactica: Human</v>
      </c>
      <c r="F105" s="112" t="str">
        <f t="shared" si="2"/>
        <v>Transformers The Ride</v>
      </c>
      <c r="G105" s="112" t="str">
        <f t="shared" si="2"/>
        <v>Revenge of the Mummy</v>
      </c>
      <c r="H105" s="112" t="str">
        <f t="shared" si="2"/>
        <v>Battlestar Galactica: Cylon</v>
      </c>
      <c r="I105" s="112">
        <v>3</v>
      </c>
      <c r="J105" s="112">
        <v>2</v>
      </c>
      <c r="K105" s="112">
        <v>5</v>
      </c>
      <c r="L105" s="112">
        <v>4</v>
      </c>
      <c r="M105" s="112">
        <v>1</v>
      </c>
      <c r="N105" s="113">
        <f t="shared" si="3"/>
        <v>0.5</v>
      </c>
      <c r="O105" s="114">
        <f t="shared" si="4"/>
        <v>0</v>
      </c>
      <c r="P105" s="115">
        <f>IF($D$5="Average",INDEX(Tbl_Walk_Avg[#All],MATCH('Model 2 - Permutations'!C105,Tbl_Walk_Avg[[#All],[Ride]],0),MATCH('Model 2 - Permutations'!D105,Tbl_Walk_Avg[#Headers],0)),INDEX(Tbl_Walk_Leisure[#All],MATCH('Model 2 - Permutations'!C105,Tbl_Walk_Leisure[[#All],[Ride]],0),MATCH('Model 2 - Permutations'!D105,Tbl_Walk_Leisure[#Headers],0)))</f>
        <v>4.8611111111111112E-3</v>
      </c>
      <c r="Q105" s="113">
        <f t="shared" si="5"/>
        <v>0.50486111111111109</v>
      </c>
      <c r="R105" s="116">
        <f>IF(Q105="","",IF($D$14="Weekday",INDEX(Tbl_Wait_Wkday[#All],MATCH('Model 2 - Permutations'!Q105,Tbl_Wait_Wkday[[#All],[Time]],1),MATCH('Model 2 - Permutations'!D105,Tbl_Wait_Wkday[#Headers],0)),INDEX(Tbl_Wait_Wkend[#All],MATCH('Model 2 - Permutations'!Q105,Tbl_Wait_Wkend[[#All],[Time]],1),MATCH('Model 2 - Permutations'!D105,Tbl_Wait_Wkend[#Headers],0))))</f>
        <v>1.3888888888888888E-2</v>
      </c>
      <c r="S105" s="117">
        <f>IF(R105="","",VLOOKUP(D105,Tbl_Ride[#Data],2,FALSE))</f>
        <v>6.9444444444444447E-4</v>
      </c>
      <c r="T105" s="118">
        <f t="shared" si="6"/>
        <v>0.51944444444444438</v>
      </c>
      <c r="U105" s="114">
        <f t="shared" si="7"/>
        <v>0</v>
      </c>
      <c r="V105" s="115">
        <f>IF(U105="","",IF($D$5="Average",INDEX(Tbl_Walk_Avg[#All],MATCH('Model 2 - Permutations'!D105,Tbl_Walk_Avg[[#All],[Ride]],0),MATCH('Model 2 - Permutations'!E105,Tbl_Walk_Avg[#Headers],0)),INDEX(Tbl_Walk_Leisure[#All],MATCH('Model 2 - Permutations'!D105,Tbl_Walk_Leisure[[#All],[Ride]],0),MATCH('Model 2 - Permutations'!E105,Tbl_Walk_Leisure[#Headers],0))))</f>
        <v>6.2500000000000003E-3</v>
      </c>
      <c r="W105" s="113">
        <f t="shared" si="8"/>
        <v>0.52569444444444435</v>
      </c>
      <c r="X105" s="116">
        <f>IF(W105="","",IF($D$14="Weekday",INDEX(Tbl_Wait_Wkday[#All],MATCH('Model 2 - Permutations'!W105,Tbl_Wait_Wkday[[#All],[Time]],1),MATCH('Model 2 - Permutations'!E105,Tbl_Wait_Wkday[#Headers],0)),INDEX(Tbl_Wait_Wkend[#All],MATCH('Model 2 - Permutations'!W105,Tbl_Wait_Wkend[[#All],[Time]],1),MATCH('Model 2 - Permutations'!E105,Tbl_Wait_Wkend[#Headers],0))))</f>
        <v>2.4305555555555552E-2</v>
      </c>
      <c r="Y105" s="117">
        <f>IF(X105="","",VLOOKUP(E105,Tbl_Ride[#Data],2,FALSE))</f>
        <v>1.3888888888888889E-3</v>
      </c>
      <c r="Z105" s="118">
        <f t="shared" si="9"/>
        <v>0.55138888888888882</v>
      </c>
      <c r="AA105" s="114">
        <f t="shared" si="10"/>
        <v>1</v>
      </c>
      <c r="AB105" s="115">
        <f>IF(AA105="","",IF($D$5="Average",INDEX(Tbl_Walk_Avg[#All],MATCH('Model 2 - Permutations'!E105,Tbl_Walk_Avg[[#All],[Ride]],0),MATCH('Model 2 - Permutations'!F105,Tbl_Walk_Avg[#Headers],0)),INDEX(Tbl_Walk_Leisure[#All],MATCH('Model 2 - Permutations'!E105,Tbl_Walk_Leisure[[#All],[Ride]],0),MATCH('Model 2 - Permutations'!F105,Tbl_Walk_Leisure[#Headers],0))))</f>
        <v>2.7777777777777779E-3</v>
      </c>
      <c r="AC105" s="113">
        <f t="shared" si="11"/>
        <v>0.63749999999999996</v>
      </c>
      <c r="AD105" s="116">
        <f>IF(AC105="","",IF($D$14="Weekday",INDEX(Tbl_Wait_Wkday[#All],MATCH('Model 2 - Permutations'!AC105,Tbl_Wait_Wkday[[#All],[Time]],1),MATCH('Model 2 - Permutations'!F105,Tbl_Wait_Wkday[#Headers],0)),INDEX(Tbl_Wait_Wkend[#All],MATCH('Model 2 - Permutations'!AC105,Tbl_Wait_Wkend[[#All],[Time]],1),MATCH('Model 2 - Permutations'!F105,Tbl_Wait_Wkend[#Headers],0))))</f>
        <v>2.4305555555555552E-2</v>
      </c>
      <c r="AE105" s="117">
        <f>IF(AD105="","",VLOOKUP(F105,Tbl_Ride[#Data],2,FALSE))</f>
        <v>3.4722222222222225E-3</v>
      </c>
      <c r="AF105" s="118">
        <f t="shared" si="12"/>
        <v>0.66527777777777775</v>
      </c>
      <c r="AG105" s="114">
        <f t="shared" si="13"/>
        <v>0</v>
      </c>
      <c r="AH105" s="115">
        <f>IF(AG105="","",IF($D$5="Average",INDEX(Tbl_Walk_Avg[#All],MATCH('Model 2 - Permutations'!F105,Tbl_Walk_Avg[[#All],[Ride]],0),MATCH('Model 2 - Permutations'!G105,Tbl_Walk_Avg[#Headers],0)),INDEX(Tbl_Walk_Leisure[#All],MATCH('Model 2 - Permutations'!F105,Tbl_Walk_Leisure[[#All],[Ride]],0),MATCH('Model 2 - Permutations'!G105,Tbl_Walk_Leisure[#Headers],0))))</f>
        <v>4.1666666666666666E-3</v>
      </c>
      <c r="AI105" s="113">
        <f t="shared" si="14"/>
        <v>0.6694444444444444</v>
      </c>
      <c r="AJ105" s="116">
        <f>IF(AI105="","",IF($D$14="Weekday",INDEX(Tbl_Wait_Wkday[#All],MATCH('Model 2 - Permutations'!AI105,Tbl_Wait_Wkday[[#All],[Time]],1),MATCH('Model 2 - Permutations'!G105,Tbl_Wait_Wkday[#Headers],0)),INDEX(Tbl_Wait_Wkend[#All],MATCH('Model 2 - Permutations'!AI105,Tbl_Wait_Wkend[[#All],[Time]],1),MATCH('Model 2 - Permutations'!G105,Tbl_Wait_Wkend[#Headers],0))))</f>
        <v>2.7777777777777776E-2</v>
      </c>
      <c r="AK105" s="117">
        <f>IF(AJ105="","",VLOOKUP(G105,Tbl_Ride[#Data],2,FALSE))</f>
        <v>2.0833333333333333E-3</v>
      </c>
      <c r="AL105" s="118">
        <f t="shared" si="15"/>
        <v>0.69930555555555551</v>
      </c>
      <c r="AM105" s="114">
        <f t="shared" si="16"/>
        <v>0</v>
      </c>
      <c r="AN105" s="115">
        <f>IF(AM105="","",IF($D$5="Average",INDEX(Tbl_Walk_Avg[#All],MATCH('Model 2 - Permutations'!G105,Tbl_Walk_Avg[[#All],[Ride]],0),MATCH('Model 2 - Permutations'!H105,Tbl_Walk_Avg[#Headers],0)),INDEX(Tbl_Walk_Leisure[#All],MATCH('Model 2 - Permutations'!G105,Tbl_Walk_Leisure[[#All],[Ride]],0),MATCH('Model 2 - Permutations'!H105,Tbl_Walk_Leisure[#Headers],0))))</f>
        <v>2.7777777777777779E-3</v>
      </c>
      <c r="AO105" s="113">
        <f t="shared" si="17"/>
        <v>0.70208333333333328</v>
      </c>
      <c r="AP105" s="116">
        <f>IF(AO105="","",IF($D$14="Weekday",INDEX(Tbl_Wait_Wkday[#All],MATCH('Model 2 - Permutations'!AO105,Tbl_Wait_Wkday[[#All],[Time]],1),MATCH('Model 2 - Permutations'!H105,Tbl_Wait_Wkday[#Headers],0)),INDEX(Tbl_Wait_Wkend[#All],MATCH('Model 2 - Permutations'!AO105,Tbl_Wait_Wkend[[#All],[Time]],1),MATCH('Model 2 - Permutations'!H105,Tbl_Wait_Wkend[#Headers],0))))</f>
        <v>3.4722222222222224E-2</v>
      </c>
      <c r="AQ105" s="117">
        <f>IF(AP105="","",VLOOKUP(H105,Tbl_Ride[#Data],2,FALSE))</f>
        <v>1.3888888888888889E-3</v>
      </c>
      <c r="AR105" s="118">
        <f t="shared" si="18"/>
        <v>0.73819444444444438</v>
      </c>
      <c r="AS105" s="119">
        <f t="shared" si="19"/>
        <v>2.0833333333333336E-2</v>
      </c>
      <c r="AT105" s="119">
        <f t="shared" si="20"/>
        <v>0.12499999999999999</v>
      </c>
      <c r="AU105" s="119">
        <f t="shared" si="21"/>
        <v>0.14583333333333331</v>
      </c>
    </row>
    <row r="106" spans="2:47">
      <c r="B106" s="111">
        <v>61</v>
      </c>
      <c r="C106" s="111" t="s">
        <v>66</v>
      </c>
      <c r="D106" s="112" t="str">
        <f t="shared" si="2"/>
        <v>Enchanted Airways</v>
      </c>
      <c r="E106" s="112" t="str">
        <f t="shared" si="2"/>
        <v>Revenge of the Mummy</v>
      </c>
      <c r="F106" s="112" t="str">
        <f t="shared" si="2"/>
        <v>Battlestar Galactica: Cylon</v>
      </c>
      <c r="G106" s="112" t="str">
        <f t="shared" si="2"/>
        <v>Battlestart Galactica: Human</v>
      </c>
      <c r="H106" s="112" t="str">
        <f t="shared" si="2"/>
        <v>Transformers The Ride</v>
      </c>
      <c r="I106" s="112">
        <v>3</v>
      </c>
      <c r="J106" s="112">
        <v>4</v>
      </c>
      <c r="K106" s="112">
        <v>1</v>
      </c>
      <c r="L106" s="112">
        <v>2</v>
      </c>
      <c r="M106" s="112">
        <v>5</v>
      </c>
      <c r="N106" s="113">
        <f t="shared" si="3"/>
        <v>0.5</v>
      </c>
      <c r="O106" s="114">
        <f t="shared" si="4"/>
        <v>0</v>
      </c>
      <c r="P106" s="115">
        <f>IF($D$5="Average",INDEX(Tbl_Walk_Avg[#All],MATCH('Model 2 - Permutations'!C106,Tbl_Walk_Avg[[#All],[Ride]],0),MATCH('Model 2 - Permutations'!D106,Tbl_Walk_Avg[#Headers],0)),INDEX(Tbl_Walk_Leisure[#All],MATCH('Model 2 - Permutations'!C106,Tbl_Walk_Leisure[[#All],[Ride]],0),MATCH('Model 2 - Permutations'!D106,Tbl_Walk_Leisure[#Headers],0)))</f>
        <v>4.8611111111111112E-3</v>
      </c>
      <c r="Q106" s="113">
        <f t="shared" si="5"/>
        <v>0.50486111111111109</v>
      </c>
      <c r="R106" s="116">
        <f>IF(Q106="","",IF($D$14="Weekday",INDEX(Tbl_Wait_Wkday[#All],MATCH('Model 2 - Permutations'!Q106,Tbl_Wait_Wkday[[#All],[Time]],1),MATCH('Model 2 - Permutations'!D106,Tbl_Wait_Wkday[#Headers],0)),INDEX(Tbl_Wait_Wkend[#All],MATCH('Model 2 - Permutations'!Q106,Tbl_Wait_Wkend[[#All],[Time]],1),MATCH('Model 2 - Permutations'!D106,Tbl_Wait_Wkend[#Headers],0))))</f>
        <v>1.3888888888888888E-2</v>
      </c>
      <c r="S106" s="117">
        <f>IF(R106="","",VLOOKUP(D106,Tbl_Ride[#Data],2,FALSE))</f>
        <v>6.9444444444444447E-4</v>
      </c>
      <c r="T106" s="118">
        <f t="shared" si="6"/>
        <v>0.51944444444444438</v>
      </c>
      <c r="U106" s="114">
        <f t="shared" si="7"/>
        <v>0</v>
      </c>
      <c r="V106" s="115">
        <f>IF(U106="","",IF($D$5="Average",INDEX(Tbl_Walk_Avg[#All],MATCH('Model 2 - Permutations'!D106,Tbl_Walk_Avg[[#All],[Ride]],0),MATCH('Model 2 - Permutations'!E106,Tbl_Walk_Avg[#Headers],0)),INDEX(Tbl_Walk_Leisure[#All],MATCH('Model 2 - Permutations'!D106,Tbl_Walk_Leisure[[#All],[Ride]],0),MATCH('Model 2 - Permutations'!E106,Tbl_Walk_Leisure[#Headers],0))))</f>
        <v>4.8611111111111112E-3</v>
      </c>
      <c r="W106" s="113">
        <f t="shared" si="8"/>
        <v>0.52430555555555547</v>
      </c>
      <c r="X106" s="116">
        <f>IF(W106="","",IF($D$14="Weekday",INDEX(Tbl_Wait_Wkday[#All],MATCH('Model 2 - Permutations'!W106,Tbl_Wait_Wkday[[#All],[Time]],1),MATCH('Model 2 - Permutations'!E106,Tbl_Wait_Wkday[#Headers],0)),INDEX(Tbl_Wait_Wkend[#All],MATCH('Model 2 - Permutations'!W106,Tbl_Wait_Wkend[[#All],[Time]],1),MATCH('Model 2 - Permutations'!E106,Tbl_Wait_Wkend[#Headers],0))))</f>
        <v>1.0416666666666666E-2</v>
      </c>
      <c r="Y106" s="117">
        <f>IF(X106="","",VLOOKUP(E106,Tbl_Ride[#Data],2,FALSE))</f>
        <v>2.0833333333333333E-3</v>
      </c>
      <c r="Z106" s="118">
        <f t="shared" si="9"/>
        <v>0.53680555555555542</v>
      </c>
      <c r="AA106" s="114">
        <f t="shared" si="10"/>
        <v>0</v>
      </c>
      <c r="AB106" s="115">
        <f>IF(AA106="","",IF($D$5="Average",INDEX(Tbl_Walk_Avg[#All],MATCH('Model 2 - Permutations'!E106,Tbl_Walk_Avg[[#All],[Ride]],0),MATCH('Model 2 - Permutations'!F106,Tbl_Walk_Avg[#Headers],0)),INDEX(Tbl_Walk_Leisure[#All],MATCH('Model 2 - Permutations'!E106,Tbl_Walk_Leisure[[#All],[Ride]],0),MATCH('Model 2 - Permutations'!F106,Tbl_Walk_Leisure[#Headers],0))))</f>
        <v>2.7777777777777779E-3</v>
      </c>
      <c r="AC106" s="113">
        <f t="shared" si="11"/>
        <v>0.53958333333333319</v>
      </c>
      <c r="AD106" s="116">
        <f>IF(AC106="","",IF($D$14="Weekday",INDEX(Tbl_Wait_Wkday[#All],MATCH('Model 2 - Permutations'!AC106,Tbl_Wait_Wkday[[#All],[Time]],1),MATCH('Model 2 - Permutations'!F106,Tbl_Wait_Wkday[#Headers],0)),INDEX(Tbl_Wait_Wkend[#All],MATCH('Model 2 - Permutations'!AC106,Tbl_Wait_Wkend[[#All],[Time]],1),MATCH('Model 2 - Permutations'!F106,Tbl_Wait_Wkend[#Headers],0))))</f>
        <v>1.7361111111111112E-2</v>
      </c>
      <c r="AE106" s="117">
        <f>IF(AD106="","",VLOOKUP(F106,Tbl_Ride[#Data],2,FALSE))</f>
        <v>1.3888888888888889E-3</v>
      </c>
      <c r="AF106" s="118">
        <f t="shared" si="12"/>
        <v>0.55833333333333324</v>
      </c>
      <c r="AG106" s="114">
        <f t="shared" si="13"/>
        <v>1</v>
      </c>
      <c r="AH106" s="115">
        <f>IF(AG106="","",IF($D$5="Average",INDEX(Tbl_Walk_Avg[#All],MATCH('Model 2 - Permutations'!F106,Tbl_Walk_Avg[[#All],[Ride]],0),MATCH('Model 2 - Permutations'!G106,Tbl_Walk_Avg[#Headers],0)),INDEX(Tbl_Walk_Leisure[#All],MATCH('Model 2 - Permutations'!F106,Tbl_Walk_Leisure[[#All],[Ride]],0),MATCH('Model 2 - Permutations'!G106,Tbl_Walk_Leisure[#Headers],0))))</f>
        <v>0</v>
      </c>
      <c r="AI106" s="113">
        <f t="shared" si="14"/>
        <v>0.64166666666666661</v>
      </c>
      <c r="AJ106" s="116">
        <f>IF(AI106="","",IF($D$14="Weekday",INDEX(Tbl_Wait_Wkday[#All],MATCH('Model 2 - Permutations'!AI106,Tbl_Wait_Wkday[[#All],[Time]],1),MATCH('Model 2 - Permutations'!G106,Tbl_Wait_Wkday[#Headers],0)),INDEX(Tbl_Wait_Wkend[#All],MATCH('Model 2 - Permutations'!AI106,Tbl_Wait_Wkend[[#All],[Time]],1),MATCH('Model 2 - Permutations'!G106,Tbl_Wait_Wkend[#Headers],0))))</f>
        <v>5.5555555555555552E-2</v>
      </c>
      <c r="AK106" s="117">
        <f>IF(AJ106="","",VLOOKUP(G106,Tbl_Ride[#Data],2,FALSE))</f>
        <v>1.3888888888888889E-3</v>
      </c>
      <c r="AL106" s="118">
        <f t="shared" si="15"/>
        <v>0.69861111111111107</v>
      </c>
      <c r="AM106" s="114">
        <f t="shared" si="16"/>
        <v>0</v>
      </c>
      <c r="AN106" s="115">
        <f>IF(AM106="","",IF($D$5="Average",INDEX(Tbl_Walk_Avg[#All],MATCH('Model 2 - Permutations'!G106,Tbl_Walk_Avg[[#All],[Ride]],0),MATCH('Model 2 - Permutations'!H106,Tbl_Walk_Avg[#Headers],0)),INDEX(Tbl_Walk_Leisure[#All],MATCH('Model 2 - Permutations'!G106,Tbl_Walk_Leisure[[#All],[Ride]],0),MATCH('Model 2 - Permutations'!H106,Tbl_Walk_Leisure[#Headers],0))))</f>
        <v>2.7777777777777779E-3</v>
      </c>
      <c r="AO106" s="113">
        <f t="shared" si="17"/>
        <v>0.70138888888888884</v>
      </c>
      <c r="AP106" s="116">
        <f>IF(AO106="","",IF($D$14="Weekday",INDEX(Tbl_Wait_Wkday[#All],MATCH('Model 2 - Permutations'!AO106,Tbl_Wait_Wkday[[#All],[Time]],1),MATCH('Model 2 - Permutations'!H106,Tbl_Wait_Wkday[#Headers],0)),INDEX(Tbl_Wait_Wkend[#All],MATCH('Model 2 - Permutations'!AO106,Tbl_Wait_Wkend[[#All],[Time]],1),MATCH('Model 2 - Permutations'!H106,Tbl_Wait_Wkend[#Headers],0))))</f>
        <v>2.4305555555555552E-2</v>
      </c>
      <c r="AQ106" s="117">
        <f>IF(AP106="","",VLOOKUP(H106,Tbl_Ride[#Data],2,FALSE))</f>
        <v>3.4722222222222225E-3</v>
      </c>
      <c r="AR106" s="118">
        <f t="shared" si="18"/>
        <v>0.72916666666666663</v>
      </c>
      <c r="AS106" s="119">
        <f t="shared" si="19"/>
        <v>1.5277777777777779E-2</v>
      </c>
      <c r="AT106" s="119">
        <f t="shared" si="20"/>
        <v>0.12152777777777776</v>
      </c>
      <c r="AU106" s="119">
        <f t="shared" si="21"/>
        <v>0.13680555555555554</v>
      </c>
    </row>
    <row r="107" spans="2:47">
      <c r="B107" s="111">
        <v>62</v>
      </c>
      <c r="C107" s="111" t="s">
        <v>66</v>
      </c>
      <c r="D107" s="112" t="str">
        <f t="shared" si="2"/>
        <v>Enchanted Airways</v>
      </c>
      <c r="E107" s="112" t="str">
        <f t="shared" si="2"/>
        <v>Revenge of the Mummy</v>
      </c>
      <c r="F107" s="112" t="str">
        <f t="shared" si="2"/>
        <v>Battlestar Galactica: Cylon</v>
      </c>
      <c r="G107" s="112" t="str">
        <f t="shared" si="2"/>
        <v>Transformers The Ride</v>
      </c>
      <c r="H107" s="112" t="str">
        <f t="shared" si="2"/>
        <v>Battlestart Galactica: Human</v>
      </c>
      <c r="I107" s="112">
        <v>3</v>
      </c>
      <c r="J107" s="112">
        <v>4</v>
      </c>
      <c r="K107" s="112">
        <v>1</v>
      </c>
      <c r="L107" s="112">
        <v>5</v>
      </c>
      <c r="M107" s="112">
        <v>2</v>
      </c>
      <c r="N107" s="113">
        <f t="shared" si="3"/>
        <v>0.5</v>
      </c>
      <c r="O107" s="114">
        <f t="shared" si="4"/>
        <v>0</v>
      </c>
      <c r="P107" s="115">
        <f>IF($D$5="Average",INDEX(Tbl_Walk_Avg[#All],MATCH('Model 2 - Permutations'!C107,Tbl_Walk_Avg[[#All],[Ride]],0),MATCH('Model 2 - Permutations'!D107,Tbl_Walk_Avg[#Headers],0)),INDEX(Tbl_Walk_Leisure[#All],MATCH('Model 2 - Permutations'!C107,Tbl_Walk_Leisure[[#All],[Ride]],0),MATCH('Model 2 - Permutations'!D107,Tbl_Walk_Leisure[#Headers],0)))</f>
        <v>4.8611111111111112E-3</v>
      </c>
      <c r="Q107" s="113">
        <f t="shared" si="5"/>
        <v>0.50486111111111109</v>
      </c>
      <c r="R107" s="116">
        <f>IF(Q107="","",IF($D$14="Weekday",INDEX(Tbl_Wait_Wkday[#All],MATCH('Model 2 - Permutations'!Q107,Tbl_Wait_Wkday[[#All],[Time]],1),MATCH('Model 2 - Permutations'!D107,Tbl_Wait_Wkday[#Headers],0)),INDEX(Tbl_Wait_Wkend[#All],MATCH('Model 2 - Permutations'!Q107,Tbl_Wait_Wkend[[#All],[Time]],1),MATCH('Model 2 - Permutations'!D107,Tbl_Wait_Wkend[#Headers],0))))</f>
        <v>1.3888888888888888E-2</v>
      </c>
      <c r="S107" s="117">
        <f>IF(R107="","",VLOOKUP(D107,Tbl_Ride[#Data],2,FALSE))</f>
        <v>6.9444444444444447E-4</v>
      </c>
      <c r="T107" s="118">
        <f t="shared" si="6"/>
        <v>0.51944444444444438</v>
      </c>
      <c r="U107" s="114">
        <f t="shared" si="7"/>
        <v>0</v>
      </c>
      <c r="V107" s="115">
        <f>IF(U107="","",IF($D$5="Average",INDEX(Tbl_Walk_Avg[#All],MATCH('Model 2 - Permutations'!D107,Tbl_Walk_Avg[[#All],[Ride]],0),MATCH('Model 2 - Permutations'!E107,Tbl_Walk_Avg[#Headers],0)),INDEX(Tbl_Walk_Leisure[#All],MATCH('Model 2 - Permutations'!D107,Tbl_Walk_Leisure[[#All],[Ride]],0),MATCH('Model 2 - Permutations'!E107,Tbl_Walk_Leisure[#Headers],0))))</f>
        <v>4.8611111111111112E-3</v>
      </c>
      <c r="W107" s="113">
        <f t="shared" si="8"/>
        <v>0.52430555555555547</v>
      </c>
      <c r="X107" s="116">
        <f>IF(W107="","",IF($D$14="Weekday",INDEX(Tbl_Wait_Wkday[#All],MATCH('Model 2 - Permutations'!W107,Tbl_Wait_Wkday[[#All],[Time]],1),MATCH('Model 2 - Permutations'!E107,Tbl_Wait_Wkday[#Headers],0)),INDEX(Tbl_Wait_Wkend[#All],MATCH('Model 2 - Permutations'!W107,Tbl_Wait_Wkend[[#All],[Time]],1),MATCH('Model 2 - Permutations'!E107,Tbl_Wait_Wkend[#Headers],0))))</f>
        <v>1.0416666666666666E-2</v>
      </c>
      <c r="Y107" s="117">
        <f>IF(X107="","",VLOOKUP(E107,Tbl_Ride[#Data],2,FALSE))</f>
        <v>2.0833333333333333E-3</v>
      </c>
      <c r="Z107" s="118">
        <f t="shared" si="9"/>
        <v>0.53680555555555542</v>
      </c>
      <c r="AA107" s="114">
        <f t="shared" si="10"/>
        <v>0</v>
      </c>
      <c r="AB107" s="115">
        <f>IF(AA107="","",IF($D$5="Average",INDEX(Tbl_Walk_Avg[#All],MATCH('Model 2 - Permutations'!E107,Tbl_Walk_Avg[[#All],[Ride]],0),MATCH('Model 2 - Permutations'!F107,Tbl_Walk_Avg[#Headers],0)),INDEX(Tbl_Walk_Leisure[#All],MATCH('Model 2 - Permutations'!E107,Tbl_Walk_Leisure[[#All],[Ride]],0),MATCH('Model 2 - Permutations'!F107,Tbl_Walk_Leisure[#Headers],0))))</f>
        <v>2.7777777777777779E-3</v>
      </c>
      <c r="AC107" s="113">
        <f t="shared" si="11"/>
        <v>0.53958333333333319</v>
      </c>
      <c r="AD107" s="116">
        <f>IF(AC107="","",IF($D$14="Weekday",INDEX(Tbl_Wait_Wkday[#All],MATCH('Model 2 - Permutations'!AC107,Tbl_Wait_Wkday[[#All],[Time]],1),MATCH('Model 2 - Permutations'!F107,Tbl_Wait_Wkday[#Headers],0)),INDEX(Tbl_Wait_Wkend[#All],MATCH('Model 2 - Permutations'!AC107,Tbl_Wait_Wkend[[#All],[Time]],1),MATCH('Model 2 - Permutations'!F107,Tbl_Wait_Wkend[#Headers],0))))</f>
        <v>1.7361111111111112E-2</v>
      </c>
      <c r="AE107" s="117">
        <f>IF(AD107="","",VLOOKUP(F107,Tbl_Ride[#Data],2,FALSE))</f>
        <v>1.3888888888888889E-3</v>
      </c>
      <c r="AF107" s="118">
        <f t="shared" si="12"/>
        <v>0.55833333333333324</v>
      </c>
      <c r="AG107" s="114">
        <f t="shared" si="13"/>
        <v>1</v>
      </c>
      <c r="AH107" s="115">
        <f>IF(AG107="","",IF($D$5="Average",INDEX(Tbl_Walk_Avg[#All],MATCH('Model 2 - Permutations'!F107,Tbl_Walk_Avg[[#All],[Ride]],0),MATCH('Model 2 - Permutations'!G107,Tbl_Walk_Avg[#Headers],0)),INDEX(Tbl_Walk_Leisure[#All],MATCH('Model 2 - Permutations'!F107,Tbl_Walk_Leisure[[#All],[Ride]],0),MATCH('Model 2 - Permutations'!G107,Tbl_Walk_Leisure[#Headers],0))))</f>
        <v>2.7777777777777779E-3</v>
      </c>
      <c r="AI107" s="113">
        <f t="shared" si="14"/>
        <v>0.64444444444444438</v>
      </c>
      <c r="AJ107" s="116">
        <f>IF(AI107="","",IF($D$14="Weekday",INDEX(Tbl_Wait_Wkday[#All],MATCH('Model 2 - Permutations'!AI107,Tbl_Wait_Wkday[[#All],[Time]],1),MATCH('Model 2 - Permutations'!G107,Tbl_Wait_Wkday[#Headers],0)),INDEX(Tbl_Wait_Wkend[#All],MATCH('Model 2 - Permutations'!AI107,Tbl_Wait_Wkend[[#All],[Time]],1),MATCH('Model 2 - Permutations'!G107,Tbl_Wait_Wkend[#Headers],0))))</f>
        <v>2.4305555555555552E-2</v>
      </c>
      <c r="AK107" s="117">
        <f>IF(AJ107="","",VLOOKUP(G107,Tbl_Ride[#Data],2,FALSE))</f>
        <v>3.4722222222222225E-3</v>
      </c>
      <c r="AL107" s="118">
        <f t="shared" si="15"/>
        <v>0.67222222222222217</v>
      </c>
      <c r="AM107" s="114">
        <f t="shared" si="16"/>
        <v>0</v>
      </c>
      <c r="AN107" s="115">
        <f>IF(AM107="","",IF($D$5="Average",INDEX(Tbl_Walk_Avg[#All],MATCH('Model 2 - Permutations'!G107,Tbl_Walk_Avg[[#All],[Ride]],0),MATCH('Model 2 - Permutations'!H107,Tbl_Walk_Avg[#Headers],0)),INDEX(Tbl_Walk_Leisure[#All],MATCH('Model 2 - Permutations'!G107,Tbl_Walk_Leisure[[#All],[Ride]],0),MATCH('Model 2 - Permutations'!H107,Tbl_Walk_Leisure[#Headers],0))))</f>
        <v>2.7777777777777779E-3</v>
      </c>
      <c r="AO107" s="113">
        <f t="shared" si="17"/>
        <v>0.67499999999999993</v>
      </c>
      <c r="AP107" s="116">
        <f>IF(AO107="","",IF($D$14="Weekday",INDEX(Tbl_Wait_Wkday[#All],MATCH('Model 2 - Permutations'!AO107,Tbl_Wait_Wkday[[#All],[Time]],1),MATCH('Model 2 - Permutations'!H107,Tbl_Wait_Wkday[#Headers],0)),INDEX(Tbl_Wait_Wkend[#All],MATCH('Model 2 - Permutations'!AO107,Tbl_Wait_Wkend[[#All],[Time]],1),MATCH('Model 2 - Permutations'!H107,Tbl_Wait_Wkend[#Headers],0))))</f>
        <v>4.1666666666666664E-2</v>
      </c>
      <c r="AQ107" s="117">
        <f>IF(AP107="","",VLOOKUP(H107,Tbl_Ride[#Data],2,FALSE))</f>
        <v>1.3888888888888889E-3</v>
      </c>
      <c r="AR107" s="118">
        <f t="shared" si="18"/>
        <v>0.71805555555555545</v>
      </c>
      <c r="AS107" s="119">
        <f t="shared" si="19"/>
        <v>1.8055555555555557E-2</v>
      </c>
      <c r="AT107" s="119">
        <f t="shared" si="20"/>
        <v>0.10763888888888887</v>
      </c>
      <c r="AU107" s="119">
        <f t="shared" si="21"/>
        <v>0.12569444444444441</v>
      </c>
    </row>
    <row r="108" spans="2:47">
      <c r="B108" s="111">
        <v>63</v>
      </c>
      <c r="C108" s="111" t="s">
        <v>66</v>
      </c>
      <c r="D108" s="112" t="str">
        <f t="shared" si="2"/>
        <v>Enchanted Airways</v>
      </c>
      <c r="E108" s="112" t="str">
        <f t="shared" si="2"/>
        <v>Revenge of the Mummy</v>
      </c>
      <c r="F108" s="112" t="str">
        <f t="shared" si="2"/>
        <v>Battlestart Galactica: Human</v>
      </c>
      <c r="G108" s="112" t="str">
        <f t="shared" si="2"/>
        <v>Battlestar Galactica: Cylon</v>
      </c>
      <c r="H108" s="112" t="str">
        <f t="shared" si="2"/>
        <v>Transformers The Ride</v>
      </c>
      <c r="I108" s="112">
        <v>3</v>
      </c>
      <c r="J108" s="112">
        <v>4</v>
      </c>
      <c r="K108" s="112">
        <v>2</v>
      </c>
      <c r="L108" s="112">
        <v>1</v>
      </c>
      <c r="M108" s="112">
        <v>5</v>
      </c>
      <c r="N108" s="113">
        <f t="shared" si="3"/>
        <v>0.5</v>
      </c>
      <c r="O108" s="114">
        <f t="shared" si="4"/>
        <v>0</v>
      </c>
      <c r="P108" s="115">
        <f>IF($D$5="Average",INDEX(Tbl_Walk_Avg[#All],MATCH('Model 2 - Permutations'!C108,Tbl_Walk_Avg[[#All],[Ride]],0),MATCH('Model 2 - Permutations'!D108,Tbl_Walk_Avg[#Headers],0)),INDEX(Tbl_Walk_Leisure[#All],MATCH('Model 2 - Permutations'!C108,Tbl_Walk_Leisure[[#All],[Ride]],0),MATCH('Model 2 - Permutations'!D108,Tbl_Walk_Leisure[#Headers],0)))</f>
        <v>4.8611111111111112E-3</v>
      </c>
      <c r="Q108" s="113">
        <f t="shared" si="5"/>
        <v>0.50486111111111109</v>
      </c>
      <c r="R108" s="116">
        <f>IF(Q108="","",IF($D$14="Weekday",INDEX(Tbl_Wait_Wkday[#All],MATCH('Model 2 - Permutations'!Q108,Tbl_Wait_Wkday[[#All],[Time]],1),MATCH('Model 2 - Permutations'!D108,Tbl_Wait_Wkday[#Headers],0)),INDEX(Tbl_Wait_Wkend[#All],MATCH('Model 2 - Permutations'!Q108,Tbl_Wait_Wkend[[#All],[Time]],1),MATCH('Model 2 - Permutations'!D108,Tbl_Wait_Wkend[#Headers],0))))</f>
        <v>1.3888888888888888E-2</v>
      </c>
      <c r="S108" s="117">
        <f>IF(R108="","",VLOOKUP(D108,Tbl_Ride[#Data],2,FALSE))</f>
        <v>6.9444444444444447E-4</v>
      </c>
      <c r="T108" s="118">
        <f t="shared" si="6"/>
        <v>0.51944444444444438</v>
      </c>
      <c r="U108" s="114">
        <f t="shared" si="7"/>
        <v>0</v>
      </c>
      <c r="V108" s="115">
        <f>IF(U108="","",IF($D$5="Average",INDEX(Tbl_Walk_Avg[#All],MATCH('Model 2 - Permutations'!D108,Tbl_Walk_Avg[[#All],[Ride]],0),MATCH('Model 2 - Permutations'!E108,Tbl_Walk_Avg[#Headers],0)),INDEX(Tbl_Walk_Leisure[#All],MATCH('Model 2 - Permutations'!D108,Tbl_Walk_Leisure[[#All],[Ride]],0),MATCH('Model 2 - Permutations'!E108,Tbl_Walk_Leisure[#Headers],0))))</f>
        <v>4.8611111111111112E-3</v>
      </c>
      <c r="W108" s="113">
        <f t="shared" si="8"/>
        <v>0.52430555555555547</v>
      </c>
      <c r="X108" s="116">
        <f>IF(W108="","",IF($D$14="Weekday",INDEX(Tbl_Wait_Wkday[#All],MATCH('Model 2 - Permutations'!W108,Tbl_Wait_Wkday[[#All],[Time]],1),MATCH('Model 2 - Permutations'!E108,Tbl_Wait_Wkday[#Headers],0)),INDEX(Tbl_Wait_Wkend[#All],MATCH('Model 2 - Permutations'!W108,Tbl_Wait_Wkend[[#All],[Time]],1),MATCH('Model 2 - Permutations'!E108,Tbl_Wait_Wkend[#Headers],0))))</f>
        <v>1.0416666666666666E-2</v>
      </c>
      <c r="Y108" s="117">
        <f>IF(X108="","",VLOOKUP(E108,Tbl_Ride[#Data],2,FALSE))</f>
        <v>2.0833333333333333E-3</v>
      </c>
      <c r="Z108" s="118">
        <f t="shared" si="9"/>
        <v>0.53680555555555542</v>
      </c>
      <c r="AA108" s="114">
        <f t="shared" si="10"/>
        <v>0</v>
      </c>
      <c r="AB108" s="115">
        <f>IF(AA108="","",IF($D$5="Average",INDEX(Tbl_Walk_Avg[#All],MATCH('Model 2 - Permutations'!E108,Tbl_Walk_Avg[[#All],[Ride]],0),MATCH('Model 2 - Permutations'!F108,Tbl_Walk_Avg[#Headers],0)),INDEX(Tbl_Walk_Leisure[#All],MATCH('Model 2 - Permutations'!E108,Tbl_Walk_Leisure[[#All],[Ride]],0),MATCH('Model 2 - Permutations'!F108,Tbl_Walk_Leisure[#Headers],0))))</f>
        <v>2.7777777777777779E-3</v>
      </c>
      <c r="AC108" s="113">
        <f t="shared" si="11"/>
        <v>0.53958333333333319</v>
      </c>
      <c r="AD108" s="116">
        <f>IF(AC108="","",IF($D$14="Weekday",INDEX(Tbl_Wait_Wkday[#All],MATCH('Model 2 - Permutations'!AC108,Tbl_Wait_Wkday[[#All],[Time]],1),MATCH('Model 2 - Permutations'!F108,Tbl_Wait_Wkday[#Headers],0)),INDEX(Tbl_Wait_Wkend[#All],MATCH('Model 2 - Permutations'!AC108,Tbl_Wait_Wkend[[#All],[Time]],1),MATCH('Model 2 - Permutations'!F108,Tbl_Wait_Wkend[#Headers],0))))</f>
        <v>2.4305555555555552E-2</v>
      </c>
      <c r="AE108" s="117">
        <f>IF(AD108="","",VLOOKUP(F108,Tbl_Ride[#Data],2,FALSE))</f>
        <v>1.3888888888888889E-3</v>
      </c>
      <c r="AF108" s="118">
        <f t="shared" si="12"/>
        <v>0.56527777777777766</v>
      </c>
      <c r="AG108" s="114">
        <f t="shared" si="13"/>
        <v>1</v>
      </c>
      <c r="AH108" s="115">
        <f>IF(AG108="","",IF($D$5="Average",INDEX(Tbl_Walk_Avg[#All],MATCH('Model 2 - Permutations'!F108,Tbl_Walk_Avg[[#All],[Ride]],0),MATCH('Model 2 - Permutations'!G108,Tbl_Walk_Avg[#Headers],0)),INDEX(Tbl_Walk_Leisure[#All],MATCH('Model 2 - Permutations'!F108,Tbl_Walk_Leisure[[#All],[Ride]],0),MATCH('Model 2 - Permutations'!G108,Tbl_Walk_Leisure[#Headers],0))))</f>
        <v>0</v>
      </c>
      <c r="AI108" s="113">
        <f t="shared" si="14"/>
        <v>0.64861111111111103</v>
      </c>
      <c r="AJ108" s="116">
        <f>IF(AI108="","",IF($D$14="Weekday",INDEX(Tbl_Wait_Wkday[#All],MATCH('Model 2 - Permutations'!AI108,Tbl_Wait_Wkday[[#All],[Time]],1),MATCH('Model 2 - Permutations'!G108,Tbl_Wait_Wkday[#Headers],0)),INDEX(Tbl_Wait_Wkend[#All],MATCH('Model 2 - Permutations'!AI108,Tbl_Wait_Wkend[[#All],[Time]],1),MATCH('Model 2 - Permutations'!G108,Tbl_Wait_Wkend[#Headers],0))))</f>
        <v>5.2083333333333329E-2</v>
      </c>
      <c r="AK108" s="117">
        <f>IF(AJ108="","",VLOOKUP(G108,Tbl_Ride[#Data],2,FALSE))</f>
        <v>1.3888888888888889E-3</v>
      </c>
      <c r="AL108" s="118">
        <f t="shared" si="15"/>
        <v>0.70208333333333328</v>
      </c>
      <c r="AM108" s="114">
        <f t="shared" si="16"/>
        <v>0</v>
      </c>
      <c r="AN108" s="115">
        <f>IF(AM108="","",IF($D$5="Average",INDEX(Tbl_Walk_Avg[#All],MATCH('Model 2 - Permutations'!G108,Tbl_Walk_Avg[[#All],[Ride]],0),MATCH('Model 2 - Permutations'!H108,Tbl_Walk_Avg[#Headers],0)),INDEX(Tbl_Walk_Leisure[#All],MATCH('Model 2 - Permutations'!G108,Tbl_Walk_Leisure[[#All],[Ride]],0),MATCH('Model 2 - Permutations'!H108,Tbl_Walk_Leisure[#Headers],0))))</f>
        <v>2.7777777777777779E-3</v>
      </c>
      <c r="AO108" s="113">
        <f t="shared" si="17"/>
        <v>0.70486111111111105</v>
      </c>
      <c r="AP108" s="116">
        <f>IF(AO108="","",IF($D$14="Weekday",INDEX(Tbl_Wait_Wkday[#All],MATCH('Model 2 - Permutations'!AO108,Tbl_Wait_Wkday[[#All],[Time]],1),MATCH('Model 2 - Permutations'!H108,Tbl_Wait_Wkday[#Headers],0)),INDEX(Tbl_Wait_Wkend[#All],MATCH('Model 2 - Permutations'!AO108,Tbl_Wait_Wkend[[#All],[Time]],1),MATCH('Model 2 - Permutations'!H108,Tbl_Wait_Wkend[#Headers],0))))</f>
        <v>2.4305555555555552E-2</v>
      </c>
      <c r="AQ108" s="117">
        <f>IF(AP108="","",VLOOKUP(H108,Tbl_Ride[#Data],2,FALSE))</f>
        <v>3.4722222222222225E-3</v>
      </c>
      <c r="AR108" s="118">
        <f t="shared" si="18"/>
        <v>0.73263888888888884</v>
      </c>
      <c r="AS108" s="119">
        <f t="shared" si="19"/>
        <v>1.5277777777777779E-2</v>
      </c>
      <c r="AT108" s="119">
        <f t="shared" si="20"/>
        <v>0.12499999999999999</v>
      </c>
      <c r="AU108" s="119">
        <f t="shared" si="21"/>
        <v>0.14027777777777778</v>
      </c>
    </row>
    <row r="109" spans="2:47">
      <c r="B109" s="111">
        <v>64</v>
      </c>
      <c r="C109" s="111" t="s">
        <v>66</v>
      </c>
      <c r="D109" s="112" t="str">
        <f t="shared" si="2"/>
        <v>Enchanted Airways</v>
      </c>
      <c r="E109" s="112" t="str">
        <f t="shared" si="2"/>
        <v>Revenge of the Mummy</v>
      </c>
      <c r="F109" s="112" t="str">
        <f t="shared" si="2"/>
        <v>Battlestart Galactica: Human</v>
      </c>
      <c r="G109" s="112" t="str">
        <f t="shared" si="2"/>
        <v>Transformers The Ride</v>
      </c>
      <c r="H109" s="112" t="str">
        <f t="shared" si="2"/>
        <v>Battlestar Galactica: Cylon</v>
      </c>
      <c r="I109" s="112">
        <v>3</v>
      </c>
      <c r="J109" s="112">
        <v>4</v>
      </c>
      <c r="K109" s="112">
        <v>2</v>
      </c>
      <c r="L109" s="112">
        <v>5</v>
      </c>
      <c r="M109" s="112">
        <v>1</v>
      </c>
      <c r="N109" s="113">
        <f t="shared" si="3"/>
        <v>0.5</v>
      </c>
      <c r="O109" s="114">
        <f t="shared" si="4"/>
        <v>0</v>
      </c>
      <c r="P109" s="115">
        <f>IF($D$5="Average",INDEX(Tbl_Walk_Avg[#All],MATCH('Model 2 - Permutations'!C109,Tbl_Walk_Avg[[#All],[Ride]],0),MATCH('Model 2 - Permutations'!D109,Tbl_Walk_Avg[#Headers],0)),INDEX(Tbl_Walk_Leisure[#All],MATCH('Model 2 - Permutations'!C109,Tbl_Walk_Leisure[[#All],[Ride]],0),MATCH('Model 2 - Permutations'!D109,Tbl_Walk_Leisure[#Headers],0)))</f>
        <v>4.8611111111111112E-3</v>
      </c>
      <c r="Q109" s="113">
        <f t="shared" si="5"/>
        <v>0.50486111111111109</v>
      </c>
      <c r="R109" s="116">
        <f>IF(Q109="","",IF($D$14="Weekday",INDEX(Tbl_Wait_Wkday[#All],MATCH('Model 2 - Permutations'!Q109,Tbl_Wait_Wkday[[#All],[Time]],1),MATCH('Model 2 - Permutations'!D109,Tbl_Wait_Wkday[#Headers],0)),INDEX(Tbl_Wait_Wkend[#All],MATCH('Model 2 - Permutations'!Q109,Tbl_Wait_Wkend[[#All],[Time]],1),MATCH('Model 2 - Permutations'!D109,Tbl_Wait_Wkend[#Headers],0))))</f>
        <v>1.3888888888888888E-2</v>
      </c>
      <c r="S109" s="117">
        <f>IF(R109="","",VLOOKUP(D109,Tbl_Ride[#Data],2,FALSE))</f>
        <v>6.9444444444444447E-4</v>
      </c>
      <c r="T109" s="118">
        <f t="shared" si="6"/>
        <v>0.51944444444444438</v>
      </c>
      <c r="U109" s="114">
        <f t="shared" si="7"/>
        <v>0</v>
      </c>
      <c r="V109" s="115">
        <f>IF(U109="","",IF($D$5="Average",INDEX(Tbl_Walk_Avg[#All],MATCH('Model 2 - Permutations'!D109,Tbl_Walk_Avg[[#All],[Ride]],0),MATCH('Model 2 - Permutations'!E109,Tbl_Walk_Avg[#Headers],0)),INDEX(Tbl_Walk_Leisure[#All],MATCH('Model 2 - Permutations'!D109,Tbl_Walk_Leisure[[#All],[Ride]],0),MATCH('Model 2 - Permutations'!E109,Tbl_Walk_Leisure[#Headers],0))))</f>
        <v>4.8611111111111112E-3</v>
      </c>
      <c r="W109" s="113">
        <f t="shared" si="8"/>
        <v>0.52430555555555547</v>
      </c>
      <c r="X109" s="116">
        <f>IF(W109="","",IF($D$14="Weekday",INDEX(Tbl_Wait_Wkday[#All],MATCH('Model 2 - Permutations'!W109,Tbl_Wait_Wkday[[#All],[Time]],1),MATCH('Model 2 - Permutations'!E109,Tbl_Wait_Wkday[#Headers],0)),INDEX(Tbl_Wait_Wkend[#All],MATCH('Model 2 - Permutations'!W109,Tbl_Wait_Wkend[[#All],[Time]],1),MATCH('Model 2 - Permutations'!E109,Tbl_Wait_Wkend[#Headers],0))))</f>
        <v>1.0416666666666666E-2</v>
      </c>
      <c r="Y109" s="117">
        <f>IF(X109="","",VLOOKUP(E109,Tbl_Ride[#Data],2,FALSE))</f>
        <v>2.0833333333333333E-3</v>
      </c>
      <c r="Z109" s="118">
        <f t="shared" si="9"/>
        <v>0.53680555555555542</v>
      </c>
      <c r="AA109" s="114">
        <f t="shared" si="10"/>
        <v>0</v>
      </c>
      <c r="AB109" s="115">
        <f>IF(AA109="","",IF($D$5="Average",INDEX(Tbl_Walk_Avg[#All],MATCH('Model 2 - Permutations'!E109,Tbl_Walk_Avg[[#All],[Ride]],0),MATCH('Model 2 - Permutations'!F109,Tbl_Walk_Avg[#Headers],0)),INDEX(Tbl_Walk_Leisure[#All],MATCH('Model 2 - Permutations'!E109,Tbl_Walk_Leisure[[#All],[Ride]],0),MATCH('Model 2 - Permutations'!F109,Tbl_Walk_Leisure[#Headers],0))))</f>
        <v>2.7777777777777779E-3</v>
      </c>
      <c r="AC109" s="113">
        <f t="shared" si="11"/>
        <v>0.53958333333333319</v>
      </c>
      <c r="AD109" s="116">
        <f>IF(AC109="","",IF($D$14="Weekday",INDEX(Tbl_Wait_Wkday[#All],MATCH('Model 2 - Permutations'!AC109,Tbl_Wait_Wkday[[#All],[Time]],1),MATCH('Model 2 - Permutations'!F109,Tbl_Wait_Wkday[#Headers],0)),INDEX(Tbl_Wait_Wkend[#All],MATCH('Model 2 - Permutations'!AC109,Tbl_Wait_Wkend[[#All],[Time]],1),MATCH('Model 2 - Permutations'!F109,Tbl_Wait_Wkend[#Headers],0))))</f>
        <v>2.4305555555555552E-2</v>
      </c>
      <c r="AE109" s="117">
        <f>IF(AD109="","",VLOOKUP(F109,Tbl_Ride[#Data],2,FALSE))</f>
        <v>1.3888888888888889E-3</v>
      </c>
      <c r="AF109" s="118">
        <f t="shared" si="12"/>
        <v>0.56527777777777766</v>
      </c>
      <c r="AG109" s="114">
        <f t="shared" si="13"/>
        <v>1</v>
      </c>
      <c r="AH109" s="115">
        <f>IF(AG109="","",IF($D$5="Average",INDEX(Tbl_Walk_Avg[#All],MATCH('Model 2 - Permutations'!F109,Tbl_Walk_Avg[[#All],[Ride]],0),MATCH('Model 2 - Permutations'!G109,Tbl_Walk_Avg[#Headers],0)),INDEX(Tbl_Walk_Leisure[#All],MATCH('Model 2 - Permutations'!F109,Tbl_Walk_Leisure[[#All],[Ride]],0),MATCH('Model 2 - Permutations'!G109,Tbl_Walk_Leisure[#Headers],0))))</f>
        <v>2.7777777777777779E-3</v>
      </c>
      <c r="AI109" s="113">
        <f t="shared" si="14"/>
        <v>0.6513888888888888</v>
      </c>
      <c r="AJ109" s="116">
        <f>IF(AI109="","",IF($D$14="Weekday",INDEX(Tbl_Wait_Wkday[#All],MATCH('Model 2 - Permutations'!AI109,Tbl_Wait_Wkday[[#All],[Time]],1),MATCH('Model 2 - Permutations'!G109,Tbl_Wait_Wkday[#Headers],0)),INDEX(Tbl_Wait_Wkend[#All],MATCH('Model 2 - Permutations'!AI109,Tbl_Wait_Wkend[[#All],[Time]],1),MATCH('Model 2 - Permutations'!G109,Tbl_Wait_Wkend[#Headers],0))))</f>
        <v>2.4305555555555552E-2</v>
      </c>
      <c r="AK109" s="117">
        <f>IF(AJ109="","",VLOOKUP(G109,Tbl_Ride[#Data],2,FALSE))</f>
        <v>3.4722222222222225E-3</v>
      </c>
      <c r="AL109" s="118">
        <f t="shared" si="15"/>
        <v>0.67916666666666659</v>
      </c>
      <c r="AM109" s="114">
        <f t="shared" si="16"/>
        <v>0</v>
      </c>
      <c r="AN109" s="115">
        <f>IF(AM109="","",IF($D$5="Average",INDEX(Tbl_Walk_Avg[#All],MATCH('Model 2 - Permutations'!G109,Tbl_Walk_Avg[[#All],[Ride]],0),MATCH('Model 2 - Permutations'!H109,Tbl_Walk_Avg[#Headers],0)),INDEX(Tbl_Walk_Leisure[#All],MATCH('Model 2 - Permutations'!G109,Tbl_Walk_Leisure[[#All],[Ride]],0),MATCH('Model 2 - Permutations'!H109,Tbl_Walk_Leisure[#Headers],0))))</f>
        <v>2.7777777777777779E-3</v>
      </c>
      <c r="AO109" s="113">
        <f t="shared" si="17"/>
        <v>0.68194444444444435</v>
      </c>
      <c r="AP109" s="116">
        <f>IF(AO109="","",IF($D$14="Weekday",INDEX(Tbl_Wait_Wkday[#All],MATCH('Model 2 - Permutations'!AO109,Tbl_Wait_Wkday[[#All],[Time]],1),MATCH('Model 2 - Permutations'!H109,Tbl_Wait_Wkday[#Headers],0)),INDEX(Tbl_Wait_Wkend[#All],MATCH('Model 2 - Permutations'!AO109,Tbl_Wait_Wkend[[#All],[Time]],1),MATCH('Model 2 - Permutations'!H109,Tbl_Wait_Wkend[#Headers],0))))</f>
        <v>3.4722222222222224E-2</v>
      </c>
      <c r="AQ109" s="117">
        <f>IF(AP109="","",VLOOKUP(H109,Tbl_Ride[#Data],2,FALSE))</f>
        <v>1.3888888888888889E-3</v>
      </c>
      <c r="AR109" s="118">
        <f t="shared" si="18"/>
        <v>0.71805555555555545</v>
      </c>
      <c r="AS109" s="119">
        <f t="shared" si="19"/>
        <v>1.8055555555555557E-2</v>
      </c>
      <c r="AT109" s="119">
        <f t="shared" si="20"/>
        <v>0.10763888888888888</v>
      </c>
      <c r="AU109" s="119">
        <f t="shared" si="21"/>
        <v>0.12569444444444444</v>
      </c>
    </row>
    <row r="110" spans="2:47">
      <c r="B110" s="111">
        <v>65</v>
      </c>
      <c r="C110" s="111" t="s">
        <v>66</v>
      </c>
      <c r="D110" s="112" t="str">
        <f t="shared" ref="D110:H160" si="22">IF($D$12=$C$44,HLOOKUP(I110,$D$9:$H$10,2,FALSE),"")</f>
        <v>Enchanted Airways</v>
      </c>
      <c r="E110" s="112" t="str">
        <f t="shared" si="22"/>
        <v>Revenge of the Mummy</v>
      </c>
      <c r="F110" s="112" t="str">
        <f t="shared" si="22"/>
        <v>Transformers The Ride</v>
      </c>
      <c r="G110" s="112" t="str">
        <f t="shared" si="22"/>
        <v>Battlestar Galactica: Cylon</v>
      </c>
      <c r="H110" s="112" t="str">
        <f t="shared" si="22"/>
        <v>Battlestart Galactica: Human</v>
      </c>
      <c r="I110" s="112">
        <v>3</v>
      </c>
      <c r="J110" s="112">
        <v>4</v>
      </c>
      <c r="K110" s="112">
        <v>5</v>
      </c>
      <c r="L110" s="112">
        <v>1</v>
      </c>
      <c r="M110" s="112">
        <v>2</v>
      </c>
      <c r="N110" s="113">
        <f t="shared" si="3"/>
        <v>0.5</v>
      </c>
      <c r="O110" s="114">
        <f t="shared" si="4"/>
        <v>0</v>
      </c>
      <c r="P110" s="115">
        <f>IF($D$5="Average",INDEX(Tbl_Walk_Avg[#All],MATCH('Model 2 - Permutations'!C110,Tbl_Walk_Avg[[#All],[Ride]],0),MATCH('Model 2 - Permutations'!D110,Tbl_Walk_Avg[#Headers],0)),INDEX(Tbl_Walk_Leisure[#All],MATCH('Model 2 - Permutations'!C110,Tbl_Walk_Leisure[[#All],[Ride]],0),MATCH('Model 2 - Permutations'!D110,Tbl_Walk_Leisure[#Headers],0)))</f>
        <v>4.8611111111111112E-3</v>
      </c>
      <c r="Q110" s="113">
        <f t="shared" si="5"/>
        <v>0.50486111111111109</v>
      </c>
      <c r="R110" s="116">
        <f>IF(Q110="","",IF($D$14="Weekday",INDEX(Tbl_Wait_Wkday[#All],MATCH('Model 2 - Permutations'!Q110,Tbl_Wait_Wkday[[#All],[Time]],1),MATCH('Model 2 - Permutations'!D110,Tbl_Wait_Wkday[#Headers],0)),INDEX(Tbl_Wait_Wkend[#All],MATCH('Model 2 - Permutations'!Q110,Tbl_Wait_Wkend[[#All],[Time]],1),MATCH('Model 2 - Permutations'!D110,Tbl_Wait_Wkend[#Headers],0))))</f>
        <v>1.3888888888888888E-2</v>
      </c>
      <c r="S110" s="117">
        <f>IF(R110="","",VLOOKUP(D110,Tbl_Ride[#Data],2,FALSE))</f>
        <v>6.9444444444444447E-4</v>
      </c>
      <c r="T110" s="118">
        <f t="shared" si="6"/>
        <v>0.51944444444444438</v>
      </c>
      <c r="U110" s="114">
        <f t="shared" si="7"/>
        <v>0</v>
      </c>
      <c r="V110" s="115">
        <f>IF(U110="","",IF($D$5="Average",INDEX(Tbl_Walk_Avg[#All],MATCH('Model 2 - Permutations'!D110,Tbl_Walk_Avg[[#All],[Ride]],0),MATCH('Model 2 - Permutations'!E110,Tbl_Walk_Avg[#Headers],0)),INDEX(Tbl_Walk_Leisure[#All],MATCH('Model 2 - Permutations'!D110,Tbl_Walk_Leisure[[#All],[Ride]],0),MATCH('Model 2 - Permutations'!E110,Tbl_Walk_Leisure[#Headers],0))))</f>
        <v>4.8611111111111112E-3</v>
      </c>
      <c r="W110" s="113">
        <f t="shared" si="8"/>
        <v>0.52430555555555547</v>
      </c>
      <c r="X110" s="116">
        <f>IF(W110="","",IF($D$14="Weekday",INDEX(Tbl_Wait_Wkday[#All],MATCH('Model 2 - Permutations'!W110,Tbl_Wait_Wkday[[#All],[Time]],1),MATCH('Model 2 - Permutations'!E110,Tbl_Wait_Wkday[#Headers],0)),INDEX(Tbl_Wait_Wkend[#All],MATCH('Model 2 - Permutations'!W110,Tbl_Wait_Wkend[[#All],[Time]],1),MATCH('Model 2 - Permutations'!E110,Tbl_Wait_Wkend[#Headers],0))))</f>
        <v>1.0416666666666666E-2</v>
      </c>
      <c r="Y110" s="117">
        <f>IF(X110="","",VLOOKUP(E110,Tbl_Ride[#Data],2,FALSE))</f>
        <v>2.0833333333333333E-3</v>
      </c>
      <c r="Z110" s="118">
        <f t="shared" si="9"/>
        <v>0.53680555555555542</v>
      </c>
      <c r="AA110" s="114">
        <f t="shared" si="10"/>
        <v>0</v>
      </c>
      <c r="AB110" s="115">
        <f>IF(AA110="","",IF($D$5="Average",INDEX(Tbl_Walk_Avg[#All],MATCH('Model 2 - Permutations'!E110,Tbl_Walk_Avg[[#All],[Ride]],0),MATCH('Model 2 - Permutations'!F110,Tbl_Walk_Avg[#Headers],0)),INDEX(Tbl_Walk_Leisure[#All],MATCH('Model 2 - Permutations'!E110,Tbl_Walk_Leisure[[#All],[Ride]],0),MATCH('Model 2 - Permutations'!F110,Tbl_Walk_Leisure[#Headers],0))))</f>
        <v>4.1666666666666666E-3</v>
      </c>
      <c r="AC110" s="113">
        <f t="shared" si="11"/>
        <v>0.54097222222222208</v>
      </c>
      <c r="AD110" s="116">
        <f>IF(AC110="","",IF($D$14="Weekday",INDEX(Tbl_Wait_Wkday[#All],MATCH('Model 2 - Permutations'!AC110,Tbl_Wait_Wkday[[#All],[Time]],1),MATCH('Model 2 - Permutations'!F110,Tbl_Wait_Wkday[#Headers],0)),INDEX(Tbl_Wait_Wkend[#All],MATCH('Model 2 - Permutations'!AC110,Tbl_Wait_Wkend[[#All],[Time]],1),MATCH('Model 2 - Permutations'!F110,Tbl_Wait_Wkend[#Headers],0))))</f>
        <v>6.5972222222222224E-2</v>
      </c>
      <c r="AE110" s="117">
        <f>IF(AD110="","",VLOOKUP(F110,Tbl_Ride[#Data],2,FALSE))</f>
        <v>3.4722222222222225E-3</v>
      </c>
      <c r="AF110" s="118">
        <f t="shared" si="12"/>
        <v>0.6104166666666665</v>
      </c>
      <c r="AG110" s="114">
        <f t="shared" si="13"/>
        <v>1</v>
      </c>
      <c r="AH110" s="115">
        <f>IF(AG110="","",IF($D$5="Average",INDEX(Tbl_Walk_Avg[#All],MATCH('Model 2 - Permutations'!F110,Tbl_Walk_Avg[[#All],[Ride]],0),MATCH('Model 2 - Permutations'!G110,Tbl_Walk_Avg[#Headers],0)),INDEX(Tbl_Walk_Leisure[#All],MATCH('Model 2 - Permutations'!F110,Tbl_Walk_Leisure[[#All],[Ride]],0),MATCH('Model 2 - Permutations'!G110,Tbl_Walk_Leisure[#Headers],0))))</f>
        <v>2.7777777777777779E-3</v>
      </c>
      <c r="AI110" s="113">
        <f t="shared" si="14"/>
        <v>0.69652777777777763</v>
      </c>
      <c r="AJ110" s="116">
        <f>IF(AI110="","",IF($D$14="Weekday",INDEX(Tbl_Wait_Wkday[#All],MATCH('Model 2 - Permutations'!AI110,Tbl_Wait_Wkday[[#All],[Time]],1),MATCH('Model 2 - Permutations'!G110,Tbl_Wait_Wkday[#Headers],0)),INDEX(Tbl_Wait_Wkend[#All],MATCH('Model 2 - Permutations'!AI110,Tbl_Wait_Wkend[[#All],[Time]],1),MATCH('Model 2 - Permutations'!G110,Tbl_Wait_Wkend[#Headers],0))))</f>
        <v>3.4722222222222224E-2</v>
      </c>
      <c r="AK110" s="117">
        <f>IF(AJ110="","",VLOOKUP(G110,Tbl_Ride[#Data],2,FALSE))</f>
        <v>1.3888888888888889E-3</v>
      </c>
      <c r="AL110" s="118">
        <f t="shared" si="15"/>
        <v>0.73263888888888873</v>
      </c>
      <c r="AM110" s="114">
        <f t="shared" si="16"/>
        <v>0</v>
      </c>
      <c r="AN110" s="115">
        <f>IF(AM110="","",IF($D$5="Average",INDEX(Tbl_Walk_Avg[#All],MATCH('Model 2 - Permutations'!G110,Tbl_Walk_Avg[[#All],[Ride]],0),MATCH('Model 2 - Permutations'!H110,Tbl_Walk_Avg[#Headers],0)),INDEX(Tbl_Walk_Leisure[#All],MATCH('Model 2 - Permutations'!G110,Tbl_Walk_Leisure[[#All],[Ride]],0),MATCH('Model 2 - Permutations'!H110,Tbl_Walk_Leisure[#Headers],0))))</f>
        <v>0</v>
      </c>
      <c r="AO110" s="113">
        <f t="shared" si="17"/>
        <v>0.73263888888888873</v>
      </c>
      <c r="AP110" s="116">
        <f>IF(AO110="","",IF($D$14="Weekday",INDEX(Tbl_Wait_Wkday[#All],MATCH('Model 2 - Permutations'!AO110,Tbl_Wait_Wkday[[#All],[Time]],1),MATCH('Model 2 - Permutations'!H110,Tbl_Wait_Wkday[#Headers],0)),INDEX(Tbl_Wait_Wkend[#All],MATCH('Model 2 - Permutations'!AO110,Tbl_Wait_Wkend[[#All],[Time]],1),MATCH('Model 2 - Permutations'!H110,Tbl_Wait_Wkend[#Headers],0))))</f>
        <v>2.4305555555555552E-2</v>
      </c>
      <c r="AQ110" s="117">
        <f>IF(AP110="","",VLOOKUP(H110,Tbl_Ride[#Data],2,FALSE))</f>
        <v>1.3888888888888889E-3</v>
      </c>
      <c r="AR110" s="118">
        <f t="shared" si="18"/>
        <v>0.75833333333333319</v>
      </c>
      <c r="AS110" s="119">
        <f t="shared" si="19"/>
        <v>1.6666666666666666E-2</v>
      </c>
      <c r="AT110" s="119">
        <f t="shared" si="20"/>
        <v>0.14930555555555555</v>
      </c>
      <c r="AU110" s="119">
        <f t="shared" si="21"/>
        <v>0.16597222222222222</v>
      </c>
    </row>
    <row r="111" spans="2:47">
      <c r="B111" s="111">
        <v>66</v>
      </c>
      <c r="C111" s="111" t="s">
        <v>66</v>
      </c>
      <c r="D111" s="112" t="str">
        <f t="shared" si="22"/>
        <v>Enchanted Airways</v>
      </c>
      <c r="E111" s="112" t="str">
        <f t="shared" si="22"/>
        <v>Revenge of the Mummy</v>
      </c>
      <c r="F111" s="112" t="str">
        <f t="shared" si="22"/>
        <v>Transformers The Ride</v>
      </c>
      <c r="G111" s="112" t="str">
        <f t="shared" si="22"/>
        <v>Battlestart Galactica: Human</v>
      </c>
      <c r="H111" s="112" t="str">
        <f t="shared" si="22"/>
        <v>Battlestar Galactica: Cylon</v>
      </c>
      <c r="I111" s="112">
        <v>3</v>
      </c>
      <c r="J111" s="112">
        <v>4</v>
      </c>
      <c r="K111" s="112">
        <v>5</v>
      </c>
      <c r="L111" s="112">
        <v>2</v>
      </c>
      <c r="M111" s="112">
        <v>1</v>
      </c>
      <c r="N111" s="113">
        <f t="shared" ref="N111:N165" si="23">$D$6</f>
        <v>0.5</v>
      </c>
      <c r="O111" s="114">
        <f t="shared" ref="O111:O165" si="24">IF($G$4="No",0,IF(N111&gt;=$G$5,1,0))</f>
        <v>0</v>
      </c>
      <c r="P111" s="115">
        <f>IF($D$5="Average",INDEX(Tbl_Walk_Avg[#All],MATCH('Model 2 - Permutations'!C111,Tbl_Walk_Avg[[#All],[Ride]],0),MATCH('Model 2 - Permutations'!D111,Tbl_Walk_Avg[#Headers],0)),INDEX(Tbl_Walk_Leisure[#All],MATCH('Model 2 - Permutations'!C111,Tbl_Walk_Leisure[[#All],[Ride]],0),MATCH('Model 2 - Permutations'!D111,Tbl_Walk_Leisure[#Headers],0)))</f>
        <v>4.8611111111111112E-3</v>
      </c>
      <c r="Q111" s="113">
        <f t="shared" ref="Q111:Q165" si="25">IF((N111+O111*$G$6+P111)&gt;$D$7,"",N111+O111*$G$6+P111)</f>
        <v>0.50486111111111109</v>
      </c>
      <c r="R111" s="116">
        <f>IF(Q111="","",IF($D$14="Weekday",INDEX(Tbl_Wait_Wkday[#All],MATCH('Model 2 - Permutations'!Q111,Tbl_Wait_Wkday[[#All],[Time]],1),MATCH('Model 2 - Permutations'!D111,Tbl_Wait_Wkday[#Headers],0)),INDEX(Tbl_Wait_Wkend[#All],MATCH('Model 2 - Permutations'!Q111,Tbl_Wait_Wkend[[#All],[Time]],1),MATCH('Model 2 - Permutations'!D111,Tbl_Wait_Wkend[#Headers],0))))</f>
        <v>1.3888888888888888E-2</v>
      </c>
      <c r="S111" s="117">
        <f>IF(R111="","",VLOOKUP(D111,Tbl_Ride[#Data],2,FALSE))</f>
        <v>6.9444444444444447E-4</v>
      </c>
      <c r="T111" s="118">
        <f t="shared" ref="T111:T165" si="26">IF(S111="","",Q111+R111+S111)</f>
        <v>0.51944444444444438</v>
      </c>
      <c r="U111" s="114">
        <f t="shared" ref="U111:U165" si="27">IF(T111="","",IF($G$4="No",0,IF(O111=1,0,IF(T111&gt;=$G$5,1,0))))</f>
        <v>0</v>
      </c>
      <c r="V111" s="115">
        <f>IF(U111="","",IF($D$5="Average",INDEX(Tbl_Walk_Avg[#All],MATCH('Model 2 - Permutations'!D111,Tbl_Walk_Avg[[#All],[Ride]],0),MATCH('Model 2 - Permutations'!E111,Tbl_Walk_Avg[#Headers],0)),INDEX(Tbl_Walk_Leisure[#All],MATCH('Model 2 - Permutations'!D111,Tbl_Walk_Leisure[[#All],[Ride]],0),MATCH('Model 2 - Permutations'!E111,Tbl_Walk_Leisure[#Headers],0))))</f>
        <v>4.8611111111111112E-3</v>
      </c>
      <c r="W111" s="113">
        <f t="shared" ref="W111:W165" si="28">IF(V111="","",IF((T111+U111*$G$6+V111)&gt;$D$7,"",T111+U111*$G$6+V111))</f>
        <v>0.52430555555555547</v>
      </c>
      <c r="X111" s="116">
        <f>IF(W111="","",IF($D$14="Weekday",INDEX(Tbl_Wait_Wkday[#All],MATCH('Model 2 - Permutations'!W111,Tbl_Wait_Wkday[[#All],[Time]],1),MATCH('Model 2 - Permutations'!E111,Tbl_Wait_Wkday[#Headers],0)),INDEX(Tbl_Wait_Wkend[#All],MATCH('Model 2 - Permutations'!W111,Tbl_Wait_Wkend[[#All],[Time]],1),MATCH('Model 2 - Permutations'!E111,Tbl_Wait_Wkend[#Headers],0))))</f>
        <v>1.0416666666666666E-2</v>
      </c>
      <c r="Y111" s="117">
        <f>IF(X111="","",VLOOKUP(E111,Tbl_Ride[#Data],2,FALSE))</f>
        <v>2.0833333333333333E-3</v>
      </c>
      <c r="Z111" s="118">
        <f t="shared" ref="Z111:Z165" si="29">IF(Y111="","",W111+X111+Y111)</f>
        <v>0.53680555555555542</v>
      </c>
      <c r="AA111" s="114">
        <f t="shared" ref="AA111:AA165" si="30">IF(Z111="","",IF($G$4="No",0,IF((O111+U111)=1,0,IF(Z111&gt;=$G$5,1,0))))</f>
        <v>0</v>
      </c>
      <c r="AB111" s="115">
        <f>IF(AA111="","",IF($D$5="Average",INDEX(Tbl_Walk_Avg[#All],MATCH('Model 2 - Permutations'!E111,Tbl_Walk_Avg[[#All],[Ride]],0),MATCH('Model 2 - Permutations'!F111,Tbl_Walk_Avg[#Headers],0)),INDEX(Tbl_Walk_Leisure[#All],MATCH('Model 2 - Permutations'!E111,Tbl_Walk_Leisure[[#All],[Ride]],0),MATCH('Model 2 - Permutations'!F111,Tbl_Walk_Leisure[#Headers],0))))</f>
        <v>4.1666666666666666E-3</v>
      </c>
      <c r="AC111" s="113">
        <f t="shared" ref="AC111:AC165" si="31">IF(AB111="","",IF((Z111+AA111*$G$6+AB111)&gt;$D$7,"",Z111+AA111*$G$6+AB111))</f>
        <v>0.54097222222222208</v>
      </c>
      <c r="AD111" s="116">
        <f>IF(AC111="","",IF($D$14="Weekday",INDEX(Tbl_Wait_Wkday[#All],MATCH('Model 2 - Permutations'!AC111,Tbl_Wait_Wkday[[#All],[Time]],1),MATCH('Model 2 - Permutations'!F111,Tbl_Wait_Wkday[#Headers],0)),INDEX(Tbl_Wait_Wkend[#All],MATCH('Model 2 - Permutations'!AC111,Tbl_Wait_Wkend[[#All],[Time]],1),MATCH('Model 2 - Permutations'!F111,Tbl_Wait_Wkend[#Headers],0))))</f>
        <v>6.5972222222222224E-2</v>
      </c>
      <c r="AE111" s="117">
        <f>IF(AD111="","",VLOOKUP(F111,Tbl_Ride[#Data],2,FALSE))</f>
        <v>3.4722222222222225E-3</v>
      </c>
      <c r="AF111" s="118">
        <f t="shared" ref="AF111:AF165" si="32">IF(AE111="","",AC111+AD111+AE111)</f>
        <v>0.6104166666666665</v>
      </c>
      <c r="AG111" s="114">
        <f t="shared" ref="AG111:AG165" si="33">IF(AF111="","",IF($G$4="No",0,IF((O111+U111+AA111)=1,0,IF(AF111&gt;=$G$5,1,0))))</f>
        <v>1</v>
      </c>
      <c r="AH111" s="115">
        <f>IF(AG111="","",IF($D$5="Average",INDEX(Tbl_Walk_Avg[#All],MATCH('Model 2 - Permutations'!F111,Tbl_Walk_Avg[[#All],[Ride]],0),MATCH('Model 2 - Permutations'!G111,Tbl_Walk_Avg[#Headers],0)),INDEX(Tbl_Walk_Leisure[#All],MATCH('Model 2 - Permutations'!F111,Tbl_Walk_Leisure[[#All],[Ride]],0),MATCH('Model 2 - Permutations'!G111,Tbl_Walk_Leisure[#Headers],0))))</f>
        <v>2.7777777777777779E-3</v>
      </c>
      <c r="AI111" s="113">
        <f t="shared" ref="AI111:AI165" si="34">IF(AH111="","",IF((AF111+AG111*$G$6+AH111)&gt;$D$7,"",AF111+AG111*$G$6+AH111))</f>
        <v>0.69652777777777763</v>
      </c>
      <c r="AJ111" s="116">
        <f>IF(AI111="","",IF($D$14="Weekday",INDEX(Tbl_Wait_Wkday[#All],MATCH('Model 2 - Permutations'!AI111,Tbl_Wait_Wkday[[#All],[Time]],1),MATCH('Model 2 - Permutations'!G111,Tbl_Wait_Wkday[#Headers],0)),INDEX(Tbl_Wait_Wkend[#All],MATCH('Model 2 - Permutations'!AI111,Tbl_Wait_Wkend[[#All],[Time]],1),MATCH('Model 2 - Permutations'!G111,Tbl_Wait_Wkend[#Headers],0))))</f>
        <v>4.1666666666666664E-2</v>
      </c>
      <c r="AK111" s="117">
        <f>IF(AJ111="","",VLOOKUP(G111,Tbl_Ride[#Data],2,FALSE))</f>
        <v>1.3888888888888889E-3</v>
      </c>
      <c r="AL111" s="118">
        <f t="shared" ref="AL111:AL165" si="35">IF(AK111="","",AI111+AJ111+AK111)</f>
        <v>0.73958333333333315</v>
      </c>
      <c r="AM111" s="114">
        <f t="shared" ref="AM111:AM165" si="36">IF(AL111="","",IF($G$4="No",0,IF((O111+U111+AA111+AG111)=1,0,IF(AL111&gt;=$G$5,1,0))))</f>
        <v>0</v>
      </c>
      <c r="AN111" s="115">
        <f>IF(AM111="","",IF($D$5="Average",INDEX(Tbl_Walk_Avg[#All],MATCH('Model 2 - Permutations'!G111,Tbl_Walk_Avg[[#All],[Ride]],0),MATCH('Model 2 - Permutations'!H111,Tbl_Walk_Avg[#Headers],0)),INDEX(Tbl_Walk_Leisure[#All],MATCH('Model 2 - Permutations'!G111,Tbl_Walk_Leisure[[#All],[Ride]],0),MATCH('Model 2 - Permutations'!H111,Tbl_Walk_Leisure[#Headers],0))))</f>
        <v>0</v>
      </c>
      <c r="AO111" s="113">
        <f t="shared" ref="AO111:AO165" si="37">IF(AN111="","",IF((AL111+AM111*$G$6+AN111)&gt;$D$7,"",AL111+AM111*$G$6+AN111))</f>
        <v>0.73958333333333315</v>
      </c>
      <c r="AP111" s="116">
        <f>IF(AO111="","",IF($D$14="Weekday",INDEX(Tbl_Wait_Wkday[#All],MATCH('Model 2 - Permutations'!AO111,Tbl_Wait_Wkday[[#All],[Time]],1),MATCH('Model 2 - Permutations'!H111,Tbl_Wait_Wkday[#Headers],0)),INDEX(Tbl_Wait_Wkend[#All],MATCH('Model 2 - Permutations'!AO111,Tbl_Wait_Wkend[[#All],[Time]],1),MATCH('Model 2 - Permutations'!H111,Tbl_Wait_Wkend[#Headers],0))))</f>
        <v>3.8194444444444441E-2</v>
      </c>
      <c r="AQ111" s="117">
        <f>IF(AP111="","",VLOOKUP(H111,Tbl_Ride[#Data],2,FALSE))</f>
        <v>1.3888888888888889E-3</v>
      </c>
      <c r="AR111" s="118">
        <f t="shared" ref="AR111:AR165" si="38">IF(AQ111="","",AO111+AP111+AQ111)</f>
        <v>0.77916666666666645</v>
      </c>
      <c r="AS111" s="119">
        <f t="shared" ref="AS111:AS165" si="39">IF(AR111="",$R$5,IFERROR(P111+V111+AB111+AH111+AN111,$R$5))</f>
        <v>1.6666666666666666E-2</v>
      </c>
      <c r="AT111" s="119">
        <f t="shared" ref="AT111:AT165" si="40">IFERROR(R111+X111+AD111+AJ111+AP111,$R$5)</f>
        <v>0.1701388888888889</v>
      </c>
      <c r="AU111" s="119">
        <f t="shared" ref="AU111:AU165" si="41">IFERROR(SUM(AS111+AT111),$R$5)</f>
        <v>0.18680555555555556</v>
      </c>
    </row>
    <row r="112" spans="2:47">
      <c r="B112" s="111">
        <v>67</v>
      </c>
      <c r="C112" s="111" t="s">
        <v>66</v>
      </c>
      <c r="D112" s="112" t="str">
        <f t="shared" si="22"/>
        <v>Enchanted Airways</v>
      </c>
      <c r="E112" s="112" t="str">
        <f t="shared" si="22"/>
        <v>Transformers The Ride</v>
      </c>
      <c r="F112" s="112" t="str">
        <f t="shared" si="22"/>
        <v>Battlestar Galactica: Cylon</v>
      </c>
      <c r="G112" s="112" t="str">
        <f t="shared" si="22"/>
        <v>Battlestart Galactica: Human</v>
      </c>
      <c r="H112" s="112" t="str">
        <f t="shared" si="22"/>
        <v>Revenge of the Mummy</v>
      </c>
      <c r="I112" s="112">
        <v>3</v>
      </c>
      <c r="J112" s="112">
        <v>5</v>
      </c>
      <c r="K112" s="112">
        <v>1</v>
      </c>
      <c r="L112" s="112">
        <v>2</v>
      </c>
      <c r="M112" s="112">
        <v>4</v>
      </c>
      <c r="N112" s="113">
        <f t="shared" si="23"/>
        <v>0.5</v>
      </c>
      <c r="O112" s="114">
        <f t="shared" si="24"/>
        <v>0</v>
      </c>
      <c r="P112" s="115">
        <f>IF($D$5="Average",INDEX(Tbl_Walk_Avg[#All],MATCH('Model 2 - Permutations'!C112,Tbl_Walk_Avg[[#All],[Ride]],0),MATCH('Model 2 - Permutations'!D112,Tbl_Walk_Avg[#Headers],0)),INDEX(Tbl_Walk_Leisure[#All],MATCH('Model 2 - Permutations'!C112,Tbl_Walk_Leisure[[#All],[Ride]],0),MATCH('Model 2 - Permutations'!D112,Tbl_Walk_Leisure[#Headers],0)))</f>
        <v>4.8611111111111112E-3</v>
      </c>
      <c r="Q112" s="113">
        <f t="shared" si="25"/>
        <v>0.50486111111111109</v>
      </c>
      <c r="R112" s="116">
        <f>IF(Q112="","",IF($D$14="Weekday",INDEX(Tbl_Wait_Wkday[#All],MATCH('Model 2 - Permutations'!Q112,Tbl_Wait_Wkday[[#All],[Time]],1),MATCH('Model 2 - Permutations'!D112,Tbl_Wait_Wkday[#Headers],0)),INDEX(Tbl_Wait_Wkend[#All],MATCH('Model 2 - Permutations'!Q112,Tbl_Wait_Wkend[[#All],[Time]],1),MATCH('Model 2 - Permutations'!D112,Tbl_Wait_Wkend[#Headers],0))))</f>
        <v>1.3888888888888888E-2</v>
      </c>
      <c r="S112" s="117">
        <f>IF(R112="","",VLOOKUP(D112,Tbl_Ride[#Data],2,FALSE))</f>
        <v>6.9444444444444447E-4</v>
      </c>
      <c r="T112" s="118">
        <f t="shared" si="26"/>
        <v>0.51944444444444438</v>
      </c>
      <c r="U112" s="114">
        <f t="shared" si="27"/>
        <v>0</v>
      </c>
      <c r="V112" s="115">
        <f>IF(U112="","",IF($D$5="Average",INDEX(Tbl_Walk_Avg[#All],MATCH('Model 2 - Permutations'!D112,Tbl_Walk_Avg[[#All],[Ride]],0),MATCH('Model 2 - Permutations'!E112,Tbl_Walk_Avg[#Headers],0)),INDEX(Tbl_Walk_Leisure[#All],MATCH('Model 2 - Permutations'!D112,Tbl_Walk_Leisure[[#All],[Ride]],0),MATCH('Model 2 - Permutations'!E112,Tbl_Walk_Leisure[#Headers],0))))</f>
        <v>6.2500000000000003E-3</v>
      </c>
      <c r="W112" s="113">
        <f t="shared" si="28"/>
        <v>0.52569444444444435</v>
      </c>
      <c r="X112" s="116">
        <f>IF(W112="","",IF($D$14="Weekday",INDEX(Tbl_Wait_Wkday[#All],MATCH('Model 2 - Permutations'!W112,Tbl_Wait_Wkday[[#All],[Time]],1),MATCH('Model 2 - Permutations'!E112,Tbl_Wait_Wkday[#Headers],0)),INDEX(Tbl_Wait_Wkend[#All],MATCH('Model 2 - Permutations'!W112,Tbl_Wait_Wkend[[#All],[Time]],1),MATCH('Model 2 - Permutations'!E112,Tbl_Wait_Wkend[#Headers],0))))</f>
        <v>6.5972222222222224E-2</v>
      </c>
      <c r="Y112" s="117">
        <f>IF(X112="","",VLOOKUP(E112,Tbl_Ride[#Data],2,FALSE))</f>
        <v>3.4722222222222225E-3</v>
      </c>
      <c r="Z112" s="118">
        <f t="shared" si="29"/>
        <v>0.59513888888888877</v>
      </c>
      <c r="AA112" s="114">
        <f t="shared" si="30"/>
        <v>1</v>
      </c>
      <c r="AB112" s="115">
        <f>IF(AA112="","",IF($D$5="Average",INDEX(Tbl_Walk_Avg[#All],MATCH('Model 2 - Permutations'!E112,Tbl_Walk_Avg[[#All],[Ride]],0),MATCH('Model 2 - Permutations'!F112,Tbl_Walk_Avg[#Headers],0)),INDEX(Tbl_Walk_Leisure[#All],MATCH('Model 2 - Permutations'!E112,Tbl_Walk_Leisure[[#All],[Ride]],0),MATCH('Model 2 - Permutations'!F112,Tbl_Walk_Leisure[#Headers],0))))</f>
        <v>2.7777777777777779E-3</v>
      </c>
      <c r="AC112" s="113">
        <f t="shared" si="31"/>
        <v>0.68124999999999991</v>
      </c>
      <c r="AD112" s="116">
        <f>IF(AC112="","",IF($D$14="Weekday",INDEX(Tbl_Wait_Wkday[#All],MATCH('Model 2 - Permutations'!AC112,Tbl_Wait_Wkday[[#All],[Time]],1),MATCH('Model 2 - Permutations'!F112,Tbl_Wait_Wkday[#Headers],0)),INDEX(Tbl_Wait_Wkend[#All],MATCH('Model 2 - Permutations'!AC112,Tbl_Wait_Wkend[[#All],[Time]],1),MATCH('Model 2 - Permutations'!F112,Tbl_Wait_Wkend[#Headers],0))))</f>
        <v>3.4722222222222224E-2</v>
      </c>
      <c r="AE112" s="117">
        <f>IF(AD112="","",VLOOKUP(F112,Tbl_Ride[#Data],2,FALSE))</f>
        <v>1.3888888888888889E-3</v>
      </c>
      <c r="AF112" s="118">
        <f t="shared" si="32"/>
        <v>0.71736111111111101</v>
      </c>
      <c r="AG112" s="114">
        <f t="shared" si="33"/>
        <v>0</v>
      </c>
      <c r="AH112" s="115">
        <f>IF(AG112="","",IF($D$5="Average",INDEX(Tbl_Walk_Avg[#All],MATCH('Model 2 - Permutations'!F112,Tbl_Walk_Avg[[#All],[Ride]],0),MATCH('Model 2 - Permutations'!G112,Tbl_Walk_Avg[#Headers],0)),INDEX(Tbl_Walk_Leisure[#All],MATCH('Model 2 - Permutations'!F112,Tbl_Walk_Leisure[[#All],[Ride]],0),MATCH('Model 2 - Permutations'!G112,Tbl_Walk_Leisure[#Headers],0))))</f>
        <v>0</v>
      </c>
      <c r="AI112" s="113">
        <f t="shared" si="34"/>
        <v>0.71736111111111101</v>
      </c>
      <c r="AJ112" s="116">
        <f>IF(AI112="","",IF($D$14="Weekday",INDEX(Tbl_Wait_Wkday[#All],MATCH('Model 2 - Permutations'!AI112,Tbl_Wait_Wkday[[#All],[Time]],1),MATCH('Model 2 - Permutations'!G112,Tbl_Wait_Wkday[#Headers],0)),INDEX(Tbl_Wait_Wkend[#All],MATCH('Model 2 - Permutations'!AI112,Tbl_Wait_Wkend[[#All],[Time]],1),MATCH('Model 2 - Permutations'!G112,Tbl_Wait_Wkend[#Headers],0))))</f>
        <v>2.4305555555555552E-2</v>
      </c>
      <c r="AK112" s="117">
        <f>IF(AJ112="","",VLOOKUP(G112,Tbl_Ride[#Data],2,FALSE))</f>
        <v>1.3888888888888889E-3</v>
      </c>
      <c r="AL112" s="118">
        <f t="shared" si="35"/>
        <v>0.74305555555555547</v>
      </c>
      <c r="AM112" s="114">
        <f t="shared" si="36"/>
        <v>0</v>
      </c>
      <c r="AN112" s="115">
        <f>IF(AM112="","",IF($D$5="Average",INDEX(Tbl_Walk_Avg[#All],MATCH('Model 2 - Permutations'!G112,Tbl_Walk_Avg[[#All],[Ride]],0),MATCH('Model 2 - Permutations'!H112,Tbl_Walk_Avg[#Headers],0)),INDEX(Tbl_Walk_Leisure[#All],MATCH('Model 2 - Permutations'!G112,Tbl_Walk_Leisure[[#All],[Ride]],0),MATCH('Model 2 - Permutations'!H112,Tbl_Walk_Leisure[#Headers],0))))</f>
        <v>2.7777777777777779E-3</v>
      </c>
      <c r="AO112" s="113">
        <f t="shared" si="37"/>
        <v>0.74583333333333324</v>
      </c>
      <c r="AP112" s="116">
        <f>IF(AO112="","",IF($D$14="Weekday",INDEX(Tbl_Wait_Wkday[#All],MATCH('Model 2 - Permutations'!AO112,Tbl_Wait_Wkday[[#All],[Time]],1),MATCH('Model 2 - Permutations'!H112,Tbl_Wait_Wkday[#Headers],0)),INDEX(Tbl_Wait_Wkend[#All],MATCH('Model 2 - Permutations'!AO112,Tbl_Wait_Wkend[[#All],[Time]],1),MATCH('Model 2 - Permutations'!H112,Tbl_Wait_Wkend[#Headers],0))))</f>
        <v>2.4305555555555552E-2</v>
      </c>
      <c r="AQ112" s="117">
        <f>IF(AP112="","",VLOOKUP(H112,Tbl_Ride[#Data],2,FALSE))</f>
        <v>2.0833333333333333E-3</v>
      </c>
      <c r="AR112" s="118">
        <f t="shared" si="38"/>
        <v>0.77222222222222214</v>
      </c>
      <c r="AS112" s="119">
        <f t="shared" si="39"/>
        <v>1.6666666666666666E-2</v>
      </c>
      <c r="AT112" s="119">
        <f t="shared" si="40"/>
        <v>0.16319444444444445</v>
      </c>
      <c r="AU112" s="119">
        <f t="shared" si="41"/>
        <v>0.17986111111111111</v>
      </c>
    </row>
    <row r="113" spans="2:47">
      <c r="B113" s="111">
        <v>68</v>
      </c>
      <c r="C113" s="111" t="s">
        <v>66</v>
      </c>
      <c r="D113" s="112" t="str">
        <f t="shared" si="22"/>
        <v>Enchanted Airways</v>
      </c>
      <c r="E113" s="112" t="str">
        <f t="shared" si="22"/>
        <v>Transformers The Ride</v>
      </c>
      <c r="F113" s="112" t="str">
        <f t="shared" si="22"/>
        <v>Battlestar Galactica: Cylon</v>
      </c>
      <c r="G113" s="112" t="str">
        <f t="shared" si="22"/>
        <v>Revenge of the Mummy</v>
      </c>
      <c r="H113" s="112" t="str">
        <f t="shared" si="22"/>
        <v>Battlestart Galactica: Human</v>
      </c>
      <c r="I113" s="112">
        <v>3</v>
      </c>
      <c r="J113" s="112">
        <v>5</v>
      </c>
      <c r="K113" s="112">
        <v>1</v>
      </c>
      <c r="L113" s="112">
        <v>4</v>
      </c>
      <c r="M113" s="112">
        <v>2</v>
      </c>
      <c r="N113" s="113">
        <f t="shared" si="23"/>
        <v>0.5</v>
      </c>
      <c r="O113" s="114">
        <f t="shared" si="24"/>
        <v>0</v>
      </c>
      <c r="P113" s="115">
        <f>IF($D$5="Average",INDEX(Tbl_Walk_Avg[#All],MATCH('Model 2 - Permutations'!C113,Tbl_Walk_Avg[[#All],[Ride]],0),MATCH('Model 2 - Permutations'!D113,Tbl_Walk_Avg[#Headers],0)),INDEX(Tbl_Walk_Leisure[#All],MATCH('Model 2 - Permutations'!C113,Tbl_Walk_Leisure[[#All],[Ride]],0),MATCH('Model 2 - Permutations'!D113,Tbl_Walk_Leisure[#Headers],0)))</f>
        <v>4.8611111111111112E-3</v>
      </c>
      <c r="Q113" s="113">
        <f t="shared" si="25"/>
        <v>0.50486111111111109</v>
      </c>
      <c r="R113" s="116">
        <f>IF(Q113="","",IF($D$14="Weekday",INDEX(Tbl_Wait_Wkday[#All],MATCH('Model 2 - Permutations'!Q113,Tbl_Wait_Wkday[[#All],[Time]],1),MATCH('Model 2 - Permutations'!D113,Tbl_Wait_Wkday[#Headers],0)),INDEX(Tbl_Wait_Wkend[#All],MATCH('Model 2 - Permutations'!Q113,Tbl_Wait_Wkend[[#All],[Time]],1),MATCH('Model 2 - Permutations'!D113,Tbl_Wait_Wkend[#Headers],0))))</f>
        <v>1.3888888888888888E-2</v>
      </c>
      <c r="S113" s="117">
        <f>IF(R113="","",VLOOKUP(D113,Tbl_Ride[#Data],2,FALSE))</f>
        <v>6.9444444444444447E-4</v>
      </c>
      <c r="T113" s="118">
        <f t="shared" si="26"/>
        <v>0.51944444444444438</v>
      </c>
      <c r="U113" s="114">
        <f t="shared" si="27"/>
        <v>0</v>
      </c>
      <c r="V113" s="115">
        <f>IF(U113="","",IF($D$5="Average",INDEX(Tbl_Walk_Avg[#All],MATCH('Model 2 - Permutations'!D113,Tbl_Walk_Avg[[#All],[Ride]],0),MATCH('Model 2 - Permutations'!E113,Tbl_Walk_Avg[#Headers],0)),INDEX(Tbl_Walk_Leisure[#All],MATCH('Model 2 - Permutations'!D113,Tbl_Walk_Leisure[[#All],[Ride]],0),MATCH('Model 2 - Permutations'!E113,Tbl_Walk_Leisure[#Headers],0))))</f>
        <v>6.2500000000000003E-3</v>
      </c>
      <c r="W113" s="113">
        <f t="shared" si="28"/>
        <v>0.52569444444444435</v>
      </c>
      <c r="X113" s="116">
        <f>IF(W113="","",IF($D$14="Weekday",INDEX(Tbl_Wait_Wkday[#All],MATCH('Model 2 - Permutations'!W113,Tbl_Wait_Wkday[[#All],[Time]],1),MATCH('Model 2 - Permutations'!E113,Tbl_Wait_Wkday[#Headers],0)),INDEX(Tbl_Wait_Wkend[#All],MATCH('Model 2 - Permutations'!W113,Tbl_Wait_Wkend[[#All],[Time]],1),MATCH('Model 2 - Permutations'!E113,Tbl_Wait_Wkend[#Headers],0))))</f>
        <v>6.5972222222222224E-2</v>
      </c>
      <c r="Y113" s="117">
        <f>IF(X113="","",VLOOKUP(E113,Tbl_Ride[#Data],2,FALSE))</f>
        <v>3.4722222222222225E-3</v>
      </c>
      <c r="Z113" s="118">
        <f t="shared" si="29"/>
        <v>0.59513888888888877</v>
      </c>
      <c r="AA113" s="114">
        <f t="shared" si="30"/>
        <v>1</v>
      </c>
      <c r="AB113" s="115">
        <f>IF(AA113="","",IF($D$5="Average",INDEX(Tbl_Walk_Avg[#All],MATCH('Model 2 - Permutations'!E113,Tbl_Walk_Avg[[#All],[Ride]],0),MATCH('Model 2 - Permutations'!F113,Tbl_Walk_Avg[#Headers],0)),INDEX(Tbl_Walk_Leisure[#All],MATCH('Model 2 - Permutations'!E113,Tbl_Walk_Leisure[[#All],[Ride]],0),MATCH('Model 2 - Permutations'!F113,Tbl_Walk_Leisure[#Headers],0))))</f>
        <v>2.7777777777777779E-3</v>
      </c>
      <c r="AC113" s="113">
        <f t="shared" si="31"/>
        <v>0.68124999999999991</v>
      </c>
      <c r="AD113" s="116">
        <f>IF(AC113="","",IF($D$14="Weekday",INDEX(Tbl_Wait_Wkday[#All],MATCH('Model 2 - Permutations'!AC113,Tbl_Wait_Wkday[[#All],[Time]],1),MATCH('Model 2 - Permutations'!F113,Tbl_Wait_Wkday[#Headers],0)),INDEX(Tbl_Wait_Wkend[#All],MATCH('Model 2 - Permutations'!AC113,Tbl_Wait_Wkend[[#All],[Time]],1),MATCH('Model 2 - Permutations'!F113,Tbl_Wait_Wkend[#Headers],0))))</f>
        <v>3.4722222222222224E-2</v>
      </c>
      <c r="AE113" s="117">
        <f>IF(AD113="","",VLOOKUP(F113,Tbl_Ride[#Data],2,FALSE))</f>
        <v>1.3888888888888889E-3</v>
      </c>
      <c r="AF113" s="118">
        <f t="shared" si="32"/>
        <v>0.71736111111111101</v>
      </c>
      <c r="AG113" s="114">
        <f t="shared" si="33"/>
        <v>0</v>
      </c>
      <c r="AH113" s="115">
        <f>IF(AG113="","",IF($D$5="Average",INDEX(Tbl_Walk_Avg[#All],MATCH('Model 2 - Permutations'!F113,Tbl_Walk_Avg[[#All],[Ride]],0),MATCH('Model 2 - Permutations'!G113,Tbl_Walk_Avg[#Headers],0)),INDEX(Tbl_Walk_Leisure[#All],MATCH('Model 2 - Permutations'!F113,Tbl_Walk_Leisure[[#All],[Ride]],0),MATCH('Model 2 - Permutations'!G113,Tbl_Walk_Leisure[#Headers],0))))</f>
        <v>2.7777777777777779E-3</v>
      </c>
      <c r="AI113" s="113">
        <f t="shared" si="34"/>
        <v>0.72013888888888877</v>
      </c>
      <c r="AJ113" s="116">
        <f>IF(AI113="","",IF($D$14="Weekday",INDEX(Tbl_Wait_Wkday[#All],MATCH('Model 2 - Permutations'!AI113,Tbl_Wait_Wkday[[#All],[Time]],1),MATCH('Model 2 - Permutations'!G113,Tbl_Wait_Wkday[#Headers],0)),INDEX(Tbl_Wait_Wkend[#All],MATCH('Model 2 - Permutations'!AI113,Tbl_Wait_Wkend[[#All],[Time]],1),MATCH('Model 2 - Permutations'!G113,Tbl_Wait_Wkend[#Headers],0))))</f>
        <v>2.4305555555555552E-2</v>
      </c>
      <c r="AK113" s="117">
        <f>IF(AJ113="","",VLOOKUP(G113,Tbl_Ride[#Data],2,FALSE))</f>
        <v>2.0833333333333333E-3</v>
      </c>
      <c r="AL113" s="118">
        <f t="shared" si="35"/>
        <v>0.74652777777777768</v>
      </c>
      <c r="AM113" s="114">
        <f t="shared" si="36"/>
        <v>0</v>
      </c>
      <c r="AN113" s="115">
        <f>IF(AM113="","",IF($D$5="Average",INDEX(Tbl_Walk_Avg[#All],MATCH('Model 2 - Permutations'!G113,Tbl_Walk_Avg[[#All],[Ride]],0),MATCH('Model 2 - Permutations'!H113,Tbl_Walk_Avg[#Headers],0)),INDEX(Tbl_Walk_Leisure[#All],MATCH('Model 2 - Permutations'!G113,Tbl_Walk_Leisure[[#All],[Ride]],0),MATCH('Model 2 - Permutations'!H113,Tbl_Walk_Leisure[#Headers],0))))</f>
        <v>2.7777777777777779E-3</v>
      </c>
      <c r="AO113" s="113">
        <f t="shared" si="37"/>
        <v>0.74930555555555545</v>
      </c>
      <c r="AP113" s="116">
        <f>IF(AO113="","",IF($D$14="Weekday",INDEX(Tbl_Wait_Wkday[#All],MATCH('Model 2 - Permutations'!AO113,Tbl_Wait_Wkday[[#All],[Time]],1),MATCH('Model 2 - Permutations'!H113,Tbl_Wait_Wkday[#Headers],0)),INDEX(Tbl_Wait_Wkend[#All],MATCH('Model 2 - Permutations'!AO113,Tbl_Wait_Wkend[[#All],[Time]],1),MATCH('Model 2 - Permutations'!H113,Tbl_Wait_Wkend[#Headers],0))))</f>
        <v>2.4305555555555552E-2</v>
      </c>
      <c r="AQ113" s="117">
        <f>IF(AP113="","",VLOOKUP(H113,Tbl_Ride[#Data],2,FALSE))</f>
        <v>1.3888888888888889E-3</v>
      </c>
      <c r="AR113" s="118">
        <f t="shared" si="38"/>
        <v>0.77499999999999991</v>
      </c>
      <c r="AS113" s="119">
        <f t="shared" si="39"/>
        <v>1.9444444444444445E-2</v>
      </c>
      <c r="AT113" s="119">
        <f t="shared" si="40"/>
        <v>0.16319444444444445</v>
      </c>
      <c r="AU113" s="119">
        <f t="shared" si="41"/>
        <v>0.18263888888888891</v>
      </c>
    </row>
    <row r="114" spans="2:47">
      <c r="B114" s="111">
        <v>69</v>
      </c>
      <c r="C114" s="111" t="s">
        <v>66</v>
      </c>
      <c r="D114" s="112" t="str">
        <f t="shared" si="22"/>
        <v>Enchanted Airways</v>
      </c>
      <c r="E114" s="112" t="str">
        <f t="shared" si="22"/>
        <v>Transformers The Ride</v>
      </c>
      <c r="F114" s="112" t="str">
        <f t="shared" si="22"/>
        <v>Battlestart Galactica: Human</v>
      </c>
      <c r="G114" s="112" t="str">
        <f t="shared" si="22"/>
        <v>Battlestar Galactica: Cylon</v>
      </c>
      <c r="H114" s="112" t="str">
        <f t="shared" si="22"/>
        <v>Revenge of the Mummy</v>
      </c>
      <c r="I114" s="112">
        <v>3</v>
      </c>
      <c r="J114" s="112">
        <v>5</v>
      </c>
      <c r="K114" s="112">
        <v>2</v>
      </c>
      <c r="L114" s="112">
        <v>1</v>
      </c>
      <c r="M114" s="112">
        <v>4</v>
      </c>
      <c r="N114" s="113">
        <f t="shared" si="23"/>
        <v>0.5</v>
      </c>
      <c r="O114" s="114">
        <f t="shared" si="24"/>
        <v>0</v>
      </c>
      <c r="P114" s="115">
        <f>IF($D$5="Average",INDEX(Tbl_Walk_Avg[#All],MATCH('Model 2 - Permutations'!C114,Tbl_Walk_Avg[[#All],[Ride]],0),MATCH('Model 2 - Permutations'!D114,Tbl_Walk_Avg[#Headers],0)),INDEX(Tbl_Walk_Leisure[#All],MATCH('Model 2 - Permutations'!C114,Tbl_Walk_Leisure[[#All],[Ride]],0),MATCH('Model 2 - Permutations'!D114,Tbl_Walk_Leisure[#Headers],0)))</f>
        <v>4.8611111111111112E-3</v>
      </c>
      <c r="Q114" s="113">
        <f t="shared" si="25"/>
        <v>0.50486111111111109</v>
      </c>
      <c r="R114" s="116">
        <f>IF(Q114="","",IF($D$14="Weekday",INDEX(Tbl_Wait_Wkday[#All],MATCH('Model 2 - Permutations'!Q114,Tbl_Wait_Wkday[[#All],[Time]],1),MATCH('Model 2 - Permutations'!D114,Tbl_Wait_Wkday[#Headers],0)),INDEX(Tbl_Wait_Wkend[#All],MATCH('Model 2 - Permutations'!Q114,Tbl_Wait_Wkend[[#All],[Time]],1),MATCH('Model 2 - Permutations'!D114,Tbl_Wait_Wkend[#Headers],0))))</f>
        <v>1.3888888888888888E-2</v>
      </c>
      <c r="S114" s="117">
        <f>IF(R114="","",VLOOKUP(D114,Tbl_Ride[#Data],2,FALSE))</f>
        <v>6.9444444444444447E-4</v>
      </c>
      <c r="T114" s="118">
        <f t="shared" si="26"/>
        <v>0.51944444444444438</v>
      </c>
      <c r="U114" s="114">
        <f t="shared" si="27"/>
        <v>0</v>
      </c>
      <c r="V114" s="115">
        <f>IF(U114="","",IF($D$5="Average",INDEX(Tbl_Walk_Avg[#All],MATCH('Model 2 - Permutations'!D114,Tbl_Walk_Avg[[#All],[Ride]],0),MATCH('Model 2 - Permutations'!E114,Tbl_Walk_Avg[#Headers],0)),INDEX(Tbl_Walk_Leisure[#All],MATCH('Model 2 - Permutations'!D114,Tbl_Walk_Leisure[[#All],[Ride]],0),MATCH('Model 2 - Permutations'!E114,Tbl_Walk_Leisure[#Headers],0))))</f>
        <v>6.2500000000000003E-3</v>
      </c>
      <c r="W114" s="113">
        <f t="shared" si="28"/>
        <v>0.52569444444444435</v>
      </c>
      <c r="X114" s="116">
        <f>IF(W114="","",IF($D$14="Weekday",INDEX(Tbl_Wait_Wkday[#All],MATCH('Model 2 - Permutations'!W114,Tbl_Wait_Wkday[[#All],[Time]],1),MATCH('Model 2 - Permutations'!E114,Tbl_Wait_Wkday[#Headers],0)),INDEX(Tbl_Wait_Wkend[#All],MATCH('Model 2 - Permutations'!W114,Tbl_Wait_Wkend[[#All],[Time]],1),MATCH('Model 2 - Permutations'!E114,Tbl_Wait_Wkend[#Headers],0))))</f>
        <v>6.5972222222222224E-2</v>
      </c>
      <c r="Y114" s="117">
        <f>IF(X114="","",VLOOKUP(E114,Tbl_Ride[#Data],2,FALSE))</f>
        <v>3.4722222222222225E-3</v>
      </c>
      <c r="Z114" s="118">
        <f t="shared" si="29"/>
        <v>0.59513888888888877</v>
      </c>
      <c r="AA114" s="114">
        <f t="shared" si="30"/>
        <v>1</v>
      </c>
      <c r="AB114" s="115">
        <f>IF(AA114="","",IF($D$5="Average",INDEX(Tbl_Walk_Avg[#All],MATCH('Model 2 - Permutations'!E114,Tbl_Walk_Avg[[#All],[Ride]],0),MATCH('Model 2 - Permutations'!F114,Tbl_Walk_Avg[#Headers],0)),INDEX(Tbl_Walk_Leisure[#All],MATCH('Model 2 - Permutations'!E114,Tbl_Walk_Leisure[[#All],[Ride]],0),MATCH('Model 2 - Permutations'!F114,Tbl_Walk_Leisure[#Headers],0))))</f>
        <v>2.7777777777777779E-3</v>
      </c>
      <c r="AC114" s="113">
        <f t="shared" si="31"/>
        <v>0.68124999999999991</v>
      </c>
      <c r="AD114" s="116">
        <f>IF(AC114="","",IF($D$14="Weekday",INDEX(Tbl_Wait_Wkday[#All],MATCH('Model 2 - Permutations'!AC114,Tbl_Wait_Wkday[[#All],[Time]],1),MATCH('Model 2 - Permutations'!F114,Tbl_Wait_Wkday[#Headers],0)),INDEX(Tbl_Wait_Wkend[#All],MATCH('Model 2 - Permutations'!AC114,Tbl_Wait_Wkend[[#All],[Time]],1),MATCH('Model 2 - Permutations'!F114,Tbl_Wait_Wkend[#Headers],0))))</f>
        <v>4.1666666666666664E-2</v>
      </c>
      <c r="AE114" s="117">
        <f>IF(AD114="","",VLOOKUP(F114,Tbl_Ride[#Data],2,FALSE))</f>
        <v>1.3888888888888889E-3</v>
      </c>
      <c r="AF114" s="118">
        <f t="shared" si="32"/>
        <v>0.72430555555555542</v>
      </c>
      <c r="AG114" s="114">
        <f t="shared" si="33"/>
        <v>0</v>
      </c>
      <c r="AH114" s="115">
        <f>IF(AG114="","",IF($D$5="Average",INDEX(Tbl_Walk_Avg[#All],MATCH('Model 2 - Permutations'!F114,Tbl_Walk_Avg[[#All],[Ride]],0),MATCH('Model 2 - Permutations'!G114,Tbl_Walk_Avg[#Headers],0)),INDEX(Tbl_Walk_Leisure[#All],MATCH('Model 2 - Permutations'!F114,Tbl_Walk_Leisure[[#All],[Ride]],0),MATCH('Model 2 - Permutations'!G114,Tbl_Walk_Leisure[#Headers],0))))</f>
        <v>0</v>
      </c>
      <c r="AI114" s="113">
        <f t="shared" si="34"/>
        <v>0.72430555555555542</v>
      </c>
      <c r="AJ114" s="116">
        <f>IF(AI114="","",IF($D$14="Weekday",INDEX(Tbl_Wait_Wkday[#All],MATCH('Model 2 - Permutations'!AI114,Tbl_Wait_Wkday[[#All],[Time]],1),MATCH('Model 2 - Permutations'!G114,Tbl_Wait_Wkday[#Headers],0)),INDEX(Tbl_Wait_Wkend[#All],MATCH('Model 2 - Permutations'!AI114,Tbl_Wait_Wkend[[#All],[Time]],1),MATCH('Model 2 - Permutations'!G114,Tbl_Wait_Wkend[#Headers],0))))</f>
        <v>3.8194444444444441E-2</v>
      </c>
      <c r="AK114" s="117">
        <f>IF(AJ114="","",VLOOKUP(G114,Tbl_Ride[#Data],2,FALSE))</f>
        <v>1.3888888888888889E-3</v>
      </c>
      <c r="AL114" s="118">
        <f t="shared" si="35"/>
        <v>0.76388888888888873</v>
      </c>
      <c r="AM114" s="114">
        <f t="shared" si="36"/>
        <v>0</v>
      </c>
      <c r="AN114" s="115">
        <f>IF(AM114="","",IF($D$5="Average",INDEX(Tbl_Walk_Avg[#All],MATCH('Model 2 - Permutations'!G114,Tbl_Walk_Avg[[#All],[Ride]],0),MATCH('Model 2 - Permutations'!H114,Tbl_Walk_Avg[#Headers],0)),INDEX(Tbl_Walk_Leisure[#All],MATCH('Model 2 - Permutations'!G114,Tbl_Walk_Leisure[[#All],[Ride]],0),MATCH('Model 2 - Permutations'!H114,Tbl_Walk_Leisure[#Headers],0))))</f>
        <v>2.7777777777777779E-3</v>
      </c>
      <c r="AO114" s="113" t="str">
        <f t="shared" si="37"/>
        <v/>
      </c>
      <c r="AP114" s="116" t="str">
        <f>IF(AO114="","",IF($D$14="Weekday",INDEX(Tbl_Wait_Wkday[#All],MATCH('Model 2 - Permutations'!AO114,Tbl_Wait_Wkday[[#All],[Time]],1),MATCH('Model 2 - Permutations'!H114,Tbl_Wait_Wkday[#Headers],0)),INDEX(Tbl_Wait_Wkend[#All],MATCH('Model 2 - Permutations'!AO114,Tbl_Wait_Wkend[[#All],[Time]],1),MATCH('Model 2 - Permutations'!H114,Tbl_Wait_Wkend[#Headers],0))))</f>
        <v/>
      </c>
      <c r="AQ114" s="117" t="str">
        <f>IF(AP114="","",VLOOKUP(H114,Tbl_Ride[#Data],2,FALSE))</f>
        <v/>
      </c>
      <c r="AR114" s="118" t="str">
        <f t="shared" si="38"/>
        <v/>
      </c>
      <c r="AS114" s="119" t="str">
        <f t="shared" si="39"/>
        <v>Incomplete</v>
      </c>
      <c r="AT114" s="119" t="str">
        <f t="shared" si="40"/>
        <v>Incomplete</v>
      </c>
      <c r="AU114" s="119" t="str">
        <f t="shared" si="41"/>
        <v>Incomplete</v>
      </c>
    </row>
    <row r="115" spans="2:47">
      <c r="B115" s="111">
        <v>70</v>
      </c>
      <c r="C115" s="111" t="s">
        <v>66</v>
      </c>
      <c r="D115" s="112" t="str">
        <f t="shared" si="22"/>
        <v>Enchanted Airways</v>
      </c>
      <c r="E115" s="112" t="str">
        <f t="shared" si="22"/>
        <v>Transformers The Ride</v>
      </c>
      <c r="F115" s="112" t="str">
        <f t="shared" si="22"/>
        <v>Battlestart Galactica: Human</v>
      </c>
      <c r="G115" s="112" t="str">
        <f t="shared" si="22"/>
        <v>Revenge of the Mummy</v>
      </c>
      <c r="H115" s="112" t="str">
        <f t="shared" si="22"/>
        <v>Battlestar Galactica: Cylon</v>
      </c>
      <c r="I115" s="112">
        <v>3</v>
      </c>
      <c r="J115" s="112">
        <v>5</v>
      </c>
      <c r="K115" s="112">
        <v>2</v>
      </c>
      <c r="L115" s="112">
        <v>4</v>
      </c>
      <c r="M115" s="112">
        <v>1</v>
      </c>
      <c r="N115" s="113">
        <f t="shared" si="23"/>
        <v>0.5</v>
      </c>
      <c r="O115" s="114">
        <f t="shared" si="24"/>
        <v>0</v>
      </c>
      <c r="P115" s="115">
        <f>IF($D$5="Average",INDEX(Tbl_Walk_Avg[#All],MATCH('Model 2 - Permutations'!C115,Tbl_Walk_Avg[[#All],[Ride]],0),MATCH('Model 2 - Permutations'!D115,Tbl_Walk_Avg[#Headers],0)),INDEX(Tbl_Walk_Leisure[#All],MATCH('Model 2 - Permutations'!C115,Tbl_Walk_Leisure[[#All],[Ride]],0),MATCH('Model 2 - Permutations'!D115,Tbl_Walk_Leisure[#Headers],0)))</f>
        <v>4.8611111111111112E-3</v>
      </c>
      <c r="Q115" s="113">
        <f t="shared" si="25"/>
        <v>0.50486111111111109</v>
      </c>
      <c r="R115" s="116">
        <f>IF(Q115="","",IF($D$14="Weekday",INDEX(Tbl_Wait_Wkday[#All],MATCH('Model 2 - Permutations'!Q115,Tbl_Wait_Wkday[[#All],[Time]],1),MATCH('Model 2 - Permutations'!D115,Tbl_Wait_Wkday[#Headers],0)),INDEX(Tbl_Wait_Wkend[#All],MATCH('Model 2 - Permutations'!Q115,Tbl_Wait_Wkend[[#All],[Time]],1),MATCH('Model 2 - Permutations'!D115,Tbl_Wait_Wkend[#Headers],0))))</f>
        <v>1.3888888888888888E-2</v>
      </c>
      <c r="S115" s="117">
        <f>IF(R115="","",VLOOKUP(D115,Tbl_Ride[#Data],2,FALSE))</f>
        <v>6.9444444444444447E-4</v>
      </c>
      <c r="T115" s="118">
        <f t="shared" si="26"/>
        <v>0.51944444444444438</v>
      </c>
      <c r="U115" s="114">
        <f t="shared" si="27"/>
        <v>0</v>
      </c>
      <c r="V115" s="115">
        <f>IF(U115="","",IF($D$5="Average",INDEX(Tbl_Walk_Avg[#All],MATCH('Model 2 - Permutations'!D115,Tbl_Walk_Avg[[#All],[Ride]],0),MATCH('Model 2 - Permutations'!E115,Tbl_Walk_Avg[#Headers],0)),INDEX(Tbl_Walk_Leisure[#All],MATCH('Model 2 - Permutations'!D115,Tbl_Walk_Leisure[[#All],[Ride]],0),MATCH('Model 2 - Permutations'!E115,Tbl_Walk_Leisure[#Headers],0))))</f>
        <v>6.2500000000000003E-3</v>
      </c>
      <c r="W115" s="113">
        <f t="shared" si="28"/>
        <v>0.52569444444444435</v>
      </c>
      <c r="X115" s="116">
        <f>IF(W115="","",IF($D$14="Weekday",INDEX(Tbl_Wait_Wkday[#All],MATCH('Model 2 - Permutations'!W115,Tbl_Wait_Wkday[[#All],[Time]],1),MATCH('Model 2 - Permutations'!E115,Tbl_Wait_Wkday[#Headers],0)),INDEX(Tbl_Wait_Wkend[#All],MATCH('Model 2 - Permutations'!W115,Tbl_Wait_Wkend[[#All],[Time]],1),MATCH('Model 2 - Permutations'!E115,Tbl_Wait_Wkend[#Headers],0))))</f>
        <v>6.5972222222222224E-2</v>
      </c>
      <c r="Y115" s="117">
        <f>IF(X115="","",VLOOKUP(E115,Tbl_Ride[#Data],2,FALSE))</f>
        <v>3.4722222222222225E-3</v>
      </c>
      <c r="Z115" s="118">
        <f t="shared" si="29"/>
        <v>0.59513888888888877</v>
      </c>
      <c r="AA115" s="114">
        <f t="shared" si="30"/>
        <v>1</v>
      </c>
      <c r="AB115" s="115">
        <f>IF(AA115="","",IF($D$5="Average",INDEX(Tbl_Walk_Avg[#All],MATCH('Model 2 - Permutations'!E115,Tbl_Walk_Avg[[#All],[Ride]],0),MATCH('Model 2 - Permutations'!F115,Tbl_Walk_Avg[#Headers],0)),INDEX(Tbl_Walk_Leisure[#All],MATCH('Model 2 - Permutations'!E115,Tbl_Walk_Leisure[[#All],[Ride]],0),MATCH('Model 2 - Permutations'!F115,Tbl_Walk_Leisure[#Headers],0))))</f>
        <v>2.7777777777777779E-3</v>
      </c>
      <c r="AC115" s="113">
        <f t="shared" si="31"/>
        <v>0.68124999999999991</v>
      </c>
      <c r="AD115" s="116">
        <f>IF(AC115="","",IF($D$14="Weekday",INDEX(Tbl_Wait_Wkday[#All],MATCH('Model 2 - Permutations'!AC115,Tbl_Wait_Wkday[[#All],[Time]],1),MATCH('Model 2 - Permutations'!F115,Tbl_Wait_Wkday[#Headers],0)),INDEX(Tbl_Wait_Wkend[#All],MATCH('Model 2 - Permutations'!AC115,Tbl_Wait_Wkend[[#All],[Time]],1),MATCH('Model 2 - Permutations'!F115,Tbl_Wait_Wkend[#Headers],0))))</f>
        <v>4.1666666666666664E-2</v>
      </c>
      <c r="AE115" s="117">
        <f>IF(AD115="","",VLOOKUP(F115,Tbl_Ride[#Data],2,FALSE))</f>
        <v>1.3888888888888889E-3</v>
      </c>
      <c r="AF115" s="118">
        <f t="shared" si="32"/>
        <v>0.72430555555555542</v>
      </c>
      <c r="AG115" s="114">
        <f t="shared" si="33"/>
        <v>0</v>
      </c>
      <c r="AH115" s="115">
        <f>IF(AG115="","",IF($D$5="Average",INDEX(Tbl_Walk_Avg[#All],MATCH('Model 2 - Permutations'!F115,Tbl_Walk_Avg[[#All],[Ride]],0),MATCH('Model 2 - Permutations'!G115,Tbl_Walk_Avg[#Headers],0)),INDEX(Tbl_Walk_Leisure[#All],MATCH('Model 2 - Permutations'!F115,Tbl_Walk_Leisure[[#All],[Ride]],0),MATCH('Model 2 - Permutations'!G115,Tbl_Walk_Leisure[#Headers],0))))</f>
        <v>2.7777777777777779E-3</v>
      </c>
      <c r="AI115" s="113">
        <f t="shared" si="34"/>
        <v>0.72708333333333319</v>
      </c>
      <c r="AJ115" s="116">
        <f>IF(AI115="","",IF($D$14="Weekday",INDEX(Tbl_Wait_Wkday[#All],MATCH('Model 2 - Permutations'!AI115,Tbl_Wait_Wkday[[#All],[Time]],1),MATCH('Model 2 - Permutations'!G115,Tbl_Wait_Wkday[#Headers],0)),INDEX(Tbl_Wait_Wkend[#All],MATCH('Model 2 - Permutations'!AI115,Tbl_Wait_Wkend[[#All],[Time]],1),MATCH('Model 2 - Permutations'!G115,Tbl_Wait_Wkend[#Headers],0))))</f>
        <v>2.4305555555555552E-2</v>
      </c>
      <c r="AK115" s="117">
        <f>IF(AJ115="","",VLOOKUP(G115,Tbl_Ride[#Data],2,FALSE))</f>
        <v>2.0833333333333333E-3</v>
      </c>
      <c r="AL115" s="118">
        <f t="shared" si="35"/>
        <v>0.7534722222222221</v>
      </c>
      <c r="AM115" s="114">
        <f t="shared" si="36"/>
        <v>0</v>
      </c>
      <c r="AN115" s="115">
        <f>IF(AM115="","",IF($D$5="Average",INDEX(Tbl_Walk_Avg[#All],MATCH('Model 2 - Permutations'!G115,Tbl_Walk_Avg[[#All],[Ride]],0),MATCH('Model 2 - Permutations'!H115,Tbl_Walk_Avg[#Headers],0)),INDEX(Tbl_Walk_Leisure[#All],MATCH('Model 2 - Permutations'!G115,Tbl_Walk_Leisure[[#All],[Ride]],0),MATCH('Model 2 - Permutations'!H115,Tbl_Walk_Leisure[#Headers],0))))</f>
        <v>2.7777777777777779E-3</v>
      </c>
      <c r="AO115" s="113" t="str">
        <f t="shared" si="37"/>
        <v/>
      </c>
      <c r="AP115" s="116" t="str">
        <f>IF(AO115="","",IF($D$14="Weekday",INDEX(Tbl_Wait_Wkday[#All],MATCH('Model 2 - Permutations'!AO115,Tbl_Wait_Wkday[[#All],[Time]],1),MATCH('Model 2 - Permutations'!H115,Tbl_Wait_Wkday[#Headers],0)),INDEX(Tbl_Wait_Wkend[#All],MATCH('Model 2 - Permutations'!AO115,Tbl_Wait_Wkend[[#All],[Time]],1),MATCH('Model 2 - Permutations'!H115,Tbl_Wait_Wkend[#Headers],0))))</f>
        <v/>
      </c>
      <c r="AQ115" s="117" t="str">
        <f>IF(AP115="","",VLOOKUP(H115,Tbl_Ride[#Data],2,FALSE))</f>
        <v/>
      </c>
      <c r="AR115" s="118" t="str">
        <f t="shared" si="38"/>
        <v/>
      </c>
      <c r="AS115" s="119" t="str">
        <f t="shared" si="39"/>
        <v>Incomplete</v>
      </c>
      <c r="AT115" s="119" t="str">
        <f t="shared" si="40"/>
        <v>Incomplete</v>
      </c>
      <c r="AU115" s="119" t="str">
        <f t="shared" si="41"/>
        <v>Incomplete</v>
      </c>
    </row>
    <row r="116" spans="2:47">
      <c r="B116" s="111">
        <v>71</v>
      </c>
      <c r="C116" s="111" t="s">
        <v>66</v>
      </c>
      <c r="D116" s="112" t="str">
        <f t="shared" si="22"/>
        <v>Enchanted Airways</v>
      </c>
      <c r="E116" s="112" t="str">
        <f t="shared" si="22"/>
        <v>Transformers The Ride</v>
      </c>
      <c r="F116" s="112" t="str">
        <f t="shared" si="22"/>
        <v>Revenge of the Mummy</v>
      </c>
      <c r="G116" s="112" t="str">
        <f t="shared" si="22"/>
        <v>Battlestar Galactica: Cylon</v>
      </c>
      <c r="H116" s="112" t="str">
        <f t="shared" si="22"/>
        <v>Battlestart Galactica: Human</v>
      </c>
      <c r="I116" s="112">
        <v>3</v>
      </c>
      <c r="J116" s="112">
        <v>5</v>
      </c>
      <c r="K116" s="112">
        <v>4</v>
      </c>
      <c r="L116" s="112">
        <v>1</v>
      </c>
      <c r="M116" s="112">
        <v>2</v>
      </c>
      <c r="N116" s="113">
        <f t="shared" si="23"/>
        <v>0.5</v>
      </c>
      <c r="O116" s="114">
        <f t="shared" si="24"/>
        <v>0</v>
      </c>
      <c r="P116" s="115">
        <f>IF($D$5="Average",INDEX(Tbl_Walk_Avg[#All],MATCH('Model 2 - Permutations'!C116,Tbl_Walk_Avg[[#All],[Ride]],0),MATCH('Model 2 - Permutations'!D116,Tbl_Walk_Avg[#Headers],0)),INDEX(Tbl_Walk_Leisure[#All],MATCH('Model 2 - Permutations'!C116,Tbl_Walk_Leisure[[#All],[Ride]],0),MATCH('Model 2 - Permutations'!D116,Tbl_Walk_Leisure[#Headers],0)))</f>
        <v>4.8611111111111112E-3</v>
      </c>
      <c r="Q116" s="113">
        <f t="shared" si="25"/>
        <v>0.50486111111111109</v>
      </c>
      <c r="R116" s="116">
        <f>IF(Q116="","",IF($D$14="Weekday",INDEX(Tbl_Wait_Wkday[#All],MATCH('Model 2 - Permutations'!Q116,Tbl_Wait_Wkday[[#All],[Time]],1),MATCH('Model 2 - Permutations'!D116,Tbl_Wait_Wkday[#Headers],0)),INDEX(Tbl_Wait_Wkend[#All],MATCH('Model 2 - Permutations'!Q116,Tbl_Wait_Wkend[[#All],[Time]],1),MATCH('Model 2 - Permutations'!D116,Tbl_Wait_Wkend[#Headers],0))))</f>
        <v>1.3888888888888888E-2</v>
      </c>
      <c r="S116" s="117">
        <f>IF(R116="","",VLOOKUP(D116,Tbl_Ride[#Data],2,FALSE))</f>
        <v>6.9444444444444447E-4</v>
      </c>
      <c r="T116" s="118">
        <f t="shared" si="26"/>
        <v>0.51944444444444438</v>
      </c>
      <c r="U116" s="114">
        <f t="shared" si="27"/>
        <v>0</v>
      </c>
      <c r="V116" s="115">
        <f>IF(U116="","",IF($D$5="Average",INDEX(Tbl_Walk_Avg[#All],MATCH('Model 2 - Permutations'!D116,Tbl_Walk_Avg[[#All],[Ride]],0),MATCH('Model 2 - Permutations'!E116,Tbl_Walk_Avg[#Headers],0)),INDEX(Tbl_Walk_Leisure[#All],MATCH('Model 2 - Permutations'!D116,Tbl_Walk_Leisure[[#All],[Ride]],0),MATCH('Model 2 - Permutations'!E116,Tbl_Walk_Leisure[#Headers],0))))</f>
        <v>6.2500000000000003E-3</v>
      </c>
      <c r="W116" s="113">
        <f t="shared" si="28"/>
        <v>0.52569444444444435</v>
      </c>
      <c r="X116" s="116">
        <f>IF(W116="","",IF($D$14="Weekday",INDEX(Tbl_Wait_Wkday[#All],MATCH('Model 2 - Permutations'!W116,Tbl_Wait_Wkday[[#All],[Time]],1),MATCH('Model 2 - Permutations'!E116,Tbl_Wait_Wkday[#Headers],0)),INDEX(Tbl_Wait_Wkend[#All],MATCH('Model 2 - Permutations'!W116,Tbl_Wait_Wkend[[#All],[Time]],1),MATCH('Model 2 - Permutations'!E116,Tbl_Wait_Wkend[#Headers],0))))</f>
        <v>6.5972222222222224E-2</v>
      </c>
      <c r="Y116" s="117">
        <f>IF(X116="","",VLOOKUP(E116,Tbl_Ride[#Data],2,FALSE))</f>
        <v>3.4722222222222225E-3</v>
      </c>
      <c r="Z116" s="118">
        <f t="shared" si="29"/>
        <v>0.59513888888888877</v>
      </c>
      <c r="AA116" s="114">
        <f t="shared" si="30"/>
        <v>1</v>
      </c>
      <c r="AB116" s="115">
        <f>IF(AA116="","",IF($D$5="Average",INDEX(Tbl_Walk_Avg[#All],MATCH('Model 2 - Permutations'!E116,Tbl_Walk_Avg[[#All],[Ride]],0),MATCH('Model 2 - Permutations'!F116,Tbl_Walk_Avg[#Headers],0)),INDEX(Tbl_Walk_Leisure[#All],MATCH('Model 2 - Permutations'!E116,Tbl_Walk_Leisure[[#All],[Ride]],0),MATCH('Model 2 - Permutations'!F116,Tbl_Walk_Leisure[#Headers],0))))</f>
        <v>4.1666666666666666E-3</v>
      </c>
      <c r="AC116" s="113">
        <f t="shared" si="31"/>
        <v>0.6826388888888888</v>
      </c>
      <c r="AD116" s="116">
        <f>IF(AC116="","",IF($D$14="Weekday",INDEX(Tbl_Wait_Wkday[#All],MATCH('Model 2 - Permutations'!AC116,Tbl_Wait_Wkday[[#All],[Time]],1),MATCH('Model 2 - Permutations'!F116,Tbl_Wait_Wkday[#Headers],0)),INDEX(Tbl_Wait_Wkend[#All],MATCH('Model 2 - Permutations'!AC116,Tbl_Wait_Wkend[[#All],[Time]],1),MATCH('Model 2 - Permutations'!F116,Tbl_Wait_Wkend[#Headers],0))))</f>
        <v>2.7777777777777776E-2</v>
      </c>
      <c r="AE116" s="117">
        <f>IF(AD116="","",VLOOKUP(F116,Tbl_Ride[#Data],2,FALSE))</f>
        <v>2.0833333333333333E-3</v>
      </c>
      <c r="AF116" s="118">
        <f t="shared" si="32"/>
        <v>0.71249999999999991</v>
      </c>
      <c r="AG116" s="114">
        <f t="shared" si="33"/>
        <v>0</v>
      </c>
      <c r="AH116" s="115">
        <f>IF(AG116="","",IF($D$5="Average",INDEX(Tbl_Walk_Avg[#All],MATCH('Model 2 - Permutations'!F116,Tbl_Walk_Avg[[#All],[Ride]],0),MATCH('Model 2 - Permutations'!G116,Tbl_Walk_Avg[#Headers],0)),INDEX(Tbl_Walk_Leisure[#All],MATCH('Model 2 - Permutations'!F116,Tbl_Walk_Leisure[[#All],[Ride]],0),MATCH('Model 2 - Permutations'!G116,Tbl_Walk_Leisure[#Headers],0))))</f>
        <v>2.7777777777777779E-3</v>
      </c>
      <c r="AI116" s="113">
        <f t="shared" si="34"/>
        <v>0.71527777777777768</v>
      </c>
      <c r="AJ116" s="116">
        <f>IF(AI116="","",IF($D$14="Weekday",INDEX(Tbl_Wait_Wkday[#All],MATCH('Model 2 - Permutations'!AI116,Tbl_Wait_Wkday[[#All],[Time]],1),MATCH('Model 2 - Permutations'!G116,Tbl_Wait_Wkday[#Headers],0)),INDEX(Tbl_Wait_Wkend[#All],MATCH('Model 2 - Permutations'!AI116,Tbl_Wait_Wkend[[#All],[Time]],1),MATCH('Model 2 - Permutations'!G116,Tbl_Wait_Wkend[#Headers],0))))</f>
        <v>3.8194444444444441E-2</v>
      </c>
      <c r="AK116" s="117">
        <f>IF(AJ116="","",VLOOKUP(G116,Tbl_Ride[#Data],2,FALSE))</f>
        <v>1.3888888888888889E-3</v>
      </c>
      <c r="AL116" s="118">
        <f t="shared" si="35"/>
        <v>0.75486111111111098</v>
      </c>
      <c r="AM116" s="114">
        <f t="shared" si="36"/>
        <v>0</v>
      </c>
      <c r="AN116" s="115">
        <f>IF(AM116="","",IF($D$5="Average",INDEX(Tbl_Walk_Avg[#All],MATCH('Model 2 - Permutations'!G116,Tbl_Walk_Avg[[#All],[Ride]],0),MATCH('Model 2 - Permutations'!H116,Tbl_Walk_Avg[#Headers],0)),INDEX(Tbl_Walk_Leisure[#All],MATCH('Model 2 - Permutations'!G116,Tbl_Walk_Leisure[[#All],[Ride]],0),MATCH('Model 2 - Permutations'!H116,Tbl_Walk_Leisure[#Headers],0))))</f>
        <v>0</v>
      </c>
      <c r="AO116" s="113" t="str">
        <f t="shared" si="37"/>
        <v/>
      </c>
      <c r="AP116" s="116" t="str">
        <f>IF(AO116="","",IF($D$14="Weekday",INDEX(Tbl_Wait_Wkday[#All],MATCH('Model 2 - Permutations'!AO116,Tbl_Wait_Wkday[[#All],[Time]],1),MATCH('Model 2 - Permutations'!H116,Tbl_Wait_Wkday[#Headers],0)),INDEX(Tbl_Wait_Wkend[#All],MATCH('Model 2 - Permutations'!AO116,Tbl_Wait_Wkend[[#All],[Time]],1),MATCH('Model 2 - Permutations'!H116,Tbl_Wait_Wkend[#Headers],0))))</f>
        <v/>
      </c>
      <c r="AQ116" s="117" t="str">
        <f>IF(AP116="","",VLOOKUP(H116,Tbl_Ride[#Data],2,FALSE))</f>
        <v/>
      </c>
      <c r="AR116" s="118" t="str">
        <f t="shared" si="38"/>
        <v/>
      </c>
      <c r="AS116" s="119" t="str">
        <f t="shared" si="39"/>
        <v>Incomplete</v>
      </c>
      <c r="AT116" s="119" t="str">
        <f t="shared" si="40"/>
        <v>Incomplete</v>
      </c>
      <c r="AU116" s="119" t="str">
        <f t="shared" si="41"/>
        <v>Incomplete</v>
      </c>
    </row>
    <row r="117" spans="2:47">
      <c r="B117" s="111">
        <v>72</v>
      </c>
      <c r="C117" s="111" t="s">
        <v>66</v>
      </c>
      <c r="D117" s="112" t="str">
        <f t="shared" si="22"/>
        <v>Enchanted Airways</v>
      </c>
      <c r="E117" s="112" t="str">
        <f t="shared" si="22"/>
        <v>Transformers The Ride</v>
      </c>
      <c r="F117" s="112" t="str">
        <f t="shared" si="22"/>
        <v>Revenge of the Mummy</v>
      </c>
      <c r="G117" s="112" t="str">
        <f t="shared" si="22"/>
        <v>Battlestart Galactica: Human</v>
      </c>
      <c r="H117" s="112" t="str">
        <f t="shared" si="22"/>
        <v>Battlestar Galactica: Cylon</v>
      </c>
      <c r="I117" s="112">
        <v>3</v>
      </c>
      <c r="J117" s="112">
        <v>5</v>
      </c>
      <c r="K117" s="112">
        <v>4</v>
      </c>
      <c r="L117" s="112">
        <v>2</v>
      </c>
      <c r="M117" s="112">
        <v>1</v>
      </c>
      <c r="N117" s="113">
        <f t="shared" si="23"/>
        <v>0.5</v>
      </c>
      <c r="O117" s="114">
        <f t="shared" si="24"/>
        <v>0</v>
      </c>
      <c r="P117" s="115">
        <f>IF($D$5="Average",INDEX(Tbl_Walk_Avg[#All],MATCH('Model 2 - Permutations'!C117,Tbl_Walk_Avg[[#All],[Ride]],0),MATCH('Model 2 - Permutations'!D117,Tbl_Walk_Avg[#Headers],0)),INDEX(Tbl_Walk_Leisure[#All],MATCH('Model 2 - Permutations'!C117,Tbl_Walk_Leisure[[#All],[Ride]],0),MATCH('Model 2 - Permutations'!D117,Tbl_Walk_Leisure[#Headers],0)))</f>
        <v>4.8611111111111112E-3</v>
      </c>
      <c r="Q117" s="113">
        <f t="shared" si="25"/>
        <v>0.50486111111111109</v>
      </c>
      <c r="R117" s="116">
        <f>IF(Q117="","",IF($D$14="Weekday",INDEX(Tbl_Wait_Wkday[#All],MATCH('Model 2 - Permutations'!Q117,Tbl_Wait_Wkday[[#All],[Time]],1),MATCH('Model 2 - Permutations'!D117,Tbl_Wait_Wkday[#Headers],0)),INDEX(Tbl_Wait_Wkend[#All],MATCH('Model 2 - Permutations'!Q117,Tbl_Wait_Wkend[[#All],[Time]],1),MATCH('Model 2 - Permutations'!D117,Tbl_Wait_Wkend[#Headers],0))))</f>
        <v>1.3888888888888888E-2</v>
      </c>
      <c r="S117" s="117">
        <f>IF(R117="","",VLOOKUP(D117,Tbl_Ride[#Data],2,FALSE))</f>
        <v>6.9444444444444447E-4</v>
      </c>
      <c r="T117" s="118">
        <f t="shared" si="26"/>
        <v>0.51944444444444438</v>
      </c>
      <c r="U117" s="114">
        <f t="shared" si="27"/>
        <v>0</v>
      </c>
      <c r="V117" s="115">
        <f>IF(U117="","",IF($D$5="Average",INDEX(Tbl_Walk_Avg[#All],MATCH('Model 2 - Permutations'!D117,Tbl_Walk_Avg[[#All],[Ride]],0),MATCH('Model 2 - Permutations'!E117,Tbl_Walk_Avg[#Headers],0)),INDEX(Tbl_Walk_Leisure[#All],MATCH('Model 2 - Permutations'!D117,Tbl_Walk_Leisure[[#All],[Ride]],0),MATCH('Model 2 - Permutations'!E117,Tbl_Walk_Leisure[#Headers],0))))</f>
        <v>6.2500000000000003E-3</v>
      </c>
      <c r="W117" s="113">
        <f t="shared" si="28"/>
        <v>0.52569444444444435</v>
      </c>
      <c r="X117" s="116">
        <f>IF(W117="","",IF($D$14="Weekday",INDEX(Tbl_Wait_Wkday[#All],MATCH('Model 2 - Permutations'!W117,Tbl_Wait_Wkday[[#All],[Time]],1),MATCH('Model 2 - Permutations'!E117,Tbl_Wait_Wkday[#Headers],0)),INDEX(Tbl_Wait_Wkend[#All],MATCH('Model 2 - Permutations'!W117,Tbl_Wait_Wkend[[#All],[Time]],1),MATCH('Model 2 - Permutations'!E117,Tbl_Wait_Wkend[#Headers],0))))</f>
        <v>6.5972222222222224E-2</v>
      </c>
      <c r="Y117" s="117">
        <f>IF(X117="","",VLOOKUP(E117,Tbl_Ride[#Data],2,FALSE))</f>
        <v>3.4722222222222225E-3</v>
      </c>
      <c r="Z117" s="118">
        <f t="shared" si="29"/>
        <v>0.59513888888888877</v>
      </c>
      <c r="AA117" s="114">
        <f t="shared" si="30"/>
        <v>1</v>
      </c>
      <c r="AB117" s="115">
        <f>IF(AA117="","",IF($D$5="Average",INDEX(Tbl_Walk_Avg[#All],MATCH('Model 2 - Permutations'!E117,Tbl_Walk_Avg[[#All],[Ride]],0),MATCH('Model 2 - Permutations'!F117,Tbl_Walk_Avg[#Headers],0)),INDEX(Tbl_Walk_Leisure[#All],MATCH('Model 2 - Permutations'!E117,Tbl_Walk_Leisure[[#All],[Ride]],0),MATCH('Model 2 - Permutations'!F117,Tbl_Walk_Leisure[#Headers],0))))</f>
        <v>4.1666666666666666E-3</v>
      </c>
      <c r="AC117" s="113">
        <f t="shared" si="31"/>
        <v>0.6826388888888888</v>
      </c>
      <c r="AD117" s="116">
        <f>IF(AC117="","",IF($D$14="Weekday",INDEX(Tbl_Wait_Wkday[#All],MATCH('Model 2 - Permutations'!AC117,Tbl_Wait_Wkday[[#All],[Time]],1),MATCH('Model 2 - Permutations'!F117,Tbl_Wait_Wkday[#Headers],0)),INDEX(Tbl_Wait_Wkend[#All],MATCH('Model 2 - Permutations'!AC117,Tbl_Wait_Wkend[[#All],[Time]],1),MATCH('Model 2 - Permutations'!F117,Tbl_Wait_Wkend[#Headers],0))))</f>
        <v>2.7777777777777776E-2</v>
      </c>
      <c r="AE117" s="117">
        <f>IF(AD117="","",VLOOKUP(F117,Tbl_Ride[#Data],2,FALSE))</f>
        <v>2.0833333333333333E-3</v>
      </c>
      <c r="AF117" s="118">
        <f t="shared" si="32"/>
        <v>0.71249999999999991</v>
      </c>
      <c r="AG117" s="114">
        <f t="shared" si="33"/>
        <v>0</v>
      </c>
      <c r="AH117" s="115">
        <f>IF(AG117="","",IF($D$5="Average",INDEX(Tbl_Walk_Avg[#All],MATCH('Model 2 - Permutations'!F117,Tbl_Walk_Avg[[#All],[Ride]],0),MATCH('Model 2 - Permutations'!G117,Tbl_Walk_Avg[#Headers],0)),INDEX(Tbl_Walk_Leisure[#All],MATCH('Model 2 - Permutations'!F117,Tbl_Walk_Leisure[[#All],[Ride]],0),MATCH('Model 2 - Permutations'!G117,Tbl_Walk_Leisure[#Headers],0))))</f>
        <v>2.7777777777777779E-3</v>
      </c>
      <c r="AI117" s="113">
        <f t="shared" si="34"/>
        <v>0.71527777777777768</v>
      </c>
      <c r="AJ117" s="116">
        <f>IF(AI117="","",IF($D$14="Weekday",INDEX(Tbl_Wait_Wkday[#All],MATCH('Model 2 - Permutations'!AI117,Tbl_Wait_Wkday[[#All],[Time]],1),MATCH('Model 2 - Permutations'!G117,Tbl_Wait_Wkday[#Headers],0)),INDEX(Tbl_Wait_Wkend[#All],MATCH('Model 2 - Permutations'!AI117,Tbl_Wait_Wkend[[#All],[Time]],1),MATCH('Model 2 - Permutations'!G117,Tbl_Wait_Wkend[#Headers],0))))</f>
        <v>2.4305555555555552E-2</v>
      </c>
      <c r="AK117" s="117">
        <f>IF(AJ117="","",VLOOKUP(G117,Tbl_Ride[#Data],2,FALSE))</f>
        <v>1.3888888888888889E-3</v>
      </c>
      <c r="AL117" s="118">
        <f t="shared" si="35"/>
        <v>0.74097222222222214</v>
      </c>
      <c r="AM117" s="114">
        <f t="shared" si="36"/>
        <v>0</v>
      </c>
      <c r="AN117" s="115">
        <f>IF(AM117="","",IF($D$5="Average",INDEX(Tbl_Walk_Avg[#All],MATCH('Model 2 - Permutations'!G117,Tbl_Walk_Avg[[#All],[Ride]],0),MATCH('Model 2 - Permutations'!H117,Tbl_Walk_Avg[#Headers],0)),INDEX(Tbl_Walk_Leisure[#All],MATCH('Model 2 - Permutations'!G117,Tbl_Walk_Leisure[[#All],[Ride]],0),MATCH('Model 2 - Permutations'!H117,Tbl_Walk_Leisure[#Headers],0))))</f>
        <v>0</v>
      </c>
      <c r="AO117" s="113">
        <f t="shared" si="37"/>
        <v>0.74097222222222214</v>
      </c>
      <c r="AP117" s="116">
        <f>IF(AO117="","",IF($D$14="Weekday",INDEX(Tbl_Wait_Wkday[#All],MATCH('Model 2 - Permutations'!AO117,Tbl_Wait_Wkday[[#All],[Time]],1),MATCH('Model 2 - Permutations'!H117,Tbl_Wait_Wkday[#Headers],0)),INDEX(Tbl_Wait_Wkend[#All],MATCH('Model 2 - Permutations'!AO117,Tbl_Wait_Wkend[[#All],[Time]],1),MATCH('Model 2 - Permutations'!H117,Tbl_Wait_Wkend[#Headers],0))))</f>
        <v>3.8194444444444441E-2</v>
      </c>
      <c r="AQ117" s="117">
        <f>IF(AP117="","",VLOOKUP(H117,Tbl_Ride[#Data],2,FALSE))</f>
        <v>1.3888888888888889E-3</v>
      </c>
      <c r="AR117" s="118">
        <f t="shared" si="38"/>
        <v>0.78055555555555545</v>
      </c>
      <c r="AS117" s="119">
        <f t="shared" si="39"/>
        <v>1.8055555555555557E-2</v>
      </c>
      <c r="AT117" s="119">
        <f t="shared" si="40"/>
        <v>0.17013888888888887</v>
      </c>
      <c r="AU117" s="119">
        <f t="shared" si="41"/>
        <v>0.18819444444444441</v>
      </c>
    </row>
    <row r="118" spans="2:47">
      <c r="B118" s="111">
        <v>73</v>
      </c>
      <c r="C118" s="111" t="s">
        <v>66</v>
      </c>
      <c r="D118" s="112" t="str">
        <f t="shared" si="22"/>
        <v>Revenge of the Mummy</v>
      </c>
      <c r="E118" s="112" t="str">
        <f t="shared" si="22"/>
        <v>Battlestar Galactica: Cylon</v>
      </c>
      <c r="F118" s="112" t="str">
        <f t="shared" si="22"/>
        <v>Battlestart Galactica: Human</v>
      </c>
      <c r="G118" s="112" t="str">
        <f t="shared" si="22"/>
        <v>Enchanted Airways</v>
      </c>
      <c r="H118" s="112" t="str">
        <f t="shared" si="22"/>
        <v>Transformers The Ride</v>
      </c>
      <c r="I118" s="112">
        <v>4</v>
      </c>
      <c r="J118" s="112">
        <v>1</v>
      </c>
      <c r="K118" s="112">
        <v>2</v>
      </c>
      <c r="L118" s="112">
        <v>3</v>
      </c>
      <c r="M118" s="112">
        <v>5</v>
      </c>
      <c r="N118" s="113">
        <f t="shared" si="23"/>
        <v>0.5</v>
      </c>
      <c r="O118" s="114">
        <f t="shared" si="24"/>
        <v>0</v>
      </c>
      <c r="P118" s="115">
        <f>IF($D$5="Average",INDEX(Tbl_Walk_Avg[#All],MATCH('Model 2 - Permutations'!C118,Tbl_Walk_Avg[[#All],[Ride]],0),MATCH('Model 2 - Permutations'!D118,Tbl_Walk_Avg[#Headers],0)),INDEX(Tbl_Walk_Leisure[#All],MATCH('Model 2 - Permutations'!C118,Tbl_Walk_Leisure[[#All],[Ride]],0),MATCH('Model 2 - Permutations'!D118,Tbl_Walk_Leisure[#Headers],0)))</f>
        <v>8.3333333333333332E-3</v>
      </c>
      <c r="Q118" s="113">
        <f t="shared" si="25"/>
        <v>0.5083333333333333</v>
      </c>
      <c r="R118" s="116">
        <f>IF(Q118="","",IF($D$14="Weekday",INDEX(Tbl_Wait_Wkday[#All],MATCH('Model 2 - Permutations'!Q118,Tbl_Wait_Wkday[[#All],[Time]],1),MATCH('Model 2 - Permutations'!D118,Tbl_Wait_Wkday[#Headers],0)),INDEX(Tbl_Wait_Wkend[#All],MATCH('Model 2 - Permutations'!Q118,Tbl_Wait_Wkend[[#All],[Time]],1),MATCH('Model 2 - Permutations'!D118,Tbl_Wait_Wkend[#Headers],0))))</f>
        <v>1.0416666666666666E-2</v>
      </c>
      <c r="S118" s="117">
        <f>IF(R118="","",VLOOKUP(D118,Tbl_Ride[#Data],2,FALSE))</f>
        <v>2.0833333333333333E-3</v>
      </c>
      <c r="T118" s="118">
        <f t="shared" si="26"/>
        <v>0.52083333333333326</v>
      </c>
      <c r="U118" s="114">
        <f t="shared" si="27"/>
        <v>0</v>
      </c>
      <c r="V118" s="115">
        <f>IF(U118="","",IF($D$5="Average",INDEX(Tbl_Walk_Avg[#All],MATCH('Model 2 - Permutations'!D118,Tbl_Walk_Avg[[#All],[Ride]],0),MATCH('Model 2 - Permutations'!E118,Tbl_Walk_Avg[#Headers],0)),INDEX(Tbl_Walk_Leisure[#All],MATCH('Model 2 - Permutations'!D118,Tbl_Walk_Leisure[[#All],[Ride]],0),MATCH('Model 2 - Permutations'!E118,Tbl_Walk_Leisure[#Headers],0))))</f>
        <v>2.7777777777777779E-3</v>
      </c>
      <c r="W118" s="113">
        <f t="shared" si="28"/>
        <v>0.52361111111111103</v>
      </c>
      <c r="X118" s="116">
        <f>IF(W118="","",IF($D$14="Weekday",INDEX(Tbl_Wait_Wkday[#All],MATCH('Model 2 - Permutations'!W118,Tbl_Wait_Wkday[[#All],[Time]],1),MATCH('Model 2 - Permutations'!E118,Tbl_Wait_Wkday[#Headers],0)),INDEX(Tbl_Wait_Wkend[#All],MATCH('Model 2 - Permutations'!W118,Tbl_Wait_Wkend[[#All],[Time]],1),MATCH('Model 2 - Permutations'!E118,Tbl_Wait_Wkend[#Headers],0))))</f>
        <v>1.7361111111111112E-2</v>
      </c>
      <c r="Y118" s="117">
        <f>IF(X118="","",VLOOKUP(E118,Tbl_Ride[#Data],2,FALSE))</f>
        <v>1.3888888888888889E-3</v>
      </c>
      <c r="Z118" s="118">
        <f t="shared" si="29"/>
        <v>0.54236111111111107</v>
      </c>
      <c r="AA118" s="114">
        <f t="shared" si="30"/>
        <v>1</v>
      </c>
      <c r="AB118" s="115">
        <f>IF(AA118="","",IF($D$5="Average",INDEX(Tbl_Walk_Avg[#All],MATCH('Model 2 - Permutations'!E118,Tbl_Walk_Avg[[#All],[Ride]],0),MATCH('Model 2 - Permutations'!F118,Tbl_Walk_Avg[#Headers],0)),INDEX(Tbl_Walk_Leisure[#All],MATCH('Model 2 - Permutations'!E118,Tbl_Walk_Leisure[[#All],[Ride]],0),MATCH('Model 2 - Permutations'!F118,Tbl_Walk_Leisure[#Headers],0))))</f>
        <v>0</v>
      </c>
      <c r="AC118" s="113">
        <f t="shared" si="31"/>
        <v>0.62569444444444444</v>
      </c>
      <c r="AD118" s="116">
        <f>IF(AC118="","",IF($D$14="Weekday",INDEX(Tbl_Wait_Wkday[#All],MATCH('Model 2 - Permutations'!AC118,Tbl_Wait_Wkday[[#All],[Time]],1),MATCH('Model 2 - Permutations'!F118,Tbl_Wait_Wkday[#Headers],0)),INDEX(Tbl_Wait_Wkend[#All],MATCH('Model 2 - Permutations'!AC118,Tbl_Wait_Wkend[[#All],[Time]],1),MATCH('Model 2 - Permutations'!F118,Tbl_Wait_Wkend[#Headers],0))))</f>
        <v>5.5555555555555552E-2</v>
      </c>
      <c r="AE118" s="117">
        <f>IF(AD118="","",VLOOKUP(F118,Tbl_Ride[#Data],2,FALSE))</f>
        <v>1.3888888888888889E-3</v>
      </c>
      <c r="AF118" s="118">
        <f t="shared" si="32"/>
        <v>0.68263888888888891</v>
      </c>
      <c r="AG118" s="114">
        <f t="shared" si="33"/>
        <v>0</v>
      </c>
      <c r="AH118" s="115">
        <f>IF(AG118="","",IF($D$5="Average",INDEX(Tbl_Walk_Avg[#All],MATCH('Model 2 - Permutations'!F118,Tbl_Walk_Avg[[#All],[Ride]],0),MATCH('Model 2 - Permutations'!G118,Tbl_Walk_Avg[#Headers],0)),INDEX(Tbl_Walk_Leisure[#All],MATCH('Model 2 - Permutations'!F118,Tbl_Walk_Leisure[[#All],[Ride]],0),MATCH('Model 2 - Permutations'!G118,Tbl_Walk_Leisure[#Headers],0))))</f>
        <v>6.2500000000000003E-3</v>
      </c>
      <c r="AI118" s="113">
        <f t="shared" si="34"/>
        <v>0.68888888888888888</v>
      </c>
      <c r="AJ118" s="116">
        <f>IF(AI118="","",IF($D$14="Weekday",INDEX(Tbl_Wait_Wkday[#All],MATCH('Model 2 - Permutations'!AI118,Tbl_Wait_Wkday[[#All],[Time]],1),MATCH('Model 2 - Permutations'!G118,Tbl_Wait_Wkday[#Headers],0)),INDEX(Tbl_Wait_Wkend[#All],MATCH('Model 2 - Permutations'!AI118,Tbl_Wait_Wkend[[#All],[Time]],1),MATCH('Model 2 - Permutations'!G118,Tbl_Wait_Wkend[#Headers],0))))</f>
        <v>1.7361111111111112E-2</v>
      </c>
      <c r="AK118" s="117">
        <f>IF(AJ118="","",VLOOKUP(G118,Tbl_Ride[#Data],2,FALSE))</f>
        <v>6.9444444444444447E-4</v>
      </c>
      <c r="AL118" s="118">
        <f t="shared" si="35"/>
        <v>0.70694444444444449</v>
      </c>
      <c r="AM118" s="114">
        <f t="shared" si="36"/>
        <v>0</v>
      </c>
      <c r="AN118" s="115">
        <f>IF(AM118="","",IF($D$5="Average",INDEX(Tbl_Walk_Avg[#All],MATCH('Model 2 - Permutations'!G118,Tbl_Walk_Avg[[#All],[Ride]],0),MATCH('Model 2 - Permutations'!H118,Tbl_Walk_Avg[#Headers],0)),INDEX(Tbl_Walk_Leisure[#All],MATCH('Model 2 - Permutations'!G118,Tbl_Walk_Leisure[[#All],[Ride]],0),MATCH('Model 2 - Permutations'!H118,Tbl_Walk_Leisure[#Headers],0))))</f>
        <v>6.2500000000000003E-3</v>
      </c>
      <c r="AO118" s="113">
        <f t="shared" si="37"/>
        <v>0.71319444444444446</v>
      </c>
      <c r="AP118" s="116">
        <f>IF(AO118="","",IF($D$14="Weekday",INDEX(Tbl_Wait_Wkday[#All],MATCH('Model 2 - Permutations'!AO118,Tbl_Wait_Wkday[[#All],[Time]],1),MATCH('Model 2 - Permutations'!H118,Tbl_Wait_Wkday[#Headers],0)),INDEX(Tbl_Wait_Wkend[#All],MATCH('Model 2 - Permutations'!AO118,Tbl_Wait_Wkend[[#All],[Time]],1),MATCH('Model 2 - Permutations'!H118,Tbl_Wait_Wkend[#Headers],0))))</f>
        <v>3.125E-2</v>
      </c>
      <c r="AQ118" s="117">
        <f>IF(AP118="","",VLOOKUP(H118,Tbl_Ride[#Data],2,FALSE))</f>
        <v>3.4722222222222225E-3</v>
      </c>
      <c r="AR118" s="118">
        <f t="shared" si="38"/>
        <v>0.74791666666666667</v>
      </c>
      <c r="AS118" s="119">
        <f t="shared" si="39"/>
        <v>2.361111111111111E-2</v>
      </c>
      <c r="AT118" s="119">
        <f t="shared" si="40"/>
        <v>0.13194444444444445</v>
      </c>
      <c r="AU118" s="119">
        <f t="shared" si="41"/>
        <v>0.15555555555555556</v>
      </c>
    </row>
    <row r="119" spans="2:47">
      <c r="B119" s="111">
        <v>74</v>
      </c>
      <c r="C119" s="111" t="s">
        <v>66</v>
      </c>
      <c r="D119" s="112" t="str">
        <f t="shared" si="22"/>
        <v>Revenge of the Mummy</v>
      </c>
      <c r="E119" s="112" t="str">
        <f t="shared" si="22"/>
        <v>Battlestar Galactica: Cylon</v>
      </c>
      <c r="F119" s="112" t="str">
        <f t="shared" si="22"/>
        <v>Battlestart Galactica: Human</v>
      </c>
      <c r="G119" s="112" t="str">
        <f t="shared" si="22"/>
        <v>Transformers The Ride</v>
      </c>
      <c r="H119" s="112" t="str">
        <f t="shared" si="22"/>
        <v>Enchanted Airways</v>
      </c>
      <c r="I119" s="112">
        <v>4</v>
      </c>
      <c r="J119" s="112">
        <v>1</v>
      </c>
      <c r="K119" s="112">
        <v>2</v>
      </c>
      <c r="L119" s="112">
        <v>5</v>
      </c>
      <c r="M119" s="112">
        <v>3</v>
      </c>
      <c r="N119" s="113">
        <f t="shared" si="23"/>
        <v>0.5</v>
      </c>
      <c r="O119" s="114">
        <f t="shared" si="24"/>
        <v>0</v>
      </c>
      <c r="P119" s="115">
        <f>IF($D$5="Average",INDEX(Tbl_Walk_Avg[#All],MATCH('Model 2 - Permutations'!C119,Tbl_Walk_Avg[[#All],[Ride]],0),MATCH('Model 2 - Permutations'!D119,Tbl_Walk_Avg[#Headers],0)),INDEX(Tbl_Walk_Leisure[#All],MATCH('Model 2 - Permutations'!C119,Tbl_Walk_Leisure[[#All],[Ride]],0),MATCH('Model 2 - Permutations'!D119,Tbl_Walk_Leisure[#Headers],0)))</f>
        <v>8.3333333333333332E-3</v>
      </c>
      <c r="Q119" s="113">
        <f t="shared" si="25"/>
        <v>0.5083333333333333</v>
      </c>
      <c r="R119" s="116">
        <f>IF(Q119="","",IF($D$14="Weekday",INDEX(Tbl_Wait_Wkday[#All],MATCH('Model 2 - Permutations'!Q119,Tbl_Wait_Wkday[[#All],[Time]],1),MATCH('Model 2 - Permutations'!D119,Tbl_Wait_Wkday[#Headers],0)),INDEX(Tbl_Wait_Wkend[#All],MATCH('Model 2 - Permutations'!Q119,Tbl_Wait_Wkend[[#All],[Time]],1),MATCH('Model 2 - Permutations'!D119,Tbl_Wait_Wkend[#Headers],0))))</f>
        <v>1.0416666666666666E-2</v>
      </c>
      <c r="S119" s="117">
        <f>IF(R119="","",VLOOKUP(D119,Tbl_Ride[#Data],2,FALSE))</f>
        <v>2.0833333333333333E-3</v>
      </c>
      <c r="T119" s="118">
        <f t="shared" si="26"/>
        <v>0.52083333333333326</v>
      </c>
      <c r="U119" s="114">
        <f t="shared" si="27"/>
        <v>0</v>
      </c>
      <c r="V119" s="115">
        <f>IF(U119="","",IF($D$5="Average",INDEX(Tbl_Walk_Avg[#All],MATCH('Model 2 - Permutations'!D119,Tbl_Walk_Avg[[#All],[Ride]],0),MATCH('Model 2 - Permutations'!E119,Tbl_Walk_Avg[#Headers],0)),INDEX(Tbl_Walk_Leisure[#All],MATCH('Model 2 - Permutations'!D119,Tbl_Walk_Leisure[[#All],[Ride]],0),MATCH('Model 2 - Permutations'!E119,Tbl_Walk_Leisure[#Headers],0))))</f>
        <v>2.7777777777777779E-3</v>
      </c>
      <c r="W119" s="113">
        <f t="shared" si="28"/>
        <v>0.52361111111111103</v>
      </c>
      <c r="X119" s="116">
        <f>IF(W119="","",IF($D$14="Weekday",INDEX(Tbl_Wait_Wkday[#All],MATCH('Model 2 - Permutations'!W119,Tbl_Wait_Wkday[[#All],[Time]],1),MATCH('Model 2 - Permutations'!E119,Tbl_Wait_Wkday[#Headers],0)),INDEX(Tbl_Wait_Wkend[#All],MATCH('Model 2 - Permutations'!W119,Tbl_Wait_Wkend[[#All],[Time]],1),MATCH('Model 2 - Permutations'!E119,Tbl_Wait_Wkend[#Headers],0))))</f>
        <v>1.7361111111111112E-2</v>
      </c>
      <c r="Y119" s="117">
        <f>IF(X119="","",VLOOKUP(E119,Tbl_Ride[#Data],2,FALSE))</f>
        <v>1.3888888888888889E-3</v>
      </c>
      <c r="Z119" s="118">
        <f t="shared" si="29"/>
        <v>0.54236111111111107</v>
      </c>
      <c r="AA119" s="114">
        <f t="shared" si="30"/>
        <v>1</v>
      </c>
      <c r="AB119" s="115">
        <f>IF(AA119="","",IF($D$5="Average",INDEX(Tbl_Walk_Avg[#All],MATCH('Model 2 - Permutations'!E119,Tbl_Walk_Avg[[#All],[Ride]],0),MATCH('Model 2 - Permutations'!F119,Tbl_Walk_Avg[#Headers],0)),INDEX(Tbl_Walk_Leisure[#All],MATCH('Model 2 - Permutations'!E119,Tbl_Walk_Leisure[[#All],[Ride]],0),MATCH('Model 2 - Permutations'!F119,Tbl_Walk_Leisure[#Headers],0))))</f>
        <v>0</v>
      </c>
      <c r="AC119" s="113">
        <f t="shared" si="31"/>
        <v>0.62569444444444444</v>
      </c>
      <c r="AD119" s="116">
        <f>IF(AC119="","",IF($D$14="Weekday",INDEX(Tbl_Wait_Wkday[#All],MATCH('Model 2 - Permutations'!AC119,Tbl_Wait_Wkday[[#All],[Time]],1),MATCH('Model 2 - Permutations'!F119,Tbl_Wait_Wkday[#Headers],0)),INDEX(Tbl_Wait_Wkend[#All],MATCH('Model 2 - Permutations'!AC119,Tbl_Wait_Wkend[[#All],[Time]],1),MATCH('Model 2 - Permutations'!F119,Tbl_Wait_Wkend[#Headers],0))))</f>
        <v>5.5555555555555552E-2</v>
      </c>
      <c r="AE119" s="117">
        <f>IF(AD119="","",VLOOKUP(F119,Tbl_Ride[#Data],2,FALSE))</f>
        <v>1.3888888888888889E-3</v>
      </c>
      <c r="AF119" s="118">
        <f t="shared" si="32"/>
        <v>0.68263888888888891</v>
      </c>
      <c r="AG119" s="114">
        <f t="shared" si="33"/>
        <v>0</v>
      </c>
      <c r="AH119" s="115">
        <f>IF(AG119="","",IF($D$5="Average",INDEX(Tbl_Walk_Avg[#All],MATCH('Model 2 - Permutations'!F119,Tbl_Walk_Avg[[#All],[Ride]],0),MATCH('Model 2 - Permutations'!G119,Tbl_Walk_Avg[#Headers],0)),INDEX(Tbl_Walk_Leisure[#All],MATCH('Model 2 - Permutations'!F119,Tbl_Walk_Leisure[[#All],[Ride]],0),MATCH('Model 2 - Permutations'!G119,Tbl_Walk_Leisure[#Headers],0))))</f>
        <v>2.7777777777777779E-3</v>
      </c>
      <c r="AI119" s="113">
        <f t="shared" si="34"/>
        <v>0.68541666666666667</v>
      </c>
      <c r="AJ119" s="116">
        <f>IF(AI119="","",IF($D$14="Weekday",INDEX(Tbl_Wait_Wkday[#All],MATCH('Model 2 - Permutations'!AI119,Tbl_Wait_Wkday[[#All],[Time]],1),MATCH('Model 2 - Permutations'!G119,Tbl_Wait_Wkday[#Headers],0)),INDEX(Tbl_Wait_Wkend[#All],MATCH('Model 2 - Permutations'!AI119,Tbl_Wait_Wkend[[#All],[Time]],1),MATCH('Model 2 - Permutations'!G119,Tbl_Wait_Wkend[#Headers],0))))</f>
        <v>2.4305555555555552E-2</v>
      </c>
      <c r="AK119" s="117">
        <f>IF(AJ119="","",VLOOKUP(G119,Tbl_Ride[#Data],2,FALSE))</f>
        <v>3.4722222222222225E-3</v>
      </c>
      <c r="AL119" s="118">
        <f t="shared" si="35"/>
        <v>0.71319444444444446</v>
      </c>
      <c r="AM119" s="114">
        <f t="shared" si="36"/>
        <v>0</v>
      </c>
      <c r="AN119" s="115">
        <f>IF(AM119="","",IF($D$5="Average",INDEX(Tbl_Walk_Avg[#All],MATCH('Model 2 - Permutations'!G119,Tbl_Walk_Avg[[#All],[Ride]],0),MATCH('Model 2 - Permutations'!H119,Tbl_Walk_Avg[#Headers],0)),INDEX(Tbl_Walk_Leisure[#All],MATCH('Model 2 - Permutations'!G119,Tbl_Walk_Leisure[[#All],[Ride]],0),MATCH('Model 2 - Permutations'!H119,Tbl_Walk_Leisure[#Headers],0))))</f>
        <v>6.2500000000000003E-3</v>
      </c>
      <c r="AO119" s="113">
        <f t="shared" si="37"/>
        <v>0.71944444444444444</v>
      </c>
      <c r="AP119" s="116">
        <f>IF(AO119="","",IF($D$14="Weekday",INDEX(Tbl_Wait_Wkday[#All],MATCH('Model 2 - Permutations'!AO119,Tbl_Wait_Wkday[[#All],[Time]],1),MATCH('Model 2 - Permutations'!H119,Tbl_Wait_Wkday[#Headers],0)),INDEX(Tbl_Wait_Wkend[#All],MATCH('Model 2 - Permutations'!AO119,Tbl_Wait_Wkend[[#All],[Time]],1),MATCH('Model 2 - Permutations'!H119,Tbl_Wait_Wkend[#Headers],0))))</f>
        <v>1.7361111111111112E-2</v>
      </c>
      <c r="AQ119" s="117">
        <f>IF(AP119="","",VLOOKUP(H119,Tbl_Ride[#Data],2,FALSE))</f>
        <v>6.9444444444444447E-4</v>
      </c>
      <c r="AR119" s="118">
        <f t="shared" si="38"/>
        <v>0.73750000000000004</v>
      </c>
      <c r="AS119" s="119">
        <f t="shared" si="39"/>
        <v>2.013888888888889E-2</v>
      </c>
      <c r="AT119" s="119">
        <f t="shared" si="40"/>
        <v>0.125</v>
      </c>
      <c r="AU119" s="119">
        <f t="shared" si="41"/>
        <v>0.1451388888888889</v>
      </c>
    </row>
    <row r="120" spans="2:47">
      <c r="B120" s="111">
        <v>75</v>
      </c>
      <c r="C120" s="111" t="s">
        <v>66</v>
      </c>
      <c r="D120" s="112" t="str">
        <f t="shared" si="22"/>
        <v>Revenge of the Mummy</v>
      </c>
      <c r="E120" s="112" t="str">
        <f t="shared" si="22"/>
        <v>Battlestar Galactica: Cylon</v>
      </c>
      <c r="F120" s="112" t="str">
        <f t="shared" si="22"/>
        <v>Enchanted Airways</v>
      </c>
      <c r="G120" s="112" t="str">
        <f t="shared" si="22"/>
        <v>Battlestart Galactica: Human</v>
      </c>
      <c r="H120" s="112" t="str">
        <f t="shared" si="22"/>
        <v>Transformers The Ride</v>
      </c>
      <c r="I120" s="112">
        <v>4</v>
      </c>
      <c r="J120" s="112">
        <v>1</v>
      </c>
      <c r="K120" s="112">
        <v>3</v>
      </c>
      <c r="L120" s="112">
        <v>2</v>
      </c>
      <c r="M120" s="112">
        <v>5</v>
      </c>
      <c r="N120" s="113">
        <f t="shared" si="23"/>
        <v>0.5</v>
      </c>
      <c r="O120" s="114">
        <f t="shared" si="24"/>
        <v>0</v>
      </c>
      <c r="P120" s="115">
        <f>IF($D$5="Average",INDEX(Tbl_Walk_Avg[#All],MATCH('Model 2 - Permutations'!C120,Tbl_Walk_Avg[[#All],[Ride]],0),MATCH('Model 2 - Permutations'!D120,Tbl_Walk_Avg[#Headers],0)),INDEX(Tbl_Walk_Leisure[#All],MATCH('Model 2 - Permutations'!C120,Tbl_Walk_Leisure[[#All],[Ride]],0),MATCH('Model 2 - Permutations'!D120,Tbl_Walk_Leisure[#Headers],0)))</f>
        <v>8.3333333333333332E-3</v>
      </c>
      <c r="Q120" s="113">
        <f t="shared" si="25"/>
        <v>0.5083333333333333</v>
      </c>
      <c r="R120" s="116">
        <f>IF(Q120="","",IF($D$14="Weekday",INDEX(Tbl_Wait_Wkday[#All],MATCH('Model 2 - Permutations'!Q120,Tbl_Wait_Wkday[[#All],[Time]],1),MATCH('Model 2 - Permutations'!D120,Tbl_Wait_Wkday[#Headers],0)),INDEX(Tbl_Wait_Wkend[#All],MATCH('Model 2 - Permutations'!Q120,Tbl_Wait_Wkend[[#All],[Time]],1),MATCH('Model 2 - Permutations'!D120,Tbl_Wait_Wkend[#Headers],0))))</f>
        <v>1.0416666666666666E-2</v>
      </c>
      <c r="S120" s="117">
        <f>IF(R120="","",VLOOKUP(D120,Tbl_Ride[#Data],2,FALSE))</f>
        <v>2.0833333333333333E-3</v>
      </c>
      <c r="T120" s="118">
        <f t="shared" si="26"/>
        <v>0.52083333333333326</v>
      </c>
      <c r="U120" s="114">
        <f t="shared" si="27"/>
        <v>0</v>
      </c>
      <c r="V120" s="115">
        <f>IF(U120="","",IF($D$5="Average",INDEX(Tbl_Walk_Avg[#All],MATCH('Model 2 - Permutations'!D120,Tbl_Walk_Avg[[#All],[Ride]],0),MATCH('Model 2 - Permutations'!E120,Tbl_Walk_Avg[#Headers],0)),INDEX(Tbl_Walk_Leisure[#All],MATCH('Model 2 - Permutations'!D120,Tbl_Walk_Leisure[[#All],[Ride]],0),MATCH('Model 2 - Permutations'!E120,Tbl_Walk_Leisure[#Headers],0))))</f>
        <v>2.7777777777777779E-3</v>
      </c>
      <c r="W120" s="113">
        <f t="shared" si="28"/>
        <v>0.52361111111111103</v>
      </c>
      <c r="X120" s="116">
        <f>IF(W120="","",IF($D$14="Weekday",INDEX(Tbl_Wait_Wkday[#All],MATCH('Model 2 - Permutations'!W120,Tbl_Wait_Wkday[[#All],[Time]],1),MATCH('Model 2 - Permutations'!E120,Tbl_Wait_Wkday[#Headers],0)),INDEX(Tbl_Wait_Wkend[#All],MATCH('Model 2 - Permutations'!W120,Tbl_Wait_Wkend[[#All],[Time]],1),MATCH('Model 2 - Permutations'!E120,Tbl_Wait_Wkend[#Headers],0))))</f>
        <v>1.7361111111111112E-2</v>
      </c>
      <c r="Y120" s="117">
        <f>IF(X120="","",VLOOKUP(E120,Tbl_Ride[#Data],2,FALSE))</f>
        <v>1.3888888888888889E-3</v>
      </c>
      <c r="Z120" s="118">
        <f t="shared" si="29"/>
        <v>0.54236111111111107</v>
      </c>
      <c r="AA120" s="114">
        <f t="shared" si="30"/>
        <v>1</v>
      </c>
      <c r="AB120" s="115">
        <f>IF(AA120="","",IF($D$5="Average",INDEX(Tbl_Walk_Avg[#All],MATCH('Model 2 - Permutations'!E120,Tbl_Walk_Avg[[#All],[Ride]],0),MATCH('Model 2 - Permutations'!F120,Tbl_Walk_Avg[#Headers],0)),INDEX(Tbl_Walk_Leisure[#All],MATCH('Model 2 - Permutations'!E120,Tbl_Walk_Leisure[[#All],[Ride]],0),MATCH('Model 2 - Permutations'!F120,Tbl_Walk_Leisure[#Headers],0))))</f>
        <v>6.2500000000000003E-3</v>
      </c>
      <c r="AC120" s="113">
        <f t="shared" si="31"/>
        <v>0.63194444444444442</v>
      </c>
      <c r="AD120" s="116">
        <f>IF(AC120="","",IF($D$14="Weekday",INDEX(Tbl_Wait_Wkday[#All],MATCH('Model 2 - Permutations'!AC120,Tbl_Wait_Wkday[[#All],[Time]],1),MATCH('Model 2 - Permutations'!F120,Tbl_Wait_Wkday[#Headers],0)),INDEX(Tbl_Wait_Wkend[#All],MATCH('Model 2 - Permutations'!AC120,Tbl_Wait_Wkend[[#All],[Time]],1),MATCH('Model 2 - Permutations'!F120,Tbl_Wait_Wkend[#Headers],0))))</f>
        <v>1.3888888888888888E-2</v>
      </c>
      <c r="AE120" s="117">
        <f>IF(AD120="","",VLOOKUP(F120,Tbl_Ride[#Data],2,FALSE))</f>
        <v>6.9444444444444447E-4</v>
      </c>
      <c r="AF120" s="118">
        <f t="shared" si="32"/>
        <v>0.6465277777777777</v>
      </c>
      <c r="AG120" s="114">
        <f t="shared" si="33"/>
        <v>0</v>
      </c>
      <c r="AH120" s="115">
        <f>IF(AG120="","",IF($D$5="Average",INDEX(Tbl_Walk_Avg[#All],MATCH('Model 2 - Permutations'!F120,Tbl_Walk_Avg[[#All],[Ride]],0),MATCH('Model 2 - Permutations'!G120,Tbl_Walk_Avg[#Headers],0)),INDEX(Tbl_Walk_Leisure[#All],MATCH('Model 2 - Permutations'!F120,Tbl_Walk_Leisure[[#All],[Ride]],0),MATCH('Model 2 - Permutations'!G120,Tbl_Walk_Leisure[#Headers],0))))</f>
        <v>6.2500000000000003E-3</v>
      </c>
      <c r="AI120" s="113">
        <f t="shared" si="34"/>
        <v>0.65277777777777768</v>
      </c>
      <c r="AJ120" s="116">
        <f>IF(AI120="","",IF($D$14="Weekday",INDEX(Tbl_Wait_Wkday[#All],MATCH('Model 2 - Permutations'!AI120,Tbl_Wait_Wkday[[#All],[Time]],1),MATCH('Model 2 - Permutations'!G120,Tbl_Wait_Wkday[#Headers],0)),INDEX(Tbl_Wait_Wkend[#All],MATCH('Model 2 - Permutations'!AI120,Tbl_Wait_Wkend[[#All],[Time]],1),MATCH('Model 2 - Permutations'!G120,Tbl_Wait_Wkend[#Headers],0))))</f>
        <v>5.5555555555555552E-2</v>
      </c>
      <c r="AK120" s="117">
        <f>IF(AJ120="","",VLOOKUP(G120,Tbl_Ride[#Data],2,FALSE))</f>
        <v>1.3888888888888889E-3</v>
      </c>
      <c r="AL120" s="118">
        <f t="shared" si="35"/>
        <v>0.70972222222222214</v>
      </c>
      <c r="AM120" s="114">
        <f t="shared" si="36"/>
        <v>0</v>
      </c>
      <c r="AN120" s="115">
        <f>IF(AM120="","",IF($D$5="Average",INDEX(Tbl_Walk_Avg[#All],MATCH('Model 2 - Permutations'!G120,Tbl_Walk_Avg[[#All],[Ride]],0),MATCH('Model 2 - Permutations'!H120,Tbl_Walk_Avg[#Headers],0)),INDEX(Tbl_Walk_Leisure[#All],MATCH('Model 2 - Permutations'!G120,Tbl_Walk_Leisure[[#All],[Ride]],0),MATCH('Model 2 - Permutations'!H120,Tbl_Walk_Leisure[#Headers],0))))</f>
        <v>2.7777777777777779E-3</v>
      </c>
      <c r="AO120" s="113">
        <f t="shared" si="37"/>
        <v>0.71249999999999991</v>
      </c>
      <c r="AP120" s="116">
        <f>IF(AO120="","",IF($D$14="Weekday",INDEX(Tbl_Wait_Wkday[#All],MATCH('Model 2 - Permutations'!AO120,Tbl_Wait_Wkday[[#All],[Time]],1),MATCH('Model 2 - Permutations'!H120,Tbl_Wait_Wkday[#Headers],0)),INDEX(Tbl_Wait_Wkend[#All],MATCH('Model 2 - Permutations'!AO120,Tbl_Wait_Wkend[[#All],[Time]],1),MATCH('Model 2 - Permutations'!H120,Tbl_Wait_Wkend[#Headers],0))))</f>
        <v>3.125E-2</v>
      </c>
      <c r="AQ120" s="117">
        <f>IF(AP120="","",VLOOKUP(H120,Tbl_Ride[#Data],2,FALSE))</f>
        <v>3.4722222222222225E-3</v>
      </c>
      <c r="AR120" s="118">
        <f t="shared" si="38"/>
        <v>0.74722222222222212</v>
      </c>
      <c r="AS120" s="119">
        <f t="shared" si="39"/>
        <v>2.6388888888888889E-2</v>
      </c>
      <c r="AT120" s="119">
        <f t="shared" si="40"/>
        <v>0.12847222222222221</v>
      </c>
      <c r="AU120" s="119">
        <f t="shared" si="41"/>
        <v>0.15486111111111109</v>
      </c>
    </row>
    <row r="121" spans="2:47">
      <c r="B121" s="111">
        <v>76</v>
      </c>
      <c r="C121" s="111" t="s">
        <v>66</v>
      </c>
      <c r="D121" s="112" t="str">
        <f t="shared" si="22"/>
        <v>Revenge of the Mummy</v>
      </c>
      <c r="E121" s="112" t="str">
        <f t="shared" si="22"/>
        <v>Battlestar Galactica: Cylon</v>
      </c>
      <c r="F121" s="112" t="str">
        <f t="shared" si="22"/>
        <v>Enchanted Airways</v>
      </c>
      <c r="G121" s="112" t="str">
        <f t="shared" si="22"/>
        <v>Transformers The Ride</v>
      </c>
      <c r="H121" s="112" t="str">
        <f t="shared" si="22"/>
        <v>Battlestart Galactica: Human</v>
      </c>
      <c r="I121" s="112">
        <v>4</v>
      </c>
      <c r="J121" s="112">
        <v>1</v>
      </c>
      <c r="K121" s="112">
        <v>3</v>
      </c>
      <c r="L121" s="112">
        <v>5</v>
      </c>
      <c r="M121" s="112">
        <v>2</v>
      </c>
      <c r="N121" s="113">
        <f t="shared" si="23"/>
        <v>0.5</v>
      </c>
      <c r="O121" s="114">
        <f t="shared" si="24"/>
        <v>0</v>
      </c>
      <c r="P121" s="115">
        <f>IF($D$5="Average",INDEX(Tbl_Walk_Avg[#All],MATCH('Model 2 - Permutations'!C121,Tbl_Walk_Avg[[#All],[Ride]],0),MATCH('Model 2 - Permutations'!D121,Tbl_Walk_Avg[#Headers],0)),INDEX(Tbl_Walk_Leisure[#All],MATCH('Model 2 - Permutations'!C121,Tbl_Walk_Leisure[[#All],[Ride]],0),MATCH('Model 2 - Permutations'!D121,Tbl_Walk_Leisure[#Headers],0)))</f>
        <v>8.3333333333333332E-3</v>
      </c>
      <c r="Q121" s="113">
        <f t="shared" si="25"/>
        <v>0.5083333333333333</v>
      </c>
      <c r="R121" s="116">
        <f>IF(Q121="","",IF($D$14="Weekday",INDEX(Tbl_Wait_Wkday[#All],MATCH('Model 2 - Permutations'!Q121,Tbl_Wait_Wkday[[#All],[Time]],1),MATCH('Model 2 - Permutations'!D121,Tbl_Wait_Wkday[#Headers],0)),INDEX(Tbl_Wait_Wkend[#All],MATCH('Model 2 - Permutations'!Q121,Tbl_Wait_Wkend[[#All],[Time]],1),MATCH('Model 2 - Permutations'!D121,Tbl_Wait_Wkend[#Headers],0))))</f>
        <v>1.0416666666666666E-2</v>
      </c>
      <c r="S121" s="117">
        <f>IF(R121="","",VLOOKUP(D121,Tbl_Ride[#Data],2,FALSE))</f>
        <v>2.0833333333333333E-3</v>
      </c>
      <c r="T121" s="118">
        <f t="shared" si="26"/>
        <v>0.52083333333333326</v>
      </c>
      <c r="U121" s="114">
        <f t="shared" si="27"/>
        <v>0</v>
      </c>
      <c r="V121" s="115">
        <f>IF(U121="","",IF($D$5="Average",INDEX(Tbl_Walk_Avg[#All],MATCH('Model 2 - Permutations'!D121,Tbl_Walk_Avg[[#All],[Ride]],0),MATCH('Model 2 - Permutations'!E121,Tbl_Walk_Avg[#Headers],0)),INDEX(Tbl_Walk_Leisure[#All],MATCH('Model 2 - Permutations'!D121,Tbl_Walk_Leisure[[#All],[Ride]],0),MATCH('Model 2 - Permutations'!E121,Tbl_Walk_Leisure[#Headers],0))))</f>
        <v>2.7777777777777779E-3</v>
      </c>
      <c r="W121" s="113">
        <f t="shared" si="28"/>
        <v>0.52361111111111103</v>
      </c>
      <c r="X121" s="116">
        <f>IF(W121="","",IF($D$14="Weekday",INDEX(Tbl_Wait_Wkday[#All],MATCH('Model 2 - Permutations'!W121,Tbl_Wait_Wkday[[#All],[Time]],1),MATCH('Model 2 - Permutations'!E121,Tbl_Wait_Wkday[#Headers],0)),INDEX(Tbl_Wait_Wkend[#All],MATCH('Model 2 - Permutations'!W121,Tbl_Wait_Wkend[[#All],[Time]],1),MATCH('Model 2 - Permutations'!E121,Tbl_Wait_Wkend[#Headers],0))))</f>
        <v>1.7361111111111112E-2</v>
      </c>
      <c r="Y121" s="117">
        <f>IF(X121="","",VLOOKUP(E121,Tbl_Ride[#Data],2,FALSE))</f>
        <v>1.3888888888888889E-3</v>
      </c>
      <c r="Z121" s="118">
        <f t="shared" si="29"/>
        <v>0.54236111111111107</v>
      </c>
      <c r="AA121" s="114">
        <f t="shared" si="30"/>
        <v>1</v>
      </c>
      <c r="AB121" s="115">
        <f>IF(AA121="","",IF($D$5="Average",INDEX(Tbl_Walk_Avg[#All],MATCH('Model 2 - Permutations'!E121,Tbl_Walk_Avg[[#All],[Ride]],0),MATCH('Model 2 - Permutations'!F121,Tbl_Walk_Avg[#Headers],0)),INDEX(Tbl_Walk_Leisure[#All],MATCH('Model 2 - Permutations'!E121,Tbl_Walk_Leisure[[#All],[Ride]],0),MATCH('Model 2 - Permutations'!F121,Tbl_Walk_Leisure[#Headers],0))))</f>
        <v>6.2500000000000003E-3</v>
      </c>
      <c r="AC121" s="113">
        <f t="shared" si="31"/>
        <v>0.63194444444444442</v>
      </c>
      <c r="AD121" s="116">
        <f>IF(AC121="","",IF($D$14="Weekday",INDEX(Tbl_Wait_Wkday[#All],MATCH('Model 2 - Permutations'!AC121,Tbl_Wait_Wkday[[#All],[Time]],1),MATCH('Model 2 - Permutations'!F121,Tbl_Wait_Wkday[#Headers],0)),INDEX(Tbl_Wait_Wkend[#All],MATCH('Model 2 - Permutations'!AC121,Tbl_Wait_Wkend[[#All],[Time]],1),MATCH('Model 2 - Permutations'!F121,Tbl_Wait_Wkend[#Headers],0))))</f>
        <v>1.3888888888888888E-2</v>
      </c>
      <c r="AE121" s="117">
        <f>IF(AD121="","",VLOOKUP(F121,Tbl_Ride[#Data],2,FALSE))</f>
        <v>6.9444444444444447E-4</v>
      </c>
      <c r="AF121" s="118">
        <f t="shared" si="32"/>
        <v>0.6465277777777777</v>
      </c>
      <c r="AG121" s="114">
        <f t="shared" si="33"/>
        <v>0</v>
      </c>
      <c r="AH121" s="115">
        <f>IF(AG121="","",IF($D$5="Average",INDEX(Tbl_Walk_Avg[#All],MATCH('Model 2 - Permutations'!F121,Tbl_Walk_Avg[[#All],[Ride]],0),MATCH('Model 2 - Permutations'!G121,Tbl_Walk_Avg[#Headers],0)),INDEX(Tbl_Walk_Leisure[#All],MATCH('Model 2 - Permutations'!F121,Tbl_Walk_Leisure[[#All],[Ride]],0),MATCH('Model 2 - Permutations'!G121,Tbl_Walk_Leisure[#Headers],0))))</f>
        <v>6.2500000000000003E-3</v>
      </c>
      <c r="AI121" s="113">
        <f t="shared" si="34"/>
        <v>0.65277777777777768</v>
      </c>
      <c r="AJ121" s="116">
        <f>IF(AI121="","",IF($D$14="Weekday",INDEX(Tbl_Wait_Wkday[#All],MATCH('Model 2 - Permutations'!AI121,Tbl_Wait_Wkday[[#All],[Time]],1),MATCH('Model 2 - Permutations'!G121,Tbl_Wait_Wkday[#Headers],0)),INDEX(Tbl_Wait_Wkend[#All],MATCH('Model 2 - Permutations'!AI121,Tbl_Wait_Wkend[[#All],[Time]],1),MATCH('Model 2 - Permutations'!G121,Tbl_Wait_Wkend[#Headers],0))))</f>
        <v>2.4305555555555552E-2</v>
      </c>
      <c r="AK121" s="117">
        <f>IF(AJ121="","",VLOOKUP(G121,Tbl_Ride[#Data],2,FALSE))</f>
        <v>3.4722222222222225E-3</v>
      </c>
      <c r="AL121" s="118">
        <f t="shared" si="35"/>
        <v>0.68055555555555547</v>
      </c>
      <c r="AM121" s="114">
        <f t="shared" si="36"/>
        <v>0</v>
      </c>
      <c r="AN121" s="115">
        <f>IF(AM121="","",IF($D$5="Average",INDEX(Tbl_Walk_Avg[#All],MATCH('Model 2 - Permutations'!G121,Tbl_Walk_Avg[[#All],[Ride]],0),MATCH('Model 2 - Permutations'!H121,Tbl_Walk_Avg[#Headers],0)),INDEX(Tbl_Walk_Leisure[#All],MATCH('Model 2 - Permutations'!G121,Tbl_Walk_Leisure[[#All],[Ride]],0),MATCH('Model 2 - Permutations'!H121,Tbl_Walk_Leisure[#Headers],0))))</f>
        <v>2.7777777777777779E-3</v>
      </c>
      <c r="AO121" s="113">
        <f t="shared" si="37"/>
        <v>0.68333333333333324</v>
      </c>
      <c r="AP121" s="116">
        <f>IF(AO121="","",IF($D$14="Weekday",INDEX(Tbl_Wait_Wkday[#All],MATCH('Model 2 - Permutations'!AO121,Tbl_Wait_Wkday[[#All],[Time]],1),MATCH('Model 2 - Permutations'!H121,Tbl_Wait_Wkday[#Headers],0)),INDEX(Tbl_Wait_Wkend[#All],MATCH('Model 2 - Permutations'!AO121,Tbl_Wait_Wkend[[#All],[Time]],1),MATCH('Model 2 - Permutations'!H121,Tbl_Wait_Wkend[#Headers],0))))</f>
        <v>4.1666666666666664E-2</v>
      </c>
      <c r="AQ121" s="117">
        <f>IF(AP121="","",VLOOKUP(H121,Tbl_Ride[#Data],2,FALSE))</f>
        <v>1.3888888888888889E-3</v>
      </c>
      <c r="AR121" s="118">
        <f t="shared" si="38"/>
        <v>0.72638888888888875</v>
      </c>
      <c r="AS121" s="119">
        <f t="shared" si="39"/>
        <v>2.6388888888888889E-2</v>
      </c>
      <c r="AT121" s="119">
        <f t="shared" si="40"/>
        <v>0.10763888888888887</v>
      </c>
      <c r="AU121" s="119">
        <f t="shared" si="41"/>
        <v>0.13402777777777775</v>
      </c>
    </row>
    <row r="122" spans="2:47">
      <c r="B122" s="111">
        <v>77</v>
      </c>
      <c r="C122" s="111" t="s">
        <v>66</v>
      </c>
      <c r="D122" s="112" t="str">
        <f t="shared" si="22"/>
        <v>Revenge of the Mummy</v>
      </c>
      <c r="E122" s="112" t="str">
        <f t="shared" si="22"/>
        <v>Battlestar Galactica: Cylon</v>
      </c>
      <c r="F122" s="112" t="str">
        <f t="shared" si="22"/>
        <v>Transformers The Ride</v>
      </c>
      <c r="G122" s="112" t="str">
        <f t="shared" si="22"/>
        <v>Battlestart Galactica: Human</v>
      </c>
      <c r="H122" s="112" t="str">
        <f t="shared" si="22"/>
        <v>Enchanted Airways</v>
      </c>
      <c r="I122" s="112">
        <v>4</v>
      </c>
      <c r="J122" s="112">
        <v>1</v>
      </c>
      <c r="K122" s="112">
        <v>5</v>
      </c>
      <c r="L122" s="112">
        <v>2</v>
      </c>
      <c r="M122" s="112">
        <v>3</v>
      </c>
      <c r="N122" s="113">
        <f t="shared" si="23"/>
        <v>0.5</v>
      </c>
      <c r="O122" s="114">
        <f t="shared" si="24"/>
        <v>0</v>
      </c>
      <c r="P122" s="115">
        <f>IF($D$5="Average",INDEX(Tbl_Walk_Avg[#All],MATCH('Model 2 - Permutations'!C122,Tbl_Walk_Avg[[#All],[Ride]],0),MATCH('Model 2 - Permutations'!D122,Tbl_Walk_Avg[#Headers],0)),INDEX(Tbl_Walk_Leisure[#All],MATCH('Model 2 - Permutations'!C122,Tbl_Walk_Leisure[[#All],[Ride]],0),MATCH('Model 2 - Permutations'!D122,Tbl_Walk_Leisure[#Headers],0)))</f>
        <v>8.3333333333333332E-3</v>
      </c>
      <c r="Q122" s="113">
        <f t="shared" si="25"/>
        <v>0.5083333333333333</v>
      </c>
      <c r="R122" s="116">
        <f>IF(Q122="","",IF($D$14="Weekday",INDEX(Tbl_Wait_Wkday[#All],MATCH('Model 2 - Permutations'!Q122,Tbl_Wait_Wkday[[#All],[Time]],1),MATCH('Model 2 - Permutations'!D122,Tbl_Wait_Wkday[#Headers],0)),INDEX(Tbl_Wait_Wkend[#All],MATCH('Model 2 - Permutations'!Q122,Tbl_Wait_Wkend[[#All],[Time]],1),MATCH('Model 2 - Permutations'!D122,Tbl_Wait_Wkend[#Headers],0))))</f>
        <v>1.0416666666666666E-2</v>
      </c>
      <c r="S122" s="117">
        <f>IF(R122="","",VLOOKUP(D122,Tbl_Ride[#Data],2,FALSE))</f>
        <v>2.0833333333333333E-3</v>
      </c>
      <c r="T122" s="118">
        <f t="shared" si="26"/>
        <v>0.52083333333333326</v>
      </c>
      <c r="U122" s="114">
        <f t="shared" si="27"/>
        <v>0</v>
      </c>
      <c r="V122" s="115">
        <f>IF(U122="","",IF($D$5="Average",INDEX(Tbl_Walk_Avg[#All],MATCH('Model 2 - Permutations'!D122,Tbl_Walk_Avg[[#All],[Ride]],0),MATCH('Model 2 - Permutations'!E122,Tbl_Walk_Avg[#Headers],0)),INDEX(Tbl_Walk_Leisure[#All],MATCH('Model 2 - Permutations'!D122,Tbl_Walk_Leisure[[#All],[Ride]],0),MATCH('Model 2 - Permutations'!E122,Tbl_Walk_Leisure[#Headers],0))))</f>
        <v>2.7777777777777779E-3</v>
      </c>
      <c r="W122" s="113">
        <f t="shared" si="28"/>
        <v>0.52361111111111103</v>
      </c>
      <c r="X122" s="116">
        <f>IF(W122="","",IF($D$14="Weekday",INDEX(Tbl_Wait_Wkday[#All],MATCH('Model 2 - Permutations'!W122,Tbl_Wait_Wkday[[#All],[Time]],1),MATCH('Model 2 - Permutations'!E122,Tbl_Wait_Wkday[#Headers],0)),INDEX(Tbl_Wait_Wkend[#All],MATCH('Model 2 - Permutations'!W122,Tbl_Wait_Wkend[[#All],[Time]],1),MATCH('Model 2 - Permutations'!E122,Tbl_Wait_Wkend[#Headers],0))))</f>
        <v>1.7361111111111112E-2</v>
      </c>
      <c r="Y122" s="117">
        <f>IF(X122="","",VLOOKUP(E122,Tbl_Ride[#Data],2,FALSE))</f>
        <v>1.3888888888888889E-3</v>
      </c>
      <c r="Z122" s="118">
        <f t="shared" si="29"/>
        <v>0.54236111111111107</v>
      </c>
      <c r="AA122" s="114">
        <f t="shared" si="30"/>
        <v>1</v>
      </c>
      <c r="AB122" s="115">
        <f>IF(AA122="","",IF($D$5="Average",INDEX(Tbl_Walk_Avg[#All],MATCH('Model 2 - Permutations'!E122,Tbl_Walk_Avg[[#All],[Ride]],0),MATCH('Model 2 - Permutations'!F122,Tbl_Walk_Avg[#Headers],0)),INDEX(Tbl_Walk_Leisure[#All],MATCH('Model 2 - Permutations'!E122,Tbl_Walk_Leisure[[#All],[Ride]],0),MATCH('Model 2 - Permutations'!F122,Tbl_Walk_Leisure[#Headers],0))))</f>
        <v>2.7777777777777779E-3</v>
      </c>
      <c r="AC122" s="113">
        <f t="shared" si="31"/>
        <v>0.62847222222222221</v>
      </c>
      <c r="AD122" s="116">
        <f>IF(AC122="","",IF($D$14="Weekday",INDEX(Tbl_Wait_Wkday[#All],MATCH('Model 2 - Permutations'!AC122,Tbl_Wait_Wkday[[#All],[Time]],1),MATCH('Model 2 - Permutations'!F122,Tbl_Wait_Wkday[#Headers],0)),INDEX(Tbl_Wait_Wkend[#All],MATCH('Model 2 - Permutations'!AC122,Tbl_Wait_Wkend[[#All],[Time]],1),MATCH('Model 2 - Permutations'!F122,Tbl_Wait_Wkend[#Headers],0))))</f>
        <v>2.4305555555555552E-2</v>
      </c>
      <c r="AE122" s="117">
        <f>IF(AD122="","",VLOOKUP(F122,Tbl_Ride[#Data],2,FALSE))</f>
        <v>3.4722222222222225E-3</v>
      </c>
      <c r="AF122" s="118">
        <f t="shared" si="32"/>
        <v>0.65625</v>
      </c>
      <c r="AG122" s="114">
        <f t="shared" si="33"/>
        <v>0</v>
      </c>
      <c r="AH122" s="115">
        <f>IF(AG122="","",IF($D$5="Average",INDEX(Tbl_Walk_Avg[#All],MATCH('Model 2 - Permutations'!F122,Tbl_Walk_Avg[[#All],[Ride]],0),MATCH('Model 2 - Permutations'!G122,Tbl_Walk_Avg[#Headers],0)),INDEX(Tbl_Walk_Leisure[#All],MATCH('Model 2 - Permutations'!F122,Tbl_Walk_Leisure[[#All],[Ride]],0),MATCH('Model 2 - Permutations'!G122,Tbl_Walk_Leisure[#Headers],0))))</f>
        <v>2.7777777777777779E-3</v>
      </c>
      <c r="AI122" s="113">
        <f t="shared" si="34"/>
        <v>0.65902777777777777</v>
      </c>
      <c r="AJ122" s="116">
        <f>IF(AI122="","",IF($D$14="Weekday",INDEX(Tbl_Wait_Wkday[#All],MATCH('Model 2 - Permutations'!AI122,Tbl_Wait_Wkday[[#All],[Time]],1),MATCH('Model 2 - Permutations'!G122,Tbl_Wait_Wkday[#Headers],0)),INDEX(Tbl_Wait_Wkend[#All],MATCH('Model 2 - Permutations'!AI122,Tbl_Wait_Wkend[[#All],[Time]],1),MATCH('Model 2 - Permutations'!G122,Tbl_Wait_Wkend[#Headers],0))))</f>
        <v>5.5555555555555552E-2</v>
      </c>
      <c r="AK122" s="117">
        <f>IF(AJ122="","",VLOOKUP(G122,Tbl_Ride[#Data],2,FALSE))</f>
        <v>1.3888888888888889E-3</v>
      </c>
      <c r="AL122" s="118">
        <f t="shared" si="35"/>
        <v>0.71597222222222223</v>
      </c>
      <c r="AM122" s="114">
        <f t="shared" si="36"/>
        <v>0</v>
      </c>
      <c r="AN122" s="115">
        <f>IF(AM122="","",IF($D$5="Average",INDEX(Tbl_Walk_Avg[#All],MATCH('Model 2 - Permutations'!G122,Tbl_Walk_Avg[[#All],[Ride]],0),MATCH('Model 2 - Permutations'!H122,Tbl_Walk_Avg[#Headers],0)),INDEX(Tbl_Walk_Leisure[#All],MATCH('Model 2 - Permutations'!G122,Tbl_Walk_Leisure[[#All],[Ride]],0),MATCH('Model 2 - Permutations'!H122,Tbl_Walk_Leisure[#Headers],0))))</f>
        <v>6.2500000000000003E-3</v>
      </c>
      <c r="AO122" s="113">
        <f t="shared" si="37"/>
        <v>0.72222222222222221</v>
      </c>
      <c r="AP122" s="116">
        <f>IF(AO122="","",IF($D$14="Weekday",INDEX(Tbl_Wait_Wkday[#All],MATCH('Model 2 - Permutations'!AO122,Tbl_Wait_Wkday[[#All],[Time]],1),MATCH('Model 2 - Permutations'!H122,Tbl_Wait_Wkday[#Headers],0)),INDEX(Tbl_Wait_Wkend[#All],MATCH('Model 2 - Permutations'!AO122,Tbl_Wait_Wkend[[#All],[Time]],1),MATCH('Model 2 - Permutations'!H122,Tbl_Wait_Wkend[#Headers],0))))</f>
        <v>1.7361111111111112E-2</v>
      </c>
      <c r="AQ122" s="117">
        <f>IF(AP122="","",VLOOKUP(H122,Tbl_Ride[#Data],2,FALSE))</f>
        <v>6.9444444444444447E-4</v>
      </c>
      <c r="AR122" s="118">
        <f t="shared" si="38"/>
        <v>0.74027777777777781</v>
      </c>
      <c r="AS122" s="119">
        <f t="shared" si="39"/>
        <v>2.2916666666666669E-2</v>
      </c>
      <c r="AT122" s="119">
        <f t="shared" si="40"/>
        <v>0.125</v>
      </c>
      <c r="AU122" s="119">
        <f t="shared" si="41"/>
        <v>0.14791666666666667</v>
      </c>
    </row>
    <row r="123" spans="2:47">
      <c r="B123" s="111">
        <v>78</v>
      </c>
      <c r="C123" s="111" t="s">
        <v>66</v>
      </c>
      <c r="D123" s="112" t="str">
        <f t="shared" si="22"/>
        <v>Revenge of the Mummy</v>
      </c>
      <c r="E123" s="112" t="str">
        <f t="shared" si="22"/>
        <v>Battlestar Galactica: Cylon</v>
      </c>
      <c r="F123" s="112" t="str">
        <f t="shared" si="22"/>
        <v>Transformers The Ride</v>
      </c>
      <c r="G123" s="112" t="str">
        <f t="shared" si="22"/>
        <v>Enchanted Airways</v>
      </c>
      <c r="H123" s="112" t="str">
        <f t="shared" si="22"/>
        <v>Battlestart Galactica: Human</v>
      </c>
      <c r="I123" s="112">
        <v>4</v>
      </c>
      <c r="J123" s="112">
        <v>1</v>
      </c>
      <c r="K123" s="112">
        <v>5</v>
      </c>
      <c r="L123" s="112">
        <v>3</v>
      </c>
      <c r="M123" s="112">
        <v>2</v>
      </c>
      <c r="N123" s="113">
        <f t="shared" si="23"/>
        <v>0.5</v>
      </c>
      <c r="O123" s="114">
        <f t="shared" si="24"/>
        <v>0</v>
      </c>
      <c r="P123" s="115">
        <f>IF($D$5="Average",INDEX(Tbl_Walk_Avg[#All],MATCH('Model 2 - Permutations'!C123,Tbl_Walk_Avg[[#All],[Ride]],0),MATCH('Model 2 - Permutations'!D123,Tbl_Walk_Avg[#Headers],0)),INDEX(Tbl_Walk_Leisure[#All],MATCH('Model 2 - Permutations'!C123,Tbl_Walk_Leisure[[#All],[Ride]],0),MATCH('Model 2 - Permutations'!D123,Tbl_Walk_Leisure[#Headers],0)))</f>
        <v>8.3333333333333332E-3</v>
      </c>
      <c r="Q123" s="113">
        <f t="shared" si="25"/>
        <v>0.5083333333333333</v>
      </c>
      <c r="R123" s="116">
        <f>IF(Q123="","",IF($D$14="Weekday",INDEX(Tbl_Wait_Wkday[#All],MATCH('Model 2 - Permutations'!Q123,Tbl_Wait_Wkday[[#All],[Time]],1),MATCH('Model 2 - Permutations'!D123,Tbl_Wait_Wkday[#Headers],0)),INDEX(Tbl_Wait_Wkend[#All],MATCH('Model 2 - Permutations'!Q123,Tbl_Wait_Wkend[[#All],[Time]],1),MATCH('Model 2 - Permutations'!D123,Tbl_Wait_Wkend[#Headers],0))))</f>
        <v>1.0416666666666666E-2</v>
      </c>
      <c r="S123" s="117">
        <f>IF(R123="","",VLOOKUP(D123,Tbl_Ride[#Data],2,FALSE))</f>
        <v>2.0833333333333333E-3</v>
      </c>
      <c r="T123" s="118">
        <f t="shared" si="26"/>
        <v>0.52083333333333326</v>
      </c>
      <c r="U123" s="114">
        <f t="shared" si="27"/>
        <v>0</v>
      </c>
      <c r="V123" s="115">
        <f>IF(U123="","",IF($D$5="Average",INDEX(Tbl_Walk_Avg[#All],MATCH('Model 2 - Permutations'!D123,Tbl_Walk_Avg[[#All],[Ride]],0),MATCH('Model 2 - Permutations'!E123,Tbl_Walk_Avg[#Headers],0)),INDEX(Tbl_Walk_Leisure[#All],MATCH('Model 2 - Permutations'!D123,Tbl_Walk_Leisure[[#All],[Ride]],0),MATCH('Model 2 - Permutations'!E123,Tbl_Walk_Leisure[#Headers],0))))</f>
        <v>2.7777777777777779E-3</v>
      </c>
      <c r="W123" s="113">
        <f t="shared" si="28"/>
        <v>0.52361111111111103</v>
      </c>
      <c r="X123" s="116">
        <f>IF(W123="","",IF($D$14="Weekday",INDEX(Tbl_Wait_Wkday[#All],MATCH('Model 2 - Permutations'!W123,Tbl_Wait_Wkday[[#All],[Time]],1),MATCH('Model 2 - Permutations'!E123,Tbl_Wait_Wkday[#Headers],0)),INDEX(Tbl_Wait_Wkend[#All],MATCH('Model 2 - Permutations'!W123,Tbl_Wait_Wkend[[#All],[Time]],1),MATCH('Model 2 - Permutations'!E123,Tbl_Wait_Wkend[#Headers],0))))</f>
        <v>1.7361111111111112E-2</v>
      </c>
      <c r="Y123" s="117">
        <f>IF(X123="","",VLOOKUP(E123,Tbl_Ride[#Data],2,FALSE))</f>
        <v>1.3888888888888889E-3</v>
      </c>
      <c r="Z123" s="118">
        <f t="shared" si="29"/>
        <v>0.54236111111111107</v>
      </c>
      <c r="AA123" s="114">
        <f t="shared" si="30"/>
        <v>1</v>
      </c>
      <c r="AB123" s="115">
        <f>IF(AA123="","",IF($D$5="Average",INDEX(Tbl_Walk_Avg[#All],MATCH('Model 2 - Permutations'!E123,Tbl_Walk_Avg[[#All],[Ride]],0),MATCH('Model 2 - Permutations'!F123,Tbl_Walk_Avg[#Headers],0)),INDEX(Tbl_Walk_Leisure[#All],MATCH('Model 2 - Permutations'!E123,Tbl_Walk_Leisure[[#All],[Ride]],0),MATCH('Model 2 - Permutations'!F123,Tbl_Walk_Leisure[#Headers],0))))</f>
        <v>2.7777777777777779E-3</v>
      </c>
      <c r="AC123" s="113">
        <f t="shared" si="31"/>
        <v>0.62847222222222221</v>
      </c>
      <c r="AD123" s="116">
        <f>IF(AC123="","",IF($D$14="Weekday",INDEX(Tbl_Wait_Wkday[#All],MATCH('Model 2 - Permutations'!AC123,Tbl_Wait_Wkday[[#All],[Time]],1),MATCH('Model 2 - Permutations'!F123,Tbl_Wait_Wkday[#Headers],0)),INDEX(Tbl_Wait_Wkend[#All],MATCH('Model 2 - Permutations'!AC123,Tbl_Wait_Wkend[[#All],[Time]],1),MATCH('Model 2 - Permutations'!F123,Tbl_Wait_Wkend[#Headers],0))))</f>
        <v>2.4305555555555552E-2</v>
      </c>
      <c r="AE123" s="117">
        <f>IF(AD123="","",VLOOKUP(F123,Tbl_Ride[#Data],2,FALSE))</f>
        <v>3.4722222222222225E-3</v>
      </c>
      <c r="AF123" s="118">
        <f t="shared" si="32"/>
        <v>0.65625</v>
      </c>
      <c r="AG123" s="114">
        <f t="shared" si="33"/>
        <v>0</v>
      </c>
      <c r="AH123" s="115">
        <f>IF(AG123="","",IF($D$5="Average",INDEX(Tbl_Walk_Avg[#All],MATCH('Model 2 - Permutations'!F123,Tbl_Walk_Avg[[#All],[Ride]],0),MATCH('Model 2 - Permutations'!G123,Tbl_Walk_Avg[#Headers],0)),INDEX(Tbl_Walk_Leisure[#All],MATCH('Model 2 - Permutations'!F123,Tbl_Walk_Leisure[[#All],[Ride]],0),MATCH('Model 2 - Permutations'!G123,Tbl_Walk_Leisure[#Headers],0))))</f>
        <v>6.2500000000000003E-3</v>
      </c>
      <c r="AI123" s="113">
        <f t="shared" si="34"/>
        <v>0.66249999999999998</v>
      </c>
      <c r="AJ123" s="116">
        <f>IF(AI123="","",IF($D$14="Weekday",INDEX(Tbl_Wait_Wkday[#All],MATCH('Model 2 - Permutations'!AI123,Tbl_Wait_Wkday[[#All],[Time]],1),MATCH('Model 2 - Permutations'!G123,Tbl_Wait_Wkday[#Headers],0)),INDEX(Tbl_Wait_Wkend[#All],MATCH('Model 2 - Permutations'!AI123,Tbl_Wait_Wkend[[#All],[Time]],1),MATCH('Model 2 - Permutations'!G123,Tbl_Wait_Wkend[#Headers],0))))</f>
        <v>1.3888888888888888E-2</v>
      </c>
      <c r="AK123" s="117">
        <f>IF(AJ123="","",VLOOKUP(G123,Tbl_Ride[#Data],2,FALSE))</f>
        <v>6.9444444444444447E-4</v>
      </c>
      <c r="AL123" s="118">
        <f t="shared" si="35"/>
        <v>0.67708333333333326</v>
      </c>
      <c r="AM123" s="114">
        <f t="shared" si="36"/>
        <v>0</v>
      </c>
      <c r="AN123" s="115">
        <f>IF(AM123="","",IF($D$5="Average",INDEX(Tbl_Walk_Avg[#All],MATCH('Model 2 - Permutations'!G123,Tbl_Walk_Avg[[#All],[Ride]],0),MATCH('Model 2 - Permutations'!H123,Tbl_Walk_Avg[#Headers],0)),INDEX(Tbl_Walk_Leisure[#All],MATCH('Model 2 - Permutations'!G123,Tbl_Walk_Leisure[[#All],[Ride]],0),MATCH('Model 2 - Permutations'!H123,Tbl_Walk_Leisure[#Headers],0))))</f>
        <v>6.2500000000000003E-3</v>
      </c>
      <c r="AO123" s="113">
        <f t="shared" si="37"/>
        <v>0.68333333333333324</v>
      </c>
      <c r="AP123" s="116">
        <f>IF(AO123="","",IF($D$14="Weekday",INDEX(Tbl_Wait_Wkday[#All],MATCH('Model 2 - Permutations'!AO123,Tbl_Wait_Wkday[[#All],[Time]],1),MATCH('Model 2 - Permutations'!H123,Tbl_Wait_Wkday[#Headers],0)),INDEX(Tbl_Wait_Wkend[#All],MATCH('Model 2 - Permutations'!AO123,Tbl_Wait_Wkend[[#All],[Time]],1),MATCH('Model 2 - Permutations'!H123,Tbl_Wait_Wkend[#Headers],0))))</f>
        <v>4.1666666666666664E-2</v>
      </c>
      <c r="AQ123" s="117">
        <f>IF(AP123="","",VLOOKUP(H123,Tbl_Ride[#Data],2,FALSE))</f>
        <v>1.3888888888888889E-3</v>
      </c>
      <c r="AR123" s="118">
        <f t="shared" si="38"/>
        <v>0.72638888888888875</v>
      </c>
      <c r="AS123" s="119">
        <f t="shared" si="39"/>
        <v>2.6388888888888892E-2</v>
      </c>
      <c r="AT123" s="119">
        <f t="shared" si="40"/>
        <v>0.10763888888888887</v>
      </c>
      <c r="AU123" s="119">
        <f t="shared" si="41"/>
        <v>0.13402777777777775</v>
      </c>
    </row>
    <row r="124" spans="2:47">
      <c r="B124" s="111">
        <v>79</v>
      </c>
      <c r="C124" s="111" t="s">
        <v>66</v>
      </c>
      <c r="D124" s="112" t="str">
        <f t="shared" si="22"/>
        <v>Revenge of the Mummy</v>
      </c>
      <c r="E124" s="112" t="str">
        <f t="shared" si="22"/>
        <v>Battlestart Galactica: Human</v>
      </c>
      <c r="F124" s="112" t="str">
        <f t="shared" si="22"/>
        <v>Battlestar Galactica: Cylon</v>
      </c>
      <c r="G124" s="112" t="str">
        <f t="shared" si="22"/>
        <v>Enchanted Airways</v>
      </c>
      <c r="H124" s="112" t="str">
        <f t="shared" si="22"/>
        <v>Transformers The Ride</v>
      </c>
      <c r="I124" s="112">
        <v>4</v>
      </c>
      <c r="J124" s="112">
        <v>2</v>
      </c>
      <c r="K124" s="112">
        <v>1</v>
      </c>
      <c r="L124" s="112">
        <v>3</v>
      </c>
      <c r="M124" s="112">
        <v>5</v>
      </c>
      <c r="N124" s="113">
        <f t="shared" si="23"/>
        <v>0.5</v>
      </c>
      <c r="O124" s="114">
        <f t="shared" si="24"/>
        <v>0</v>
      </c>
      <c r="P124" s="115">
        <f>IF($D$5="Average",INDEX(Tbl_Walk_Avg[#All],MATCH('Model 2 - Permutations'!C124,Tbl_Walk_Avg[[#All],[Ride]],0),MATCH('Model 2 - Permutations'!D124,Tbl_Walk_Avg[#Headers],0)),INDEX(Tbl_Walk_Leisure[#All],MATCH('Model 2 - Permutations'!C124,Tbl_Walk_Leisure[[#All],[Ride]],0),MATCH('Model 2 - Permutations'!D124,Tbl_Walk_Leisure[#Headers],0)))</f>
        <v>8.3333333333333332E-3</v>
      </c>
      <c r="Q124" s="113">
        <f t="shared" si="25"/>
        <v>0.5083333333333333</v>
      </c>
      <c r="R124" s="116">
        <f>IF(Q124="","",IF($D$14="Weekday",INDEX(Tbl_Wait_Wkday[#All],MATCH('Model 2 - Permutations'!Q124,Tbl_Wait_Wkday[[#All],[Time]],1),MATCH('Model 2 - Permutations'!D124,Tbl_Wait_Wkday[#Headers],0)),INDEX(Tbl_Wait_Wkend[#All],MATCH('Model 2 - Permutations'!Q124,Tbl_Wait_Wkend[[#All],[Time]],1),MATCH('Model 2 - Permutations'!D124,Tbl_Wait_Wkend[#Headers],0))))</f>
        <v>1.0416666666666666E-2</v>
      </c>
      <c r="S124" s="117">
        <f>IF(R124="","",VLOOKUP(D124,Tbl_Ride[#Data],2,FALSE))</f>
        <v>2.0833333333333333E-3</v>
      </c>
      <c r="T124" s="118">
        <f t="shared" si="26"/>
        <v>0.52083333333333326</v>
      </c>
      <c r="U124" s="114">
        <f t="shared" si="27"/>
        <v>0</v>
      </c>
      <c r="V124" s="115">
        <f>IF(U124="","",IF($D$5="Average",INDEX(Tbl_Walk_Avg[#All],MATCH('Model 2 - Permutations'!D124,Tbl_Walk_Avg[[#All],[Ride]],0),MATCH('Model 2 - Permutations'!E124,Tbl_Walk_Avg[#Headers],0)),INDEX(Tbl_Walk_Leisure[#All],MATCH('Model 2 - Permutations'!D124,Tbl_Walk_Leisure[[#All],[Ride]],0),MATCH('Model 2 - Permutations'!E124,Tbl_Walk_Leisure[#Headers],0))))</f>
        <v>2.7777777777777779E-3</v>
      </c>
      <c r="W124" s="113">
        <f t="shared" si="28"/>
        <v>0.52361111111111103</v>
      </c>
      <c r="X124" s="116">
        <f>IF(W124="","",IF($D$14="Weekday",INDEX(Tbl_Wait_Wkday[#All],MATCH('Model 2 - Permutations'!W124,Tbl_Wait_Wkday[[#All],[Time]],1),MATCH('Model 2 - Permutations'!E124,Tbl_Wait_Wkday[#Headers],0)),INDEX(Tbl_Wait_Wkend[#All],MATCH('Model 2 - Permutations'!W124,Tbl_Wait_Wkend[[#All],[Time]],1),MATCH('Model 2 - Permutations'!E124,Tbl_Wait_Wkend[#Headers],0))))</f>
        <v>2.4305555555555552E-2</v>
      </c>
      <c r="Y124" s="117">
        <f>IF(X124="","",VLOOKUP(E124,Tbl_Ride[#Data],2,FALSE))</f>
        <v>1.3888888888888889E-3</v>
      </c>
      <c r="Z124" s="118">
        <f t="shared" si="29"/>
        <v>0.54930555555555549</v>
      </c>
      <c r="AA124" s="114">
        <f t="shared" si="30"/>
        <v>1</v>
      </c>
      <c r="AB124" s="115">
        <f>IF(AA124="","",IF($D$5="Average",INDEX(Tbl_Walk_Avg[#All],MATCH('Model 2 - Permutations'!E124,Tbl_Walk_Avg[[#All],[Ride]],0),MATCH('Model 2 - Permutations'!F124,Tbl_Walk_Avg[#Headers],0)),INDEX(Tbl_Walk_Leisure[#All],MATCH('Model 2 - Permutations'!E124,Tbl_Walk_Leisure[[#All],[Ride]],0),MATCH('Model 2 - Permutations'!F124,Tbl_Walk_Leisure[#Headers],0))))</f>
        <v>0</v>
      </c>
      <c r="AC124" s="113">
        <f t="shared" si="31"/>
        <v>0.63263888888888886</v>
      </c>
      <c r="AD124" s="116">
        <f>IF(AC124="","",IF($D$14="Weekday",INDEX(Tbl_Wait_Wkday[#All],MATCH('Model 2 - Permutations'!AC124,Tbl_Wait_Wkday[[#All],[Time]],1),MATCH('Model 2 - Permutations'!F124,Tbl_Wait_Wkday[#Headers],0)),INDEX(Tbl_Wait_Wkend[#All],MATCH('Model 2 - Permutations'!AC124,Tbl_Wait_Wkend[[#All],[Time]],1),MATCH('Model 2 - Permutations'!F124,Tbl_Wait_Wkend[#Headers],0))))</f>
        <v>5.2083333333333329E-2</v>
      </c>
      <c r="AE124" s="117">
        <f>IF(AD124="","",VLOOKUP(F124,Tbl_Ride[#Data],2,FALSE))</f>
        <v>1.3888888888888889E-3</v>
      </c>
      <c r="AF124" s="118">
        <f t="shared" si="32"/>
        <v>0.68611111111111112</v>
      </c>
      <c r="AG124" s="114">
        <f t="shared" si="33"/>
        <v>0</v>
      </c>
      <c r="AH124" s="115">
        <f>IF(AG124="","",IF($D$5="Average",INDEX(Tbl_Walk_Avg[#All],MATCH('Model 2 - Permutations'!F124,Tbl_Walk_Avg[[#All],[Ride]],0),MATCH('Model 2 - Permutations'!G124,Tbl_Walk_Avg[#Headers],0)),INDEX(Tbl_Walk_Leisure[#All],MATCH('Model 2 - Permutations'!F124,Tbl_Walk_Leisure[[#All],[Ride]],0),MATCH('Model 2 - Permutations'!G124,Tbl_Walk_Leisure[#Headers],0))))</f>
        <v>6.2500000000000003E-3</v>
      </c>
      <c r="AI124" s="113">
        <f t="shared" si="34"/>
        <v>0.69236111111111109</v>
      </c>
      <c r="AJ124" s="116">
        <f>IF(AI124="","",IF($D$14="Weekday",INDEX(Tbl_Wait_Wkday[#All],MATCH('Model 2 - Permutations'!AI124,Tbl_Wait_Wkday[[#All],[Time]],1),MATCH('Model 2 - Permutations'!G124,Tbl_Wait_Wkday[#Headers],0)),INDEX(Tbl_Wait_Wkend[#All],MATCH('Model 2 - Permutations'!AI124,Tbl_Wait_Wkend[[#All],[Time]],1),MATCH('Model 2 - Permutations'!G124,Tbl_Wait_Wkend[#Headers],0))))</f>
        <v>1.7361111111111112E-2</v>
      </c>
      <c r="AK124" s="117">
        <f>IF(AJ124="","",VLOOKUP(G124,Tbl_Ride[#Data],2,FALSE))</f>
        <v>6.9444444444444447E-4</v>
      </c>
      <c r="AL124" s="118">
        <f t="shared" si="35"/>
        <v>0.7104166666666667</v>
      </c>
      <c r="AM124" s="114">
        <f t="shared" si="36"/>
        <v>0</v>
      </c>
      <c r="AN124" s="115">
        <f>IF(AM124="","",IF($D$5="Average",INDEX(Tbl_Walk_Avg[#All],MATCH('Model 2 - Permutations'!G124,Tbl_Walk_Avg[[#All],[Ride]],0),MATCH('Model 2 - Permutations'!H124,Tbl_Walk_Avg[#Headers],0)),INDEX(Tbl_Walk_Leisure[#All],MATCH('Model 2 - Permutations'!G124,Tbl_Walk_Leisure[[#All],[Ride]],0),MATCH('Model 2 - Permutations'!H124,Tbl_Walk_Leisure[#Headers],0))))</f>
        <v>6.2500000000000003E-3</v>
      </c>
      <c r="AO124" s="113">
        <f t="shared" si="37"/>
        <v>0.71666666666666667</v>
      </c>
      <c r="AP124" s="116">
        <f>IF(AO124="","",IF($D$14="Weekday",INDEX(Tbl_Wait_Wkday[#All],MATCH('Model 2 - Permutations'!AO124,Tbl_Wait_Wkday[[#All],[Time]],1),MATCH('Model 2 - Permutations'!H124,Tbl_Wait_Wkday[#Headers],0)),INDEX(Tbl_Wait_Wkend[#All],MATCH('Model 2 - Permutations'!AO124,Tbl_Wait_Wkend[[#All],[Time]],1),MATCH('Model 2 - Permutations'!H124,Tbl_Wait_Wkend[#Headers],0))))</f>
        <v>3.125E-2</v>
      </c>
      <c r="AQ124" s="117">
        <f>IF(AP124="","",VLOOKUP(H124,Tbl_Ride[#Data],2,FALSE))</f>
        <v>3.4722222222222225E-3</v>
      </c>
      <c r="AR124" s="118">
        <f t="shared" si="38"/>
        <v>0.75138888888888888</v>
      </c>
      <c r="AS124" s="119">
        <f t="shared" si="39"/>
        <v>2.361111111111111E-2</v>
      </c>
      <c r="AT124" s="119">
        <f t="shared" si="40"/>
        <v>0.13541666666666666</v>
      </c>
      <c r="AU124" s="119">
        <f t="shared" si="41"/>
        <v>0.15902777777777777</v>
      </c>
    </row>
    <row r="125" spans="2:47">
      <c r="B125" s="111">
        <v>80</v>
      </c>
      <c r="C125" s="111" t="s">
        <v>66</v>
      </c>
      <c r="D125" s="112" t="str">
        <f t="shared" si="22"/>
        <v>Revenge of the Mummy</v>
      </c>
      <c r="E125" s="112" t="str">
        <f t="shared" si="22"/>
        <v>Battlestart Galactica: Human</v>
      </c>
      <c r="F125" s="112" t="str">
        <f t="shared" si="22"/>
        <v>Battlestar Galactica: Cylon</v>
      </c>
      <c r="G125" s="112" t="str">
        <f t="shared" si="22"/>
        <v>Transformers The Ride</v>
      </c>
      <c r="H125" s="112" t="str">
        <f t="shared" si="22"/>
        <v>Enchanted Airways</v>
      </c>
      <c r="I125" s="112">
        <v>4</v>
      </c>
      <c r="J125" s="112">
        <v>2</v>
      </c>
      <c r="K125" s="112">
        <v>1</v>
      </c>
      <c r="L125" s="112">
        <v>5</v>
      </c>
      <c r="M125" s="112">
        <v>3</v>
      </c>
      <c r="N125" s="113">
        <f t="shared" si="23"/>
        <v>0.5</v>
      </c>
      <c r="O125" s="114">
        <f t="shared" si="24"/>
        <v>0</v>
      </c>
      <c r="P125" s="115">
        <f>IF($D$5="Average",INDEX(Tbl_Walk_Avg[#All],MATCH('Model 2 - Permutations'!C125,Tbl_Walk_Avg[[#All],[Ride]],0),MATCH('Model 2 - Permutations'!D125,Tbl_Walk_Avg[#Headers],0)),INDEX(Tbl_Walk_Leisure[#All],MATCH('Model 2 - Permutations'!C125,Tbl_Walk_Leisure[[#All],[Ride]],0),MATCH('Model 2 - Permutations'!D125,Tbl_Walk_Leisure[#Headers],0)))</f>
        <v>8.3333333333333332E-3</v>
      </c>
      <c r="Q125" s="113">
        <f t="shared" si="25"/>
        <v>0.5083333333333333</v>
      </c>
      <c r="R125" s="116">
        <f>IF(Q125="","",IF($D$14="Weekday",INDEX(Tbl_Wait_Wkday[#All],MATCH('Model 2 - Permutations'!Q125,Tbl_Wait_Wkday[[#All],[Time]],1),MATCH('Model 2 - Permutations'!D125,Tbl_Wait_Wkday[#Headers],0)),INDEX(Tbl_Wait_Wkend[#All],MATCH('Model 2 - Permutations'!Q125,Tbl_Wait_Wkend[[#All],[Time]],1),MATCH('Model 2 - Permutations'!D125,Tbl_Wait_Wkend[#Headers],0))))</f>
        <v>1.0416666666666666E-2</v>
      </c>
      <c r="S125" s="117">
        <f>IF(R125="","",VLOOKUP(D125,Tbl_Ride[#Data],2,FALSE))</f>
        <v>2.0833333333333333E-3</v>
      </c>
      <c r="T125" s="118">
        <f t="shared" si="26"/>
        <v>0.52083333333333326</v>
      </c>
      <c r="U125" s="114">
        <f t="shared" si="27"/>
        <v>0</v>
      </c>
      <c r="V125" s="115">
        <f>IF(U125="","",IF($D$5="Average",INDEX(Tbl_Walk_Avg[#All],MATCH('Model 2 - Permutations'!D125,Tbl_Walk_Avg[[#All],[Ride]],0),MATCH('Model 2 - Permutations'!E125,Tbl_Walk_Avg[#Headers],0)),INDEX(Tbl_Walk_Leisure[#All],MATCH('Model 2 - Permutations'!D125,Tbl_Walk_Leisure[[#All],[Ride]],0),MATCH('Model 2 - Permutations'!E125,Tbl_Walk_Leisure[#Headers],0))))</f>
        <v>2.7777777777777779E-3</v>
      </c>
      <c r="W125" s="113">
        <f t="shared" si="28"/>
        <v>0.52361111111111103</v>
      </c>
      <c r="X125" s="116">
        <f>IF(W125="","",IF($D$14="Weekday",INDEX(Tbl_Wait_Wkday[#All],MATCH('Model 2 - Permutations'!W125,Tbl_Wait_Wkday[[#All],[Time]],1),MATCH('Model 2 - Permutations'!E125,Tbl_Wait_Wkday[#Headers],0)),INDEX(Tbl_Wait_Wkend[#All],MATCH('Model 2 - Permutations'!W125,Tbl_Wait_Wkend[[#All],[Time]],1),MATCH('Model 2 - Permutations'!E125,Tbl_Wait_Wkend[#Headers],0))))</f>
        <v>2.4305555555555552E-2</v>
      </c>
      <c r="Y125" s="117">
        <f>IF(X125="","",VLOOKUP(E125,Tbl_Ride[#Data],2,FALSE))</f>
        <v>1.3888888888888889E-3</v>
      </c>
      <c r="Z125" s="118">
        <f t="shared" si="29"/>
        <v>0.54930555555555549</v>
      </c>
      <c r="AA125" s="114">
        <f t="shared" si="30"/>
        <v>1</v>
      </c>
      <c r="AB125" s="115">
        <f>IF(AA125="","",IF($D$5="Average",INDEX(Tbl_Walk_Avg[#All],MATCH('Model 2 - Permutations'!E125,Tbl_Walk_Avg[[#All],[Ride]],0),MATCH('Model 2 - Permutations'!F125,Tbl_Walk_Avg[#Headers],0)),INDEX(Tbl_Walk_Leisure[#All],MATCH('Model 2 - Permutations'!E125,Tbl_Walk_Leisure[[#All],[Ride]],0),MATCH('Model 2 - Permutations'!F125,Tbl_Walk_Leisure[#Headers],0))))</f>
        <v>0</v>
      </c>
      <c r="AC125" s="113">
        <f t="shared" si="31"/>
        <v>0.63263888888888886</v>
      </c>
      <c r="AD125" s="116">
        <f>IF(AC125="","",IF($D$14="Weekday",INDEX(Tbl_Wait_Wkday[#All],MATCH('Model 2 - Permutations'!AC125,Tbl_Wait_Wkday[[#All],[Time]],1),MATCH('Model 2 - Permutations'!F125,Tbl_Wait_Wkday[#Headers],0)),INDEX(Tbl_Wait_Wkend[#All],MATCH('Model 2 - Permutations'!AC125,Tbl_Wait_Wkend[[#All],[Time]],1),MATCH('Model 2 - Permutations'!F125,Tbl_Wait_Wkend[#Headers],0))))</f>
        <v>5.2083333333333329E-2</v>
      </c>
      <c r="AE125" s="117">
        <f>IF(AD125="","",VLOOKUP(F125,Tbl_Ride[#Data],2,FALSE))</f>
        <v>1.3888888888888889E-3</v>
      </c>
      <c r="AF125" s="118">
        <f t="shared" si="32"/>
        <v>0.68611111111111112</v>
      </c>
      <c r="AG125" s="114">
        <f t="shared" si="33"/>
        <v>0</v>
      </c>
      <c r="AH125" s="115">
        <f>IF(AG125="","",IF($D$5="Average",INDEX(Tbl_Walk_Avg[#All],MATCH('Model 2 - Permutations'!F125,Tbl_Walk_Avg[[#All],[Ride]],0),MATCH('Model 2 - Permutations'!G125,Tbl_Walk_Avg[#Headers],0)),INDEX(Tbl_Walk_Leisure[#All],MATCH('Model 2 - Permutations'!F125,Tbl_Walk_Leisure[[#All],[Ride]],0),MATCH('Model 2 - Permutations'!G125,Tbl_Walk_Leisure[#Headers],0))))</f>
        <v>2.7777777777777779E-3</v>
      </c>
      <c r="AI125" s="113">
        <f t="shared" si="34"/>
        <v>0.68888888888888888</v>
      </c>
      <c r="AJ125" s="116">
        <f>IF(AI125="","",IF($D$14="Weekday",INDEX(Tbl_Wait_Wkday[#All],MATCH('Model 2 - Permutations'!AI125,Tbl_Wait_Wkday[[#All],[Time]],1),MATCH('Model 2 - Permutations'!G125,Tbl_Wait_Wkday[#Headers],0)),INDEX(Tbl_Wait_Wkend[#All],MATCH('Model 2 - Permutations'!AI125,Tbl_Wait_Wkend[[#All],[Time]],1),MATCH('Model 2 - Permutations'!G125,Tbl_Wait_Wkend[#Headers],0))))</f>
        <v>2.4305555555555552E-2</v>
      </c>
      <c r="AK125" s="117">
        <f>IF(AJ125="","",VLOOKUP(G125,Tbl_Ride[#Data],2,FALSE))</f>
        <v>3.4722222222222225E-3</v>
      </c>
      <c r="AL125" s="118">
        <f t="shared" si="35"/>
        <v>0.71666666666666667</v>
      </c>
      <c r="AM125" s="114">
        <f t="shared" si="36"/>
        <v>0</v>
      </c>
      <c r="AN125" s="115">
        <f>IF(AM125="","",IF($D$5="Average",INDEX(Tbl_Walk_Avg[#All],MATCH('Model 2 - Permutations'!G125,Tbl_Walk_Avg[[#All],[Ride]],0),MATCH('Model 2 - Permutations'!H125,Tbl_Walk_Avg[#Headers],0)),INDEX(Tbl_Walk_Leisure[#All],MATCH('Model 2 - Permutations'!G125,Tbl_Walk_Leisure[[#All],[Ride]],0),MATCH('Model 2 - Permutations'!H125,Tbl_Walk_Leisure[#Headers],0))))</f>
        <v>6.2500000000000003E-3</v>
      </c>
      <c r="AO125" s="113">
        <f t="shared" si="37"/>
        <v>0.72291666666666665</v>
      </c>
      <c r="AP125" s="116">
        <f>IF(AO125="","",IF($D$14="Weekday",INDEX(Tbl_Wait_Wkday[#All],MATCH('Model 2 - Permutations'!AO125,Tbl_Wait_Wkday[[#All],[Time]],1),MATCH('Model 2 - Permutations'!H125,Tbl_Wait_Wkday[#Headers],0)),INDEX(Tbl_Wait_Wkend[#All],MATCH('Model 2 - Permutations'!AO125,Tbl_Wait_Wkend[[#All],[Time]],1),MATCH('Model 2 - Permutations'!H125,Tbl_Wait_Wkend[#Headers],0))))</f>
        <v>1.7361111111111112E-2</v>
      </c>
      <c r="AQ125" s="117">
        <f>IF(AP125="","",VLOOKUP(H125,Tbl_Ride[#Data],2,FALSE))</f>
        <v>6.9444444444444447E-4</v>
      </c>
      <c r="AR125" s="118">
        <f t="shared" si="38"/>
        <v>0.74097222222222225</v>
      </c>
      <c r="AS125" s="119">
        <f t="shared" si="39"/>
        <v>2.013888888888889E-2</v>
      </c>
      <c r="AT125" s="119">
        <f t="shared" si="40"/>
        <v>0.12847222222222221</v>
      </c>
      <c r="AU125" s="119">
        <f t="shared" si="41"/>
        <v>0.14861111111111111</v>
      </c>
    </row>
    <row r="126" spans="2:47">
      <c r="B126" s="111">
        <v>81</v>
      </c>
      <c r="C126" s="111" t="s">
        <v>66</v>
      </c>
      <c r="D126" s="112" t="str">
        <f t="shared" si="22"/>
        <v>Revenge of the Mummy</v>
      </c>
      <c r="E126" s="112" t="str">
        <f t="shared" si="22"/>
        <v>Battlestart Galactica: Human</v>
      </c>
      <c r="F126" s="112" t="str">
        <f t="shared" si="22"/>
        <v>Enchanted Airways</v>
      </c>
      <c r="G126" s="112" t="str">
        <f t="shared" si="22"/>
        <v>Battlestar Galactica: Cylon</v>
      </c>
      <c r="H126" s="112" t="str">
        <f t="shared" si="22"/>
        <v>Transformers The Ride</v>
      </c>
      <c r="I126" s="112">
        <v>4</v>
      </c>
      <c r="J126" s="112">
        <v>2</v>
      </c>
      <c r="K126" s="112">
        <v>3</v>
      </c>
      <c r="L126" s="112">
        <v>1</v>
      </c>
      <c r="M126" s="112">
        <v>5</v>
      </c>
      <c r="N126" s="113">
        <f t="shared" si="23"/>
        <v>0.5</v>
      </c>
      <c r="O126" s="114">
        <f t="shared" si="24"/>
        <v>0</v>
      </c>
      <c r="P126" s="115">
        <f>IF($D$5="Average",INDEX(Tbl_Walk_Avg[#All],MATCH('Model 2 - Permutations'!C126,Tbl_Walk_Avg[[#All],[Ride]],0),MATCH('Model 2 - Permutations'!D126,Tbl_Walk_Avg[#Headers],0)),INDEX(Tbl_Walk_Leisure[#All],MATCH('Model 2 - Permutations'!C126,Tbl_Walk_Leisure[[#All],[Ride]],0),MATCH('Model 2 - Permutations'!D126,Tbl_Walk_Leisure[#Headers],0)))</f>
        <v>8.3333333333333332E-3</v>
      </c>
      <c r="Q126" s="113">
        <f t="shared" si="25"/>
        <v>0.5083333333333333</v>
      </c>
      <c r="R126" s="116">
        <f>IF(Q126="","",IF($D$14="Weekday",INDEX(Tbl_Wait_Wkday[#All],MATCH('Model 2 - Permutations'!Q126,Tbl_Wait_Wkday[[#All],[Time]],1),MATCH('Model 2 - Permutations'!D126,Tbl_Wait_Wkday[#Headers],0)),INDEX(Tbl_Wait_Wkend[#All],MATCH('Model 2 - Permutations'!Q126,Tbl_Wait_Wkend[[#All],[Time]],1),MATCH('Model 2 - Permutations'!D126,Tbl_Wait_Wkend[#Headers],0))))</f>
        <v>1.0416666666666666E-2</v>
      </c>
      <c r="S126" s="117">
        <f>IF(R126="","",VLOOKUP(D126,Tbl_Ride[#Data],2,FALSE))</f>
        <v>2.0833333333333333E-3</v>
      </c>
      <c r="T126" s="118">
        <f t="shared" si="26"/>
        <v>0.52083333333333326</v>
      </c>
      <c r="U126" s="114">
        <f t="shared" si="27"/>
        <v>0</v>
      </c>
      <c r="V126" s="115">
        <f>IF(U126="","",IF($D$5="Average",INDEX(Tbl_Walk_Avg[#All],MATCH('Model 2 - Permutations'!D126,Tbl_Walk_Avg[[#All],[Ride]],0),MATCH('Model 2 - Permutations'!E126,Tbl_Walk_Avg[#Headers],0)),INDEX(Tbl_Walk_Leisure[#All],MATCH('Model 2 - Permutations'!D126,Tbl_Walk_Leisure[[#All],[Ride]],0),MATCH('Model 2 - Permutations'!E126,Tbl_Walk_Leisure[#Headers],0))))</f>
        <v>2.7777777777777779E-3</v>
      </c>
      <c r="W126" s="113">
        <f t="shared" si="28"/>
        <v>0.52361111111111103</v>
      </c>
      <c r="X126" s="116">
        <f>IF(W126="","",IF($D$14="Weekday",INDEX(Tbl_Wait_Wkday[#All],MATCH('Model 2 - Permutations'!W126,Tbl_Wait_Wkday[[#All],[Time]],1),MATCH('Model 2 - Permutations'!E126,Tbl_Wait_Wkday[#Headers],0)),INDEX(Tbl_Wait_Wkend[#All],MATCH('Model 2 - Permutations'!W126,Tbl_Wait_Wkend[[#All],[Time]],1),MATCH('Model 2 - Permutations'!E126,Tbl_Wait_Wkend[#Headers],0))))</f>
        <v>2.4305555555555552E-2</v>
      </c>
      <c r="Y126" s="117">
        <f>IF(X126="","",VLOOKUP(E126,Tbl_Ride[#Data],2,FALSE))</f>
        <v>1.3888888888888889E-3</v>
      </c>
      <c r="Z126" s="118">
        <f t="shared" si="29"/>
        <v>0.54930555555555549</v>
      </c>
      <c r="AA126" s="114">
        <f t="shared" si="30"/>
        <v>1</v>
      </c>
      <c r="AB126" s="115">
        <f>IF(AA126="","",IF($D$5="Average",INDEX(Tbl_Walk_Avg[#All],MATCH('Model 2 - Permutations'!E126,Tbl_Walk_Avg[[#All],[Ride]],0),MATCH('Model 2 - Permutations'!F126,Tbl_Walk_Avg[#Headers],0)),INDEX(Tbl_Walk_Leisure[#All],MATCH('Model 2 - Permutations'!E126,Tbl_Walk_Leisure[[#All],[Ride]],0),MATCH('Model 2 - Permutations'!F126,Tbl_Walk_Leisure[#Headers],0))))</f>
        <v>6.2500000000000003E-3</v>
      </c>
      <c r="AC126" s="113">
        <f t="shared" si="31"/>
        <v>0.63888888888888884</v>
      </c>
      <c r="AD126" s="116">
        <f>IF(AC126="","",IF($D$14="Weekday",INDEX(Tbl_Wait_Wkday[#All],MATCH('Model 2 - Permutations'!AC126,Tbl_Wait_Wkday[[#All],[Time]],1),MATCH('Model 2 - Permutations'!F126,Tbl_Wait_Wkday[#Headers],0)),INDEX(Tbl_Wait_Wkend[#All],MATCH('Model 2 - Permutations'!AC126,Tbl_Wait_Wkend[[#All],[Time]],1),MATCH('Model 2 - Permutations'!F126,Tbl_Wait_Wkend[#Headers],0))))</f>
        <v>1.3888888888888888E-2</v>
      </c>
      <c r="AE126" s="117">
        <f>IF(AD126="","",VLOOKUP(F126,Tbl_Ride[#Data],2,FALSE))</f>
        <v>6.9444444444444447E-4</v>
      </c>
      <c r="AF126" s="118">
        <f t="shared" si="32"/>
        <v>0.65347222222222212</v>
      </c>
      <c r="AG126" s="114">
        <f t="shared" si="33"/>
        <v>0</v>
      </c>
      <c r="AH126" s="115">
        <f>IF(AG126="","",IF($D$5="Average",INDEX(Tbl_Walk_Avg[#All],MATCH('Model 2 - Permutations'!F126,Tbl_Walk_Avg[[#All],[Ride]],0),MATCH('Model 2 - Permutations'!G126,Tbl_Walk_Avg[#Headers],0)),INDEX(Tbl_Walk_Leisure[#All],MATCH('Model 2 - Permutations'!F126,Tbl_Walk_Leisure[[#All],[Ride]],0),MATCH('Model 2 - Permutations'!G126,Tbl_Walk_Leisure[#Headers],0))))</f>
        <v>6.2500000000000003E-3</v>
      </c>
      <c r="AI126" s="113">
        <f t="shared" si="34"/>
        <v>0.6597222222222221</v>
      </c>
      <c r="AJ126" s="116">
        <f>IF(AI126="","",IF($D$14="Weekday",INDEX(Tbl_Wait_Wkday[#All],MATCH('Model 2 - Permutations'!AI126,Tbl_Wait_Wkday[[#All],[Time]],1),MATCH('Model 2 - Permutations'!G126,Tbl_Wait_Wkday[#Headers],0)),INDEX(Tbl_Wait_Wkend[#All],MATCH('Model 2 - Permutations'!AI126,Tbl_Wait_Wkend[[#All],[Time]],1),MATCH('Model 2 - Permutations'!G126,Tbl_Wait_Wkend[#Headers],0))))</f>
        <v>5.2083333333333329E-2</v>
      </c>
      <c r="AK126" s="117">
        <f>IF(AJ126="","",VLOOKUP(G126,Tbl_Ride[#Data],2,FALSE))</f>
        <v>1.3888888888888889E-3</v>
      </c>
      <c r="AL126" s="118">
        <f t="shared" si="35"/>
        <v>0.71319444444444435</v>
      </c>
      <c r="AM126" s="114">
        <f t="shared" si="36"/>
        <v>0</v>
      </c>
      <c r="AN126" s="115">
        <f>IF(AM126="","",IF($D$5="Average",INDEX(Tbl_Walk_Avg[#All],MATCH('Model 2 - Permutations'!G126,Tbl_Walk_Avg[[#All],[Ride]],0),MATCH('Model 2 - Permutations'!H126,Tbl_Walk_Avg[#Headers],0)),INDEX(Tbl_Walk_Leisure[#All],MATCH('Model 2 - Permutations'!G126,Tbl_Walk_Leisure[[#All],[Ride]],0),MATCH('Model 2 - Permutations'!H126,Tbl_Walk_Leisure[#Headers],0))))</f>
        <v>2.7777777777777779E-3</v>
      </c>
      <c r="AO126" s="113">
        <f t="shared" si="37"/>
        <v>0.71597222222222212</v>
      </c>
      <c r="AP126" s="116">
        <f>IF(AO126="","",IF($D$14="Weekday",INDEX(Tbl_Wait_Wkday[#All],MATCH('Model 2 - Permutations'!AO126,Tbl_Wait_Wkday[[#All],[Time]],1),MATCH('Model 2 - Permutations'!H126,Tbl_Wait_Wkday[#Headers],0)),INDEX(Tbl_Wait_Wkend[#All],MATCH('Model 2 - Permutations'!AO126,Tbl_Wait_Wkend[[#All],[Time]],1),MATCH('Model 2 - Permutations'!H126,Tbl_Wait_Wkend[#Headers],0))))</f>
        <v>3.125E-2</v>
      </c>
      <c r="AQ126" s="117">
        <f>IF(AP126="","",VLOOKUP(H126,Tbl_Ride[#Data],2,FALSE))</f>
        <v>3.4722222222222225E-3</v>
      </c>
      <c r="AR126" s="118">
        <f t="shared" si="38"/>
        <v>0.75069444444444433</v>
      </c>
      <c r="AS126" s="119">
        <f t="shared" si="39"/>
        <v>2.6388888888888889E-2</v>
      </c>
      <c r="AT126" s="119">
        <f t="shared" si="40"/>
        <v>0.13194444444444442</v>
      </c>
      <c r="AU126" s="119">
        <f t="shared" si="41"/>
        <v>0.1583333333333333</v>
      </c>
    </row>
    <row r="127" spans="2:47">
      <c r="B127" s="111">
        <v>82</v>
      </c>
      <c r="C127" s="111" t="s">
        <v>66</v>
      </c>
      <c r="D127" s="112" t="str">
        <f t="shared" si="22"/>
        <v>Revenge of the Mummy</v>
      </c>
      <c r="E127" s="112" t="str">
        <f t="shared" si="22"/>
        <v>Battlestart Galactica: Human</v>
      </c>
      <c r="F127" s="112" t="str">
        <f t="shared" si="22"/>
        <v>Enchanted Airways</v>
      </c>
      <c r="G127" s="112" t="str">
        <f t="shared" si="22"/>
        <v>Transformers The Ride</v>
      </c>
      <c r="H127" s="112" t="str">
        <f t="shared" si="22"/>
        <v>Battlestar Galactica: Cylon</v>
      </c>
      <c r="I127" s="112">
        <v>4</v>
      </c>
      <c r="J127" s="112">
        <v>2</v>
      </c>
      <c r="K127" s="112">
        <v>3</v>
      </c>
      <c r="L127" s="112">
        <v>5</v>
      </c>
      <c r="M127" s="112">
        <v>1</v>
      </c>
      <c r="N127" s="113">
        <f t="shared" si="23"/>
        <v>0.5</v>
      </c>
      <c r="O127" s="114">
        <f t="shared" si="24"/>
        <v>0</v>
      </c>
      <c r="P127" s="115">
        <f>IF($D$5="Average",INDEX(Tbl_Walk_Avg[#All],MATCH('Model 2 - Permutations'!C127,Tbl_Walk_Avg[[#All],[Ride]],0),MATCH('Model 2 - Permutations'!D127,Tbl_Walk_Avg[#Headers],0)),INDEX(Tbl_Walk_Leisure[#All],MATCH('Model 2 - Permutations'!C127,Tbl_Walk_Leisure[[#All],[Ride]],0),MATCH('Model 2 - Permutations'!D127,Tbl_Walk_Leisure[#Headers],0)))</f>
        <v>8.3333333333333332E-3</v>
      </c>
      <c r="Q127" s="113">
        <f t="shared" si="25"/>
        <v>0.5083333333333333</v>
      </c>
      <c r="R127" s="116">
        <f>IF(Q127="","",IF($D$14="Weekday",INDEX(Tbl_Wait_Wkday[#All],MATCH('Model 2 - Permutations'!Q127,Tbl_Wait_Wkday[[#All],[Time]],1),MATCH('Model 2 - Permutations'!D127,Tbl_Wait_Wkday[#Headers],0)),INDEX(Tbl_Wait_Wkend[#All],MATCH('Model 2 - Permutations'!Q127,Tbl_Wait_Wkend[[#All],[Time]],1),MATCH('Model 2 - Permutations'!D127,Tbl_Wait_Wkend[#Headers],0))))</f>
        <v>1.0416666666666666E-2</v>
      </c>
      <c r="S127" s="117">
        <f>IF(R127="","",VLOOKUP(D127,Tbl_Ride[#Data],2,FALSE))</f>
        <v>2.0833333333333333E-3</v>
      </c>
      <c r="T127" s="118">
        <f t="shared" si="26"/>
        <v>0.52083333333333326</v>
      </c>
      <c r="U127" s="114">
        <f t="shared" si="27"/>
        <v>0</v>
      </c>
      <c r="V127" s="115">
        <f>IF(U127="","",IF($D$5="Average",INDEX(Tbl_Walk_Avg[#All],MATCH('Model 2 - Permutations'!D127,Tbl_Walk_Avg[[#All],[Ride]],0),MATCH('Model 2 - Permutations'!E127,Tbl_Walk_Avg[#Headers],0)),INDEX(Tbl_Walk_Leisure[#All],MATCH('Model 2 - Permutations'!D127,Tbl_Walk_Leisure[[#All],[Ride]],0),MATCH('Model 2 - Permutations'!E127,Tbl_Walk_Leisure[#Headers],0))))</f>
        <v>2.7777777777777779E-3</v>
      </c>
      <c r="W127" s="113">
        <f t="shared" si="28"/>
        <v>0.52361111111111103</v>
      </c>
      <c r="X127" s="116">
        <f>IF(W127="","",IF($D$14="Weekday",INDEX(Tbl_Wait_Wkday[#All],MATCH('Model 2 - Permutations'!W127,Tbl_Wait_Wkday[[#All],[Time]],1),MATCH('Model 2 - Permutations'!E127,Tbl_Wait_Wkday[#Headers],0)),INDEX(Tbl_Wait_Wkend[#All],MATCH('Model 2 - Permutations'!W127,Tbl_Wait_Wkend[[#All],[Time]],1),MATCH('Model 2 - Permutations'!E127,Tbl_Wait_Wkend[#Headers],0))))</f>
        <v>2.4305555555555552E-2</v>
      </c>
      <c r="Y127" s="117">
        <f>IF(X127="","",VLOOKUP(E127,Tbl_Ride[#Data],2,FALSE))</f>
        <v>1.3888888888888889E-3</v>
      </c>
      <c r="Z127" s="118">
        <f t="shared" si="29"/>
        <v>0.54930555555555549</v>
      </c>
      <c r="AA127" s="114">
        <f t="shared" si="30"/>
        <v>1</v>
      </c>
      <c r="AB127" s="115">
        <f>IF(AA127="","",IF($D$5="Average",INDEX(Tbl_Walk_Avg[#All],MATCH('Model 2 - Permutations'!E127,Tbl_Walk_Avg[[#All],[Ride]],0),MATCH('Model 2 - Permutations'!F127,Tbl_Walk_Avg[#Headers],0)),INDEX(Tbl_Walk_Leisure[#All],MATCH('Model 2 - Permutations'!E127,Tbl_Walk_Leisure[[#All],[Ride]],0),MATCH('Model 2 - Permutations'!F127,Tbl_Walk_Leisure[#Headers],0))))</f>
        <v>6.2500000000000003E-3</v>
      </c>
      <c r="AC127" s="113">
        <f t="shared" si="31"/>
        <v>0.63888888888888884</v>
      </c>
      <c r="AD127" s="116">
        <f>IF(AC127="","",IF($D$14="Weekday",INDEX(Tbl_Wait_Wkday[#All],MATCH('Model 2 - Permutations'!AC127,Tbl_Wait_Wkday[[#All],[Time]],1),MATCH('Model 2 - Permutations'!F127,Tbl_Wait_Wkday[#Headers],0)),INDEX(Tbl_Wait_Wkend[#All],MATCH('Model 2 - Permutations'!AC127,Tbl_Wait_Wkend[[#All],[Time]],1),MATCH('Model 2 - Permutations'!F127,Tbl_Wait_Wkend[#Headers],0))))</f>
        <v>1.3888888888888888E-2</v>
      </c>
      <c r="AE127" s="117">
        <f>IF(AD127="","",VLOOKUP(F127,Tbl_Ride[#Data],2,FALSE))</f>
        <v>6.9444444444444447E-4</v>
      </c>
      <c r="AF127" s="118">
        <f t="shared" si="32"/>
        <v>0.65347222222222212</v>
      </c>
      <c r="AG127" s="114">
        <f t="shared" si="33"/>
        <v>0</v>
      </c>
      <c r="AH127" s="115">
        <f>IF(AG127="","",IF($D$5="Average",INDEX(Tbl_Walk_Avg[#All],MATCH('Model 2 - Permutations'!F127,Tbl_Walk_Avg[[#All],[Ride]],0),MATCH('Model 2 - Permutations'!G127,Tbl_Walk_Avg[#Headers],0)),INDEX(Tbl_Walk_Leisure[#All],MATCH('Model 2 - Permutations'!F127,Tbl_Walk_Leisure[[#All],[Ride]],0),MATCH('Model 2 - Permutations'!G127,Tbl_Walk_Leisure[#Headers],0))))</f>
        <v>6.2500000000000003E-3</v>
      </c>
      <c r="AI127" s="113">
        <f t="shared" si="34"/>
        <v>0.6597222222222221</v>
      </c>
      <c r="AJ127" s="116">
        <f>IF(AI127="","",IF($D$14="Weekday",INDEX(Tbl_Wait_Wkday[#All],MATCH('Model 2 - Permutations'!AI127,Tbl_Wait_Wkday[[#All],[Time]],1),MATCH('Model 2 - Permutations'!G127,Tbl_Wait_Wkday[#Headers],0)),INDEX(Tbl_Wait_Wkend[#All],MATCH('Model 2 - Permutations'!AI127,Tbl_Wait_Wkend[[#All],[Time]],1),MATCH('Model 2 - Permutations'!G127,Tbl_Wait_Wkend[#Headers],0))))</f>
        <v>2.4305555555555552E-2</v>
      </c>
      <c r="AK127" s="117">
        <f>IF(AJ127="","",VLOOKUP(G127,Tbl_Ride[#Data],2,FALSE))</f>
        <v>3.4722222222222225E-3</v>
      </c>
      <c r="AL127" s="118">
        <f t="shared" si="35"/>
        <v>0.68749999999999989</v>
      </c>
      <c r="AM127" s="114">
        <f t="shared" si="36"/>
        <v>0</v>
      </c>
      <c r="AN127" s="115">
        <f>IF(AM127="","",IF($D$5="Average",INDEX(Tbl_Walk_Avg[#All],MATCH('Model 2 - Permutations'!G127,Tbl_Walk_Avg[[#All],[Ride]],0),MATCH('Model 2 - Permutations'!H127,Tbl_Walk_Avg[#Headers],0)),INDEX(Tbl_Walk_Leisure[#All],MATCH('Model 2 - Permutations'!G127,Tbl_Walk_Leisure[[#All],[Ride]],0),MATCH('Model 2 - Permutations'!H127,Tbl_Walk_Leisure[#Headers],0))))</f>
        <v>2.7777777777777779E-3</v>
      </c>
      <c r="AO127" s="113">
        <f t="shared" si="37"/>
        <v>0.69027777777777766</v>
      </c>
      <c r="AP127" s="116">
        <f>IF(AO127="","",IF($D$14="Weekday",INDEX(Tbl_Wait_Wkday[#All],MATCH('Model 2 - Permutations'!AO127,Tbl_Wait_Wkday[[#All],[Time]],1),MATCH('Model 2 - Permutations'!H127,Tbl_Wait_Wkday[#Headers],0)),INDEX(Tbl_Wait_Wkend[#All],MATCH('Model 2 - Permutations'!AO127,Tbl_Wait_Wkend[[#All],[Time]],1),MATCH('Model 2 - Permutations'!H127,Tbl_Wait_Wkend[#Headers],0))))</f>
        <v>3.4722222222222224E-2</v>
      </c>
      <c r="AQ127" s="117">
        <f>IF(AP127="","",VLOOKUP(H127,Tbl_Ride[#Data],2,FALSE))</f>
        <v>1.3888888888888889E-3</v>
      </c>
      <c r="AR127" s="118">
        <f t="shared" si="38"/>
        <v>0.72638888888888875</v>
      </c>
      <c r="AS127" s="119">
        <f t="shared" si="39"/>
        <v>2.6388888888888889E-2</v>
      </c>
      <c r="AT127" s="119">
        <f t="shared" si="40"/>
        <v>0.10763888888888888</v>
      </c>
      <c r="AU127" s="119">
        <f t="shared" si="41"/>
        <v>0.13402777777777777</v>
      </c>
    </row>
    <row r="128" spans="2:47">
      <c r="B128" s="111">
        <v>83</v>
      </c>
      <c r="C128" s="111" t="s">
        <v>66</v>
      </c>
      <c r="D128" s="112" t="str">
        <f t="shared" si="22"/>
        <v>Revenge of the Mummy</v>
      </c>
      <c r="E128" s="112" t="str">
        <f t="shared" si="22"/>
        <v>Battlestart Galactica: Human</v>
      </c>
      <c r="F128" s="112" t="str">
        <f t="shared" si="22"/>
        <v>Transformers The Ride</v>
      </c>
      <c r="G128" s="112" t="str">
        <f t="shared" si="22"/>
        <v>Battlestar Galactica: Cylon</v>
      </c>
      <c r="H128" s="112" t="str">
        <f t="shared" si="22"/>
        <v>Enchanted Airways</v>
      </c>
      <c r="I128" s="112">
        <v>4</v>
      </c>
      <c r="J128" s="112">
        <v>2</v>
      </c>
      <c r="K128" s="112">
        <v>5</v>
      </c>
      <c r="L128" s="112">
        <v>1</v>
      </c>
      <c r="M128" s="112">
        <v>3</v>
      </c>
      <c r="N128" s="113">
        <f t="shared" si="23"/>
        <v>0.5</v>
      </c>
      <c r="O128" s="114">
        <f t="shared" si="24"/>
        <v>0</v>
      </c>
      <c r="P128" s="115">
        <f>IF($D$5="Average",INDEX(Tbl_Walk_Avg[#All],MATCH('Model 2 - Permutations'!C128,Tbl_Walk_Avg[[#All],[Ride]],0),MATCH('Model 2 - Permutations'!D128,Tbl_Walk_Avg[#Headers],0)),INDEX(Tbl_Walk_Leisure[#All],MATCH('Model 2 - Permutations'!C128,Tbl_Walk_Leisure[[#All],[Ride]],0),MATCH('Model 2 - Permutations'!D128,Tbl_Walk_Leisure[#Headers],0)))</f>
        <v>8.3333333333333332E-3</v>
      </c>
      <c r="Q128" s="113">
        <f t="shared" si="25"/>
        <v>0.5083333333333333</v>
      </c>
      <c r="R128" s="116">
        <f>IF(Q128="","",IF($D$14="Weekday",INDEX(Tbl_Wait_Wkday[#All],MATCH('Model 2 - Permutations'!Q128,Tbl_Wait_Wkday[[#All],[Time]],1),MATCH('Model 2 - Permutations'!D128,Tbl_Wait_Wkday[#Headers],0)),INDEX(Tbl_Wait_Wkend[#All],MATCH('Model 2 - Permutations'!Q128,Tbl_Wait_Wkend[[#All],[Time]],1),MATCH('Model 2 - Permutations'!D128,Tbl_Wait_Wkend[#Headers],0))))</f>
        <v>1.0416666666666666E-2</v>
      </c>
      <c r="S128" s="117">
        <f>IF(R128="","",VLOOKUP(D128,Tbl_Ride[#Data],2,FALSE))</f>
        <v>2.0833333333333333E-3</v>
      </c>
      <c r="T128" s="118">
        <f t="shared" si="26"/>
        <v>0.52083333333333326</v>
      </c>
      <c r="U128" s="114">
        <f t="shared" si="27"/>
        <v>0</v>
      </c>
      <c r="V128" s="115">
        <f>IF(U128="","",IF($D$5="Average",INDEX(Tbl_Walk_Avg[#All],MATCH('Model 2 - Permutations'!D128,Tbl_Walk_Avg[[#All],[Ride]],0),MATCH('Model 2 - Permutations'!E128,Tbl_Walk_Avg[#Headers],0)),INDEX(Tbl_Walk_Leisure[#All],MATCH('Model 2 - Permutations'!D128,Tbl_Walk_Leisure[[#All],[Ride]],0),MATCH('Model 2 - Permutations'!E128,Tbl_Walk_Leisure[#Headers],0))))</f>
        <v>2.7777777777777779E-3</v>
      </c>
      <c r="W128" s="113">
        <f t="shared" si="28"/>
        <v>0.52361111111111103</v>
      </c>
      <c r="X128" s="116">
        <f>IF(W128="","",IF($D$14="Weekday",INDEX(Tbl_Wait_Wkday[#All],MATCH('Model 2 - Permutations'!W128,Tbl_Wait_Wkday[[#All],[Time]],1),MATCH('Model 2 - Permutations'!E128,Tbl_Wait_Wkday[#Headers],0)),INDEX(Tbl_Wait_Wkend[#All],MATCH('Model 2 - Permutations'!W128,Tbl_Wait_Wkend[[#All],[Time]],1),MATCH('Model 2 - Permutations'!E128,Tbl_Wait_Wkend[#Headers],0))))</f>
        <v>2.4305555555555552E-2</v>
      </c>
      <c r="Y128" s="117">
        <f>IF(X128="","",VLOOKUP(E128,Tbl_Ride[#Data],2,FALSE))</f>
        <v>1.3888888888888889E-3</v>
      </c>
      <c r="Z128" s="118">
        <f t="shared" si="29"/>
        <v>0.54930555555555549</v>
      </c>
      <c r="AA128" s="114">
        <f t="shared" si="30"/>
        <v>1</v>
      </c>
      <c r="AB128" s="115">
        <f>IF(AA128="","",IF($D$5="Average",INDEX(Tbl_Walk_Avg[#All],MATCH('Model 2 - Permutations'!E128,Tbl_Walk_Avg[[#All],[Ride]],0),MATCH('Model 2 - Permutations'!F128,Tbl_Walk_Avg[#Headers],0)),INDEX(Tbl_Walk_Leisure[#All],MATCH('Model 2 - Permutations'!E128,Tbl_Walk_Leisure[[#All],[Ride]],0),MATCH('Model 2 - Permutations'!F128,Tbl_Walk_Leisure[#Headers],0))))</f>
        <v>2.7777777777777779E-3</v>
      </c>
      <c r="AC128" s="113">
        <f t="shared" si="31"/>
        <v>0.63541666666666663</v>
      </c>
      <c r="AD128" s="116">
        <f>IF(AC128="","",IF($D$14="Weekday",INDEX(Tbl_Wait_Wkday[#All],MATCH('Model 2 - Permutations'!AC128,Tbl_Wait_Wkday[[#All],[Time]],1),MATCH('Model 2 - Permutations'!F128,Tbl_Wait_Wkday[#Headers],0)),INDEX(Tbl_Wait_Wkend[#All],MATCH('Model 2 - Permutations'!AC128,Tbl_Wait_Wkend[[#All],[Time]],1),MATCH('Model 2 - Permutations'!F128,Tbl_Wait_Wkend[#Headers],0))))</f>
        <v>2.4305555555555552E-2</v>
      </c>
      <c r="AE128" s="117">
        <f>IF(AD128="","",VLOOKUP(F128,Tbl_Ride[#Data],2,FALSE))</f>
        <v>3.4722222222222225E-3</v>
      </c>
      <c r="AF128" s="118">
        <f t="shared" si="32"/>
        <v>0.66319444444444442</v>
      </c>
      <c r="AG128" s="114">
        <f t="shared" si="33"/>
        <v>0</v>
      </c>
      <c r="AH128" s="115">
        <f>IF(AG128="","",IF($D$5="Average",INDEX(Tbl_Walk_Avg[#All],MATCH('Model 2 - Permutations'!F128,Tbl_Walk_Avg[[#All],[Ride]],0),MATCH('Model 2 - Permutations'!G128,Tbl_Walk_Avg[#Headers],0)),INDEX(Tbl_Walk_Leisure[#All],MATCH('Model 2 - Permutations'!F128,Tbl_Walk_Leisure[[#All],[Ride]],0),MATCH('Model 2 - Permutations'!G128,Tbl_Walk_Leisure[#Headers],0))))</f>
        <v>2.7777777777777779E-3</v>
      </c>
      <c r="AI128" s="113">
        <f t="shared" si="34"/>
        <v>0.66597222222222219</v>
      </c>
      <c r="AJ128" s="116">
        <f>IF(AI128="","",IF($D$14="Weekday",INDEX(Tbl_Wait_Wkday[#All],MATCH('Model 2 - Permutations'!AI128,Tbl_Wait_Wkday[[#All],[Time]],1),MATCH('Model 2 - Permutations'!G128,Tbl_Wait_Wkday[#Headers],0)),INDEX(Tbl_Wait_Wkend[#All],MATCH('Model 2 - Permutations'!AI128,Tbl_Wait_Wkend[[#All],[Time]],1),MATCH('Model 2 - Permutations'!G128,Tbl_Wait_Wkend[#Headers],0))))</f>
        <v>5.2083333333333329E-2</v>
      </c>
      <c r="AK128" s="117">
        <f>IF(AJ128="","",VLOOKUP(G128,Tbl_Ride[#Data],2,FALSE))</f>
        <v>1.3888888888888889E-3</v>
      </c>
      <c r="AL128" s="118">
        <f t="shared" si="35"/>
        <v>0.71944444444444444</v>
      </c>
      <c r="AM128" s="114">
        <f t="shared" si="36"/>
        <v>0</v>
      </c>
      <c r="AN128" s="115">
        <f>IF(AM128="","",IF($D$5="Average",INDEX(Tbl_Walk_Avg[#All],MATCH('Model 2 - Permutations'!G128,Tbl_Walk_Avg[[#All],[Ride]],0),MATCH('Model 2 - Permutations'!H128,Tbl_Walk_Avg[#Headers],0)),INDEX(Tbl_Walk_Leisure[#All],MATCH('Model 2 - Permutations'!G128,Tbl_Walk_Leisure[[#All],[Ride]],0),MATCH('Model 2 - Permutations'!H128,Tbl_Walk_Leisure[#Headers],0))))</f>
        <v>6.2500000000000003E-3</v>
      </c>
      <c r="AO128" s="113">
        <f t="shared" si="37"/>
        <v>0.72569444444444442</v>
      </c>
      <c r="AP128" s="116">
        <f>IF(AO128="","",IF($D$14="Weekday",INDEX(Tbl_Wait_Wkday[#All],MATCH('Model 2 - Permutations'!AO128,Tbl_Wait_Wkday[[#All],[Time]],1),MATCH('Model 2 - Permutations'!H128,Tbl_Wait_Wkday[#Headers],0)),INDEX(Tbl_Wait_Wkend[#All],MATCH('Model 2 - Permutations'!AO128,Tbl_Wait_Wkend[[#All],[Time]],1),MATCH('Model 2 - Permutations'!H128,Tbl_Wait_Wkend[#Headers],0))))</f>
        <v>1.7361111111111112E-2</v>
      </c>
      <c r="AQ128" s="117">
        <f>IF(AP128="","",VLOOKUP(H128,Tbl_Ride[#Data],2,FALSE))</f>
        <v>6.9444444444444447E-4</v>
      </c>
      <c r="AR128" s="118">
        <f t="shared" si="38"/>
        <v>0.74375000000000002</v>
      </c>
      <c r="AS128" s="119">
        <f t="shared" si="39"/>
        <v>2.2916666666666669E-2</v>
      </c>
      <c r="AT128" s="119">
        <f t="shared" si="40"/>
        <v>0.12847222222222221</v>
      </c>
      <c r="AU128" s="119">
        <f t="shared" si="41"/>
        <v>0.15138888888888888</v>
      </c>
    </row>
    <row r="129" spans="2:47">
      <c r="B129" s="111">
        <v>84</v>
      </c>
      <c r="C129" s="111" t="s">
        <v>66</v>
      </c>
      <c r="D129" s="112" t="str">
        <f t="shared" si="22"/>
        <v>Revenge of the Mummy</v>
      </c>
      <c r="E129" s="112" t="str">
        <f t="shared" si="22"/>
        <v>Battlestart Galactica: Human</v>
      </c>
      <c r="F129" s="112" t="str">
        <f t="shared" si="22"/>
        <v>Transformers The Ride</v>
      </c>
      <c r="G129" s="112" t="str">
        <f t="shared" si="22"/>
        <v>Enchanted Airways</v>
      </c>
      <c r="H129" s="112" t="str">
        <f t="shared" si="22"/>
        <v>Battlestar Galactica: Cylon</v>
      </c>
      <c r="I129" s="112">
        <v>4</v>
      </c>
      <c r="J129" s="112">
        <v>2</v>
      </c>
      <c r="K129" s="112">
        <v>5</v>
      </c>
      <c r="L129" s="112">
        <v>3</v>
      </c>
      <c r="M129" s="112">
        <v>1</v>
      </c>
      <c r="N129" s="113">
        <f t="shared" si="23"/>
        <v>0.5</v>
      </c>
      <c r="O129" s="114">
        <f t="shared" si="24"/>
        <v>0</v>
      </c>
      <c r="P129" s="115">
        <f>IF($D$5="Average",INDEX(Tbl_Walk_Avg[#All],MATCH('Model 2 - Permutations'!C129,Tbl_Walk_Avg[[#All],[Ride]],0),MATCH('Model 2 - Permutations'!D129,Tbl_Walk_Avg[#Headers],0)),INDEX(Tbl_Walk_Leisure[#All],MATCH('Model 2 - Permutations'!C129,Tbl_Walk_Leisure[[#All],[Ride]],0),MATCH('Model 2 - Permutations'!D129,Tbl_Walk_Leisure[#Headers],0)))</f>
        <v>8.3333333333333332E-3</v>
      </c>
      <c r="Q129" s="113">
        <f t="shared" si="25"/>
        <v>0.5083333333333333</v>
      </c>
      <c r="R129" s="116">
        <f>IF(Q129="","",IF($D$14="Weekday",INDEX(Tbl_Wait_Wkday[#All],MATCH('Model 2 - Permutations'!Q129,Tbl_Wait_Wkday[[#All],[Time]],1),MATCH('Model 2 - Permutations'!D129,Tbl_Wait_Wkday[#Headers],0)),INDEX(Tbl_Wait_Wkend[#All],MATCH('Model 2 - Permutations'!Q129,Tbl_Wait_Wkend[[#All],[Time]],1),MATCH('Model 2 - Permutations'!D129,Tbl_Wait_Wkend[#Headers],0))))</f>
        <v>1.0416666666666666E-2</v>
      </c>
      <c r="S129" s="117">
        <f>IF(R129="","",VLOOKUP(D129,Tbl_Ride[#Data],2,FALSE))</f>
        <v>2.0833333333333333E-3</v>
      </c>
      <c r="T129" s="118">
        <f t="shared" si="26"/>
        <v>0.52083333333333326</v>
      </c>
      <c r="U129" s="114">
        <f t="shared" si="27"/>
        <v>0</v>
      </c>
      <c r="V129" s="115">
        <f>IF(U129="","",IF($D$5="Average",INDEX(Tbl_Walk_Avg[#All],MATCH('Model 2 - Permutations'!D129,Tbl_Walk_Avg[[#All],[Ride]],0),MATCH('Model 2 - Permutations'!E129,Tbl_Walk_Avg[#Headers],0)),INDEX(Tbl_Walk_Leisure[#All],MATCH('Model 2 - Permutations'!D129,Tbl_Walk_Leisure[[#All],[Ride]],0),MATCH('Model 2 - Permutations'!E129,Tbl_Walk_Leisure[#Headers],0))))</f>
        <v>2.7777777777777779E-3</v>
      </c>
      <c r="W129" s="113">
        <f t="shared" si="28"/>
        <v>0.52361111111111103</v>
      </c>
      <c r="X129" s="116">
        <f>IF(W129="","",IF($D$14="Weekday",INDEX(Tbl_Wait_Wkday[#All],MATCH('Model 2 - Permutations'!W129,Tbl_Wait_Wkday[[#All],[Time]],1),MATCH('Model 2 - Permutations'!E129,Tbl_Wait_Wkday[#Headers],0)),INDEX(Tbl_Wait_Wkend[#All],MATCH('Model 2 - Permutations'!W129,Tbl_Wait_Wkend[[#All],[Time]],1),MATCH('Model 2 - Permutations'!E129,Tbl_Wait_Wkend[#Headers],0))))</f>
        <v>2.4305555555555552E-2</v>
      </c>
      <c r="Y129" s="117">
        <f>IF(X129="","",VLOOKUP(E129,Tbl_Ride[#Data],2,FALSE))</f>
        <v>1.3888888888888889E-3</v>
      </c>
      <c r="Z129" s="118">
        <f t="shared" si="29"/>
        <v>0.54930555555555549</v>
      </c>
      <c r="AA129" s="114">
        <f t="shared" si="30"/>
        <v>1</v>
      </c>
      <c r="AB129" s="115">
        <f>IF(AA129="","",IF($D$5="Average",INDEX(Tbl_Walk_Avg[#All],MATCH('Model 2 - Permutations'!E129,Tbl_Walk_Avg[[#All],[Ride]],0),MATCH('Model 2 - Permutations'!F129,Tbl_Walk_Avg[#Headers],0)),INDEX(Tbl_Walk_Leisure[#All],MATCH('Model 2 - Permutations'!E129,Tbl_Walk_Leisure[[#All],[Ride]],0),MATCH('Model 2 - Permutations'!F129,Tbl_Walk_Leisure[#Headers],0))))</f>
        <v>2.7777777777777779E-3</v>
      </c>
      <c r="AC129" s="113">
        <f t="shared" si="31"/>
        <v>0.63541666666666663</v>
      </c>
      <c r="AD129" s="116">
        <f>IF(AC129="","",IF($D$14="Weekday",INDEX(Tbl_Wait_Wkday[#All],MATCH('Model 2 - Permutations'!AC129,Tbl_Wait_Wkday[[#All],[Time]],1),MATCH('Model 2 - Permutations'!F129,Tbl_Wait_Wkday[#Headers],0)),INDEX(Tbl_Wait_Wkend[#All],MATCH('Model 2 - Permutations'!AC129,Tbl_Wait_Wkend[[#All],[Time]],1),MATCH('Model 2 - Permutations'!F129,Tbl_Wait_Wkend[#Headers],0))))</f>
        <v>2.4305555555555552E-2</v>
      </c>
      <c r="AE129" s="117">
        <f>IF(AD129="","",VLOOKUP(F129,Tbl_Ride[#Data],2,FALSE))</f>
        <v>3.4722222222222225E-3</v>
      </c>
      <c r="AF129" s="118">
        <f t="shared" si="32"/>
        <v>0.66319444444444442</v>
      </c>
      <c r="AG129" s="114">
        <f t="shared" si="33"/>
        <v>0</v>
      </c>
      <c r="AH129" s="115">
        <f>IF(AG129="","",IF($D$5="Average",INDEX(Tbl_Walk_Avg[#All],MATCH('Model 2 - Permutations'!F129,Tbl_Walk_Avg[[#All],[Ride]],0),MATCH('Model 2 - Permutations'!G129,Tbl_Walk_Avg[#Headers],0)),INDEX(Tbl_Walk_Leisure[#All],MATCH('Model 2 - Permutations'!F129,Tbl_Walk_Leisure[[#All],[Ride]],0),MATCH('Model 2 - Permutations'!G129,Tbl_Walk_Leisure[#Headers],0))))</f>
        <v>6.2500000000000003E-3</v>
      </c>
      <c r="AI129" s="113">
        <f t="shared" si="34"/>
        <v>0.6694444444444444</v>
      </c>
      <c r="AJ129" s="116">
        <f>IF(AI129="","",IF($D$14="Weekday",INDEX(Tbl_Wait_Wkday[#All],MATCH('Model 2 - Permutations'!AI129,Tbl_Wait_Wkday[[#All],[Time]],1),MATCH('Model 2 - Permutations'!G129,Tbl_Wait_Wkday[#Headers],0)),INDEX(Tbl_Wait_Wkend[#All],MATCH('Model 2 - Permutations'!AI129,Tbl_Wait_Wkend[[#All],[Time]],1),MATCH('Model 2 - Permutations'!G129,Tbl_Wait_Wkend[#Headers],0))))</f>
        <v>1.7361111111111112E-2</v>
      </c>
      <c r="AK129" s="117">
        <f>IF(AJ129="","",VLOOKUP(G129,Tbl_Ride[#Data],2,FALSE))</f>
        <v>6.9444444444444447E-4</v>
      </c>
      <c r="AL129" s="118">
        <f t="shared" si="35"/>
        <v>0.6875</v>
      </c>
      <c r="AM129" s="114">
        <f t="shared" si="36"/>
        <v>0</v>
      </c>
      <c r="AN129" s="115">
        <f>IF(AM129="","",IF($D$5="Average",INDEX(Tbl_Walk_Avg[#All],MATCH('Model 2 - Permutations'!G129,Tbl_Walk_Avg[[#All],[Ride]],0),MATCH('Model 2 - Permutations'!H129,Tbl_Walk_Avg[#Headers],0)),INDEX(Tbl_Walk_Leisure[#All],MATCH('Model 2 - Permutations'!G129,Tbl_Walk_Leisure[[#All],[Ride]],0),MATCH('Model 2 - Permutations'!H129,Tbl_Walk_Leisure[#Headers],0))))</f>
        <v>6.2500000000000003E-3</v>
      </c>
      <c r="AO129" s="113">
        <f t="shared" si="37"/>
        <v>0.69374999999999998</v>
      </c>
      <c r="AP129" s="116">
        <f>IF(AO129="","",IF($D$14="Weekday",INDEX(Tbl_Wait_Wkday[#All],MATCH('Model 2 - Permutations'!AO129,Tbl_Wait_Wkday[[#All],[Time]],1),MATCH('Model 2 - Permutations'!H129,Tbl_Wait_Wkday[#Headers],0)),INDEX(Tbl_Wait_Wkend[#All],MATCH('Model 2 - Permutations'!AO129,Tbl_Wait_Wkend[[#All],[Time]],1),MATCH('Model 2 - Permutations'!H129,Tbl_Wait_Wkend[#Headers],0))))</f>
        <v>3.4722222222222224E-2</v>
      </c>
      <c r="AQ129" s="117">
        <f>IF(AP129="","",VLOOKUP(H129,Tbl_Ride[#Data],2,FALSE))</f>
        <v>1.3888888888888889E-3</v>
      </c>
      <c r="AR129" s="118">
        <f t="shared" si="38"/>
        <v>0.72986111111111107</v>
      </c>
      <c r="AS129" s="119">
        <f t="shared" si="39"/>
        <v>2.6388888888888892E-2</v>
      </c>
      <c r="AT129" s="119">
        <f t="shared" si="40"/>
        <v>0.1111111111111111</v>
      </c>
      <c r="AU129" s="119">
        <f t="shared" si="41"/>
        <v>0.13750000000000001</v>
      </c>
    </row>
    <row r="130" spans="2:47">
      <c r="B130" s="111">
        <v>85</v>
      </c>
      <c r="C130" s="111" t="s">
        <v>66</v>
      </c>
      <c r="D130" s="112" t="str">
        <f t="shared" si="22"/>
        <v>Revenge of the Mummy</v>
      </c>
      <c r="E130" s="112" t="str">
        <f t="shared" si="22"/>
        <v>Enchanted Airways</v>
      </c>
      <c r="F130" s="112" t="str">
        <f t="shared" si="22"/>
        <v>Battlestar Galactica: Cylon</v>
      </c>
      <c r="G130" s="112" t="str">
        <f t="shared" si="22"/>
        <v>Battlestart Galactica: Human</v>
      </c>
      <c r="H130" s="112" t="str">
        <f t="shared" si="22"/>
        <v>Transformers The Ride</v>
      </c>
      <c r="I130" s="112">
        <v>4</v>
      </c>
      <c r="J130" s="112">
        <v>3</v>
      </c>
      <c r="K130" s="112">
        <v>1</v>
      </c>
      <c r="L130" s="112">
        <v>2</v>
      </c>
      <c r="M130" s="112">
        <v>5</v>
      </c>
      <c r="N130" s="113">
        <f t="shared" si="23"/>
        <v>0.5</v>
      </c>
      <c r="O130" s="114">
        <f t="shared" si="24"/>
        <v>0</v>
      </c>
      <c r="P130" s="115">
        <f>IF($D$5="Average",INDEX(Tbl_Walk_Avg[#All],MATCH('Model 2 - Permutations'!C130,Tbl_Walk_Avg[[#All],[Ride]],0),MATCH('Model 2 - Permutations'!D130,Tbl_Walk_Avg[#Headers],0)),INDEX(Tbl_Walk_Leisure[#All],MATCH('Model 2 - Permutations'!C130,Tbl_Walk_Leisure[[#All],[Ride]],0),MATCH('Model 2 - Permutations'!D130,Tbl_Walk_Leisure[#Headers],0)))</f>
        <v>8.3333333333333332E-3</v>
      </c>
      <c r="Q130" s="113">
        <f t="shared" si="25"/>
        <v>0.5083333333333333</v>
      </c>
      <c r="R130" s="116">
        <f>IF(Q130="","",IF($D$14="Weekday",INDEX(Tbl_Wait_Wkday[#All],MATCH('Model 2 - Permutations'!Q130,Tbl_Wait_Wkday[[#All],[Time]],1),MATCH('Model 2 - Permutations'!D130,Tbl_Wait_Wkday[#Headers],0)),INDEX(Tbl_Wait_Wkend[#All],MATCH('Model 2 - Permutations'!Q130,Tbl_Wait_Wkend[[#All],[Time]],1),MATCH('Model 2 - Permutations'!D130,Tbl_Wait_Wkend[#Headers],0))))</f>
        <v>1.0416666666666666E-2</v>
      </c>
      <c r="S130" s="117">
        <f>IF(R130="","",VLOOKUP(D130,Tbl_Ride[#Data],2,FALSE))</f>
        <v>2.0833333333333333E-3</v>
      </c>
      <c r="T130" s="118">
        <f t="shared" si="26"/>
        <v>0.52083333333333326</v>
      </c>
      <c r="U130" s="114">
        <f t="shared" si="27"/>
        <v>0</v>
      </c>
      <c r="V130" s="115">
        <f>IF(U130="","",IF($D$5="Average",INDEX(Tbl_Walk_Avg[#All],MATCH('Model 2 - Permutations'!D130,Tbl_Walk_Avg[[#All],[Ride]],0),MATCH('Model 2 - Permutations'!E130,Tbl_Walk_Avg[#Headers],0)),INDEX(Tbl_Walk_Leisure[#All],MATCH('Model 2 - Permutations'!D130,Tbl_Walk_Leisure[[#All],[Ride]],0),MATCH('Model 2 - Permutations'!E130,Tbl_Walk_Leisure[#Headers],0))))</f>
        <v>4.8611111111111112E-3</v>
      </c>
      <c r="W130" s="113">
        <f t="shared" si="28"/>
        <v>0.52569444444444435</v>
      </c>
      <c r="X130" s="116">
        <f>IF(W130="","",IF($D$14="Weekday",INDEX(Tbl_Wait_Wkday[#All],MATCH('Model 2 - Permutations'!W130,Tbl_Wait_Wkday[[#All],[Time]],1),MATCH('Model 2 - Permutations'!E130,Tbl_Wait_Wkday[#Headers],0)),INDEX(Tbl_Wait_Wkend[#All],MATCH('Model 2 - Permutations'!W130,Tbl_Wait_Wkend[[#All],[Time]],1),MATCH('Model 2 - Permutations'!E130,Tbl_Wait_Wkend[#Headers],0))))</f>
        <v>1.3888888888888888E-2</v>
      </c>
      <c r="Y130" s="117">
        <f>IF(X130="","",VLOOKUP(E130,Tbl_Ride[#Data],2,FALSE))</f>
        <v>6.9444444444444447E-4</v>
      </c>
      <c r="Z130" s="118">
        <f t="shared" si="29"/>
        <v>0.54027777777777763</v>
      </c>
      <c r="AA130" s="114">
        <f t="shared" si="30"/>
        <v>0</v>
      </c>
      <c r="AB130" s="115">
        <f>IF(AA130="","",IF($D$5="Average",INDEX(Tbl_Walk_Avg[#All],MATCH('Model 2 - Permutations'!E130,Tbl_Walk_Avg[[#All],[Ride]],0),MATCH('Model 2 - Permutations'!F130,Tbl_Walk_Avg[#Headers],0)),INDEX(Tbl_Walk_Leisure[#All],MATCH('Model 2 - Permutations'!E130,Tbl_Walk_Leisure[[#All],[Ride]],0),MATCH('Model 2 - Permutations'!F130,Tbl_Walk_Leisure[#Headers],0))))</f>
        <v>6.2500000000000003E-3</v>
      </c>
      <c r="AC130" s="113">
        <f t="shared" si="31"/>
        <v>0.54652777777777761</v>
      </c>
      <c r="AD130" s="116">
        <f>IF(AC130="","",IF($D$14="Weekday",INDEX(Tbl_Wait_Wkday[#All],MATCH('Model 2 - Permutations'!AC130,Tbl_Wait_Wkday[[#All],[Time]],1),MATCH('Model 2 - Permutations'!F130,Tbl_Wait_Wkday[#Headers],0)),INDEX(Tbl_Wait_Wkend[#All],MATCH('Model 2 - Permutations'!AC130,Tbl_Wait_Wkend[[#All],[Time]],1),MATCH('Model 2 - Permutations'!F130,Tbl_Wait_Wkend[#Headers],0))))</f>
        <v>4.1666666666666664E-2</v>
      </c>
      <c r="AE130" s="117">
        <f>IF(AD130="","",VLOOKUP(F130,Tbl_Ride[#Data],2,FALSE))</f>
        <v>1.3888888888888889E-3</v>
      </c>
      <c r="AF130" s="118">
        <f t="shared" si="32"/>
        <v>0.58958333333333313</v>
      </c>
      <c r="AG130" s="114">
        <f t="shared" si="33"/>
        <v>1</v>
      </c>
      <c r="AH130" s="115">
        <f>IF(AG130="","",IF($D$5="Average",INDEX(Tbl_Walk_Avg[#All],MATCH('Model 2 - Permutations'!F130,Tbl_Walk_Avg[[#All],[Ride]],0),MATCH('Model 2 - Permutations'!G130,Tbl_Walk_Avg[#Headers],0)),INDEX(Tbl_Walk_Leisure[#All],MATCH('Model 2 - Permutations'!F130,Tbl_Walk_Leisure[[#All],[Ride]],0),MATCH('Model 2 - Permutations'!G130,Tbl_Walk_Leisure[#Headers],0))))</f>
        <v>0</v>
      </c>
      <c r="AI130" s="113">
        <f t="shared" si="34"/>
        <v>0.6729166666666665</v>
      </c>
      <c r="AJ130" s="116">
        <f>IF(AI130="","",IF($D$14="Weekday",INDEX(Tbl_Wait_Wkday[#All],MATCH('Model 2 - Permutations'!AI130,Tbl_Wait_Wkday[[#All],[Time]],1),MATCH('Model 2 - Permutations'!G130,Tbl_Wait_Wkday[#Headers],0)),INDEX(Tbl_Wait_Wkend[#All],MATCH('Model 2 - Permutations'!AI130,Tbl_Wait_Wkend[[#All],[Time]],1),MATCH('Model 2 - Permutations'!G130,Tbl_Wait_Wkend[#Headers],0))))</f>
        <v>4.1666666666666664E-2</v>
      </c>
      <c r="AK130" s="117">
        <f>IF(AJ130="","",VLOOKUP(G130,Tbl_Ride[#Data],2,FALSE))</f>
        <v>1.3888888888888889E-3</v>
      </c>
      <c r="AL130" s="118">
        <f t="shared" si="35"/>
        <v>0.71597222222222201</v>
      </c>
      <c r="AM130" s="114">
        <f t="shared" si="36"/>
        <v>0</v>
      </c>
      <c r="AN130" s="115">
        <f>IF(AM130="","",IF($D$5="Average",INDEX(Tbl_Walk_Avg[#All],MATCH('Model 2 - Permutations'!G130,Tbl_Walk_Avg[[#All],[Ride]],0),MATCH('Model 2 - Permutations'!H130,Tbl_Walk_Avg[#Headers],0)),INDEX(Tbl_Walk_Leisure[#All],MATCH('Model 2 - Permutations'!G130,Tbl_Walk_Leisure[[#All],[Ride]],0),MATCH('Model 2 - Permutations'!H130,Tbl_Walk_Leisure[#Headers],0))))</f>
        <v>2.7777777777777779E-3</v>
      </c>
      <c r="AO130" s="113">
        <f t="shared" si="37"/>
        <v>0.71874999999999978</v>
      </c>
      <c r="AP130" s="116">
        <f>IF(AO130="","",IF($D$14="Weekday",INDEX(Tbl_Wait_Wkday[#All],MATCH('Model 2 - Permutations'!AO130,Tbl_Wait_Wkday[[#All],[Time]],1),MATCH('Model 2 - Permutations'!H130,Tbl_Wait_Wkday[#Headers],0)),INDEX(Tbl_Wait_Wkend[#All],MATCH('Model 2 - Permutations'!AO130,Tbl_Wait_Wkend[[#All],[Time]],1),MATCH('Model 2 - Permutations'!H130,Tbl_Wait_Wkend[#Headers],0))))</f>
        <v>3.125E-2</v>
      </c>
      <c r="AQ130" s="117">
        <f>IF(AP130="","",VLOOKUP(H130,Tbl_Ride[#Data],2,FALSE))</f>
        <v>3.4722222222222225E-3</v>
      </c>
      <c r="AR130" s="118">
        <f t="shared" si="38"/>
        <v>0.75347222222222199</v>
      </c>
      <c r="AS130" s="119">
        <f t="shared" si="39"/>
        <v>2.2222222222222223E-2</v>
      </c>
      <c r="AT130" s="119">
        <f t="shared" si="40"/>
        <v>0.13888888888888887</v>
      </c>
      <c r="AU130" s="119">
        <f t="shared" si="41"/>
        <v>0.16111111111111109</v>
      </c>
    </row>
    <row r="131" spans="2:47">
      <c r="B131" s="111">
        <v>86</v>
      </c>
      <c r="C131" s="111" t="s">
        <v>66</v>
      </c>
      <c r="D131" s="112" t="str">
        <f t="shared" si="22"/>
        <v>Revenge of the Mummy</v>
      </c>
      <c r="E131" s="112" t="str">
        <f t="shared" si="22"/>
        <v>Enchanted Airways</v>
      </c>
      <c r="F131" s="112" t="str">
        <f t="shared" si="22"/>
        <v>Battlestar Galactica: Cylon</v>
      </c>
      <c r="G131" s="112" t="str">
        <f t="shared" si="22"/>
        <v>Transformers The Ride</v>
      </c>
      <c r="H131" s="112" t="str">
        <f t="shared" si="22"/>
        <v>Battlestart Galactica: Human</v>
      </c>
      <c r="I131" s="112">
        <v>4</v>
      </c>
      <c r="J131" s="112">
        <v>3</v>
      </c>
      <c r="K131" s="112">
        <v>1</v>
      </c>
      <c r="L131" s="112">
        <v>5</v>
      </c>
      <c r="M131" s="112">
        <v>2</v>
      </c>
      <c r="N131" s="113">
        <f t="shared" si="23"/>
        <v>0.5</v>
      </c>
      <c r="O131" s="114">
        <f t="shared" si="24"/>
        <v>0</v>
      </c>
      <c r="P131" s="115">
        <f>IF($D$5="Average",INDEX(Tbl_Walk_Avg[#All],MATCH('Model 2 - Permutations'!C131,Tbl_Walk_Avg[[#All],[Ride]],0),MATCH('Model 2 - Permutations'!D131,Tbl_Walk_Avg[#Headers],0)),INDEX(Tbl_Walk_Leisure[#All],MATCH('Model 2 - Permutations'!C131,Tbl_Walk_Leisure[[#All],[Ride]],0),MATCH('Model 2 - Permutations'!D131,Tbl_Walk_Leisure[#Headers],0)))</f>
        <v>8.3333333333333332E-3</v>
      </c>
      <c r="Q131" s="113">
        <f t="shared" si="25"/>
        <v>0.5083333333333333</v>
      </c>
      <c r="R131" s="116">
        <f>IF(Q131="","",IF($D$14="Weekday",INDEX(Tbl_Wait_Wkday[#All],MATCH('Model 2 - Permutations'!Q131,Tbl_Wait_Wkday[[#All],[Time]],1),MATCH('Model 2 - Permutations'!D131,Tbl_Wait_Wkday[#Headers],0)),INDEX(Tbl_Wait_Wkend[#All],MATCH('Model 2 - Permutations'!Q131,Tbl_Wait_Wkend[[#All],[Time]],1),MATCH('Model 2 - Permutations'!D131,Tbl_Wait_Wkend[#Headers],0))))</f>
        <v>1.0416666666666666E-2</v>
      </c>
      <c r="S131" s="117">
        <f>IF(R131="","",VLOOKUP(D131,Tbl_Ride[#Data],2,FALSE))</f>
        <v>2.0833333333333333E-3</v>
      </c>
      <c r="T131" s="118">
        <f t="shared" si="26"/>
        <v>0.52083333333333326</v>
      </c>
      <c r="U131" s="114">
        <f t="shared" si="27"/>
        <v>0</v>
      </c>
      <c r="V131" s="115">
        <f>IF(U131="","",IF($D$5="Average",INDEX(Tbl_Walk_Avg[#All],MATCH('Model 2 - Permutations'!D131,Tbl_Walk_Avg[[#All],[Ride]],0),MATCH('Model 2 - Permutations'!E131,Tbl_Walk_Avg[#Headers],0)),INDEX(Tbl_Walk_Leisure[#All],MATCH('Model 2 - Permutations'!D131,Tbl_Walk_Leisure[[#All],[Ride]],0),MATCH('Model 2 - Permutations'!E131,Tbl_Walk_Leisure[#Headers],0))))</f>
        <v>4.8611111111111112E-3</v>
      </c>
      <c r="W131" s="113">
        <f t="shared" si="28"/>
        <v>0.52569444444444435</v>
      </c>
      <c r="X131" s="116">
        <f>IF(W131="","",IF($D$14="Weekday",INDEX(Tbl_Wait_Wkday[#All],MATCH('Model 2 - Permutations'!W131,Tbl_Wait_Wkday[[#All],[Time]],1),MATCH('Model 2 - Permutations'!E131,Tbl_Wait_Wkday[#Headers],0)),INDEX(Tbl_Wait_Wkend[#All],MATCH('Model 2 - Permutations'!W131,Tbl_Wait_Wkend[[#All],[Time]],1),MATCH('Model 2 - Permutations'!E131,Tbl_Wait_Wkend[#Headers],0))))</f>
        <v>1.3888888888888888E-2</v>
      </c>
      <c r="Y131" s="117">
        <f>IF(X131="","",VLOOKUP(E131,Tbl_Ride[#Data],2,FALSE))</f>
        <v>6.9444444444444447E-4</v>
      </c>
      <c r="Z131" s="118">
        <f t="shared" si="29"/>
        <v>0.54027777777777763</v>
      </c>
      <c r="AA131" s="114">
        <f t="shared" si="30"/>
        <v>0</v>
      </c>
      <c r="AB131" s="115">
        <f>IF(AA131="","",IF($D$5="Average",INDEX(Tbl_Walk_Avg[#All],MATCH('Model 2 - Permutations'!E131,Tbl_Walk_Avg[[#All],[Ride]],0),MATCH('Model 2 - Permutations'!F131,Tbl_Walk_Avg[#Headers],0)),INDEX(Tbl_Walk_Leisure[#All],MATCH('Model 2 - Permutations'!E131,Tbl_Walk_Leisure[[#All],[Ride]],0),MATCH('Model 2 - Permutations'!F131,Tbl_Walk_Leisure[#Headers],0))))</f>
        <v>6.2500000000000003E-3</v>
      </c>
      <c r="AC131" s="113">
        <f t="shared" si="31"/>
        <v>0.54652777777777761</v>
      </c>
      <c r="AD131" s="116">
        <f>IF(AC131="","",IF($D$14="Weekday",INDEX(Tbl_Wait_Wkday[#All],MATCH('Model 2 - Permutations'!AC131,Tbl_Wait_Wkday[[#All],[Time]],1),MATCH('Model 2 - Permutations'!F131,Tbl_Wait_Wkday[#Headers],0)),INDEX(Tbl_Wait_Wkend[#All],MATCH('Model 2 - Permutations'!AC131,Tbl_Wait_Wkend[[#All],[Time]],1),MATCH('Model 2 - Permutations'!F131,Tbl_Wait_Wkend[#Headers],0))))</f>
        <v>4.1666666666666664E-2</v>
      </c>
      <c r="AE131" s="117">
        <f>IF(AD131="","",VLOOKUP(F131,Tbl_Ride[#Data],2,FALSE))</f>
        <v>1.3888888888888889E-3</v>
      </c>
      <c r="AF131" s="118">
        <f t="shared" si="32"/>
        <v>0.58958333333333313</v>
      </c>
      <c r="AG131" s="114">
        <f t="shared" si="33"/>
        <v>1</v>
      </c>
      <c r="AH131" s="115">
        <f>IF(AG131="","",IF($D$5="Average",INDEX(Tbl_Walk_Avg[#All],MATCH('Model 2 - Permutations'!F131,Tbl_Walk_Avg[[#All],[Ride]],0),MATCH('Model 2 - Permutations'!G131,Tbl_Walk_Avg[#Headers],0)),INDEX(Tbl_Walk_Leisure[#All],MATCH('Model 2 - Permutations'!F131,Tbl_Walk_Leisure[[#All],[Ride]],0),MATCH('Model 2 - Permutations'!G131,Tbl_Walk_Leisure[#Headers],0))))</f>
        <v>2.7777777777777779E-3</v>
      </c>
      <c r="AI131" s="113">
        <f t="shared" si="34"/>
        <v>0.67569444444444426</v>
      </c>
      <c r="AJ131" s="116">
        <f>IF(AI131="","",IF($D$14="Weekday",INDEX(Tbl_Wait_Wkday[#All],MATCH('Model 2 - Permutations'!AI131,Tbl_Wait_Wkday[[#All],[Time]],1),MATCH('Model 2 - Permutations'!G131,Tbl_Wait_Wkday[#Headers],0)),INDEX(Tbl_Wait_Wkend[#All],MATCH('Model 2 - Permutations'!AI131,Tbl_Wait_Wkend[[#All],[Time]],1),MATCH('Model 2 - Permutations'!G131,Tbl_Wait_Wkend[#Headers],0))))</f>
        <v>2.4305555555555552E-2</v>
      </c>
      <c r="AK131" s="117">
        <f>IF(AJ131="","",VLOOKUP(G131,Tbl_Ride[#Data],2,FALSE))</f>
        <v>3.4722222222222225E-3</v>
      </c>
      <c r="AL131" s="118">
        <f t="shared" si="35"/>
        <v>0.70347222222222205</v>
      </c>
      <c r="AM131" s="114">
        <f t="shared" si="36"/>
        <v>0</v>
      </c>
      <c r="AN131" s="115">
        <f>IF(AM131="","",IF($D$5="Average",INDEX(Tbl_Walk_Avg[#All],MATCH('Model 2 - Permutations'!G131,Tbl_Walk_Avg[[#All],[Ride]],0),MATCH('Model 2 - Permutations'!H131,Tbl_Walk_Avg[#Headers],0)),INDEX(Tbl_Walk_Leisure[#All],MATCH('Model 2 - Permutations'!G131,Tbl_Walk_Leisure[[#All],[Ride]],0),MATCH('Model 2 - Permutations'!H131,Tbl_Walk_Leisure[#Headers],0))))</f>
        <v>2.7777777777777779E-3</v>
      </c>
      <c r="AO131" s="113">
        <f t="shared" si="37"/>
        <v>0.70624999999999982</v>
      </c>
      <c r="AP131" s="116">
        <f>IF(AO131="","",IF($D$14="Weekday",INDEX(Tbl_Wait_Wkday[#All],MATCH('Model 2 - Permutations'!AO131,Tbl_Wait_Wkday[[#All],[Time]],1),MATCH('Model 2 - Permutations'!H131,Tbl_Wait_Wkday[#Headers],0)),INDEX(Tbl_Wait_Wkend[#All],MATCH('Model 2 - Permutations'!AO131,Tbl_Wait_Wkend[[#All],[Time]],1),MATCH('Model 2 - Permutations'!H131,Tbl_Wait_Wkend[#Headers],0))))</f>
        <v>4.1666666666666664E-2</v>
      </c>
      <c r="AQ131" s="117">
        <f>IF(AP131="","",VLOOKUP(H131,Tbl_Ride[#Data],2,FALSE))</f>
        <v>1.3888888888888889E-3</v>
      </c>
      <c r="AR131" s="118">
        <f t="shared" si="38"/>
        <v>0.74930555555555534</v>
      </c>
      <c r="AS131" s="119">
        <f t="shared" si="39"/>
        <v>2.5000000000000001E-2</v>
      </c>
      <c r="AT131" s="119">
        <f t="shared" si="40"/>
        <v>0.13194444444444442</v>
      </c>
      <c r="AU131" s="119">
        <f t="shared" si="41"/>
        <v>0.15694444444444441</v>
      </c>
    </row>
    <row r="132" spans="2:47">
      <c r="B132" s="111">
        <v>87</v>
      </c>
      <c r="C132" s="111" t="s">
        <v>66</v>
      </c>
      <c r="D132" s="112" t="str">
        <f t="shared" si="22"/>
        <v>Revenge of the Mummy</v>
      </c>
      <c r="E132" s="112" t="str">
        <f t="shared" si="22"/>
        <v>Enchanted Airways</v>
      </c>
      <c r="F132" s="112" t="str">
        <f t="shared" si="22"/>
        <v>Battlestart Galactica: Human</v>
      </c>
      <c r="G132" s="112" t="str">
        <f t="shared" si="22"/>
        <v>Battlestar Galactica: Cylon</v>
      </c>
      <c r="H132" s="112" t="str">
        <f t="shared" si="22"/>
        <v>Transformers The Ride</v>
      </c>
      <c r="I132" s="112">
        <v>4</v>
      </c>
      <c r="J132" s="112">
        <v>3</v>
      </c>
      <c r="K132" s="112">
        <v>2</v>
      </c>
      <c r="L132" s="112">
        <v>1</v>
      </c>
      <c r="M132" s="112">
        <v>5</v>
      </c>
      <c r="N132" s="113">
        <f t="shared" si="23"/>
        <v>0.5</v>
      </c>
      <c r="O132" s="114">
        <f t="shared" si="24"/>
        <v>0</v>
      </c>
      <c r="P132" s="115">
        <f>IF($D$5="Average",INDEX(Tbl_Walk_Avg[#All],MATCH('Model 2 - Permutations'!C132,Tbl_Walk_Avg[[#All],[Ride]],0),MATCH('Model 2 - Permutations'!D132,Tbl_Walk_Avg[#Headers],0)),INDEX(Tbl_Walk_Leisure[#All],MATCH('Model 2 - Permutations'!C132,Tbl_Walk_Leisure[[#All],[Ride]],0),MATCH('Model 2 - Permutations'!D132,Tbl_Walk_Leisure[#Headers],0)))</f>
        <v>8.3333333333333332E-3</v>
      </c>
      <c r="Q132" s="113">
        <f t="shared" si="25"/>
        <v>0.5083333333333333</v>
      </c>
      <c r="R132" s="116">
        <f>IF(Q132="","",IF($D$14="Weekday",INDEX(Tbl_Wait_Wkday[#All],MATCH('Model 2 - Permutations'!Q132,Tbl_Wait_Wkday[[#All],[Time]],1),MATCH('Model 2 - Permutations'!D132,Tbl_Wait_Wkday[#Headers],0)),INDEX(Tbl_Wait_Wkend[#All],MATCH('Model 2 - Permutations'!Q132,Tbl_Wait_Wkend[[#All],[Time]],1),MATCH('Model 2 - Permutations'!D132,Tbl_Wait_Wkend[#Headers],0))))</f>
        <v>1.0416666666666666E-2</v>
      </c>
      <c r="S132" s="117">
        <f>IF(R132="","",VLOOKUP(D132,Tbl_Ride[#Data],2,FALSE))</f>
        <v>2.0833333333333333E-3</v>
      </c>
      <c r="T132" s="118">
        <f t="shared" si="26"/>
        <v>0.52083333333333326</v>
      </c>
      <c r="U132" s="114">
        <f t="shared" si="27"/>
        <v>0</v>
      </c>
      <c r="V132" s="115">
        <f>IF(U132="","",IF($D$5="Average",INDEX(Tbl_Walk_Avg[#All],MATCH('Model 2 - Permutations'!D132,Tbl_Walk_Avg[[#All],[Ride]],0),MATCH('Model 2 - Permutations'!E132,Tbl_Walk_Avg[#Headers],0)),INDEX(Tbl_Walk_Leisure[#All],MATCH('Model 2 - Permutations'!D132,Tbl_Walk_Leisure[[#All],[Ride]],0),MATCH('Model 2 - Permutations'!E132,Tbl_Walk_Leisure[#Headers],0))))</f>
        <v>4.8611111111111112E-3</v>
      </c>
      <c r="W132" s="113">
        <f t="shared" si="28"/>
        <v>0.52569444444444435</v>
      </c>
      <c r="X132" s="116">
        <f>IF(W132="","",IF($D$14="Weekday",INDEX(Tbl_Wait_Wkday[#All],MATCH('Model 2 - Permutations'!W132,Tbl_Wait_Wkday[[#All],[Time]],1),MATCH('Model 2 - Permutations'!E132,Tbl_Wait_Wkday[#Headers],0)),INDEX(Tbl_Wait_Wkend[#All],MATCH('Model 2 - Permutations'!W132,Tbl_Wait_Wkend[[#All],[Time]],1),MATCH('Model 2 - Permutations'!E132,Tbl_Wait_Wkend[#Headers],0))))</f>
        <v>1.3888888888888888E-2</v>
      </c>
      <c r="Y132" s="117">
        <f>IF(X132="","",VLOOKUP(E132,Tbl_Ride[#Data],2,FALSE))</f>
        <v>6.9444444444444447E-4</v>
      </c>
      <c r="Z132" s="118">
        <f t="shared" si="29"/>
        <v>0.54027777777777763</v>
      </c>
      <c r="AA132" s="114">
        <f t="shared" si="30"/>
        <v>0</v>
      </c>
      <c r="AB132" s="115">
        <f>IF(AA132="","",IF($D$5="Average",INDEX(Tbl_Walk_Avg[#All],MATCH('Model 2 - Permutations'!E132,Tbl_Walk_Avg[[#All],[Ride]],0),MATCH('Model 2 - Permutations'!F132,Tbl_Walk_Avg[#Headers],0)),INDEX(Tbl_Walk_Leisure[#All],MATCH('Model 2 - Permutations'!E132,Tbl_Walk_Leisure[[#All],[Ride]],0),MATCH('Model 2 - Permutations'!F132,Tbl_Walk_Leisure[#Headers],0))))</f>
        <v>6.2500000000000003E-3</v>
      </c>
      <c r="AC132" s="113">
        <f t="shared" si="31"/>
        <v>0.54652777777777761</v>
      </c>
      <c r="AD132" s="116">
        <f>IF(AC132="","",IF($D$14="Weekday",INDEX(Tbl_Wait_Wkday[#All],MATCH('Model 2 - Permutations'!AC132,Tbl_Wait_Wkday[[#All],[Time]],1),MATCH('Model 2 - Permutations'!F132,Tbl_Wait_Wkday[#Headers],0)),INDEX(Tbl_Wait_Wkend[#All],MATCH('Model 2 - Permutations'!AC132,Tbl_Wait_Wkend[[#All],[Time]],1),MATCH('Model 2 - Permutations'!F132,Tbl_Wait_Wkend[#Headers],0))))</f>
        <v>4.5138888888888888E-2</v>
      </c>
      <c r="AE132" s="117">
        <f>IF(AD132="","",VLOOKUP(F132,Tbl_Ride[#Data],2,FALSE))</f>
        <v>1.3888888888888889E-3</v>
      </c>
      <c r="AF132" s="118">
        <f t="shared" si="32"/>
        <v>0.59305555555555534</v>
      </c>
      <c r="AG132" s="114">
        <f t="shared" si="33"/>
        <v>1</v>
      </c>
      <c r="AH132" s="115">
        <f>IF(AG132="","",IF($D$5="Average",INDEX(Tbl_Walk_Avg[#All],MATCH('Model 2 - Permutations'!F132,Tbl_Walk_Avg[[#All],[Ride]],0),MATCH('Model 2 - Permutations'!G132,Tbl_Walk_Avg[#Headers],0)),INDEX(Tbl_Walk_Leisure[#All],MATCH('Model 2 - Permutations'!F132,Tbl_Walk_Leisure[[#All],[Ride]],0),MATCH('Model 2 - Permutations'!G132,Tbl_Walk_Leisure[#Headers],0))))</f>
        <v>0</v>
      </c>
      <c r="AI132" s="113">
        <f t="shared" si="34"/>
        <v>0.67638888888888871</v>
      </c>
      <c r="AJ132" s="116">
        <f>IF(AI132="","",IF($D$14="Weekday",INDEX(Tbl_Wait_Wkday[#All],MATCH('Model 2 - Permutations'!AI132,Tbl_Wait_Wkday[[#All],[Time]],1),MATCH('Model 2 - Permutations'!G132,Tbl_Wait_Wkday[#Headers],0)),INDEX(Tbl_Wait_Wkend[#All],MATCH('Model 2 - Permutations'!AI132,Tbl_Wait_Wkend[[#All],[Time]],1),MATCH('Model 2 - Permutations'!G132,Tbl_Wait_Wkend[#Headers],0))))</f>
        <v>3.4722222222222224E-2</v>
      </c>
      <c r="AK132" s="117">
        <f>IF(AJ132="","",VLOOKUP(G132,Tbl_Ride[#Data],2,FALSE))</f>
        <v>1.3888888888888889E-3</v>
      </c>
      <c r="AL132" s="118">
        <f t="shared" si="35"/>
        <v>0.7124999999999998</v>
      </c>
      <c r="AM132" s="114">
        <f t="shared" si="36"/>
        <v>0</v>
      </c>
      <c r="AN132" s="115">
        <f>IF(AM132="","",IF($D$5="Average",INDEX(Tbl_Walk_Avg[#All],MATCH('Model 2 - Permutations'!G132,Tbl_Walk_Avg[[#All],[Ride]],0),MATCH('Model 2 - Permutations'!H132,Tbl_Walk_Avg[#Headers],0)),INDEX(Tbl_Walk_Leisure[#All],MATCH('Model 2 - Permutations'!G132,Tbl_Walk_Leisure[[#All],[Ride]],0),MATCH('Model 2 - Permutations'!H132,Tbl_Walk_Leisure[#Headers],0))))</f>
        <v>2.7777777777777779E-3</v>
      </c>
      <c r="AO132" s="113">
        <f t="shared" si="37"/>
        <v>0.71527777777777757</v>
      </c>
      <c r="AP132" s="116">
        <f>IF(AO132="","",IF($D$14="Weekday",INDEX(Tbl_Wait_Wkday[#All],MATCH('Model 2 - Permutations'!AO132,Tbl_Wait_Wkday[[#All],[Time]],1),MATCH('Model 2 - Permutations'!H132,Tbl_Wait_Wkday[#Headers],0)),INDEX(Tbl_Wait_Wkend[#All],MATCH('Model 2 - Permutations'!AO132,Tbl_Wait_Wkend[[#All],[Time]],1),MATCH('Model 2 - Permutations'!H132,Tbl_Wait_Wkend[#Headers],0))))</f>
        <v>3.125E-2</v>
      </c>
      <c r="AQ132" s="117">
        <f>IF(AP132="","",VLOOKUP(H132,Tbl_Ride[#Data],2,FALSE))</f>
        <v>3.4722222222222225E-3</v>
      </c>
      <c r="AR132" s="118">
        <f t="shared" si="38"/>
        <v>0.74999999999999978</v>
      </c>
      <c r="AS132" s="119">
        <f t="shared" si="39"/>
        <v>2.2222222222222223E-2</v>
      </c>
      <c r="AT132" s="119">
        <f t="shared" si="40"/>
        <v>0.13541666666666669</v>
      </c>
      <c r="AU132" s="119">
        <f t="shared" si="41"/>
        <v>0.15763888888888891</v>
      </c>
    </row>
    <row r="133" spans="2:47">
      <c r="B133" s="111">
        <v>88</v>
      </c>
      <c r="C133" s="111" t="s">
        <v>66</v>
      </c>
      <c r="D133" s="112" t="str">
        <f t="shared" si="22"/>
        <v>Revenge of the Mummy</v>
      </c>
      <c r="E133" s="112" t="str">
        <f t="shared" si="22"/>
        <v>Enchanted Airways</v>
      </c>
      <c r="F133" s="112" t="str">
        <f t="shared" si="22"/>
        <v>Battlestart Galactica: Human</v>
      </c>
      <c r="G133" s="112" t="str">
        <f t="shared" si="22"/>
        <v>Transformers The Ride</v>
      </c>
      <c r="H133" s="112" t="str">
        <f t="shared" si="22"/>
        <v>Battlestar Galactica: Cylon</v>
      </c>
      <c r="I133" s="112">
        <v>4</v>
      </c>
      <c r="J133" s="112">
        <v>3</v>
      </c>
      <c r="K133" s="112">
        <v>2</v>
      </c>
      <c r="L133" s="112">
        <v>5</v>
      </c>
      <c r="M133" s="112">
        <v>1</v>
      </c>
      <c r="N133" s="113">
        <f t="shared" si="23"/>
        <v>0.5</v>
      </c>
      <c r="O133" s="114">
        <f t="shared" si="24"/>
        <v>0</v>
      </c>
      <c r="P133" s="115">
        <f>IF($D$5="Average",INDEX(Tbl_Walk_Avg[#All],MATCH('Model 2 - Permutations'!C133,Tbl_Walk_Avg[[#All],[Ride]],0),MATCH('Model 2 - Permutations'!D133,Tbl_Walk_Avg[#Headers],0)),INDEX(Tbl_Walk_Leisure[#All],MATCH('Model 2 - Permutations'!C133,Tbl_Walk_Leisure[[#All],[Ride]],0),MATCH('Model 2 - Permutations'!D133,Tbl_Walk_Leisure[#Headers],0)))</f>
        <v>8.3333333333333332E-3</v>
      </c>
      <c r="Q133" s="113">
        <f t="shared" si="25"/>
        <v>0.5083333333333333</v>
      </c>
      <c r="R133" s="116">
        <f>IF(Q133="","",IF($D$14="Weekday",INDEX(Tbl_Wait_Wkday[#All],MATCH('Model 2 - Permutations'!Q133,Tbl_Wait_Wkday[[#All],[Time]],1),MATCH('Model 2 - Permutations'!D133,Tbl_Wait_Wkday[#Headers],0)),INDEX(Tbl_Wait_Wkend[#All],MATCH('Model 2 - Permutations'!Q133,Tbl_Wait_Wkend[[#All],[Time]],1),MATCH('Model 2 - Permutations'!D133,Tbl_Wait_Wkend[#Headers],0))))</f>
        <v>1.0416666666666666E-2</v>
      </c>
      <c r="S133" s="117">
        <f>IF(R133="","",VLOOKUP(D133,Tbl_Ride[#Data],2,FALSE))</f>
        <v>2.0833333333333333E-3</v>
      </c>
      <c r="T133" s="118">
        <f t="shared" si="26"/>
        <v>0.52083333333333326</v>
      </c>
      <c r="U133" s="114">
        <f t="shared" si="27"/>
        <v>0</v>
      </c>
      <c r="V133" s="115">
        <f>IF(U133="","",IF($D$5="Average",INDEX(Tbl_Walk_Avg[#All],MATCH('Model 2 - Permutations'!D133,Tbl_Walk_Avg[[#All],[Ride]],0),MATCH('Model 2 - Permutations'!E133,Tbl_Walk_Avg[#Headers],0)),INDEX(Tbl_Walk_Leisure[#All],MATCH('Model 2 - Permutations'!D133,Tbl_Walk_Leisure[[#All],[Ride]],0),MATCH('Model 2 - Permutations'!E133,Tbl_Walk_Leisure[#Headers],0))))</f>
        <v>4.8611111111111112E-3</v>
      </c>
      <c r="W133" s="113">
        <f t="shared" si="28"/>
        <v>0.52569444444444435</v>
      </c>
      <c r="X133" s="116">
        <f>IF(W133="","",IF($D$14="Weekday",INDEX(Tbl_Wait_Wkday[#All],MATCH('Model 2 - Permutations'!W133,Tbl_Wait_Wkday[[#All],[Time]],1),MATCH('Model 2 - Permutations'!E133,Tbl_Wait_Wkday[#Headers],0)),INDEX(Tbl_Wait_Wkend[#All],MATCH('Model 2 - Permutations'!W133,Tbl_Wait_Wkend[[#All],[Time]],1),MATCH('Model 2 - Permutations'!E133,Tbl_Wait_Wkend[#Headers],0))))</f>
        <v>1.3888888888888888E-2</v>
      </c>
      <c r="Y133" s="117">
        <f>IF(X133="","",VLOOKUP(E133,Tbl_Ride[#Data],2,FALSE))</f>
        <v>6.9444444444444447E-4</v>
      </c>
      <c r="Z133" s="118">
        <f t="shared" si="29"/>
        <v>0.54027777777777763</v>
      </c>
      <c r="AA133" s="114">
        <f t="shared" si="30"/>
        <v>0</v>
      </c>
      <c r="AB133" s="115">
        <f>IF(AA133="","",IF($D$5="Average",INDEX(Tbl_Walk_Avg[#All],MATCH('Model 2 - Permutations'!E133,Tbl_Walk_Avg[[#All],[Ride]],0),MATCH('Model 2 - Permutations'!F133,Tbl_Walk_Avg[#Headers],0)),INDEX(Tbl_Walk_Leisure[#All],MATCH('Model 2 - Permutations'!E133,Tbl_Walk_Leisure[[#All],[Ride]],0),MATCH('Model 2 - Permutations'!F133,Tbl_Walk_Leisure[#Headers],0))))</f>
        <v>6.2500000000000003E-3</v>
      </c>
      <c r="AC133" s="113">
        <f t="shared" si="31"/>
        <v>0.54652777777777761</v>
      </c>
      <c r="AD133" s="116">
        <f>IF(AC133="","",IF($D$14="Weekday",INDEX(Tbl_Wait_Wkday[#All],MATCH('Model 2 - Permutations'!AC133,Tbl_Wait_Wkday[[#All],[Time]],1),MATCH('Model 2 - Permutations'!F133,Tbl_Wait_Wkday[#Headers],0)),INDEX(Tbl_Wait_Wkend[#All],MATCH('Model 2 - Permutations'!AC133,Tbl_Wait_Wkend[[#All],[Time]],1),MATCH('Model 2 - Permutations'!F133,Tbl_Wait_Wkend[#Headers],0))))</f>
        <v>4.5138888888888888E-2</v>
      </c>
      <c r="AE133" s="117">
        <f>IF(AD133="","",VLOOKUP(F133,Tbl_Ride[#Data],2,FALSE))</f>
        <v>1.3888888888888889E-3</v>
      </c>
      <c r="AF133" s="118">
        <f t="shared" si="32"/>
        <v>0.59305555555555534</v>
      </c>
      <c r="AG133" s="114">
        <f t="shared" si="33"/>
        <v>1</v>
      </c>
      <c r="AH133" s="115">
        <f>IF(AG133="","",IF($D$5="Average",INDEX(Tbl_Walk_Avg[#All],MATCH('Model 2 - Permutations'!F133,Tbl_Walk_Avg[[#All],[Ride]],0),MATCH('Model 2 - Permutations'!G133,Tbl_Walk_Avg[#Headers],0)),INDEX(Tbl_Walk_Leisure[#All],MATCH('Model 2 - Permutations'!F133,Tbl_Walk_Leisure[[#All],[Ride]],0),MATCH('Model 2 - Permutations'!G133,Tbl_Walk_Leisure[#Headers],0))))</f>
        <v>2.7777777777777779E-3</v>
      </c>
      <c r="AI133" s="113">
        <f t="shared" si="34"/>
        <v>0.67916666666666647</v>
      </c>
      <c r="AJ133" s="116">
        <f>IF(AI133="","",IF($D$14="Weekday",INDEX(Tbl_Wait_Wkday[#All],MATCH('Model 2 - Permutations'!AI133,Tbl_Wait_Wkday[[#All],[Time]],1),MATCH('Model 2 - Permutations'!G133,Tbl_Wait_Wkday[#Headers],0)),INDEX(Tbl_Wait_Wkend[#All],MATCH('Model 2 - Permutations'!AI133,Tbl_Wait_Wkend[[#All],[Time]],1),MATCH('Model 2 - Permutations'!G133,Tbl_Wait_Wkend[#Headers],0))))</f>
        <v>2.4305555555555552E-2</v>
      </c>
      <c r="AK133" s="117">
        <f>IF(AJ133="","",VLOOKUP(G133,Tbl_Ride[#Data],2,FALSE))</f>
        <v>3.4722222222222225E-3</v>
      </c>
      <c r="AL133" s="118">
        <f t="shared" si="35"/>
        <v>0.70694444444444426</v>
      </c>
      <c r="AM133" s="114">
        <f t="shared" si="36"/>
        <v>0</v>
      </c>
      <c r="AN133" s="115">
        <f>IF(AM133="","",IF($D$5="Average",INDEX(Tbl_Walk_Avg[#All],MATCH('Model 2 - Permutations'!G133,Tbl_Walk_Avg[[#All],[Ride]],0),MATCH('Model 2 - Permutations'!H133,Tbl_Walk_Avg[#Headers],0)),INDEX(Tbl_Walk_Leisure[#All],MATCH('Model 2 - Permutations'!G133,Tbl_Walk_Leisure[[#All],[Ride]],0),MATCH('Model 2 - Permutations'!H133,Tbl_Walk_Leisure[#Headers],0))))</f>
        <v>2.7777777777777779E-3</v>
      </c>
      <c r="AO133" s="113">
        <f t="shared" si="37"/>
        <v>0.70972222222222203</v>
      </c>
      <c r="AP133" s="116">
        <f>IF(AO133="","",IF($D$14="Weekday",INDEX(Tbl_Wait_Wkday[#All],MATCH('Model 2 - Permutations'!AO133,Tbl_Wait_Wkday[[#All],[Time]],1),MATCH('Model 2 - Permutations'!H133,Tbl_Wait_Wkday[#Headers],0)),INDEX(Tbl_Wait_Wkend[#All],MATCH('Model 2 - Permutations'!AO133,Tbl_Wait_Wkend[[#All],[Time]],1),MATCH('Model 2 - Permutations'!H133,Tbl_Wait_Wkend[#Headers],0))))</f>
        <v>3.8194444444444441E-2</v>
      </c>
      <c r="AQ133" s="117">
        <f>IF(AP133="","",VLOOKUP(H133,Tbl_Ride[#Data],2,FALSE))</f>
        <v>1.3888888888888889E-3</v>
      </c>
      <c r="AR133" s="118">
        <f t="shared" si="38"/>
        <v>0.74930555555555534</v>
      </c>
      <c r="AS133" s="119">
        <f t="shared" si="39"/>
        <v>2.5000000000000001E-2</v>
      </c>
      <c r="AT133" s="119">
        <f t="shared" si="40"/>
        <v>0.13194444444444445</v>
      </c>
      <c r="AU133" s="119">
        <f t="shared" si="41"/>
        <v>0.15694444444444444</v>
      </c>
    </row>
    <row r="134" spans="2:47">
      <c r="B134" s="111">
        <v>89</v>
      </c>
      <c r="C134" s="111" t="s">
        <v>66</v>
      </c>
      <c r="D134" s="112" t="str">
        <f t="shared" si="22"/>
        <v>Revenge of the Mummy</v>
      </c>
      <c r="E134" s="112" t="str">
        <f t="shared" si="22"/>
        <v>Enchanted Airways</v>
      </c>
      <c r="F134" s="112" t="str">
        <f t="shared" si="22"/>
        <v>Transformers The Ride</v>
      </c>
      <c r="G134" s="112" t="str">
        <f t="shared" si="22"/>
        <v>Battlestar Galactica: Cylon</v>
      </c>
      <c r="H134" s="112" t="str">
        <f t="shared" si="22"/>
        <v>Battlestart Galactica: Human</v>
      </c>
      <c r="I134" s="112">
        <v>4</v>
      </c>
      <c r="J134" s="112">
        <v>3</v>
      </c>
      <c r="K134" s="112">
        <v>5</v>
      </c>
      <c r="L134" s="112">
        <v>1</v>
      </c>
      <c r="M134" s="112">
        <v>2</v>
      </c>
      <c r="N134" s="113">
        <f t="shared" si="23"/>
        <v>0.5</v>
      </c>
      <c r="O134" s="114">
        <f t="shared" si="24"/>
        <v>0</v>
      </c>
      <c r="P134" s="115">
        <f>IF($D$5="Average",INDEX(Tbl_Walk_Avg[#All],MATCH('Model 2 - Permutations'!C134,Tbl_Walk_Avg[[#All],[Ride]],0),MATCH('Model 2 - Permutations'!D134,Tbl_Walk_Avg[#Headers],0)),INDEX(Tbl_Walk_Leisure[#All],MATCH('Model 2 - Permutations'!C134,Tbl_Walk_Leisure[[#All],[Ride]],0),MATCH('Model 2 - Permutations'!D134,Tbl_Walk_Leisure[#Headers],0)))</f>
        <v>8.3333333333333332E-3</v>
      </c>
      <c r="Q134" s="113">
        <f t="shared" si="25"/>
        <v>0.5083333333333333</v>
      </c>
      <c r="R134" s="116">
        <f>IF(Q134="","",IF($D$14="Weekday",INDEX(Tbl_Wait_Wkday[#All],MATCH('Model 2 - Permutations'!Q134,Tbl_Wait_Wkday[[#All],[Time]],1),MATCH('Model 2 - Permutations'!D134,Tbl_Wait_Wkday[#Headers],0)),INDEX(Tbl_Wait_Wkend[#All],MATCH('Model 2 - Permutations'!Q134,Tbl_Wait_Wkend[[#All],[Time]],1),MATCH('Model 2 - Permutations'!D134,Tbl_Wait_Wkend[#Headers],0))))</f>
        <v>1.0416666666666666E-2</v>
      </c>
      <c r="S134" s="117">
        <f>IF(R134="","",VLOOKUP(D134,Tbl_Ride[#Data],2,FALSE))</f>
        <v>2.0833333333333333E-3</v>
      </c>
      <c r="T134" s="118">
        <f t="shared" si="26"/>
        <v>0.52083333333333326</v>
      </c>
      <c r="U134" s="114">
        <f t="shared" si="27"/>
        <v>0</v>
      </c>
      <c r="V134" s="115">
        <f>IF(U134="","",IF($D$5="Average",INDEX(Tbl_Walk_Avg[#All],MATCH('Model 2 - Permutations'!D134,Tbl_Walk_Avg[[#All],[Ride]],0),MATCH('Model 2 - Permutations'!E134,Tbl_Walk_Avg[#Headers],0)),INDEX(Tbl_Walk_Leisure[#All],MATCH('Model 2 - Permutations'!D134,Tbl_Walk_Leisure[[#All],[Ride]],0),MATCH('Model 2 - Permutations'!E134,Tbl_Walk_Leisure[#Headers],0))))</f>
        <v>4.8611111111111112E-3</v>
      </c>
      <c r="W134" s="113">
        <f t="shared" si="28"/>
        <v>0.52569444444444435</v>
      </c>
      <c r="X134" s="116">
        <f>IF(W134="","",IF($D$14="Weekday",INDEX(Tbl_Wait_Wkday[#All],MATCH('Model 2 - Permutations'!W134,Tbl_Wait_Wkday[[#All],[Time]],1),MATCH('Model 2 - Permutations'!E134,Tbl_Wait_Wkday[#Headers],0)),INDEX(Tbl_Wait_Wkend[#All],MATCH('Model 2 - Permutations'!W134,Tbl_Wait_Wkend[[#All],[Time]],1),MATCH('Model 2 - Permutations'!E134,Tbl_Wait_Wkend[#Headers],0))))</f>
        <v>1.3888888888888888E-2</v>
      </c>
      <c r="Y134" s="117">
        <f>IF(X134="","",VLOOKUP(E134,Tbl_Ride[#Data],2,FALSE))</f>
        <v>6.9444444444444447E-4</v>
      </c>
      <c r="Z134" s="118">
        <f t="shared" si="29"/>
        <v>0.54027777777777763</v>
      </c>
      <c r="AA134" s="114">
        <f t="shared" si="30"/>
        <v>0</v>
      </c>
      <c r="AB134" s="115">
        <f>IF(AA134="","",IF($D$5="Average",INDEX(Tbl_Walk_Avg[#All],MATCH('Model 2 - Permutations'!E134,Tbl_Walk_Avg[[#All],[Ride]],0),MATCH('Model 2 - Permutations'!F134,Tbl_Walk_Avg[#Headers],0)),INDEX(Tbl_Walk_Leisure[#All],MATCH('Model 2 - Permutations'!E134,Tbl_Walk_Leisure[[#All],[Ride]],0),MATCH('Model 2 - Permutations'!F134,Tbl_Walk_Leisure[#Headers],0))))</f>
        <v>6.2500000000000003E-3</v>
      </c>
      <c r="AC134" s="113">
        <f t="shared" si="31"/>
        <v>0.54652777777777761</v>
      </c>
      <c r="AD134" s="116">
        <f>IF(AC134="","",IF($D$14="Weekday",INDEX(Tbl_Wait_Wkday[#All],MATCH('Model 2 - Permutations'!AC134,Tbl_Wait_Wkday[[#All],[Time]],1),MATCH('Model 2 - Permutations'!F134,Tbl_Wait_Wkday[#Headers],0)),INDEX(Tbl_Wait_Wkend[#All],MATCH('Model 2 - Permutations'!AC134,Tbl_Wait_Wkend[[#All],[Time]],1),MATCH('Model 2 - Permutations'!F134,Tbl_Wait_Wkend[#Headers],0))))</f>
        <v>6.9444444444444448E-2</v>
      </c>
      <c r="AE134" s="117">
        <f>IF(AD134="","",VLOOKUP(F134,Tbl_Ride[#Data],2,FALSE))</f>
        <v>3.4722222222222225E-3</v>
      </c>
      <c r="AF134" s="118">
        <f t="shared" si="32"/>
        <v>0.61944444444444424</v>
      </c>
      <c r="AG134" s="114">
        <f t="shared" si="33"/>
        <v>1</v>
      </c>
      <c r="AH134" s="115">
        <f>IF(AG134="","",IF($D$5="Average",INDEX(Tbl_Walk_Avg[#All],MATCH('Model 2 - Permutations'!F134,Tbl_Walk_Avg[[#All],[Ride]],0),MATCH('Model 2 - Permutations'!G134,Tbl_Walk_Avg[#Headers],0)),INDEX(Tbl_Walk_Leisure[#All],MATCH('Model 2 - Permutations'!F134,Tbl_Walk_Leisure[[#All],[Ride]],0),MATCH('Model 2 - Permutations'!G134,Tbl_Walk_Leisure[#Headers],0))))</f>
        <v>2.7777777777777779E-3</v>
      </c>
      <c r="AI134" s="113">
        <f t="shared" si="34"/>
        <v>0.70555555555555538</v>
      </c>
      <c r="AJ134" s="116">
        <f>IF(AI134="","",IF($D$14="Weekday",INDEX(Tbl_Wait_Wkday[#All],MATCH('Model 2 - Permutations'!AI134,Tbl_Wait_Wkday[[#All],[Time]],1),MATCH('Model 2 - Permutations'!G134,Tbl_Wait_Wkday[#Headers],0)),INDEX(Tbl_Wait_Wkend[#All],MATCH('Model 2 - Permutations'!AI134,Tbl_Wait_Wkend[[#All],[Time]],1),MATCH('Model 2 - Permutations'!G134,Tbl_Wait_Wkend[#Headers],0))))</f>
        <v>3.4722222222222224E-2</v>
      </c>
      <c r="AK134" s="117">
        <f>IF(AJ134="","",VLOOKUP(G134,Tbl_Ride[#Data],2,FALSE))</f>
        <v>1.3888888888888889E-3</v>
      </c>
      <c r="AL134" s="118">
        <f t="shared" si="35"/>
        <v>0.74166666666666647</v>
      </c>
      <c r="AM134" s="114">
        <f t="shared" si="36"/>
        <v>0</v>
      </c>
      <c r="AN134" s="115">
        <f>IF(AM134="","",IF($D$5="Average",INDEX(Tbl_Walk_Avg[#All],MATCH('Model 2 - Permutations'!G134,Tbl_Walk_Avg[[#All],[Ride]],0),MATCH('Model 2 - Permutations'!H134,Tbl_Walk_Avg[#Headers],0)),INDEX(Tbl_Walk_Leisure[#All],MATCH('Model 2 - Permutations'!G134,Tbl_Walk_Leisure[[#All],[Ride]],0),MATCH('Model 2 - Permutations'!H134,Tbl_Walk_Leisure[#Headers],0))))</f>
        <v>0</v>
      </c>
      <c r="AO134" s="113">
        <f t="shared" si="37"/>
        <v>0.74166666666666647</v>
      </c>
      <c r="AP134" s="116">
        <f>IF(AO134="","",IF($D$14="Weekday",INDEX(Tbl_Wait_Wkday[#All],MATCH('Model 2 - Permutations'!AO134,Tbl_Wait_Wkday[[#All],[Time]],1),MATCH('Model 2 - Permutations'!H134,Tbl_Wait_Wkday[#Headers],0)),INDEX(Tbl_Wait_Wkend[#All],MATCH('Model 2 - Permutations'!AO134,Tbl_Wait_Wkend[[#All],[Time]],1),MATCH('Model 2 - Permutations'!H134,Tbl_Wait_Wkend[#Headers],0))))</f>
        <v>2.4305555555555552E-2</v>
      </c>
      <c r="AQ134" s="117">
        <f>IF(AP134="","",VLOOKUP(H134,Tbl_Ride[#Data],2,FALSE))</f>
        <v>1.3888888888888889E-3</v>
      </c>
      <c r="AR134" s="118">
        <f t="shared" si="38"/>
        <v>0.76736111111111094</v>
      </c>
      <c r="AS134" s="119">
        <f t="shared" si="39"/>
        <v>2.2222222222222223E-2</v>
      </c>
      <c r="AT134" s="119">
        <f t="shared" si="40"/>
        <v>0.15277777777777776</v>
      </c>
      <c r="AU134" s="119">
        <f t="shared" si="41"/>
        <v>0.17499999999999999</v>
      </c>
    </row>
    <row r="135" spans="2:47">
      <c r="B135" s="111">
        <v>90</v>
      </c>
      <c r="C135" s="111" t="s">
        <v>66</v>
      </c>
      <c r="D135" s="112" t="str">
        <f t="shared" si="22"/>
        <v>Revenge of the Mummy</v>
      </c>
      <c r="E135" s="112" t="str">
        <f t="shared" si="22"/>
        <v>Enchanted Airways</v>
      </c>
      <c r="F135" s="112" t="str">
        <f t="shared" si="22"/>
        <v>Transformers The Ride</v>
      </c>
      <c r="G135" s="112" t="str">
        <f t="shared" si="22"/>
        <v>Battlestart Galactica: Human</v>
      </c>
      <c r="H135" s="112" t="str">
        <f t="shared" si="22"/>
        <v>Battlestar Galactica: Cylon</v>
      </c>
      <c r="I135" s="112">
        <v>4</v>
      </c>
      <c r="J135" s="112">
        <v>3</v>
      </c>
      <c r="K135" s="112">
        <v>5</v>
      </c>
      <c r="L135" s="112">
        <v>2</v>
      </c>
      <c r="M135" s="112">
        <v>1</v>
      </c>
      <c r="N135" s="113">
        <f t="shared" si="23"/>
        <v>0.5</v>
      </c>
      <c r="O135" s="114">
        <f t="shared" si="24"/>
        <v>0</v>
      </c>
      <c r="P135" s="115">
        <f>IF($D$5="Average",INDEX(Tbl_Walk_Avg[#All],MATCH('Model 2 - Permutations'!C135,Tbl_Walk_Avg[[#All],[Ride]],0),MATCH('Model 2 - Permutations'!D135,Tbl_Walk_Avg[#Headers],0)),INDEX(Tbl_Walk_Leisure[#All],MATCH('Model 2 - Permutations'!C135,Tbl_Walk_Leisure[[#All],[Ride]],0),MATCH('Model 2 - Permutations'!D135,Tbl_Walk_Leisure[#Headers],0)))</f>
        <v>8.3333333333333332E-3</v>
      </c>
      <c r="Q135" s="113">
        <f t="shared" si="25"/>
        <v>0.5083333333333333</v>
      </c>
      <c r="R135" s="116">
        <f>IF(Q135="","",IF($D$14="Weekday",INDEX(Tbl_Wait_Wkday[#All],MATCH('Model 2 - Permutations'!Q135,Tbl_Wait_Wkday[[#All],[Time]],1),MATCH('Model 2 - Permutations'!D135,Tbl_Wait_Wkday[#Headers],0)),INDEX(Tbl_Wait_Wkend[#All],MATCH('Model 2 - Permutations'!Q135,Tbl_Wait_Wkend[[#All],[Time]],1),MATCH('Model 2 - Permutations'!D135,Tbl_Wait_Wkend[#Headers],0))))</f>
        <v>1.0416666666666666E-2</v>
      </c>
      <c r="S135" s="117">
        <f>IF(R135="","",VLOOKUP(D135,Tbl_Ride[#Data],2,FALSE))</f>
        <v>2.0833333333333333E-3</v>
      </c>
      <c r="T135" s="118">
        <f t="shared" si="26"/>
        <v>0.52083333333333326</v>
      </c>
      <c r="U135" s="114">
        <f t="shared" si="27"/>
        <v>0</v>
      </c>
      <c r="V135" s="115">
        <f>IF(U135="","",IF($D$5="Average",INDEX(Tbl_Walk_Avg[#All],MATCH('Model 2 - Permutations'!D135,Tbl_Walk_Avg[[#All],[Ride]],0),MATCH('Model 2 - Permutations'!E135,Tbl_Walk_Avg[#Headers],0)),INDEX(Tbl_Walk_Leisure[#All],MATCH('Model 2 - Permutations'!D135,Tbl_Walk_Leisure[[#All],[Ride]],0),MATCH('Model 2 - Permutations'!E135,Tbl_Walk_Leisure[#Headers],0))))</f>
        <v>4.8611111111111112E-3</v>
      </c>
      <c r="W135" s="113">
        <f t="shared" si="28"/>
        <v>0.52569444444444435</v>
      </c>
      <c r="X135" s="116">
        <f>IF(W135="","",IF($D$14="Weekday",INDEX(Tbl_Wait_Wkday[#All],MATCH('Model 2 - Permutations'!W135,Tbl_Wait_Wkday[[#All],[Time]],1),MATCH('Model 2 - Permutations'!E135,Tbl_Wait_Wkday[#Headers],0)),INDEX(Tbl_Wait_Wkend[#All],MATCH('Model 2 - Permutations'!W135,Tbl_Wait_Wkend[[#All],[Time]],1),MATCH('Model 2 - Permutations'!E135,Tbl_Wait_Wkend[#Headers],0))))</f>
        <v>1.3888888888888888E-2</v>
      </c>
      <c r="Y135" s="117">
        <f>IF(X135="","",VLOOKUP(E135,Tbl_Ride[#Data],2,FALSE))</f>
        <v>6.9444444444444447E-4</v>
      </c>
      <c r="Z135" s="118">
        <f t="shared" si="29"/>
        <v>0.54027777777777763</v>
      </c>
      <c r="AA135" s="114">
        <f t="shared" si="30"/>
        <v>0</v>
      </c>
      <c r="AB135" s="115">
        <f>IF(AA135="","",IF($D$5="Average",INDEX(Tbl_Walk_Avg[#All],MATCH('Model 2 - Permutations'!E135,Tbl_Walk_Avg[[#All],[Ride]],0),MATCH('Model 2 - Permutations'!F135,Tbl_Walk_Avg[#Headers],0)),INDEX(Tbl_Walk_Leisure[#All],MATCH('Model 2 - Permutations'!E135,Tbl_Walk_Leisure[[#All],[Ride]],0),MATCH('Model 2 - Permutations'!F135,Tbl_Walk_Leisure[#Headers],0))))</f>
        <v>6.2500000000000003E-3</v>
      </c>
      <c r="AC135" s="113">
        <f t="shared" si="31"/>
        <v>0.54652777777777761</v>
      </c>
      <c r="AD135" s="116">
        <f>IF(AC135="","",IF($D$14="Weekday",INDEX(Tbl_Wait_Wkday[#All],MATCH('Model 2 - Permutations'!AC135,Tbl_Wait_Wkday[[#All],[Time]],1),MATCH('Model 2 - Permutations'!F135,Tbl_Wait_Wkday[#Headers],0)),INDEX(Tbl_Wait_Wkend[#All],MATCH('Model 2 - Permutations'!AC135,Tbl_Wait_Wkend[[#All],[Time]],1),MATCH('Model 2 - Permutations'!F135,Tbl_Wait_Wkend[#Headers],0))))</f>
        <v>6.9444444444444448E-2</v>
      </c>
      <c r="AE135" s="117">
        <f>IF(AD135="","",VLOOKUP(F135,Tbl_Ride[#Data],2,FALSE))</f>
        <v>3.4722222222222225E-3</v>
      </c>
      <c r="AF135" s="118">
        <f t="shared" si="32"/>
        <v>0.61944444444444424</v>
      </c>
      <c r="AG135" s="114">
        <f t="shared" si="33"/>
        <v>1</v>
      </c>
      <c r="AH135" s="115">
        <f>IF(AG135="","",IF($D$5="Average",INDEX(Tbl_Walk_Avg[#All],MATCH('Model 2 - Permutations'!F135,Tbl_Walk_Avg[[#All],[Ride]],0),MATCH('Model 2 - Permutations'!G135,Tbl_Walk_Avg[#Headers],0)),INDEX(Tbl_Walk_Leisure[#All],MATCH('Model 2 - Permutations'!F135,Tbl_Walk_Leisure[[#All],[Ride]],0),MATCH('Model 2 - Permutations'!G135,Tbl_Walk_Leisure[#Headers],0))))</f>
        <v>2.7777777777777779E-3</v>
      </c>
      <c r="AI135" s="113">
        <f t="shared" si="34"/>
        <v>0.70555555555555538</v>
      </c>
      <c r="AJ135" s="116">
        <f>IF(AI135="","",IF($D$14="Weekday",INDEX(Tbl_Wait_Wkday[#All],MATCH('Model 2 - Permutations'!AI135,Tbl_Wait_Wkday[[#All],[Time]],1),MATCH('Model 2 - Permutations'!G135,Tbl_Wait_Wkday[#Headers],0)),INDEX(Tbl_Wait_Wkend[#All],MATCH('Model 2 - Permutations'!AI135,Tbl_Wait_Wkend[[#All],[Time]],1),MATCH('Model 2 - Permutations'!G135,Tbl_Wait_Wkend[#Headers],0))))</f>
        <v>4.1666666666666664E-2</v>
      </c>
      <c r="AK135" s="117">
        <f>IF(AJ135="","",VLOOKUP(G135,Tbl_Ride[#Data],2,FALSE))</f>
        <v>1.3888888888888889E-3</v>
      </c>
      <c r="AL135" s="118">
        <f t="shared" si="35"/>
        <v>0.74861111111111089</v>
      </c>
      <c r="AM135" s="114">
        <f t="shared" si="36"/>
        <v>0</v>
      </c>
      <c r="AN135" s="115">
        <f>IF(AM135="","",IF($D$5="Average",INDEX(Tbl_Walk_Avg[#All],MATCH('Model 2 - Permutations'!G135,Tbl_Walk_Avg[[#All],[Ride]],0),MATCH('Model 2 - Permutations'!H135,Tbl_Walk_Avg[#Headers],0)),INDEX(Tbl_Walk_Leisure[#All],MATCH('Model 2 - Permutations'!G135,Tbl_Walk_Leisure[[#All],[Ride]],0),MATCH('Model 2 - Permutations'!H135,Tbl_Walk_Leisure[#Headers],0))))</f>
        <v>0</v>
      </c>
      <c r="AO135" s="113">
        <f t="shared" si="37"/>
        <v>0.74861111111111089</v>
      </c>
      <c r="AP135" s="116">
        <f>IF(AO135="","",IF($D$14="Weekday",INDEX(Tbl_Wait_Wkday[#All],MATCH('Model 2 - Permutations'!AO135,Tbl_Wait_Wkday[[#All],[Time]],1),MATCH('Model 2 - Permutations'!H135,Tbl_Wait_Wkday[#Headers],0)),INDEX(Tbl_Wait_Wkend[#All],MATCH('Model 2 - Permutations'!AO135,Tbl_Wait_Wkend[[#All],[Time]],1),MATCH('Model 2 - Permutations'!H135,Tbl_Wait_Wkend[#Headers],0))))</f>
        <v>3.8194444444444441E-2</v>
      </c>
      <c r="AQ135" s="117">
        <f>IF(AP135="","",VLOOKUP(H135,Tbl_Ride[#Data],2,FALSE))</f>
        <v>1.3888888888888889E-3</v>
      </c>
      <c r="AR135" s="118">
        <f t="shared" si="38"/>
        <v>0.7881944444444442</v>
      </c>
      <c r="AS135" s="119">
        <f t="shared" si="39"/>
        <v>2.2222222222222223E-2</v>
      </c>
      <c r="AT135" s="119">
        <f t="shared" si="40"/>
        <v>0.1736111111111111</v>
      </c>
      <c r="AU135" s="119">
        <f t="shared" si="41"/>
        <v>0.19583333333333333</v>
      </c>
    </row>
    <row r="136" spans="2:47">
      <c r="B136" s="111">
        <v>91</v>
      </c>
      <c r="C136" s="111" t="s">
        <v>66</v>
      </c>
      <c r="D136" s="112" t="str">
        <f t="shared" si="22"/>
        <v>Revenge of the Mummy</v>
      </c>
      <c r="E136" s="112" t="str">
        <f t="shared" si="22"/>
        <v>Transformers The Ride</v>
      </c>
      <c r="F136" s="112" t="str">
        <f t="shared" si="22"/>
        <v>Battlestar Galactica: Cylon</v>
      </c>
      <c r="G136" s="112" t="str">
        <f t="shared" si="22"/>
        <v>Battlestart Galactica: Human</v>
      </c>
      <c r="H136" s="112" t="str">
        <f t="shared" si="22"/>
        <v>Enchanted Airways</v>
      </c>
      <c r="I136" s="112">
        <v>4</v>
      </c>
      <c r="J136" s="112">
        <v>5</v>
      </c>
      <c r="K136" s="112">
        <v>1</v>
      </c>
      <c r="L136" s="112">
        <v>2</v>
      </c>
      <c r="M136" s="112">
        <v>3</v>
      </c>
      <c r="N136" s="113">
        <f t="shared" si="23"/>
        <v>0.5</v>
      </c>
      <c r="O136" s="114">
        <f t="shared" si="24"/>
        <v>0</v>
      </c>
      <c r="P136" s="115">
        <f>IF($D$5="Average",INDEX(Tbl_Walk_Avg[#All],MATCH('Model 2 - Permutations'!C136,Tbl_Walk_Avg[[#All],[Ride]],0),MATCH('Model 2 - Permutations'!D136,Tbl_Walk_Avg[#Headers],0)),INDEX(Tbl_Walk_Leisure[#All],MATCH('Model 2 - Permutations'!C136,Tbl_Walk_Leisure[[#All],[Ride]],0),MATCH('Model 2 - Permutations'!D136,Tbl_Walk_Leisure[#Headers],0)))</f>
        <v>8.3333333333333332E-3</v>
      </c>
      <c r="Q136" s="113">
        <f t="shared" si="25"/>
        <v>0.5083333333333333</v>
      </c>
      <c r="R136" s="116">
        <f>IF(Q136="","",IF($D$14="Weekday",INDEX(Tbl_Wait_Wkday[#All],MATCH('Model 2 - Permutations'!Q136,Tbl_Wait_Wkday[[#All],[Time]],1),MATCH('Model 2 - Permutations'!D136,Tbl_Wait_Wkday[#Headers],0)),INDEX(Tbl_Wait_Wkend[#All],MATCH('Model 2 - Permutations'!Q136,Tbl_Wait_Wkend[[#All],[Time]],1),MATCH('Model 2 - Permutations'!D136,Tbl_Wait_Wkend[#Headers],0))))</f>
        <v>1.0416666666666666E-2</v>
      </c>
      <c r="S136" s="117">
        <f>IF(R136="","",VLOOKUP(D136,Tbl_Ride[#Data],2,FALSE))</f>
        <v>2.0833333333333333E-3</v>
      </c>
      <c r="T136" s="118">
        <f t="shared" si="26"/>
        <v>0.52083333333333326</v>
      </c>
      <c r="U136" s="114">
        <f t="shared" si="27"/>
        <v>0</v>
      </c>
      <c r="V136" s="115">
        <f>IF(U136="","",IF($D$5="Average",INDEX(Tbl_Walk_Avg[#All],MATCH('Model 2 - Permutations'!D136,Tbl_Walk_Avg[[#All],[Ride]],0),MATCH('Model 2 - Permutations'!E136,Tbl_Walk_Avg[#Headers],0)),INDEX(Tbl_Walk_Leisure[#All],MATCH('Model 2 - Permutations'!D136,Tbl_Walk_Leisure[[#All],[Ride]],0),MATCH('Model 2 - Permutations'!E136,Tbl_Walk_Leisure[#Headers],0))))</f>
        <v>4.1666666666666666E-3</v>
      </c>
      <c r="W136" s="113">
        <f t="shared" si="28"/>
        <v>0.52499999999999991</v>
      </c>
      <c r="X136" s="116">
        <f>IF(W136="","",IF($D$14="Weekday",INDEX(Tbl_Wait_Wkday[#All],MATCH('Model 2 - Permutations'!W136,Tbl_Wait_Wkday[[#All],[Time]],1),MATCH('Model 2 - Permutations'!E136,Tbl_Wait_Wkday[#Headers],0)),INDEX(Tbl_Wait_Wkend[#All],MATCH('Model 2 - Permutations'!W136,Tbl_Wait_Wkend[[#All],[Time]],1),MATCH('Model 2 - Permutations'!E136,Tbl_Wait_Wkend[#Headers],0))))</f>
        <v>6.5972222222222224E-2</v>
      </c>
      <c r="Y136" s="117">
        <f>IF(X136="","",VLOOKUP(E136,Tbl_Ride[#Data],2,FALSE))</f>
        <v>3.4722222222222225E-3</v>
      </c>
      <c r="Z136" s="118">
        <f t="shared" si="29"/>
        <v>0.59444444444444433</v>
      </c>
      <c r="AA136" s="114">
        <f t="shared" si="30"/>
        <v>1</v>
      </c>
      <c r="AB136" s="115">
        <f>IF(AA136="","",IF($D$5="Average",INDEX(Tbl_Walk_Avg[#All],MATCH('Model 2 - Permutations'!E136,Tbl_Walk_Avg[[#All],[Ride]],0),MATCH('Model 2 - Permutations'!F136,Tbl_Walk_Avg[#Headers],0)),INDEX(Tbl_Walk_Leisure[#All],MATCH('Model 2 - Permutations'!E136,Tbl_Walk_Leisure[[#All],[Ride]],0),MATCH('Model 2 - Permutations'!F136,Tbl_Walk_Leisure[#Headers],0))))</f>
        <v>2.7777777777777779E-3</v>
      </c>
      <c r="AC136" s="113">
        <f t="shared" si="31"/>
        <v>0.68055555555555547</v>
      </c>
      <c r="AD136" s="116">
        <f>IF(AC136="","",IF($D$14="Weekday",INDEX(Tbl_Wait_Wkday[#All],MATCH('Model 2 - Permutations'!AC136,Tbl_Wait_Wkday[[#All],[Time]],1),MATCH('Model 2 - Permutations'!F136,Tbl_Wait_Wkday[#Headers],0)),INDEX(Tbl_Wait_Wkend[#All],MATCH('Model 2 - Permutations'!AC136,Tbl_Wait_Wkend[[#All],[Time]],1),MATCH('Model 2 - Permutations'!F136,Tbl_Wait_Wkend[#Headers],0))))</f>
        <v>3.4722222222222224E-2</v>
      </c>
      <c r="AE136" s="117">
        <f>IF(AD136="","",VLOOKUP(F136,Tbl_Ride[#Data],2,FALSE))</f>
        <v>1.3888888888888889E-3</v>
      </c>
      <c r="AF136" s="118">
        <f t="shared" si="32"/>
        <v>0.71666666666666656</v>
      </c>
      <c r="AG136" s="114">
        <f t="shared" si="33"/>
        <v>0</v>
      </c>
      <c r="AH136" s="115">
        <f>IF(AG136="","",IF($D$5="Average",INDEX(Tbl_Walk_Avg[#All],MATCH('Model 2 - Permutations'!F136,Tbl_Walk_Avg[[#All],[Ride]],0),MATCH('Model 2 - Permutations'!G136,Tbl_Walk_Avg[#Headers],0)),INDEX(Tbl_Walk_Leisure[#All],MATCH('Model 2 - Permutations'!F136,Tbl_Walk_Leisure[[#All],[Ride]],0),MATCH('Model 2 - Permutations'!G136,Tbl_Walk_Leisure[#Headers],0))))</f>
        <v>0</v>
      </c>
      <c r="AI136" s="113">
        <f t="shared" si="34"/>
        <v>0.71666666666666656</v>
      </c>
      <c r="AJ136" s="116">
        <f>IF(AI136="","",IF($D$14="Weekday",INDEX(Tbl_Wait_Wkday[#All],MATCH('Model 2 - Permutations'!AI136,Tbl_Wait_Wkday[[#All],[Time]],1),MATCH('Model 2 - Permutations'!G136,Tbl_Wait_Wkday[#Headers],0)),INDEX(Tbl_Wait_Wkend[#All],MATCH('Model 2 - Permutations'!AI136,Tbl_Wait_Wkend[[#All],[Time]],1),MATCH('Model 2 - Permutations'!G136,Tbl_Wait_Wkend[#Headers],0))))</f>
        <v>2.4305555555555552E-2</v>
      </c>
      <c r="AK136" s="117">
        <f>IF(AJ136="","",VLOOKUP(G136,Tbl_Ride[#Data],2,FALSE))</f>
        <v>1.3888888888888889E-3</v>
      </c>
      <c r="AL136" s="118">
        <f t="shared" si="35"/>
        <v>0.74236111111111103</v>
      </c>
      <c r="AM136" s="114">
        <f t="shared" si="36"/>
        <v>0</v>
      </c>
      <c r="AN136" s="115">
        <f>IF(AM136="","",IF($D$5="Average",INDEX(Tbl_Walk_Avg[#All],MATCH('Model 2 - Permutations'!G136,Tbl_Walk_Avg[[#All],[Ride]],0),MATCH('Model 2 - Permutations'!H136,Tbl_Walk_Avg[#Headers],0)),INDEX(Tbl_Walk_Leisure[#All],MATCH('Model 2 - Permutations'!G136,Tbl_Walk_Leisure[[#All],[Ride]],0),MATCH('Model 2 - Permutations'!H136,Tbl_Walk_Leisure[#Headers],0))))</f>
        <v>6.2500000000000003E-3</v>
      </c>
      <c r="AO136" s="113">
        <f t="shared" si="37"/>
        <v>0.74861111111111101</v>
      </c>
      <c r="AP136" s="116">
        <f>IF(AO136="","",IF($D$14="Weekday",INDEX(Tbl_Wait_Wkday[#All],MATCH('Model 2 - Permutations'!AO136,Tbl_Wait_Wkday[[#All],[Time]],1),MATCH('Model 2 - Permutations'!H136,Tbl_Wait_Wkday[#Headers],0)),INDEX(Tbl_Wait_Wkend[#All],MATCH('Model 2 - Permutations'!AO136,Tbl_Wait_Wkend[[#All],[Time]],1),MATCH('Model 2 - Permutations'!H136,Tbl_Wait_Wkend[#Headers],0))))</f>
        <v>1.7361111111111112E-2</v>
      </c>
      <c r="AQ136" s="117">
        <f>IF(AP136="","",VLOOKUP(H136,Tbl_Ride[#Data],2,FALSE))</f>
        <v>6.9444444444444447E-4</v>
      </c>
      <c r="AR136" s="118">
        <f t="shared" si="38"/>
        <v>0.76666666666666661</v>
      </c>
      <c r="AS136" s="119">
        <f t="shared" si="39"/>
        <v>2.1527777777777778E-2</v>
      </c>
      <c r="AT136" s="119">
        <f t="shared" si="40"/>
        <v>0.15277777777777779</v>
      </c>
      <c r="AU136" s="119">
        <f t="shared" si="41"/>
        <v>0.17430555555555557</v>
      </c>
    </row>
    <row r="137" spans="2:47">
      <c r="B137" s="111">
        <v>92</v>
      </c>
      <c r="C137" s="111" t="s">
        <v>66</v>
      </c>
      <c r="D137" s="112" t="str">
        <f t="shared" si="22"/>
        <v>Revenge of the Mummy</v>
      </c>
      <c r="E137" s="112" t="str">
        <f t="shared" si="22"/>
        <v>Transformers The Ride</v>
      </c>
      <c r="F137" s="112" t="str">
        <f t="shared" si="22"/>
        <v>Battlestar Galactica: Cylon</v>
      </c>
      <c r="G137" s="112" t="str">
        <f t="shared" si="22"/>
        <v>Enchanted Airways</v>
      </c>
      <c r="H137" s="112" t="str">
        <f t="shared" si="22"/>
        <v>Battlestart Galactica: Human</v>
      </c>
      <c r="I137" s="112">
        <v>4</v>
      </c>
      <c r="J137" s="112">
        <v>5</v>
      </c>
      <c r="K137" s="112">
        <v>1</v>
      </c>
      <c r="L137" s="112">
        <v>3</v>
      </c>
      <c r="M137" s="112">
        <v>2</v>
      </c>
      <c r="N137" s="113">
        <f t="shared" si="23"/>
        <v>0.5</v>
      </c>
      <c r="O137" s="114">
        <f t="shared" si="24"/>
        <v>0</v>
      </c>
      <c r="P137" s="115">
        <f>IF($D$5="Average",INDEX(Tbl_Walk_Avg[#All],MATCH('Model 2 - Permutations'!C137,Tbl_Walk_Avg[[#All],[Ride]],0),MATCH('Model 2 - Permutations'!D137,Tbl_Walk_Avg[#Headers],0)),INDEX(Tbl_Walk_Leisure[#All],MATCH('Model 2 - Permutations'!C137,Tbl_Walk_Leisure[[#All],[Ride]],0),MATCH('Model 2 - Permutations'!D137,Tbl_Walk_Leisure[#Headers],0)))</f>
        <v>8.3333333333333332E-3</v>
      </c>
      <c r="Q137" s="113">
        <f t="shared" si="25"/>
        <v>0.5083333333333333</v>
      </c>
      <c r="R137" s="116">
        <f>IF(Q137="","",IF($D$14="Weekday",INDEX(Tbl_Wait_Wkday[#All],MATCH('Model 2 - Permutations'!Q137,Tbl_Wait_Wkday[[#All],[Time]],1),MATCH('Model 2 - Permutations'!D137,Tbl_Wait_Wkday[#Headers],0)),INDEX(Tbl_Wait_Wkend[#All],MATCH('Model 2 - Permutations'!Q137,Tbl_Wait_Wkend[[#All],[Time]],1),MATCH('Model 2 - Permutations'!D137,Tbl_Wait_Wkend[#Headers],0))))</f>
        <v>1.0416666666666666E-2</v>
      </c>
      <c r="S137" s="117">
        <f>IF(R137="","",VLOOKUP(D137,Tbl_Ride[#Data],2,FALSE))</f>
        <v>2.0833333333333333E-3</v>
      </c>
      <c r="T137" s="118">
        <f t="shared" si="26"/>
        <v>0.52083333333333326</v>
      </c>
      <c r="U137" s="114">
        <f t="shared" si="27"/>
        <v>0</v>
      </c>
      <c r="V137" s="115">
        <f>IF(U137="","",IF($D$5="Average",INDEX(Tbl_Walk_Avg[#All],MATCH('Model 2 - Permutations'!D137,Tbl_Walk_Avg[[#All],[Ride]],0),MATCH('Model 2 - Permutations'!E137,Tbl_Walk_Avg[#Headers],0)),INDEX(Tbl_Walk_Leisure[#All],MATCH('Model 2 - Permutations'!D137,Tbl_Walk_Leisure[[#All],[Ride]],0),MATCH('Model 2 - Permutations'!E137,Tbl_Walk_Leisure[#Headers],0))))</f>
        <v>4.1666666666666666E-3</v>
      </c>
      <c r="W137" s="113">
        <f t="shared" si="28"/>
        <v>0.52499999999999991</v>
      </c>
      <c r="X137" s="116">
        <f>IF(W137="","",IF($D$14="Weekday",INDEX(Tbl_Wait_Wkday[#All],MATCH('Model 2 - Permutations'!W137,Tbl_Wait_Wkday[[#All],[Time]],1),MATCH('Model 2 - Permutations'!E137,Tbl_Wait_Wkday[#Headers],0)),INDEX(Tbl_Wait_Wkend[#All],MATCH('Model 2 - Permutations'!W137,Tbl_Wait_Wkend[[#All],[Time]],1),MATCH('Model 2 - Permutations'!E137,Tbl_Wait_Wkend[#Headers],0))))</f>
        <v>6.5972222222222224E-2</v>
      </c>
      <c r="Y137" s="117">
        <f>IF(X137="","",VLOOKUP(E137,Tbl_Ride[#Data],2,FALSE))</f>
        <v>3.4722222222222225E-3</v>
      </c>
      <c r="Z137" s="118">
        <f t="shared" si="29"/>
        <v>0.59444444444444433</v>
      </c>
      <c r="AA137" s="114">
        <f t="shared" si="30"/>
        <v>1</v>
      </c>
      <c r="AB137" s="115">
        <f>IF(AA137="","",IF($D$5="Average",INDEX(Tbl_Walk_Avg[#All],MATCH('Model 2 - Permutations'!E137,Tbl_Walk_Avg[[#All],[Ride]],0),MATCH('Model 2 - Permutations'!F137,Tbl_Walk_Avg[#Headers],0)),INDEX(Tbl_Walk_Leisure[#All],MATCH('Model 2 - Permutations'!E137,Tbl_Walk_Leisure[[#All],[Ride]],0),MATCH('Model 2 - Permutations'!F137,Tbl_Walk_Leisure[#Headers],0))))</f>
        <v>2.7777777777777779E-3</v>
      </c>
      <c r="AC137" s="113">
        <f t="shared" si="31"/>
        <v>0.68055555555555547</v>
      </c>
      <c r="AD137" s="116">
        <f>IF(AC137="","",IF($D$14="Weekday",INDEX(Tbl_Wait_Wkday[#All],MATCH('Model 2 - Permutations'!AC137,Tbl_Wait_Wkday[[#All],[Time]],1),MATCH('Model 2 - Permutations'!F137,Tbl_Wait_Wkday[#Headers],0)),INDEX(Tbl_Wait_Wkend[#All],MATCH('Model 2 - Permutations'!AC137,Tbl_Wait_Wkend[[#All],[Time]],1),MATCH('Model 2 - Permutations'!F137,Tbl_Wait_Wkend[#Headers],0))))</f>
        <v>3.4722222222222224E-2</v>
      </c>
      <c r="AE137" s="117">
        <f>IF(AD137="","",VLOOKUP(F137,Tbl_Ride[#Data],2,FALSE))</f>
        <v>1.3888888888888889E-3</v>
      </c>
      <c r="AF137" s="118">
        <f t="shared" si="32"/>
        <v>0.71666666666666656</v>
      </c>
      <c r="AG137" s="114">
        <f t="shared" si="33"/>
        <v>0</v>
      </c>
      <c r="AH137" s="115">
        <f>IF(AG137="","",IF($D$5="Average",INDEX(Tbl_Walk_Avg[#All],MATCH('Model 2 - Permutations'!F137,Tbl_Walk_Avg[[#All],[Ride]],0),MATCH('Model 2 - Permutations'!G137,Tbl_Walk_Avg[#Headers],0)),INDEX(Tbl_Walk_Leisure[#All],MATCH('Model 2 - Permutations'!F137,Tbl_Walk_Leisure[[#All],[Ride]],0),MATCH('Model 2 - Permutations'!G137,Tbl_Walk_Leisure[#Headers],0))))</f>
        <v>6.2500000000000003E-3</v>
      </c>
      <c r="AI137" s="113">
        <f t="shared" si="34"/>
        <v>0.72291666666666654</v>
      </c>
      <c r="AJ137" s="116">
        <f>IF(AI137="","",IF($D$14="Weekday",INDEX(Tbl_Wait_Wkday[#All],MATCH('Model 2 - Permutations'!AI137,Tbl_Wait_Wkday[[#All],[Time]],1),MATCH('Model 2 - Permutations'!G137,Tbl_Wait_Wkday[#Headers],0)),INDEX(Tbl_Wait_Wkend[#All],MATCH('Model 2 - Permutations'!AI137,Tbl_Wait_Wkend[[#All],[Time]],1),MATCH('Model 2 - Permutations'!G137,Tbl_Wait_Wkend[#Headers],0))))</f>
        <v>1.7361111111111112E-2</v>
      </c>
      <c r="AK137" s="117">
        <f>IF(AJ137="","",VLOOKUP(G137,Tbl_Ride[#Data],2,FALSE))</f>
        <v>6.9444444444444447E-4</v>
      </c>
      <c r="AL137" s="118">
        <f t="shared" si="35"/>
        <v>0.74097222222222214</v>
      </c>
      <c r="AM137" s="114">
        <f t="shared" si="36"/>
        <v>0</v>
      </c>
      <c r="AN137" s="115">
        <f>IF(AM137="","",IF($D$5="Average",INDEX(Tbl_Walk_Avg[#All],MATCH('Model 2 - Permutations'!G137,Tbl_Walk_Avg[[#All],[Ride]],0),MATCH('Model 2 - Permutations'!H137,Tbl_Walk_Avg[#Headers],0)),INDEX(Tbl_Walk_Leisure[#All],MATCH('Model 2 - Permutations'!G137,Tbl_Walk_Leisure[[#All],[Ride]],0),MATCH('Model 2 - Permutations'!H137,Tbl_Walk_Leisure[#Headers],0))))</f>
        <v>6.2500000000000003E-3</v>
      </c>
      <c r="AO137" s="113">
        <f t="shared" si="37"/>
        <v>0.74722222222222212</v>
      </c>
      <c r="AP137" s="116">
        <f>IF(AO137="","",IF($D$14="Weekday",INDEX(Tbl_Wait_Wkday[#All],MATCH('Model 2 - Permutations'!AO137,Tbl_Wait_Wkday[[#All],[Time]],1),MATCH('Model 2 - Permutations'!H137,Tbl_Wait_Wkday[#Headers],0)),INDEX(Tbl_Wait_Wkend[#All],MATCH('Model 2 - Permutations'!AO137,Tbl_Wait_Wkend[[#All],[Time]],1),MATCH('Model 2 - Permutations'!H137,Tbl_Wait_Wkend[#Headers],0))))</f>
        <v>2.4305555555555552E-2</v>
      </c>
      <c r="AQ137" s="117">
        <f>IF(AP137="","",VLOOKUP(H137,Tbl_Ride[#Data],2,FALSE))</f>
        <v>1.3888888888888889E-3</v>
      </c>
      <c r="AR137" s="118">
        <f t="shared" si="38"/>
        <v>0.77291666666666659</v>
      </c>
      <c r="AS137" s="119">
        <f t="shared" si="39"/>
        <v>2.7777777777777776E-2</v>
      </c>
      <c r="AT137" s="119">
        <f t="shared" si="40"/>
        <v>0.15277777777777779</v>
      </c>
      <c r="AU137" s="119">
        <f t="shared" si="41"/>
        <v>0.18055555555555558</v>
      </c>
    </row>
    <row r="138" spans="2:47">
      <c r="B138" s="111">
        <v>93</v>
      </c>
      <c r="C138" s="111" t="s">
        <v>66</v>
      </c>
      <c r="D138" s="112" t="str">
        <f t="shared" si="22"/>
        <v>Revenge of the Mummy</v>
      </c>
      <c r="E138" s="112" t="str">
        <f t="shared" si="22"/>
        <v>Transformers The Ride</v>
      </c>
      <c r="F138" s="112" t="str">
        <f t="shared" si="22"/>
        <v>Battlestart Galactica: Human</v>
      </c>
      <c r="G138" s="112" t="str">
        <f t="shared" si="22"/>
        <v>Battlestar Galactica: Cylon</v>
      </c>
      <c r="H138" s="112" t="str">
        <f t="shared" si="22"/>
        <v>Enchanted Airways</v>
      </c>
      <c r="I138" s="112">
        <v>4</v>
      </c>
      <c r="J138" s="112">
        <v>5</v>
      </c>
      <c r="K138" s="112">
        <v>2</v>
      </c>
      <c r="L138" s="112">
        <v>1</v>
      </c>
      <c r="M138" s="112">
        <v>3</v>
      </c>
      <c r="N138" s="113">
        <f t="shared" si="23"/>
        <v>0.5</v>
      </c>
      <c r="O138" s="114">
        <f t="shared" si="24"/>
        <v>0</v>
      </c>
      <c r="P138" s="115">
        <f>IF($D$5="Average",INDEX(Tbl_Walk_Avg[#All],MATCH('Model 2 - Permutations'!C138,Tbl_Walk_Avg[[#All],[Ride]],0),MATCH('Model 2 - Permutations'!D138,Tbl_Walk_Avg[#Headers],0)),INDEX(Tbl_Walk_Leisure[#All],MATCH('Model 2 - Permutations'!C138,Tbl_Walk_Leisure[[#All],[Ride]],0),MATCH('Model 2 - Permutations'!D138,Tbl_Walk_Leisure[#Headers],0)))</f>
        <v>8.3333333333333332E-3</v>
      </c>
      <c r="Q138" s="113">
        <f t="shared" si="25"/>
        <v>0.5083333333333333</v>
      </c>
      <c r="R138" s="116">
        <f>IF(Q138="","",IF($D$14="Weekday",INDEX(Tbl_Wait_Wkday[#All],MATCH('Model 2 - Permutations'!Q138,Tbl_Wait_Wkday[[#All],[Time]],1),MATCH('Model 2 - Permutations'!D138,Tbl_Wait_Wkday[#Headers],0)),INDEX(Tbl_Wait_Wkend[#All],MATCH('Model 2 - Permutations'!Q138,Tbl_Wait_Wkend[[#All],[Time]],1),MATCH('Model 2 - Permutations'!D138,Tbl_Wait_Wkend[#Headers],0))))</f>
        <v>1.0416666666666666E-2</v>
      </c>
      <c r="S138" s="117">
        <f>IF(R138="","",VLOOKUP(D138,Tbl_Ride[#Data],2,FALSE))</f>
        <v>2.0833333333333333E-3</v>
      </c>
      <c r="T138" s="118">
        <f t="shared" si="26"/>
        <v>0.52083333333333326</v>
      </c>
      <c r="U138" s="114">
        <f t="shared" si="27"/>
        <v>0</v>
      </c>
      <c r="V138" s="115">
        <f>IF(U138="","",IF($D$5="Average",INDEX(Tbl_Walk_Avg[#All],MATCH('Model 2 - Permutations'!D138,Tbl_Walk_Avg[[#All],[Ride]],0),MATCH('Model 2 - Permutations'!E138,Tbl_Walk_Avg[#Headers],0)),INDEX(Tbl_Walk_Leisure[#All],MATCH('Model 2 - Permutations'!D138,Tbl_Walk_Leisure[[#All],[Ride]],0),MATCH('Model 2 - Permutations'!E138,Tbl_Walk_Leisure[#Headers],0))))</f>
        <v>4.1666666666666666E-3</v>
      </c>
      <c r="W138" s="113">
        <f t="shared" si="28"/>
        <v>0.52499999999999991</v>
      </c>
      <c r="X138" s="116">
        <f>IF(W138="","",IF($D$14="Weekday",INDEX(Tbl_Wait_Wkday[#All],MATCH('Model 2 - Permutations'!W138,Tbl_Wait_Wkday[[#All],[Time]],1),MATCH('Model 2 - Permutations'!E138,Tbl_Wait_Wkday[#Headers],0)),INDEX(Tbl_Wait_Wkend[#All],MATCH('Model 2 - Permutations'!W138,Tbl_Wait_Wkend[[#All],[Time]],1),MATCH('Model 2 - Permutations'!E138,Tbl_Wait_Wkend[#Headers],0))))</f>
        <v>6.5972222222222224E-2</v>
      </c>
      <c r="Y138" s="117">
        <f>IF(X138="","",VLOOKUP(E138,Tbl_Ride[#Data],2,FALSE))</f>
        <v>3.4722222222222225E-3</v>
      </c>
      <c r="Z138" s="118">
        <f t="shared" si="29"/>
        <v>0.59444444444444433</v>
      </c>
      <c r="AA138" s="114">
        <f t="shared" si="30"/>
        <v>1</v>
      </c>
      <c r="AB138" s="115">
        <f>IF(AA138="","",IF($D$5="Average",INDEX(Tbl_Walk_Avg[#All],MATCH('Model 2 - Permutations'!E138,Tbl_Walk_Avg[[#All],[Ride]],0),MATCH('Model 2 - Permutations'!F138,Tbl_Walk_Avg[#Headers],0)),INDEX(Tbl_Walk_Leisure[#All],MATCH('Model 2 - Permutations'!E138,Tbl_Walk_Leisure[[#All],[Ride]],0),MATCH('Model 2 - Permutations'!F138,Tbl_Walk_Leisure[#Headers],0))))</f>
        <v>2.7777777777777779E-3</v>
      </c>
      <c r="AC138" s="113">
        <f t="shared" si="31"/>
        <v>0.68055555555555547</v>
      </c>
      <c r="AD138" s="116">
        <f>IF(AC138="","",IF($D$14="Weekday",INDEX(Tbl_Wait_Wkday[#All],MATCH('Model 2 - Permutations'!AC138,Tbl_Wait_Wkday[[#All],[Time]],1),MATCH('Model 2 - Permutations'!F138,Tbl_Wait_Wkday[#Headers],0)),INDEX(Tbl_Wait_Wkend[#All],MATCH('Model 2 - Permutations'!AC138,Tbl_Wait_Wkend[[#All],[Time]],1),MATCH('Model 2 - Permutations'!F138,Tbl_Wait_Wkend[#Headers],0))))</f>
        <v>4.1666666666666664E-2</v>
      </c>
      <c r="AE138" s="117">
        <f>IF(AD138="","",VLOOKUP(F138,Tbl_Ride[#Data],2,FALSE))</f>
        <v>1.3888888888888889E-3</v>
      </c>
      <c r="AF138" s="118">
        <f t="shared" si="32"/>
        <v>0.72361111111111098</v>
      </c>
      <c r="AG138" s="114">
        <f t="shared" si="33"/>
        <v>0</v>
      </c>
      <c r="AH138" s="115">
        <f>IF(AG138="","",IF($D$5="Average",INDEX(Tbl_Walk_Avg[#All],MATCH('Model 2 - Permutations'!F138,Tbl_Walk_Avg[[#All],[Ride]],0),MATCH('Model 2 - Permutations'!G138,Tbl_Walk_Avg[#Headers],0)),INDEX(Tbl_Walk_Leisure[#All],MATCH('Model 2 - Permutations'!F138,Tbl_Walk_Leisure[[#All],[Ride]],0),MATCH('Model 2 - Permutations'!G138,Tbl_Walk_Leisure[#Headers],0))))</f>
        <v>0</v>
      </c>
      <c r="AI138" s="113">
        <f t="shared" si="34"/>
        <v>0.72361111111111098</v>
      </c>
      <c r="AJ138" s="116">
        <f>IF(AI138="","",IF($D$14="Weekday",INDEX(Tbl_Wait_Wkday[#All],MATCH('Model 2 - Permutations'!AI138,Tbl_Wait_Wkday[[#All],[Time]],1),MATCH('Model 2 - Permutations'!G138,Tbl_Wait_Wkday[#Headers],0)),INDEX(Tbl_Wait_Wkend[#All],MATCH('Model 2 - Permutations'!AI138,Tbl_Wait_Wkend[[#All],[Time]],1),MATCH('Model 2 - Permutations'!G138,Tbl_Wait_Wkend[#Headers],0))))</f>
        <v>3.8194444444444441E-2</v>
      </c>
      <c r="AK138" s="117">
        <f>IF(AJ138="","",VLOOKUP(G138,Tbl_Ride[#Data],2,FALSE))</f>
        <v>1.3888888888888889E-3</v>
      </c>
      <c r="AL138" s="118">
        <f t="shared" si="35"/>
        <v>0.76319444444444429</v>
      </c>
      <c r="AM138" s="114">
        <f t="shared" si="36"/>
        <v>0</v>
      </c>
      <c r="AN138" s="115">
        <f>IF(AM138="","",IF($D$5="Average",INDEX(Tbl_Walk_Avg[#All],MATCH('Model 2 - Permutations'!G138,Tbl_Walk_Avg[[#All],[Ride]],0),MATCH('Model 2 - Permutations'!H138,Tbl_Walk_Avg[#Headers],0)),INDEX(Tbl_Walk_Leisure[#All],MATCH('Model 2 - Permutations'!G138,Tbl_Walk_Leisure[[#All],[Ride]],0),MATCH('Model 2 - Permutations'!H138,Tbl_Walk_Leisure[#Headers],0))))</f>
        <v>6.2500000000000003E-3</v>
      </c>
      <c r="AO138" s="113" t="str">
        <f t="shared" si="37"/>
        <v/>
      </c>
      <c r="AP138" s="116" t="str">
        <f>IF(AO138="","",IF($D$14="Weekday",INDEX(Tbl_Wait_Wkday[#All],MATCH('Model 2 - Permutations'!AO138,Tbl_Wait_Wkday[[#All],[Time]],1),MATCH('Model 2 - Permutations'!H138,Tbl_Wait_Wkday[#Headers],0)),INDEX(Tbl_Wait_Wkend[#All],MATCH('Model 2 - Permutations'!AO138,Tbl_Wait_Wkend[[#All],[Time]],1),MATCH('Model 2 - Permutations'!H138,Tbl_Wait_Wkend[#Headers],0))))</f>
        <v/>
      </c>
      <c r="AQ138" s="117" t="str">
        <f>IF(AP138="","",VLOOKUP(H138,Tbl_Ride[#Data],2,FALSE))</f>
        <v/>
      </c>
      <c r="AR138" s="118" t="str">
        <f t="shared" si="38"/>
        <v/>
      </c>
      <c r="AS138" s="119" t="str">
        <f t="shared" si="39"/>
        <v>Incomplete</v>
      </c>
      <c r="AT138" s="119" t="str">
        <f t="shared" si="40"/>
        <v>Incomplete</v>
      </c>
      <c r="AU138" s="119" t="str">
        <f t="shared" si="41"/>
        <v>Incomplete</v>
      </c>
    </row>
    <row r="139" spans="2:47">
      <c r="B139" s="111">
        <v>94</v>
      </c>
      <c r="C139" s="111" t="s">
        <v>66</v>
      </c>
      <c r="D139" s="112" t="str">
        <f t="shared" si="22"/>
        <v>Revenge of the Mummy</v>
      </c>
      <c r="E139" s="112" t="str">
        <f t="shared" si="22"/>
        <v>Transformers The Ride</v>
      </c>
      <c r="F139" s="112" t="str">
        <f t="shared" si="22"/>
        <v>Battlestart Galactica: Human</v>
      </c>
      <c r="G139" s="112" t="str">
        <f t="shared" si="22"/>
        <v>Enchanted Airways</v>
      </c>
      <c r="H139" s="112" t="str">
        <f t="shared" si="22"/>
        <v>Battlestar Galactica: Cylon</v>
      </c>
      <c r="I139" s="112">
        <v>4</v>
      </c>
      <c r="J139" s="112">
        <v>5</v>
      </c>
      <c r="K139" s="112">
        <v>2</v>
      </c>
      <c r="L139" s="112">
        <v>3</v>
      </c>
      <c r="M139" s="112">
        <v>1</v>
      </c>
      <c r="N139" s="113">
        <f t="shared" si="23"/>
        <v>0.5</v>
      </c>
      <c r="O139" s="114">
        <f t="shared" si="24"/>
        <v>0</v>
      </c>
      <c r="P139" s="115">
        <f>IF($D$5="Average",INDEX(Tbl_Walk_Avg[#All],MATCH('Model 2 - Permutations'!C139,Tbl_Walk_Avg[[#All],[Ride]],0),MATCH('Model 2 - Permutations'!D139,Tbl_Walk_Avg[#Headers],0)),INDEX(Tbl_Walk_Leisure[#All],MATCH('Model 2 - Permutations'!C139,Tbl_Walk_Leisure[[#All],[Ride]],0),MATCH('Model 2 - Permutations'!D139,Tbl_Walk_Leisure[#Headers],0)))</f>
        <v>8.3333333333333332E-3</v>
      </c>
      <c r="Q139" s="113">
        <f t="shared" si="25"/>
        <v>0.5083333333333333</v>
      </c>
      <c r="R139" s="116">
        <f>IF(Q139="","",IF($D$14="Weekday",INDEX(Tbl_Wait_Wkday[#All],MATCH('Model 2 - Permutations'!Q139,Tbl_Wait_Wkday[[#All],[Time]],1),MATCH('Model 2 - Permutations'!D139,Tbl_Wait_Wkday[#Headers],0)),INDEX(Tbl_Wait_Wkend[#All],MATCH('Model 2 - Permutations'!Q139,Tbl_Wait_Wkend[[#All],[Time]],1),MATCH('Model 2 - Permutations'!D139,Tbl_Wait_Wkend[#Headers],0))))</f>
        <v>1.0416666666666666E-2</v>
      </c>
      <c r="S139" s="117">
        <f>IF(R139="","",VLOOKUP(D139,Tbl_Ride[#Data],2,FALSE))</f>
        <v>2.0833333333333333E-3</v>
      </c>
      <c r="T139" s="118">
        <f t="shared" si="26"/>
        <v>0.52083333333333326</v>
      </c>
      <c r="U139" s="114">
        <f t="shared" si="27"/>
        <v>0</v>
      </c>
      <c r="V139" s="115">
        <f>IF(U139="","",IF($D$5="Average",INDEX(Tbl_Walk_Avg[#All],MATCH('Model 2 - Permutations'!D139,Tbl_Walk_Avg[[#All],[Ride]],0),MATCH('Model 2 - Permutations'!E139,Tbl_Walk_Avg[#Headers],0)),INDEX(Tbl_Walk_Leisure[#All],MATCH('Model 2 - Permutations'!D139,Tbl_Walk_Leisure[[#All],[Ride]],0),MATCH('Model 2 - Permutations'!E139,Tbl_Walk_Leisure[#Headers],0))))</f>
        <v>4.1666666666666666E-3</v>
      </c>
      <c r="W139" s="113">
        <f t="shared" si="28"/>
        <v>0.52499999999999991</v>
      </c>
      <c r="X139" s="116">
        <f>IF(W139="","",IF($D$14="Weekday",INDEX(Tbl_Wait_Wkday[#All],MATCH('Model 2 - Permutations'!W139,Tbl_Wait_Wkday[[#All],[Time]],1),MATCH('Model 2 - Permutations'!E139,Tbl_Wait_Wkday[#Headers],0)),INDEX(Tbl_Wait_Wkend[#All],MATCH('Model 2 - Permutations'!W139,Tbl_Wait_Wkend[[#All],[Time]],1),MATCH('Model 2 - Permutations'!E139,Tbl_Wait_Wkend[#Headers],0))))</f>
        <v>6.5972222222222224E-2</v>
      </c>
      <c r="Y139" s="117">
        <f>IF(X139="","",VLOOKUP(E139,Tbl_Ride[#Data],2,FALSE))</f>
        <v>3.4722222222222225E-3</v>
      </c>
      <c r="Z139" s="118">
        <f t="shared" si="29"/>
        <v>0.59444444444444433</v>
      </c>
      <c r="AA139" s="114">
        <f t="shared" si="30"/>
        <v>1</v>
      </c>
      <c r="AB139" s="115">
        <f>IF(AA139="","",IF($D$5="Average",INDEX(Tbl_Walk_Avg[#All],MATCH('Model 2 - Permutations'!E139,Tbl_Walk_Avg[[#All],[Ride]],0),MATCH('Model 2 - Permutations'!F139,Tbl_Walk_Avg[#Headers],0)),INDEX(Tbl_Walk_Leisure[#All],MATCH('Model 2 - Permutations'!E139,Tbl_Walk_Leisure[[#All],[Ride]],0),MATCH('Model 2 - Permutations'!F139,Tbl_Walk_Leisure[#Headers],0))))</f>
        <v>2.7777777777777779E-3</v>
      </c>
      <c r="AC139" s="113">
        <f t="shared" si="31"/>
        <v>0.68055555555555547</v>
      </c>
      <c r="AD139" s="116">
        <f>IF(AC139="","",IF($D$14="Weekday",INDEX(Tbl_Wait_Wkday[#All],MATCH('Model 2 - Permutations'!AC139,Tbl_Wait_Wkday[[#All],[Time]],1),MATCH('Model 2 - Permutations'!F139,Tbl_Wait_Wkday[#Headers],0)),INDEX(Tbl_Wait_Wkend[#All],MATCH('Model 2 - Permutations'!AC139,Tbl_Wait_Wkend[[#All],[Time]],1),MATCH('Model 2 - Permutations'!F139,Tbl_Wait_Wkend[#Headers],0))))</f>
        <v>4.1666666666666664E-2</v>
      </c>
      <c r="AE139" s="117">
        <f>IF(AD139="","",VLOOKUP(F139,Tbl_Ride[#Data],2,FALSE))</f>
        <v>1.3888888888888889E-3</v>
      </c>
      <c r="AF139" s="118">
        <f t="shared" si="32"/>
        <v>0.72361111111111098</v>
      </c>
      <c r="AG139" s="114">
        <f t="shared" si="33"/>
        <v>0</v>
      </c>
      <c r="AH139" s="115">
        <f>IF(AG139="","",IF($D$5="Average",INDEX(Tbl_Walk_Avg[#All],MATCH('Model 2 - Permutations'!F139,Tbl_Walk_Avg[[#All],[Ride]],0),MATCH('Model 2 - Permutations'!G139,Tbl_Walk_Avg[#Headers],0)),INDEX(Tbl_Walk_Leisure[#All],MATCH('Model 2 - Permutations'!F139,Tbl_Walk_Leisure[[#All],[Ride]],0),MATCH('Model 2 - Permutations'!G139,Tbl_Walk_Leisure[#Headers],0))))</f>
        <v>6.2500000000000003E-3</v>
      </c>
      <c r="AI139" s="113">
        <f t="shared" si="34"/>
        <v>0.72986111111111096</v>
      </c>
      <c r="AJ139" s="116">
        <f>IF(AI139="","",IF($D$14="Weekday",INDEX(Tbl_Wait_Wkday[#All],MATCH('Model 2 - Permutations'!AI139,Tbl_Wait_Wkday[[#All],[Time]],1),MATCH('Model 2 - Permutations'!G139,Tbl_Wait_Wkday[#Headers],0)),INDEX(Tbl_Wait_Wkend[#All],MATCH('Model 2 - Permutations'!AI139,Tbl_Wait_Wkend[[#All],[Time]],1),MATCH('Model 2 - Permutations'!G139,Tbl_Wait_Wkend[#Headers],0))))</f>
        <v>1.7361111111111112E-2</v>
      </c>
      <c r="AK139" s="117">
        <f>IF(AJ139="","",VLOOKUP(G139,Tbl_Ride[#Data],2,FALSE))</f>
        <v>6.9444444444444447E-4</v>
      </c>
      <c r="AL139" s="118">
        <f t="shared" si="35"/>
        <v>0.74791666666666656</v>
      </c>
      <c r="AM139" s="114">
        <f t="shared" si="36"/>
        <v>0</v>
      </c>
      <c r="AN139" s="115">
        <f>IF(AM139="","",IF($D$5="Average",INDEX(Tbl_Walk_Avg[#All],MATCH('Model 2 - Permutations'!G139,Tbl_Walk_Avg[[#All],[Ride]],0),MATCH('Model 2 - Permutations'!H139,Tbl_Walk_Avg[#Headers],0)),INDEX(Tbl_Walk_Leisure[#All],MATCH('Model 2 - Permutations'!G139,Tbl_Walk_Leisure[[#All],[Ride]],0),MATCH('Model 2 - Permutations'!H139,Tbl_Walk_Leisure[#Headers],0))))</f>
        <v>6.2500000000000003E-3</v>
      </c>
      <c r="AO139" s="113" t="str">
        <f t="shared" si="37"/>
        <v/>
      </c>
      <c r="AP139" s="116" t="str">
        <f>IF(AO139="","",IF($D$14="Weekday",INDEX(Tbl_Wait_Wkday[#All],MATCH('Model 2 - Permutations'!AO139,Tbl_Wait_Wkday[[#All],[Time]],1),MATCH('Model 2 - Permutations'!H139,Tbl_Wait_Wkday[#Headers],0)),INDEX(Tbl_Wait_Wkend[#All],MATCH('Model 2 - Permutations'!AO139,Tbl_Wait_Wkend[[#All],[Time]],1),MATCH('Model 2 - Permutations'!H139,Tbl_Wait_Wkend[#Headers],0))))</f>
        <v/>
      </c>
      <c r="AQ139" s="117" t="str">
        <f>IF(AP139="","",VLOOKUP(H139,Tbl_Ride[#Data],2,FALSE))</f>
        <v/>
      </c>
      <c r="AR139" s="118" t="str">
        <f t="shared" si="38"/>
        <v/>
      </c>
      <c r="AS139" s="119" t="str">
        <f t="shared" si="39"/>
        <v>Incomplete</v>
      </c>
      <c r="AT139" s="119" t="str">
        <f t="shared" si="40"/>
        <v>Incomplete</v>
      </c>
      <c r="AU139" s="119" t="str">
        <f t="shared" si="41"/>
        <v>Incomplete</v>
      </c>
    </row>
    <row r="140" spans="2:47">
      <c r="B140" s="111">
        <v>95</v>
      </c>
      <c r="C140" s="111" t="s">
        <v>66</v>
      </c>
      <c r="D140" s="112" t="str">
        <f t="shared" si="22"/>
        <v>Revenge of the Mummy</v>
      </c>
      <c r="E140" s="112" t="str">
        <f t="shared" si="22"/>
        <v>Transformers The Ride</v>
      </c>
      <c r="F140" s="112" t="str">
        <f t="shared" si="22"/>
        <v>Enchanted Airways</v>
      </c>
      <c r="G140" s="112" t="str">
        <f t="shared" si="22"/>
        <v>Battlestar Galactica: Cylon</v>
      </c>
      <c r="H140" s="112" t="str">
        <f t="shared" si="22"/>
        <v>Battlestart Galactica: Human</v>
      </c>
      <c r="I140" s="112">
        <v>4</v>
      </c>
      <c r="J140" s="112">
        <v>5</v>
      </c>
      <c r="K140" s="112">
        <v>3</v>
      </c>
      <c r="L140" s="112">
        <v>1</v>
      </c>
      <c r="M140" s="112">
        <v>2</v>
      </c>
      <c r="N140" s="113">
        <f t="shared" si="23"/>
        <v>0.5</v>
      </c>
      <c r="O140" s="114">
        <f t="shared" si="24"/>
        <v>0</v>
      </c>
      <c r="P140" s="115">
        <f>IF($D$5="Average",INDEX(Tbl_Walk_Avg[#All],MATCH('Model 2 - Permutations'!C140,Tbl_Walk_Avg[[#All],[Ride]],0),MATCH('Model 2 - Permutations'!D140,Tbl_Walk_Avg[#Headers],0)),INDEX(Tbl_Walk_Leisure[#All],MATCH('Model 2 - Permutations'!C140,Tbl_Walk_Leisure[[#All],[Ride]],0),MATCH('Model 2 - Permutations'!D140,Tbl_Walk_Leisure[#Headers],0)))</f>
        <v>8.3333333333333332E-3</v>
      </c>
      <c r="Q140" s="113">
        <f t="shared" si="25"/>
        <v>0.5083333333333333</v>
      </c>
      <c r="R140" s="116">
        <f>IF(Q140="","",IF($D$14="Weekday",INDEX(Tbl_Wait_Wkday[#All],MATCH('Model 2 - Permutations'!Q140,Tbl_Wait_Wkday[[#All],[Time]],1),MATCH('Model 2 - Permutations'!D140,Tbl_Wait_Wkday[#Headers],0)),INDEX(Tbl_Wait_Wkend[#All],MATCH('Model 2 - Permutations'!Q140,Tbl_Wait_Wkend[[#All],[Time]],1),MATCH('Model 2 - Permutations'!D140,Tbl_Wait_Wkend[#Headers],0))))</f>
        <v>1.0416666666666666E-2</v>
      </c>
      <c r="S140" s="117">
        <f>IF(R140="","",VLOOKUP(D140,Tbl_Ride[#Data],2,FALSE))</f>
        <v>2.0833333333333333E-3</v>
      </c>
      <c r="T140" s="118">
        <f t="shared" si="26"/>
        <v>0.52083333333333326</v>
      </c>
      <c r="U140" s="114">
        <f t="shared" si="27"/>
        <v>0</v>
      </c>
      <c r="V140" s="115">
        <f>IF(U140="","",IF($D$5="Average",INDEX(Tbl_Walk_Avg[#All],MATCH('Model 2 - Permutations'!D140,Tbl_Walk_Avg[[#All],[Ride]],0),MATCH('Model 2 - Permutations'!E140,Tbl_Walk_Avg[#Headers],0)),INDEX(Tbl_Walk_Leisure[#All],MATCH('Model 2 - Permutations'!D140,Tbl_Walk_Leisure[[#All],[Ride]],0),MATCH('Model 2 - Permutations'!E140,Tbl_Walk_Leisure[#Headers],0))))</f>
        <v>4.1666666666666666E-3</v>
      </c>
      <c r="W140" s="113">
        <f t="shared" si="28"/>
        <v>0.52499999999999991</v>
      </c>
      <c r="X140" s="116">
        <f>IF(W140="","",IF($D$14="Weekday",INDEX(Tbl_Wait_Wkday[#All],MATCH('Model 2 - Permutations'!W140,Tbl_Wait_Wkday[[#All],[Time]],1),MATCH('Model 2 - Permutations'!E140,Tbl_Wait_Wkday[#Headers],0)),INDEX(Tbl_Wait_Wkend[#All],MATCH('Model 2 - Permutations'!W140,Tbl_Wait_Wkend[[#All],[Time]],1),MATCH('Model 2 - Permutations'!E140,Tbl_Wait_Wkend[#Headers],0))))</f>
        <v>6.5972222222222224E-2</v>
      </c>
      <c r="Y140" s="117">
        <f>IF(X140="","",VLOOKUP(E140,Tbl_Ride[#Data],2,FALSE))</f>
        <v>3.4722222222222225E-3</v>
      </c>
      <c r="Z140" s="118">
        <f t="shared" si="29"/>
        <v>0.59444444444444433</v>
      </c>
      <c r="AA140" s="114">
        <f t="shared" si="30"/>
        <v>1</v>
      </c>
      <c r="AB140" s="115">
        <f>IF(AA140="","",IF($D$5="Average",INDEX(Tbl_Walk_Avg[#All],MATCH('Model 2 - Permutations'!E140,Tbl_Walk_Avg[[#All],[Ride]],0),MATCH('Model 2 - Permutations'!F140,Tbl_Walk_Avg[#Headers],0)),INDEX(Tbl_Walk_Leisure[#All],MATCH('Model 2 - Permutations'!E140,Tbl_Walk_Leisure[[#All],[Ride]],0),MATCH('Model 2 - Permutations'!F140,Tbl_Walk_Leisure[#Headers],0))))</f>
        <v>6.2500000000000003E-3</v>
      </c>
      <c r="AC140" s="113">
        <f t="shared" si="31"/>
        <v>0.68402777777777768</v>
      </c>
      <c r="AD140" s="116">
        <f>IF(AC140="","",IF($D$14="Weekday",INDEX(Tbl_Wait_Wkday[#All],MATCH('Model 2 - Permutations'!AC140,Tbl_Wait_Wkday[[#All],[Time]],1),MATCH('Model 2 - Permutations'!F140,Tbl_Wait_Wkday[#Headers],0)),INDEX(Tbl_Wait_Wkend[#All],MATCH('Model 2 - Permutations'!AC140,Tbl_Wait_Wkend[[#All],[Time]],1),MATCH('Model 2 - Permutations'!F140,Tbl_Wait_Wkend[#Headers],0))))</f>
        <v>1.7361111111111112E-2</v>
      </c>
      <c r="AE140" s="117">
        <f>IF(AD140="","",VLOOKUP(F140,Tbl_Ride[#Data],2,FALSE))</f>
        <v>6.9444444444444447E-4</v>
      </c>
      <c r="AF140" s="118">
        <f t="shared" si="32"/>
        <v>0.70208333333333328</v>
      </c>
      <c r="AG140" s="114">
        <f t="shared" si="33"/>
        <v>0</v>
      </c>
      <c r="AH140" s="115">
        <f>IF(AG140="","",IF($D$5="Average",INDEX(Tbl_Walk_Avg[#All],MATCH('Model 2 - Permutations'!F140,Tbl_Walk_Avg[[#All],[Ride]],0),MATCH('Model 2 - Permutations'!G140,Tbl_Walk_Avg[#Headers],0)),INDEX(Tbl_Walk_Leisure[#All],MATCH('Model 2 - Permutations'!F140,Tbl_Walk_Leisure[[#All],[Ride]],0),MATCH('Model 2 - Permutations'!G140,Tbl_Walk_Leisure[#Headers],0))))</f>
        <v>6.2500000000000003E-3</v>
      </c>
      <c r="AI140" s="113">
        <f t="shared" si="34"/>
        <v>0.70833333333333326</v>
      </c>
      <c r="AJ140" s="116">
        <f>IF(AI140="","",IF($D$14="Weekday",INDEX(Tbl_Wait_Wkday[#All],MATCH('Model 2 - Permutations'!AI140,Tbl_Wait_Wkday[[#All],[Time]],1),MATCH('Model 2 - Permutations'!G140,Tbl_Wait_Wkday[#Headers],0)),INDEX(Tbl_Wait_Wkend[#All],MATCH('Model 2 - Permutations'!AI140,Tbl_Wait_Wkend[[#All],[Time]],1),MATCH('Model 2 - Permutations'!G140,Tbl_Wait_Wkend[#Headers],0))))</f>
        <v>3.8194444444444441E-2</v>
      </c>
      <c r="AK140" s="117">
        <f>IF(AJ140="","",VLOOKUP(G140,Tbl_Ride[#Data],2,FALSE))</f>
        <v>1.3888888888888889E-3</v>
      </c>
      <c r="AL140" s="118">
        <f t="shared" si="35"/>
        <v>0.74791666666666656</v>
      </c>
      <c r="AM140" s="114">
        <f t="shared" si="36"/>
        <v>0</v>
      </c>
      <c r="AN140" s="115">
        <f>IF(AM140="","",IF($D$5="Average",INDEX(Tbl_Walk_Avg[#All],MATCH('Model 2 - Permutations'!G140,Tbl_Walk_Avg[[#All],[Ride]],0),MATCH('Model 2 - Permutations'!H140,Tbl_Walk_Avg[#Headers],0)),INDEX(Tbl_Walk_Leisure[#All],MATCH('Model 2 - Permutations'!G140,Tbl_Walk_Leisure[[#All],[Ride]],0),MATCH('Model 2 - Permutations'!H140,Tbl_Walk_Leisure[#Headers],0))))</f>
        <v>0</v>
      </c>
      <c r="AO140" s="113">
        <f t="shared" si="37"/>
        <v>0.74791666666666656</v>
      </c>
      <c r="AP140" s="116">
        <f>IF(AO140="","",IF($D$14="Weekday",INDEX(Tbl_Wait_Wkday[#All],MATCH('Model 2 - Permutations'!AO140,Tbl_Wait_Wkday[[#All],[Time]],1),MATCH('Model 2 - Permutations'!H140,Tbl_Wait_Wkday[#Headers],0)),INDEX(Tbl_Wait_Wkend[#All],MATCH('Model 2 - Permutations'!AO140,Tbl_Wait_Wkend[[#All],[Time]],1),MATCH('Model 2 - Permutations'!H140,Tbl_Wait_Wkend[#Headers],0))))</f>
        <v>2.4305555555555552E-2</v>
      </c>
      <c r="AQ140" s="117">
        <f>IF(AP140="","",VLOOKUP(H140,Tbl_Ride[#Data],2,FALSE))</f>
        <v>1.3888888888888889E-3</v>
      </c>
      <c r="AR140" s="118">
        <f t="shared" si="38"/>
        <v>0.77361111111111103</v>
      </c>
      <c r="AS140" s="119">
        <f t="shared" si="39"/>
        <v>2.5000000000000001E-2</v>
      </c>
      <c r="AT140" s="119">
        <f t="shared" si="40"/>
        <v>0.15625</v>
      </c>
      <c r="AU140" s="119">
        <f t="shared" si="41"/>
        <v>0.18124999999999999</v>
      </c>
    </row>
    <row r="141" spans="2:47">
      <c r="B141" s="111">
        <v>96</v>
      </c>
      <c r="C141" s="111" t="s">
        <v>66</v>
      </c>
      <c r="D141" s="112" t="str">
        <f t="shared" si="22"/>
        <v>Revenge of the Mummy</v>
      </c>
      <c r="E141" s="112" t="str">
        <f t="shared" si="22"/>
        <v>Transformers The Ride</v>
      </c>
      <c r="F141" s="112" t="str">
        <f t="shared" si="22"/>
        <v>Enchanted Airways</v>
      </c>
      <c r="G141" s="112" t="str">
        <f t="shared" si="22"/>
        <v>Battlestart Galactica: Human</v>
      </c>
      <c r="H141" s="112" t="str">
        <f t="shared" si="22"/>
        <v>Battlestar Galactica: Cylon</v>
      </c>
      <c r="I141" s="112">
        <v>4</v>
      </c>
      <c r="J141" s="112">
        <v>5</v>
      </c>
      <c r="K141" s="112">
        <v>3</v>
      </c>
      <c r="L141" s="112">
        <v>2</v>
      </c>
      <c r="M141" s="112">
        <v>1</v>
      </c>
      <c r="N141" s="113">
        <f t="shared" si="23"/>
        <v>0.5</v>
      </c>
      <c r="O141" s="114">
        <f t="shared" si="24"/>
        <v>0</v>
      </c>
      <c r="P141" s="115">
        <f>IF($D$5="Average",INDEX(Tbl_Walk_Avg[#All],MATCH('Model 2 - Permutations'!C141,Tbl_Walk_Avg[[#All],[Ride]],0),MATCH('Model 2 - Permutations'!D141,Tbl_Walk_Avg[#Headers],0)),INDEX(Tbl_Walk_Leisure[#All],MATCH('Model 2 - Permutations'!C141,Tbl_Walk_Leisure[[#All],[Ride]],0),MATCH('Model 2 - Permutations'!D141,Tbl_Walk_Leisure[#Headers],0)))</f>
        <v>8.3333333333333332E-3</v>
      </c>
      <c r="Q141" s="113">
        <f t="shared" si="25"/>
        <v>0.5083333333333333</v>
      </c>
      <c r="R141" s="116">
        <f>IF(Q141="","",IF($D$14="Weekday",INDEX(Tbl_Wait_Wkday[#All],MATCH('Model 2 - Permutations'!Q141,Tbl_Wait_Wkday[[#All],[Time]],1),MATCH('Model 2 - Permutations'!D141,Tbl_Wait_Wkday[#Headers],0)),INDEX(Tbl_Wait_Wkend[#All],MATCH('Model 2 - Permutations'!Q141,Tbl_Wait_Wkend[[#All],[Time]],1),MATCH('Model 2 - Permutations'!D141,Tbl_Wait_Wkend[#Headers],0))))</f>
        <v>1.0416666666666666E-2</v>
      </c>
      <c r="S141" s="117">
        <f>IF(R141="","",VLOOKUP(D141,Tbl_Ride[#Data],2,FALSE))</f>
        <v>2.0833333333333333E-3</v>
      </c>
      <c r="T141" s="118">
        <f t="shared" si="26"/>
        <v>0.52083333333333326</v>
      </c>
      <c r="U141" s="114">
        <f t="shared" si="27"/>
        <v>0</v>
      </c>
      <c r="V141" s="115">
        <f>IF(U141="","",IF($D$5="Average",INDEX(Tbl_Walk_Avg[#All],MATCH('Model 2 - Permutations'!D141,Tbl_Walk_Avg[[#All],[Ride]],0),MATCH('Model 2 - Permutations'!E141,Tbl_Walk_Avg[#Headers],0)),INDEX(Tbl_Walk_Leisure[#All],MATCH('Model 2 - Permutations'!D141,Tbl_Walk_Leisure[[#All],[Ride]],0),MATCH('Model 2 - Permutations'!E141,Tbl_Walk_Leisure[#Headers],0))))</f>
        <v>4.1666666666666666E-3</v>
      </c>
      <c r="W141" s="113">
        <f t="shared" si="28"/>
        <v>0.52499999999999991</v>
      </c>
      <c r="X141" s="116">
        <f>IF(W141="","",IF($D$14="Weekday",INDEX(Tbl_Wait_Wkday[#All],MATCH('Model 2 - Permutations'!W141,Tbl_Wait_Wkday[[#All],[Time]],1),MATCH('Model 2 - Permutations'!E141,Tbl_Wait_Wkday[#Headers],0)),INDEX(Tbl_Wait_Wkend[#All],MATCH('Model 2 - Permutations'!W141,Tbl_Wait_Wkend[[#All],[Time]],1),MATCH('Model 2 - Permutations'!E141,Tbl_Wait_Wkend[#Headers],0))))</f>
        <v>6.5972222222222224E-2</v>
      </c>
      <c r="Y141" s="117">
        <f>IF(X141="","",VLOOKUP(E141,Tbl_Ride[#Data],2,FALSE))</f>
        <v>3.4722222222222225E-3</v>
      </c>
      <c r="Z141" s="118">
        <f t="shared" si="29"/>
        <v>0.59444444444444433</v>
      </c>
      <c r="AA141" s="114">
        <f t="shared" si="30"/>
        <v>1</v>
      </c>
      <c r="AB141" s="115">
        <f>IF(AA141="","",IF($D$5="Average",INDEX(Tbl_Walk_Avg[#All],MATCH('Model 2 - Permutations'!E141,Tbl_Walk_Avg[[#All],[Ride]],0),MATCH('Model 2 - Permutations'!F141,Tbl_Walk_Avg[#Headers],0)),INDEX(Tbl_Walk_Leisure[#All],MATCH('Model 2 - Permutations'!E141,Tbl_Walk_Leisure[[#All],[Ride]],0),MATCH('Model 2 - Permutations'!F141,Tbl_Walk_Leisure[#Headers],0))))</f>
        <v>6.2500000000000003E-3</v>
      </c>
      <c r="AC141" s="113">
        <f t="shared" si="31"/>
        <v>0.68402777777777768</v>
      </c>
      <c r="AD141" s="116">
        <f>IF(AC141="","",IF($D$14="Weekday",INDEX(Tbl_Wait_Wkday[#All],MATCH('Model 2 - Permutations'!AC141,Tbl_Wait_Wkday[[#All],[Time]],1),MATCH('Model 2 - Permutations'!F141,Tbl_Wait_Wkday[#Headers],0)),INDEX(Tbl_Wait_Wkend[#All],MATCH('Model 2 - Permutations'!AC141,Tbl_Wait_Wkend[[#All],[Time]],1),MATCH('Model 2 - Permutations'!F141,Tbl_Wait_Wkend[#Headers],0))))</f>
        <v>1.7361111111111112E-2</v>
      </c>
      <c r="AE141" s="117">
        <f>IF(AD141="","",VLOOKUP(F141,Tbl_Ride[#Data],2,FALSE))</f>
        <v>6.9444444444444447E-4</v>
      </c>
      <c r="AF141" s="118">
        <f t="shared" si="32"/>
        <v>0.70208333333333328</v>
      </c>
      <c r="AG141" s="114">
        <f t="shared" si="33"/>
        <v>0</v>
      </c>
      <c r="AH141" s="115">
        <f>IF(AG141="","",IF($D$5="Average",INDEX(Tbl_Walk_Avg[#All],MATCH('Model 2 - Permutations'!F141,Tbl_Walk_Avg[[#All],[Ride]],0),MATCH('Model 2 - Permutations'!G141,Tbl_Walk_Avg[#Headers],0)),INDEX(Tbl_Walk_Leisure[#All],MATCH('Model 2 - Permutations'!F141,Tbl_Walk_Leisure[[#All],[Ride]],0),MATCH('Model 2 - Permutations'!G141,Tbl_Walk_Leisure[#Headers],0))))</f>
        <v>6.2500000000000003E-3</v>
      </c>
      <c r="AI141" s="113">
        <f t="shared" si="34"/>
        <v>0.70833333333333326</v>
      </c>
      <c r="AJ141" s="116">
        <f>IF(AI141="","",IF($D$14="Weekday",INDEX(Tbl_Wait_Wkday[#All],MATCH('Model 2 - Permutations'!AI141,Tbl_Wait_Wkday[[#All],[Time]],1),MATCH('Model 2 - Permutations'!G141,Tbl_Wait_Wkday[#Headers],0)),INDEX(Tbl_Wait_Wkend[#All],MATCH('Model 2 - Permutations'!AI141,Tbl_Wait_Wkend[[#All],[Time]],1),MATCH('Model 2 - Permutations'!G141,Tbl_Wait_Wkend[#Headers],0))))</f>
        <v>2.4305555555555552E-2</v>
      </c>
      <c r="AK141" s="117">
        <f>IF(AJ141="","",VLOOKUP(G141,Tbl_Ride[#Data],2,FALSE))</f>
        <v>1.3888888888888889E-3</v>
      </c>
      <c r="AL141" s="118">
        <f t="shared" si="35"/>
        <v>0.73402777777777772</v>
      </c>
      <c r="AM141" s="114">
        <f t="shared" si="36"/>
        <v>0</v>
      </c>
      <c r="AN141" s="115">
        <f>IF(AM141="","",IF($D$5="Average",INDEX(Tbl_Walk_Avg[#All],MATCH('Model 2 - Permutations'!G141,Tbl_Walk_Avg[[#All],[Ride]],0),MATCH('Model 2 - Permutations'!H141,Tbl_Walk_Avg[#Headers],0)),INDEX(Tbl_Walk_Leisure[#All],MATCH('Model 2 - Permutations'!G141,Tbl_Walk_Leisure[[#All],[Ride]],0),MATCH('Model 2 - Permutations'!H141,Tbl_Walk_Leisure[#Headers],0))))</f>
        <v>0</v>
      </c>
      <c r="AO141" s="113">
        <f t="shared" si="37"/>
        <v>0.73402777777777772</v>
      </c>
      <c r="AP141" s="116">
        <f>IF(AO141="","",IF($D$14="Weekday",INDEX(Tbl_Wait_Wkday[#All],MATCH('Model 2 - Permutations'!AO141,Tbl_Wait_Wkday[[#All],[Time]],1),MATCH('Model 2 - Permutations'!H141,Tbl_Wait_Wkday[#Headers],0)),INDEX(Tbl_Wait_Wkend[#All],MATCH('Model 2 - Permutations'!AO141,Tbl_Wait_Wkend[[#All],[Time]],1),MATCH('Model 2 - Permutations'!H141,Tbl_Wait_Wkend[#Headers],0))))</f>
        <v>3.8194444444444441E-2</v>
      </c>
      <c r="AQ141" s="117">
        <f>IF(AP141="","",VLOOKUP(H141,Tbl_Ride[#Data],2,FALSE))</f>
        <v>1.3888888888888889E-3</v>
      </c>
      <c r="AR141" s="118">
        <f t="shared" si="38"/>
        <v>0.77361111111111103</v>
      </c>
      <c r="AS141" s="119">
        <f t="shared" si="39"/>
        <v>2.5000000000000001E-2</v>
      </c>
      <c r="AT141" s="119">
        <f t="shared" si="40"/>
        <v>0.15625</v>
      </c>
      <c r="AU141" s="119">
        <f t="shared" si="41"/>
        <v>0.18124999999999999</v>
      </c>
    </row>
    <row r="142" spans="2:47">
      <c r="B142" s="111">
        <v>97</v>
      </c>
      <c r="C142" s="111" t="s">
        <v>66</v>
      </c>
      <c r="D142" s="112" t="str">
        <f t="shared" si="22"/>
        <v>Transformers The Ride</v>
      </c>
      <c r="E142" s="112" t="str">
        <f t="shared" si="22"/>
        <v>Battlestar Galactica: Cylon</v>
      </c>
      <c r="F142" s="112" t="str">
        <f t="shared" si="22"/>
        <v>Battlestart Galactica: Human</v>
      </c>
      <c r="G142" s="112" t="str">
        <f t="shared" si="22"/>
        <v>Enchanted Airways</v>
      </c>
      <c r="H142" s="112" t="str">
        <f t="shared" si="22"/>
        <v>Revenge of the Mummy</v>
      </c>
      <c r="I142" s="112">
        <v>5</v>
      </c>
      <c r="J142" s="112">
        <v>1</v>
      </c>
      <c r="K142" s="112">
        <v>2</v>
      </c>
      <c r="L142" s="112">
        <v>3</v>
      </c>
      <c r="M142" s="112">
        <v>4</v>
      </c>
      <c r="N142" s="113">
        <f t="shared" si="23"/>
        <v>0.5</v>
      </c>
      <c r="O142" s="114">
        <f t="shared" si="24"/>
        <v>0</v>
      </c>
      <c r="P142" s="115">
        <f>IF($D$5="Average",INDEX(Tbl_Walk_Avg[#All],MATCH('Model 2 - Permutations'!C142,Tbl_Walk_Avg[[#All],[Ride]],0),MATCH('Model 2 - Permutations'!D142,Tbl_Walk_Avg[#Headers],0)),INDEX(Tbl_Walk_Leisure[#All],MATCH('Model 2 - Permutations'!C142,Tbl_Walk_Leisure[[#All],[Ride]],0),MATCH('Model 2 - Permutations'!D142,Tbl_Walk_Leisure[#Headers],0)))</f>
        <v>4.8611111111111112E-3</v>
      </c>
      <c r="Q142" s="113">
        <f t="shared" si="25"/>
        <v>0.50486111111111109</v>
      </c>
      <c r="R142" s="116">
        <f>IF(Q142="","",IF($D$14="Weekday",INDEX(Tbl_Wait_Wkday[#All],MATCH('Model 2 - Permutations'!Q142,Tbl_Wait_Wkday[[#All],[Time]],1),MATCH('Model 2 - Permutations'!D142,Tbl_Wait_Wkday[#Headers],0)),INDEX(Tbl_Wait_Wkend[#All],MATCH('Model 2 - Permutations'!Q142,Tbl_Wait_Wkend[[#All],[Time]],1),MATCH('Model 2 - Permutations'!D142,Tbl_Wait_Wkend[#Headers],0))))</f>
        <v>6.5972222222222224E-2</v>
      </c>
      <c r="S142" s="117">
        <f>IF(R142="","",VLOOKUP(D142,Tbl_Ride[#Data],2,FALSE))</f>
        <v>3.4722222222222225E-3</v>
      </c>
      <c r="T142" s="118">
        <f t="shared" si="26"/>
        <v>0.57430555555555551</v>
      </c>
      <c r="U142" s="114">
        <f t="shared" si="27"/>
        <v>1</v>
      </c>
      <c r="V142" s="115">
        <f>IF(U142="","",IF($D$5="Average",INDEX(Tbl_Walk_Avg[#All],MATCH('Model 2 - Permutations'!D142,Tbl_Walk_Avg[[#All],[Ride]],0),MATCH('Model 2 - Permutations'!E142,Tbl_Walk_Avg[#Headers],0)),INDEX(Tbl_Walk_Leisure[#All],MATCH('Model 2 - Permutations'!D142,Tbl_Walk_Leisure[[#All],[Ride]],0),MATCH('Model 2 - Permutations'!E142,Tbl_Walk_Leisure[#Headers],0))))</f>
        <v>2.7777777777777779E-3</v>
      </c>
      <c r="W142" s="113">
        <f t="shared" si="28"/>
        <v>0.66041666666666665</v>
      </c>
      <c r="X142" s="116">
        <f>IF(W142="","",IF($D$14="Weekday",INDEX(Tbl_Wait_Wkday[#All],MATCH('Model 2 - Permutations'!W142,Tbl_Wait_Wkday[[#All],[Time]],1),MATCH('Model 2 - Permutations'!E142,Tbl_Wait_Wkday[#Headers],0)),INDEX(Tbl_Wait_Wkend[#All],MATCH('Model 2 - Permutations'!W142,Tbl_Wait_Wkend[[#All],[Time]],1),MATCH('Model 2 - Permutations'!E142,Tbl_Wait_Wkend[#Headers],0))))</f>
        <v>5.2083333333333329E-2</v>
      </c>
      <c r="Y142" s="117">
        <f>IF(X142="","",VLOOKUP(E142,Tbl_Ride[#Data],2,FALSE))</f>
        <v>1.3888888888888889E-3</v>
      </c>
      <c r="Z142" s="118">
        <f t="shared" si="29"/>
        <v>0.71388888888888891</v>
      </c>
      <c r="AA142" s="114">
        <f t="shared" si="30"/>
        <v>0</v>
      </c>
      <c r="AB142" s="115">
        <f>IF(AA142="","",IF($D$5="Average",INDEX(Tbl_Walk_Avg[#All],MATCH('Model 2 - Permutations'!E142,Tbl_Walk_Avg[[#All],[Ride]],0),MATCH('Model 2 - Permutations'!F142,Tbl_Walk_Avg[#Headers],0)),INDEX(Tbl_Walk_Leisure[#All],MATCH('Model 2 - Permutations'!E142,Tbl_Walk_Leisure[[#All],[Ride]],0),MATCH('Model 2 - Permutations'!F142,Tbl_Walk_Leisure[#Headers],0))))</f>
        <v>0</v>
      </c>
      <c r="AC142" s="113">
        <f t="shared" si="31"/>
        <v>0.71388888888888891</v>
      </c>
      <c r="AD142" s="116">
        <f>IF(AC142="","",IF($D$14="Weekday",INDEX(Tbl_Wait_Wkday[#All],MATCH('Model 2 - Permutations'!AC142,Tbl_Wait_Wkday[[#All],[Time]],1),MATCH('Model 2 - Permutations'!F142,Tbl_Wait_Wkday[#Headers],0)),INDEX(Tbl_Wait_Wkend[#All],MATCH('Model 2 - Permutations'!AC142,Tbl_Wait_Wkend[[#All],[Time]],1),MATCH('Model 2 - Permutations'!F142,Tbl_Wait_Wkend[#Headers],0))))</f>
        <v>2.4305555555555552E-2</v>
      </c>
      <c r="AE142" s="117">
        <f>IF(AD142="","",VLOOKUP(F142,Tbl_Ride[#Data],2,FALSE))</f>
        <v>1.3888888888888889E-3</v>
      </c>
      <c r="AF142" s="118">
        <f t="shared" si="32"/>
        <v>0.73958333333333337</v>
      </c>
      <c r="AG142" s="114">
        <f t="shared" si="33"/>
        <v>0</v>
      </c>
      <c r="AH142" s="115">
        <f>IF(AG142="","",IF($D$5="Average",INDEX(Tbl_Walk_Avg[#All],MATCH('Model 2 - Permutations'!F142,Tbl_Walk_Avg[[#All],[Ride]],0),MATCH('Model 2 - Permutations'!G142,Tbl_Walk_Avg[#Headers],0)),INDEX(Tbl_Walk_Leisure[#All],MATCH('Model 2 - Permutations'!F142,Tbl_Walk_Leisure[[#All],[Ride]],0),MATCH('Model 2 - Permutations'!G142,Tbl_Walk_Leisure[#Headers],0))))</f>
        <v>6.2500000000000003E-3</v>
      </c>
      <c r="AI142" s="113">
        <f t="shared" si="34"/>
        <v>0.74583333333333335</v>
      </c>
      <c r="AJ142" s="116">
        <f>IF(AI142="","",IF($D$14="Weekday",INDEX(Tbl_Wait_Wkday[#All],MATCH('Model 2 - Permutations'!AI142,Tbl_Wait_Wkday[[#All],[Time]],1),MATCH('Model 2 - Permutations'!G142,Tbl_Wait_Wkday[#Headers],0)),INDEX(Tbl_Wait_Wkend[#All],MATCH('Model 2 - Permutations'!AI142,Tbl_Wait_Wkend[[#All],[Time]],1),MATCH('Model 2 - Permutations'!G142,Tbl_Wait_Wkend[#Headers],0))))</f>
        <v>1.7361111111111112E-2</v>
      </c>
      <c r="AK142" s="117">
        <f>IF(AJ142="","",VLOOKUP(G142,Tbl_Ride[#Data],2,FALSE))</f>
        <v>6.9444444444444447E-4</v>
      </c>
      <c r="AL142" s="118">
        <f t="shared" si="35"/>
        <v>0.76388888888888895</v>
      </c>
      <c r="AM142" s="114">
        <f t="shared" si="36"/>
        <v>0</v>
      </c>
      <c r="AN142" s="115">
        <f>IF(AM142="","",IF($D$5="Average",INDEX(Tbl_Walk_Avg[#All],MATCH('Model 2 - Permutations'!G142,Tbl_Walk_Avg[[#All],[Ride]],0),MATCH('Model 2 - Permutations'!H142,Tbl_Walk_Avg[#Headers],0)),INDEX(Tbl_Walk_Leisure[#All],MATCH('Model 2 - Permutations'!G142,Tbl_Walk_Leisure[[#All],[Ride]],0),MATCH('Model 2 - Permutations'!H142,Tbl_Walk_Leisure[#Headers],0))))</f>
        <v>4.8611111111111112E-3</v>
      </c>
      <c r="AO142" s="113" t="str">
        <f t="shared" si="37"/>
        <v/>
      </c>
      <c r="AP142" s="116" t="str">
        <f>IF(AO142="","",IF($D$14="Weekday",INDEX(Tbl_Wait_Wkday[#All],MATCH('Model 2 - Permutations'!AO142,Tbl_Wait_Wkday[[#All],[Time]],1),MATCH('Model 2 - Permutations'!H142,Tbl_Wait_Wkday[#Headers],0)),INDEX(Tbl_Wait_Wkend[#All],MATCH('Model 2 - Permutations'!AO142,Tbl_Wait_Wkend[[#All],[Time]],1),MATCH('Model 2 - Permutations'!H142,Tbl_Wait_Wkend[#Headers],0))))</f>
        <v/>
      </c>
      <c r="AQ142" s="117" t="str">
        <f>IF(AP142="","",VLOOKUP(H142,Tbl_Ride[#Data],2,FALSE))</f>
        <v/>
      </c>
      <c r="AR142" s="118" t="str">
        <f t="shared" si="38"/>
        <v/>
      </c>
      <c r="AS142" s="119" t="str">
        <f t="shared" si="39"/>
        <v>Incomplete</v>
      </c>
      <c r="AT142" s="119" t="str">
        <f t="shared" si="40"/>
        <v>Incomplete</v>
      </c>
      <c r="AU142" s="119" t="str">
        <f t="shared" si="41"/>
        <v>Incomplete</v>
      </c>
    </row>
    <row r="143" spans="2:47">
      <c r="B143" s="111">
        <v>98</v>
      </c>
      <c r="C143" s="111" t="s">
        <v>66</v>
      </c>
      <c r="D143" s="112" t="str">
        <f t="shared" si="22"/>
        <v>Transformers The Ride</v>
      </c>
      <c r="E143" s="112" t="str">
        <f t="shared" si="22"/>
        <v>Battlestar Galactica: Cylon</v>
      </c>
      <c r="F143" s="112" t="str">
        <f t="shared" si="22"/>
        <v>Battlestart Galactica: Human</v>
      </c>
      <c r="G143" s="112" t="str">
        <f t="shared" si="22"/>
        <v>Revenge of the Mummy</v>
      </c>
      <c r="H143" s="112" t="str">
        <f t="shared" si="22"/>
        <v>Enchanted Airways</v>
      </c>
      <c r="I143" s="112">
        <v>5</v>
      </c>
      <c r="J143" s="112">
        <v>1</v>
      </c>
      <c r="K143" s="112">
        <v>2</v>
      </c>
      <c r="L143" s="112">
        <v>4</v>
      </c>
      <c r="M143" s="112">
        <v>3</v>
      </c>
      <c r="N143" s="113">
        <f t="shared" si="23"/>
        <v>0.5</v>
      </c>
      <c r="O143" s="114">
        <f t="shared" si="24"/>
        <v>0</v>
      </c>
      <c r="P143" s="115">
        <f>IF($D$5="Average",INDEX(Tbl_Walk_Avg[#All],MATCH('Model 2 - Permutations'!C143,Tbl_Walk_Avg[[#All],[Ride]],0),MATCH('Model 2 - Permutations'!D143,Tbl_Walk_Avg[#Headers],0)),INDEX(Tbl_Walk_Leisure[#All],MATCH('Model 2 - Permutations'!C143,Tbl_Walk_Leisure[[#All],[Ride]],0),MATCH('Model 2 - Permutations'!D143,Tbl_Walk_Leisure[#Headers],0)))</f>
        <v>4.8611111111111112E-3</v>
      </c>
      <c r="Q143" s="113">
        <f t="shared" si="25"/>
        <v>0.50486111111111109</v>
      </c>
      <c r="R143" s="116">
        <f>IF(Q143="","",IF($D$14="Weekday",INDEX(Tbl_Wait_Wkday[#All],MATCH('Model 2 - Permutations'!Q143,Tbl_Wait_Wkday[[#All],[Time]],1),MATCH('Model 2 - Permutations'!D143,Tbl_Wait_Wkday[#Headers],0)),INDEX(Tbl_Wait_Wkend[#All],MATCH('Model 2 - Permutations'!Q143,Tbl_Wait_Wkend[[#All],[Time]],1),MATCH('Model 2 - Permutations'!D143,Tbl_Wait_Wkend[#Headers],0))))</f>
        <v>6.5972222222222224E-2</v>
      </c>
      <c r="S143" s="117">
        <f>IF(R143="","",VLOOKUP(D143,Tbl_Ride[#Data],2,FALSE))</f>
        <v>3.4722222222222225E-3</v>
      </c>
      <c r="T143" s="118">
        <f t="shared" si="26"/>
        <v>0.57430555555555551</v>
      </c>
      <c r="U143" s="114">
        <f t="shared" si="27"/>
        <v>1</v>
      </c>
      <c r="V143" s="115">
        <f>IF(U143="","",IF($D$5="Average",INDEX(Tbl_Walk_Avg[#All],MATCH('Model 2 - Permutations'!D143,Tbl_Walk_Avg[[#All],[Ride]],0),MATCH('Model 2 - Permutations'!E143,Tbl_Walk_Avg[#Headers],0)),INDEX(Tbl_Walk_Leisure[#All],MATCH('Model 2 - Permutations'!D143,Tbl_Walk_Leisure[[#All],[Ride]],0),MATCH('Model 2 - Permutations'!E143,Tbl_Walk_Leisure[#Headers],0))))</f>
        <v>2.7777777777777779E-3</v>
      </c>
      <c r="W143" s="113">
        <f t="shared" si="28"/>
        <v>0.66041666666666665</v>
      </c>
      <c r="X143" s="116">
        <f>IF(W143="","",IF($D$14="Weekday",INDEX(Tbl_Wait_Wkday[#All],MATCH('Model 2 - Permutations'!W143,Tbl_Wait_Wkday[[#All],[Time]],1),MATCH('Model 2 - Permutations'!E143,Tbl_Wait_Wkday[#Headers],0)),INDEX(Tbl_Wait_Wkend[#All],MATCH('Model 2 - Permutations'!W143,Tbl_Wait_Wkend[[#All],[Time]],1),MATCH('Model 2 - Permutations'!E143,Tbl_Wait_Wkend[#Headers],0))))</f>
        <v>5.2083333333333329E-2</v>
      </c>
      <c r="Y143" s="117">
        <f>IF(X143="","",VLOOKUP(E143,Tbl_Ride[#Data],2,FALSE))</f>
        <v>1.3888888888888889E-3</v>
      </c>
      <c r="Z143" s="118">
        <f t="shared" si="29"/>
        <v>0.71388888888888891</v>
      </c>
      <c r="AA143" s="114">
        <f t="shared" si="30"/>
        <v>0</v>
      </c>
      <c r="AB143" s="115">
        <f>IF(AA143="","",IF($D$5="Average",INDEX(Tbl_Walk_Avg[#All],MATCH('Model 2 - Permutations'!E143,Tbl_Walk_Avg[[#All],[Ride]],0),MATCH('Model 2 - Permutations'!F143,Tbl_Walk_Avg[#Headers],0)),INDEX(Tbl_Walk_Leisure[#All],MATCH('Model 2 - Permutations'!E143,Tbl_Walk_Leisure[[#All],[Ride]],0),MATCH('Model 2 - Permutations'!F143,Tbl_Walk_Leisure[#Headers],0))))</f>
        <v>0</v>
      </c>
      <c r="AC143" s="113">
        <f t="shared" si="31"/>
        <v>0.71388888888888891</v>
      </c>
      <c r="AD143" s="116">
        <f>IF(AC143="","",IF($D$14="Weekday",INDEX(Tbl_Wait_Wkday[#All],MATCH('Model 2 - Permutations'!AC143,Tbl_Wait_Wkday[[#All],[Time]],1),MATCH('Model 2 - Permutations'!F143,Tbl_Wait_Wkday[#Headers],0)),INDEX(Tbl_Wait_Wkend[#All],MATCH('Model 2 - Permutations'!AC143,Tbl_Wait_Wkend[[#All],[Time]],1),MATCH('Model 2 - Permutations'!F143,Tbl_Wait_Wkend[#Headers],0))))</f>
        <v>2.4305555555555552E-2</v>
      </c>
      <c r="AE143" s="117">
        <f>IF(AD143="","",VLOOKUP(F143,Tbl_Ride[#Data],2,FALSE))</f>
        <v>1.3888888888888889E-3</v>
      </c>
      <c r="AF143" s="118">
        <f t="shared" si="32"/>
        <v>0.73958333333333337</v>
      </c>
      <c r="AG143" s="114">
        <f t="shared" si="33"/>
        <v>0</v>
      </c>
      <c r="AH143" s="115">
        <f>IF(AG143="","",IF($D$5="Average",INDEX(Tbl_Walk_Avg[#All],MATCH('Model 2 - Permutations'!F143,Tbl_Walk_Avg[[#All],[Ride]],0),MATCH('Model 2 - Permutations'!G143,Tbl_Walk_Avg[#Headers],0)),INDEX(Tbl_Walk_Leisure[#All],MATCH('Model 2 - Permutations'!F143,Tbl_Walk_Leisure[[#All],[Ride]],0),MATCH('Model 2 - Permutations'!G143,Tbl_Walk_Leisure[#Headers],0))))</f>
        <v>2.7777777777777779E-3</v>
      </c>
      <c r="AI143" s="113">
        <f t="shared" si="34"/>
        <v>0.74236111111111114</v>
      </c>
      <c r="AJ143" s="116">
        <f>IF(AI143="","",IF($D$14="Weekday",INDEX(Tbl_Wait_Wkday[#All],MATCH('Model 2 - Permutations'!AI143,Tbl_Wait_Wkday[[#All],[Time]],1),MATCH('Model 2 - Permutations'!G143,Tbl_Wait_Wkday[#Headers],0)),INDEX(Tbl_Wait_Wkend[#All],MATCH('Model 2 - Permutations'!AI143,Tbl_Wait_Wkend[[#All],[Time]],1),MATCH('Model 2 - Permutations'!G143,Tbl_Wait_Wkend[#Headers],0))))</f>
        <v>2.4305555555555552E-2</v>
      </c>
      <c r="AK143" s="117">
        <f>IF(AJ143="","",VLOOKUP(G143,Tbl_Ride[#Data],2,FALSE))</f>
        <v>2.0833333333333333E-3</v>
      </c>
      <c r="AL143" s="118">
        <f t="shared" si="35"/>
        <v>0.76875000000000004</v>
      </c>
      <c r="AM143" s="114">
        <f t="shared" si="36"/>
        <v>0</v>
      </c>
      <c r="AN143" s="115">
        <f>IF(AM143="","",IF($D$5="Average",INDEX(Tbl_Walk_Avg[#All],MATCH('Model 2 - Permutations'!G143,Tbl_Walk_Avg[[#All],[Ride]],0),MATCH('Model 2 - Permutations'!H143,Tbl_Walk_Avg[#Headers],0)),INDEX(Tbl_Walk_Leisure[#All],MATCH('Model 2 - Permutations'!G143,Tbl_Walk_Leisure[[#All],[Ride]],0),MATCH('Model 2 - Permutations'!H143,Tbl_Walk_Leisure[#Headers],0))))</f>
        <v>4.8611111111111112E-3</v>
      </c>
      <c r="AO143" s="113" t="str">
        <f t="shared" si="37"/>
        <v/>
      </c>
      <c r="AP143" s="116" t="str">
        <f>IF(AO143="","",IF($D$14="Weekday",INDEX(Tbl_Wait_Wkday[#All],MATCH('Model 2 - Permutations'!AO143,Tbl_Wait_Wkday[[#All],[Time]],1),MATCH('Model 2 - Permutations'!H143,Tbl_Wait_Wkday[#Headers],0)),INDEX(Tbl_Wait_Wkend[#All],MATCH('Model 2 - Permutations'!AO143,Tbl_Wait_Wkend[[#All],[Time]],1),MATCH('Model 2 - Permutations'!H143,Tbl_Wait_Wkend[#Headers],0))))</f>
        <v/>
      </c>
      <c r="AQ143" s="117" t="str">
        <f>IF(AP143="","",VLOOKUP(H143,Tbl_Ride[#Data],2,FALSE))</f>
        <v/>
      </c>
      <c r="AR143" s="118" t="str">
        <f t="shared" si="38"/>
        <v/>
      </c>
      <c r="AS143" s="119" t="str">
        <f t="shared" si="39"/>
        <v>Incomplete</v>
      </c>
      <c r="AT143" s="119" t="str">
        <f t="shared" si="40"/>
        <v>Incomplete</v>
      </c>
      <c r="AU143" s="119" t="str">
        <f t="shared" si="41"/>
        <v>Incomplete</v>
      </c>
    </row>
    <row r="144" spans="2:47">
      <c r="B144" s="111">
        <v>99</v>
      </c>
      <c r="C144" s="111" t="s">
        <v>66</v>
      </c>
      <c r="D144" s="112" t="str">
        <f t="shared" si="22"/>
        <v>Transformers The Ride</v>
      </c>
      <c r="E144" s="112" t="str">
        <f t="shared" si="22"/>
        <v>Battlestar Galactica: Cylon</v>
      </c>
      <c r="F144" s="112" t="str">
        <f t="shared" si="22"/>
        <v>Enchanted Airways</v>
      </c>
      <c r="G144" s="112" t="str">
        <f t="shared" si="22"/>
        <v>Battlestart Galactica: Human</v>
      </c>
      <c r="H144" s="112" t="str">
        <f t="shared" si="22"/>
        <v>Revenge of the Mummy</v>
      </c>
      <c r="I144" s="112">
        <v>5</v>
      </c>
      <c r="J144" s="112">
        <v>1</v>
      </c>
      <c r="K144" s="112">
        <v>3</v>
      </c>
      <c r="L144" s="112">
        <v>2</v>
      </c>
      <c r="M144" s="112">
        <v>4</v>
      </c>
      <c r="N144" s="113">
        <f t="shared" si="23"/>
        <v>0.5</v>
      </c>
      <c r="O144" s="114">
        <f t="shared" si="24"/>
        <v>0</v>
      </c>
      <c r="P144" s="115">
        <f>IF($D$5="Average",INDEX(Tbl_Walk_Avg[#All],MATCH('Model 2 - Permutations'!C144,Tbl_Walk_Avg[[#All],[Ride]],0),MATCH('Model 2 - Permutations'!D144,Tbl_Walk_Avg[#Headers],0)),INDEX(Tbl_Walk_Leisure[#All],MATCH('Model 2 - Permutations'!C144,Tbl_Walk_Leisure[[#All],[Ride]],0),MATCH('Model 2 - Permutations'!D144,Tbl_Walk_Leisure[#Headers],0)))</f>
        <v>4.8611111111111112E-3</v>
      </c>
      <c r="Q144" s="113">
        <f t="shared" si="25"/>
        <v>0.50486111111111109</v>
      </c>
      <c r="R144" s="116">
        <f>IF(Q144="","",IF($D$14="Weekday",INDEX(Tbl_Wait_Wkday[#All],MATCH('Model 2 - Permutations'!Q144,Tbl_Wait_Wkday[[#All],[Time]],1),MATCH('Model 2 - Permutations'!D144,Tbl_Wait_Wkday[#Headers],0)),INDEX(Tbl_Wait_Wkend[#All],MATCH('Model 2 - Permutations'!Q144,Tbl_Wait_Wkend[[#All],[Time]],1),MATCH('Model 2 - Permutations'!D144,Tbl_Wait_Wkend[#Headers],0))))</f>
        <v>6.5972222222222224E-2</v>
      </c>
      <c r="S144" s="117">
        <f>IF(R144="","",VLOOKUP(D144,Tbl_Ride[#Data],2,FALSE))</f>
        <v>3.4722222222222225E-3</v>
      </c>
      <c r="T144" s="118">
        <f t="shared" si="26"/>
        <v>0.57430555555555551</v>
      </c>
      <c r="U144" s="114">
        <f t="shared" si="27"/>
        <v>1</v>
      </c>
      <c r="V144" s="115">
        <f>IF(U144="","",IF($D$5="Average",INDEX(Tbl_Walk_Avg[#All],MATCH('Model 2 - Permutations'!D144,Tbl_Walk_Avg[[#All],[Ride]],0),MATCH('Model 2 - Permutations'!E144,Tbl_Walk_Avg[#Headers],0)),INDEX(Tbl_Walk_Leisure[#All],MATCH('Model 2 - Permutations'!D144,Tbl_Walk_Leisure[[#All],[Ride]],0),MATCH('Model 2 - Permutations'!E144,Tbl_Walk_Leisure[#Headers],0))))</f>
        <v>2.7777777777777779E-3</v>
      </c>
      <c r="W144" s="113">
        <f t="shared" si="28"/>
        <v>0.66041666666666665</v>
      </c>
      <c r="X144" s="116">
        <f>IF(W144="","",IF($D$14="Weekday",INDEX(Tbl_Wait_Wkday[#All],MATCH('Model 2 - Permutations'!W144,Tbl_Wait_Wkday[[#All],[Time]],1),MATCH('Model 2 - Permutations'!E144,Tbl_Wait_Wkday[#Headers],0)),INDEX(Tbl_Wait_Wkend[#All],MATCH('Model 2 - Permutations'!W144,Tbl_Wait_Wkend[[#All],[Time]],1),MATCH('Model 2 - Permutations'!E144,Tbl_Wait_Wkend[#Headers],0))))</f>
        <v>5.2083333333333329E-2</v>
      </c>
      <c r="Y144" s="117">
        <f>IF(X144="","",VLOOKUP(E144,Tbl_Ride[#Data],2,FALSE))</f>
        <v>1.3888888888888889E-3</v>
      </c>
      <c r="Z144" s="118">
        <f t="shared" si="29"/>
        <v>0.71388888888888891</v>
      </c>
      <c r="AA144" s="114">
        <f t="shared" si="30"/>
        <v>0</v>
      </c>
      <c r="AB144" s="115">
        <f>IF(AA144="","",IF($D$5="Average",INDEX(Tbl_Walk_Avg[#All],MATCH('Model 2 - Permutations'!E144,Tbl_Walk_Avg[[#All],[Ride]],0),MATCH('Model 2 - Permutations'!F144,Tbl_Walk_Avg[#Headers],0)),INDEX(Tbl_Walk_Leisure[#All],MATCH('Model 2 - Permutations'!E144,Tbl_Walk_Leisure[[#All],[Ride]],0),MATCH('Model 2 - Permutations'!F144,Tbl_Walk_Leisure[#Headers],0))))</f>
        <v>6.2500000000000003E-3</v>
      </c>
      <c r="AC144" s="113">
        <f t="shared" si="31"/>
        <v>0.72013888888888888</v>
      </c>
      <c r="AD144" s="116">
        <f>IF(AC144="","",IF($D$14="Weekday",INDEX(Tbl_Wait_Wkday[#All],MATCH('Model 2 - Permutations'!AC144,Tbl_Wait_Wkday[[#All],[Time]],1),MATCH('Model 2 - Permutations'!F144,Tbl_Wait_Wkday[#Headers],0)),INDEX(Tbl_Wait_Wkend[#All],MATCH('Model 2 - Permutations'!AC144,Tbl_Wait_Wkend[[#All],[Time]],1),MATCH('Model 2 - Permutations'!F144,Tbl_Wait_Wkend[#Headers],0))))</f>
        <v>1.7361111111111112E-2</v>
      </c>
      <c r="AE144" s="117">
        <f>IF(AD144="","",VLOOKUP(F144,Tbl_Ride[#Data],2,FALSE))</f>
        <v>6.9444444444444447E-4</v>
      </c>
      <c r="AF144" s="118">
        <f t="shared" si="32"/>
        <v>0.73819444444444449</v>
      </c>
      <c r="AG144" s="114">
        <f t="shared" si="33"/>
        <v>0</v>
      </c>
      <c r="AH144" s="115">
        <f>IF(AG144="","",IF($D$5="Average",INDEX(Tbl_Walk_Avg[#All],MATCH('Model 2 - Permutations'!F144,Tbl_Walk_Avg[[#All],[Ride]],0),MATCH('Model 2 - Permutations'!G144,Tbl_Walk_Avg[#Headers],0)),INDEX(Tbl_Walk_Leisure[#All],MATCH('Model 2 - Permutations'!F144,Tbl_Walk_Leisure[[#All],[Ride]],0),MATCH('Model 2 - Permutations'!G144,Tbl_Walk_Leisure[#Headers],0))))</f>
        <v>6.2500000000000003E-3</v>
      </c>
      <c r="AI144" s="113">
        <f t="shared" si="34"/>
        <v>0.74444444444444446</v>
      </c>
      <c r="AJ144" s="116">
        <f>IF(AI144="","",IF($D$14="Weekday",INDEX(Tbl_Wait_Wkday[#All],MATCH('Model 2 - Permutations'!AI144,Tbl_Wait_Wkday[[#All],[Time]],1),MATCH('Model 2 - Permutations'!G144,Tbl_Wait_Wkday[#Headers],0)),INDEX(Tbl_Wait_Wkend[#All],MATCH('Model 2 - Permutations'!AI144,Tbl_Wait_Wkend[[#All],[Time]],1),MATCH('Model 2 - Permutations'!G144,Tbl_Wait_Wkend[#Headers],0))))</f>
        <v>2.4305555555555552E-2</v>
      </c>
      <c r="AK144" s="117">
        <f>IF(AJ144="","",VLOOKUP(G144,Tbl_Ride[#Data],2,FALSE))</f>
        <v>1.3888888888888889E-3</v>
      </c>
      <c r="AL144" s="118">
        <f t="shared" si="35"/>
        <v>0.77013888888888893</v>
      </c>
      <c r="AM144" s="114">
        <f t="shared" si="36"/>
        <v>0</v>
      </c>
      <c r="AN144" s="115">
        <f>IF(AM144="","",IF($D$5="Average",INDEX(Tbl_Walk_Avg[#All],MATCH('Model 2 - Permutations'!G144,Tbl_Walk_Avg[[#All],[Ride]],0),MATCH('Model 2 - Permutations'!H144,Tbl_Walk_Avg[#Headers],0)),INDEX(Tbl_Walk_Leisure[#All],MATCH('Model 2 - Permutations'!G144,Tbl_Walk_Leisure[[#All],[Ride]],0),MATCH('Model 2 - Permutations'!H144,Tbl_Walk_Leisure[#Headers],0))))</f>
        <v>2.7777777777777779E-3</v>
      </c>
      <c r="AO144" s="113" t="str">
        <f t="shared" si="37"/>
        <v/>
      </c>
      <c r="AP144" s="116" t="str">
        <f>IF(AO144="","",IF($D$14="Weekday",INDEX(Tbl_Wait_Wkday[#All],MATCH('Model 2 - Permutations'!AO144,Tbl_Wait_Wkday[[#All],[Time]],1),MATCH('Model 2 - Permutations'!H144,Tbl_Wait_Wkday[#Headers],0)),INDEX(Tbl_Wait_Wkend[#All],MATCH('Model 2 - Permutations'!AO144,Tbl_Wait_Wkend[[#All],[Time]],1),MATCH('Model 2 - Permutations'!H144,Tbl_Wait_Wkend[#Headers],0))))</f>
        <v/>
      </c>
      <c r="AQ144" s="117" t="str">
        <f>IF(AP144="","",VLOOKUP(H144,Tbl_Ride[#Data],2,FALSE))</f>
        <v/>
      </c>
      <c r="AR144" s="118" t="str">
        <f t="shared" si="38"/>
        <v/>
      </c>
      <c r="AS144" s="119" t="str">
        <f t="shared" si="39"/>
        <v>Incomplete</v>
      </c>
      <c r="AT144" s="119" t="str">
        <f t="shared" si="40"/>
        <v>Incomplete</v>
      </c>
      <c r="AU144" s="119" t="str">
        <f t="shared" si="41"/>
        <v>Incomplete</v>
      </c>
    </row>
    <row r="145" spans="2:47">
      <c r="B145" s="111">
        <v>100</v>
      </c>
      <c r="C145" s="111" t="s">
        <v>66</v>
      </c>
      <c r="D145" s="112" t="str">
        <f t="shared" si="22"/>
        <v>Transformers The Ride</v>
      </c>
      <c r="E145" s="112" t="str">
        <f t="shared" si="22"/>
        <v>Battlestar Galactica: Cylon</v>
      </c>
      <c r="F145" s="112" t="str">
        <f t="shared" si="22"/>
        <v>Enchanted Airways</v>
      </c>
      <c r="G145" s="112" t="str">
        <f t="shared" si="22"/>
        <v>Revenge of the Mummy</v>
      </c>
      <c r="H145" s="112" t="str">
        <f t="shared" si="22"/>
        <v>Battlestart Galactica: Human</v>
      </c>
      <c r="I145" s="112">
        <v>5</v>
      </c>
      <c r="J145" s="112">
        <v>1</v>
      </c>
      <c r="K145" s="112">
        <v>3</v>
      </c>
      <c r="L145" s="112">
        <v>4</v>
      </c>
      <c r="M145" s="112">
        <v>2</v>
      </c>
      <c r="N145" s="113">
        <f t="shared" si="23"/>
        <v>0.5</v>
      </c>
      <c r="O145" s="114">
        <f t="shared" si="24"/>
        <v>0</v>
      </c>
      <c r="P145" s="115">
        <f>IF($D$5="Average",INDEX(Tbl_Walk_Avg[#All],MATCH('Model 2 - Permutations'!C145,Tbl_Walk_Avg[[#All],[Ride]],0),MATCH('Model 2 - Permutations'!D145,Tbl_Walk_Avg[#Headers],0)),INDEX(Tbl_Walk_Leisure[#All],MATCH('Model 2 - Permutations'!C145,Tbl_Walk_Leisure[[#All],[Ride]],0),MATCH('Model 2 - Permutations'!D145,Tbl_Walk_Leisure[#Headers],0)))</f>
        <v>4.8611111111111112E-3</v>
      </c>
      <c r="Q145" s="113">
        <f t="shared" si="25"/>
        <v>0.50486111111111109</v>
      </c>
      <c r="R145" s="116">
        <f>IF(Q145="","",IF($D$14="Weekday",INDEX(Tbl_Wait_Wkday[#All],MATCH('Model 2 - Permutations'!Q145,Tbl_Wait_Wkday[[#All],[Time]],1),MATCH('Model 2 - Permutations'!D145,Tbl_Wait_Wkday[#Headers],0)),INDEX(Tbl_Wait_Wkend[#All],MATCH('Model 2 - Permutations'!Q145,Tbl_Wait_Wkend[[#All],[Time]],1),MATCH('Model 2 - Permutations'!D145,Tbl_Wait_Wkend[#Headers],0))))</f>
        <v>6.5972222222222224E-2</v>
      </c>
      <c r="S145" s="117">
        <f>IF(R145="","",VLOOKUP(D145,Tbl_Ride[#Data],2,FALSE))</f>
        <v>3.4722222222222225E-3</v>
      </c>
      <c r="T145" s="118">
        <f t="shared" si="26"/>
        <v>0.57430555555555551</v>
      </c>
      <c r="U145" s="114">
        <f t="shared" si="27"/>
        <v>1</v>
      </c>
      <c r="V145" s="115">
        <f>IF(U145="","",IF($D$5="Average",INDEX(Tbl_Walk_Avg[#All],MATCH('Model 2 - Permutations'!D145,Tbl_Walk_Avg[[#All],[Ride]],0),MATCH('Model 2 - Permutations'!E145,Tbl_Walk_Avg[#Headers],0)),INDEX(Tbl_Walk_Leisure[#All],MATCH('Model 2 - Permutations'!D145,Tbl_Walk_Leisure[[#All],[Ride]],0),MATCH('Model 2 - Permutations'!E145,Tbl_Walk_Leisure[#Headers],0))))</f>
        <v>2.7777777777777779E-3</v>
      </c>
      <c r="W145" s="113">
        <f t="shared" si="28"/>
        <v>0.66041666666666665</v>
      </c>
      <c r="X145" s="116">
        <f>IF(W145="","",IF($D$14="Weekday",INDEX(Tbl_Wait_Wkday[#All],MATCH('Model 2 - Permutations'!W145,Tbl_Wait_Wkday[[#All],[Time]],1),MATCH('Model 2 - Permutations'!E145,Tbl_Wait_Wkday[#Headers],0)),INDEX(Tbl_Wait_Wkend[#All],MATCH('Model 2 - Permutations'!W145,Tbl_Wait_Wkend[[#All],[Time]],1),MATCH('Model 2 - Permutations'!E145,Tbl_Wait_Wkend[#Headers],0))))</f>
        <v>5.2083333333333329E-2</v>
      </c>
      <c r="Y145" s="117">
        <f>IF(X145="","",VLOOKUP(E145,Tbl_Ride[#Data],2,FALSE))</f>
        <v>1.3888888888888889E-3</v>
      </c>
      <c r="Z145" s="118">
        <f t="shared" si="29"/>
        <v>0.71388888888888891</v>
      </c>
      <c r="AA145" s="114">
        <f t="shared" si="30"/>
        <v>0</v>
      </c>
      <c r="AB145" s="115">
        <f>IF(AA145="","",IF($D$5="Average",INDEX(Tbl_Walk_Avg[#All],MATCH('Model 2 - Permutations'!E145,Tbl_Walk_Avg[[#All],[Ride]],0),MATCH('Model 2 - Permutations'!F145,Tbl_Walk_Avg[#Headers],0)),INDEX(Tbl_Walk_Leisure[#All],MATCH('Model 2 - Permutations'!E145,Tbl_Walk_Leisure[[#All],[Ride]],0),MATCH('Model 2 - Permutations'!F145,Tbl_Walk_Leisure[#Headers],0))))</f>
        <v>6.2500000000000003E-3</v>
      </c>
      <c r="AC145" s="113">
        <f t="shared" si="31"/>
        <v>0.72013888888888888</v>
      </c>
      <c r="AD145" s="116">
        <f>IF(AC145="","",IF($D$14="Weekday",INDEX(Tbl_Wait_Wkday[#All],MATCH('Model 2 - Permutations'!AC145,Tbl_Wait_Wkday[[#All],[Time]],1),MATCH('Model 2 - Permutations'!F145,Tbl_Wait_Wkday[#Headers],0)),INDEX(Tbl_Wait_Wkend[#All],MATCH('Model 2 - Permutations'!AC145,Tbl_Wait_Wkend[[#All],[Time]],1),MATCH('Model 2 - Permutations'!F145,Tbl_Wait_Wkend[#Headers],0))))</f>
        <v>1.7361111111111112E-2</v>
      </c>
      <c r="AE145" s="117">
        <f>IF(AD145="","",VLOOKUP(F145,Tbl_Ride[#Data],2,FALSE))</f>
        <v>6.9444444444444447E-4</v>
      </c>
      <c r="AF145" s="118">
        <f t="shared" si="32"/>
        <v>0.73819444444444449</v>
      </c>
      <c r="AG145" s="114">
        <f t="shared" si="33"/>
        <v>0</v>
      </c>
      <c r="AH145" s="115">
        <f>IF(AG145="","",IF($D$5="Average",INDEX(Tbl_Walk_Avg[#All],MATCH('Model 2 - Permutations'!F145,Tbl_Walk_Avg[[#All],[Ride]],0),MATCH('Model 2 - Permutations'!G145,Tbl_Walk_Avg[#Headers],0)),INDEX(Tbl_Walk_Leisure[#All],MATCH('Model 2 - Permutations'!F145,Tbl_Walk_Leisure[[#All],[Ride]],0),MATCH('Model 2 - Permutations'!G145,Tbl_Walk_Leisure[#Headers],0))))</f>
        <v>4.8611111111111112E-3</v>
      </c>
      <c r="AI145" s="113">
        <f t="shared" si="34"/>
        <v>0.74305555555555558</v>
      </c>
      <c r="AJ145" s="116">
        <f>IF(AI145="","",IF($D$14="Weekday",INDEX(Tbl_Wait_Wkday[#All],MATCH('Model 2 - Permutations'!AI145,Tbl_Wait_Wkday[[#All],[Time]],1),MATCH('Model 2 - Permutations'!G145,Tbl_Wait_Wkday[#Headers],0)),INDEX(Tbl_Wait_Wkend[#All],MATCH('Model 2 - Permutations'!AI145,Tbl_Wait_Wkend[[#All],[Time]],1),MATCH('Model 2 - Permutations'!G145,Tbl_Wait_Wkend[#Headers],0))))</f>
        <v>2.4305555555555552E-2</v>
      </c>
      <c r="AK145" s="117">
        <f>IF(AJ145="","",VLOOKUP(G145,Tbl_Ride[#Data],2,FALSE))</f>
        <v>2.0833333333333333E-3</v>
      </c>
      <c r="AL145" s="118">
        <f t="shared" si="35"/>
        <v>0.76944444444444449</v>
      </c>
      <c r="AM145" s="114">
        <f t="shared" si="36"/>
        <v>0</v>
      </c>
      <c r="AN145" s="115">
        <f>IF(AM145="","",IF($D$5="Average",INDEX(Tbl_Walk_Avg[#All],MATCH('Model 2 - Permutations'!G145,Tbl_Walk_Avg[[#All],[Ride]],0),MATCH('Model 2 - Permutations'!H145,Tbl_Walk_Avg[#Headers],0)),INDEX(Tbl_Walk_Leisure[#All],MATCH('Model 2 - Permutations'!G145,Tbl_Walk_Leisure[[#All],[Ride]],0),MATCH('Model 2 - Permutations'!H145,Tbl_Walk_Leisure[#Headers],0))))</f>
        <v>2.7777777777777779E-3</v>
      </c>
      <c r="AO145" s="113" t="str">
        <f t="shared" si="37"/>
        <v/>
      </c>
      <c r="AP145" s="116" t="str">
        <f>IF(AO145="","",IF($D$14="Weekday",INDEX(Tbl_Wait_Wkday[#All],MATCH('Model 2 - Permutations'!AO145,Tbl_Wait_Wkday[[#All],[Time]],1),MATCH('Model 2 - Permutations'!H145,Tbl_Wait_Wkday[#Headers],0)),INDEX(Tbl_Wait_Wkend[#All],MATCH('Model 2 - Permutations'!AO145,Tbl_Wait_Wkend[[#All],[Time]],1),MATCH('Model 2 - Permutations'!H145,Tbl_Wait_Wkend[#Headers],0))))</f>
        <v/>
      </c>
      <c r="AQ145" s="117" t="str">
        <f>IF(AP145="","",VLOOKUP(H145,Tbl_Ride[#Data],2,FALSE))</f>
        <v/>
      </c>
      <c r="AR145" s="118" t="str">
        <f t="shared" si="38"/>
        <v/>
      </c>
      <c r="AS145" s="119" t="str">
        <f t="shared" si="39"/>
        <v>Incomplete</v>
      </c>
      <c r="AT145" s="119" t="str">
        <f t="shared" si="40"/>
        <v>Incomplete</v>
      </c>
      <c r="AU145" s="119" t="str">
        <f t="shared" si="41"/>
        <v>Incomplete</v>
      </c>
    </row>
    <row r="146" spans="2:47">
      <c r="B146" s="111">
        <v>101</v>
      </c>
      <c r="C146" s="111" t="s">
        <v>66</v>
      </c>
      <c r="D146" s="112" t="str">
        <f t="shared" si="22"/>
        <v>Transformers The Ride</v>
      </c>
      <c r="E146" s="112" t="str">
        <f t="shared" si="22"/>
        <v>Battlestar Galactica: Cylon</v>
      </c>
      <c r="F146" s="112" t="str">
        <f t="shared" si="22"/>
        <v>Revenge of the Mummy</v>
      </c>
      <c r="G146" s="112" t="str">
        <f t="shared" si="22"/>
        <v>Battlestart Galactica: Human</v>
      </c>
      <c r="H146" s="112" t="str">
        <f t="shared" si="22"/>
        <v>Enchanted Airways</v>
      </c>
      <c r="I146" s="112">
        <v>5</v>
      </c>
      <c r="J146" s="112">
        <v>1</v>
      </c>
      <c r="K146" s="112">
        <v>4</v>
      </c>
      <c r="L146" s="112">
        <v>2</v>
      </c>
      <c r="M146" s="112">
        <v>3</v>
      </c>
      <c r="N146" s="113">
        <f t="shared" si="23"/>
        <v>0.5</v>
      </c>
      <c r="O146" s="114">
        <f t="shared" si="24"/>
        <v>0</v>
      </c>
      <c r="P146" s="115">
        <f>IF($D$5="Average",INDEX(Tbl_Walk_Avg[#All],MATCH('Model 2 - Permutations'!C146,Tbl_Walk_Avg[[#All],[Ride]],0),MATCH('Model 2 - Permutations'!D146,Tbl_Walk_Avg[#Headers],0)),INDEX(Tbl_Walk_Leisure[#All],MATCH('Model 2 - Permutations'!C146,Tbl_Walk_Leisure[[#All],[Ride]],0),MATCH('Model 2 - Permutations'!D146,Tbl_Walk_Leisure[#Headers],0)))</f>
        <v>4.8611111111111112E-3</v>
      </c>
      <c r="Q146" s="113">
        <f t="shared" si="25"/>
        <v>0.50486111111111109</v>
      </c>
      <c r="R146" s="116">
        <f>IF(Q146="","",IF($D$14="Weekday",INDEX(Tbl_Wait_Wkday[#All],MATCH('Model 2 - Permutations'!Q146,Tbl_Wait_Wkday[[#All],[Time]],1),MATCH('Model 2 - Permutations'!D146,Tbl_Wait_Wkday[#Headers],0)),INDEX(Tbl_Wait_Wkend[#All],MATCH('Model 2 - Permutations'!Q146,Tbl_Wait_Wkend[[#All],[Time]],1),MATCH('Model 2 - Permutations'!D146,Tbl_Wait_Wkend[#Headers],0))))</f>
        <v>6.5972222222222224E-2</v>
      </c>
      <c r="S146" s="117">
        <f>IF(R146="","",VLOOKUP(D146,Tbl_Ride[#Data],2,FALSE))</f>
        <v>3.4722222222222225E-3</v>
      </c>
      <c r="T146" s="118">
        <f t="shared" si="26"/>
        <v>0.57430555555555551</v>
      </c>
      <c r="U146" s="114">
        <f t="shared" si="27"/>
        <v>1</v>
      </c>
      <c r="V146" s="115">
        <f>IF(U146="","",IF($D$5="Average",INDEX(Tbl_Walk_Avg[#All],MATCH('Model 2 - Permutations'!D146,Tbl_Walk_Avg[[#All],[Ride]],0),MATCH('Model 2 - Permutations'!E146,Tbl_Walk_Avg[#Headers],0)),INDEX(Tbl_Walk_Leisure[#All],MATCH('Model 2 - Permutations'!D146,Tbl_Walk_Leisure[[#All],[Ride]],0),MATCH('Model 2 - Permutations'!E146,Tbl_Walk_Leisure[#Headers],0))))</f>
        <v>2.7777777777777779E-3</v>
      </c>
      <c r="W146" s="113">
        <f t="shared" si="28"/>
        <v>0.66041666666666665</v>
      </c>
      <c r="X146" s="116">
        <f>IF(W146="","",IF($D$14="Weekday",INDEX(Tbl_Wait_Wkday[#All],MATCH('Model 2 - Permutations'!W146,Tbl_Wait_Wkday[[#All],[Time]],1),MATCH('Model 2 - Permutations'!E146,Tbl_Wait_Wkday[#Headers],0)),INDEX(Tbl_Wait_Wkend[#All],MATCH('Model 2 - Permutations'!W146,Tbl_Wait_Wkend[[#All],[Time]],1),MATCH('Model 2 - Permutations'!E146,Tbl_Wait_Wkend[#Headers],0))))</f>
        <v>5.2083333333333329E-2</v>
      </c>
      <c r="Y146" s="117">
        <f>IF(X146="","",VLOOKUP(E146,Tbl_Ride[#Data],2,FALSE))</f>
        <v>1.3888888888888889E-3</v>
      </c>
      <c r="Z146" s="118">
        <f t="shared" si="29"/>
        <v>0.71388888888888891</v>
      </c>
      <c r="AA146" s="114">
        <f t="shared" si="30"/>
        <v>0</v>
      </c>
      <c r="AB146" s="115">
        <f>IF(AA146="","",IF($D$5="Average",INDEX(Tbl_Walk_Avg[#All],MATCH('Model 2 - Permutations'!E146,Tbl_Walk_Avg[[#All],[Ride]],0),MATCH('Model 2 - Permutations'!F146,Tbl_Walk_Avg[#Headers],0)),INDEX(Tbl_Walk_Leisure[#All],MATCH('Model 2 - Permutations'!E146,Tbl_Walk_Leisure[[#All],[Ride]],0),MATCH('Model 2 - Permutations'!F146,Tbl_Walk_Leisure[#Headers],0))))</f>
        <v>2.7777777777777779E-3</v>
      </c>
      <c r="AC146" s="113">
        <f t="shared" si="31"/>
        <v>0.71666666666666667</v>
      </c>
      <c r="AD146" s="116">
        <f>IF(AC146="","",IF($D$14="Weekday",INDEX(Tbl_Wait_Wkday[#All],MATCH('Model 2 - Permutations'!AC146,Tbl_Wait_Wkday[[#All],[Time]],1),MATCH('Model 2 - Permutations'!F146,Tbl_Wait_Wkday[#Headers],0)),INDEX(Tbl_Wait_Wkend[#All],MATCH('Model 2 - Permutations'!AC146,Tbl_Wait_Wkend[[#All],[Time]],1),MATCH('Model 2 - Permutations'!F146,Tbl_Wait_Wkend[#Headers],0))))</f>
        <v>2.4305555555555552E-2</v>
      </c>
      <c r="AE146" s="117">
        <f>IF(AD146="","",VLOOKUP(F146,Tbl_Ride[#Data],2,FALSE))</f>
        <v>2.0833333333333333E-3</v>
      </c>
      <c r="AF146" s="118">
        <f t="shared" si="32"/>
        <v>0.74305555555555558</v>
      </c>
      <c r="AG146" s="114">
        <f t="shared" si="33"/>
        <v>0</v>
      </c>
      <c r="AH146" s="115">
        <f>IF(AG146="","",IF($D$5="Average",INDEX(Tbl_Walk_Avg[#All],MATCH('Model 2 - Permutations'!F146,Tbl_Walk_Avg[[#All],[Ride]],0),MATCH('Model 2 - Permutations'!G146,Tbl_Walk_Avg[#Headers],0)),INDEX(Tbl_Walk_Leisure[#All],MATCH('Model 2 - Permutations'!F146,Tbl_Walk_Leisure[[#All],[Ride]],0),MATCH('Model 2 - Permutations'!G146,Tbl_Walk_Leisure[#Headers],0))))</f>
        <v>2.7777777777777779E-3</v>
      </c>
      <c r="AI146" s="113">
        <f t="shared" si="34"/>
        <v>0.74583333333333335</v>
      </c>
      <c r="AJ146" s="116">
        <f>IF(AI146="","",IF($D$14="Weekday",INDEX(Tbl_Wait_Wkday[#All],MATCH('Model 2 - Permutations'!AI146,Tbl_Wait_Wkday[[#All],[Time]],1),MATCH('Model 2 - Permutations'!G146,Tbl_Wait_Wkday[#Headers],0)),INDEX(Tbl_Wait_Wkend[#All],MATCH('Model 2 - Permutations'!AI146,Tbl_Wait_Wkend[[#All],[Time]],1),MATCH('Model 2 - Permutations'!G146,Tbl_Wait_Wkend[#Headers],0))))</f>
        <v>2.4305555555555552E-2</v>
      </c>
      <c r="AK146" s="117">
        <f>IF(AJ146="","",VLOOKUP(G146,Tbl_Ride[#Data],2,FALSE))</f>
        <v>1.3888888888888889E-3</v>
      </c>
      <c r="AL146" s="118">
        <f t="shared" si="35"/>
        <v>0.77152777777777781</v>
      </c>
      <c r="AM146" s="114">
        <f t="shared" si="36"/>
        <v>0</v>
      </c>
      <c r="AN146" s="115">
        <f>IF(AM146="","",IF($D$5="Average",INDEX(Tbl_Walk_Avg[#All],MATCH('Model 2 - Permutations'!G146,Tbl_Walk_Avg[[#All],[Ride]],0),MATCH('Model 2 - Permutations'!H146,Tbl_Walk_Avg[#Headers],0)),INDEX(Tbl_Walk_Leisure[#All],MATCH('Model 2 - Permutations'!G146,Tbl_Walk_Leisure[[#All],[Ride]],0),MATCH('Model 2 - Permutations'!H146,Tbl_Walk_Leisure[#Headers],0))))</f>
        <v>6.2500000000000003E-3</v>
      </c>
      <c r="AO146" s="113" t="str">
        <f t="shared" si="37"/>
        <v/>
      </c>
      <c r="AP146" s="116" t="str">
        <f>IF(AO146="","",IF($D$14="Weekday",INDEX(Tbl_Wait_Wkday[#All],MATCH('Model 2 - Permutations'!AO146,Tbl_Wait_Wkday[[#All],[Time]],1),MATCH('Model 2 - Permutations'!H146,Tbl_Wait_Wkday[#Headers],0)),INDEX(Tbl_Wait_Wkend[#All],MATCH('Model 2 - Permutations'!AO146,Tbl_Wait_Wkend[[#All],[Time]],1),MATCH('Model 2 - Permutations'!H146,Tbl_Wait_Wkend[#Headers],0))))</f>
        <v/>
      </c>
      <c r="AQ146" s="117" t="str">
        <f>IF(AP146="","",VLOOKUP(H146,Tbl_Ride[#Data],2,FALSE))</f>
        <v/>
      </c>
      <c r="AR146" s="118" t="str">
        <f t="shared" si="38"/>
        <v/>
      </c>
      <c r="AS146" s="119" t="str">
        <f t="shared" si="39"/>
        <v>Incomplete</v>
      </c>
      <c r="AT146" s="119" t="str">
        <f t="shared" si="40"/>
        <v>Incomplete</v>
      </c>
      <c r="AU146" s="119" t="str">
        <f t="shared" si="41"/>
        <v>Incomplete</v>
      </c>
    </row>
    <row r="147" spans="2:47">
      <c r="B147" s="111">
        <v>102</v>
      </c>
      <c r="C147" s="111" t="s">
        <v>66</v>
      </c>
      <c r="D147" s="112" t="str">
        <f t="shared" si="22"/>
        <v>Transformers The Ride</v>
      </c>
      <c r="E147" s="112" t="str">
        <f t="shared" si="22"/>
        <v>Battlestar Galactica: Cylon</v>
      </c>
      <c r="F147" s="112" t="str">
        <f t="shared" si="22"/>
        <v>Revenge of the Mummy</v>
      </c>
      <c r="G147" s="112" t="str">
        <f t="shared" si="22"/>
        <v>Enchanted Airways</v>
      </c>
      <c r="H147" s="112" t="str">
        <f t="shared" si="22"/>
        <v>Battlestart Galactica: Human</v>
      </c>
      <c r="I147" s="112">
        <v>5</v>
      </c>
      <c r="J147" s="112">
        <v>1</v>
      </c>
      <c r="K147" s="112">
        <v>4</v>
      </c>
      <c r="L147" s="112">
        <v>3</v>
      </c>
      <c r="M147" s="112">
        <v>2</v>
      </c>
      <c r="N147" s="113">
        <f t="shared" si="23"/>
        <v>0.5</v>
      </c>
      <c r="O147" s="114">
        <f t="shared" si="24"/>
        <v>0</v>
      </c>
      <c r="P147" s="115">
        <f>IF($D$5="Average",INDEX(Tbl_Walk_Avg[#All],MATCH('Model 2 - Permutations'!C147,Tbl_Walk_Avg[[#All],[Ride]],0),MATCH('Model 2 - Permutations'!D147,Tbl_Walk_Avg[#Headers],0)),INDEX(Tbl_Walk_Leisure[#All],MATCH('Model 2 - Permutations'!C147,Tbl_Walk_Leisure[[#All],[Ride]],0),MATCH('Model 2 - Permutations'!D147,Tbl_Walk_Leisure[#Headers],0)))</f>
        <v>4.8611111111111112E-3</v>
      </c>
      <c r="Q147" s="113">
        <f t="shared" si="25"/>
        <v>0.50486111111111109</v>
      </c>
      <c r="R147" s="116">
        <f>IF(Q147="","",IF($D$14="Weekday",INDEX(Tbl_Wait_Wkday[#All],MATCH('Model 2 - Permutations'!Q147,Tbl_Wait_Wkday[[#All],[Time]],1),MATCH('Model 2 - Permutations'!D147,Tbl_Wait_Wkday[#Headers],0)),INDEX(Tbl_Wait_Wkend[#All],MATCH('Model 2 - Permutations'!Q147,Tbl_Wait_Wkend[[#All],[Time]],1),MATCH('Model 2 - Permutations'!D147,Tbl_Wait_Wkend[#Headers],0))))</f>
        <v>6.5972222222222224E-2</v>
      </c>
      <c r="S147" s="117">
        <f>IF(R147="","",VLOOKUP(D147,Tbl_Ride[#Data],2,FALSE))</f>
        <v>3.4722222222222225E-3</v>
      </c>
      <c r="T147" s="118">
        <f t="shared" si="26"/>
        <v>0.57430555555555551</v>
      </c>
      <c r="U147" s="114">
        <f t="shared" si="27"/>
        <v>1</v>
      </c>
      <c r="V147" s="115">
        <f>IF(U147="","",IF($D$5="Average",INDEX(Tbl_Walk_Avg[#All],MATCH('Model 2 - Permutations'!D147,Tbl_Walk_Avg[[#All],[Ride]],0),MATCH('Model 2 - Permutations'!E147,Tbl_Walk_Avg[#Headers],0)),INDEX(Tbl_Walk_Leisure[#All],MATCH('Model 2 - Permutations'!D147,Tbl_Walk_Leisure[[#All],[Ride]],0),MATCH('Model 2 - Permutations'!E147,Tbl_Walk_Leisure[#Headers],0))))</f>
        <v>2.7777777777777779E-3</v>
      </c>
      <c r="W147" s="113">
        <f t="shared" si="28"/>
        <v>0.66041666666666665</v>
      </c>
      <c r="X147" s="116">
        <f>IF(W147="","",IF($D$14="Weekday",INDEX(Tbl_Wait_Wkday[#All],MATCH('Model 2 - Permutations'!W147,Tbl_Wait_Wkday[[#All],[Time]],1),MATCH('Model 2 - Permutations'!E147,Tbl_Wait_Wkday[#Headers],0)),INDEX(Tbl_Wait_Wkend[#All],MATCH('Model 2 - Permutations'!W147,Tbl_Wait_Wkend[[#All],[Time]],1),MATCH('Model 2 - Permutations'!E147,Tbl_Wait_Wkend[#Headers],0))))</f>
        <v>5.2083333333333329E-2</v>
      </c>
      <c r="Y147" s="117">
        <f>IF(X147="","",VLOOKUP(E147,Tbl_Ride[#Data],2,FALSE))</f>
        <v>1.3888888888888889E-3</v>
      </c>
      <c r="Z147" s="118">
        <f t="shared" si="29"/>
        <v>0.71388888888888891</v>
      </c>
      <c r="AA147" s="114">
        <f t="shared" si="30"/>
        <v>0</v>
      </c>
      <c r="AB147" s="115">
        <f>IF(AA147="","",IF($D$5="Average",INDEX(Tbl_Walk_Avg[#All],MATCH('Model 2 - Permutations'!E147,Tbl_Walk_Avg[[#All],[Ride]],0),MATCH('Model 2 - Permutations'!F147,Tbl_Walk_Avg[#Headers],0)),INDEX(Tbl_Walk_Leisure[#All],MATCH('Model 2 - Permutations'!E147,Tbl_Walk_Leisure[[#All],[Ride]],0),MATCH('Model 2 - Permutations'!F147,Tbl_Walk_Leisure[#Headers],0))))</f>
        <v>2.7777777777777779E-3</v>
      </c>
      <c r="AC147" s="113">
        <f t="shared" si="31"/>
        <v>0.71666666666666667</v>
      </c>
      <c r="AD147" s="116">
        <f>IF(AC147="","",IF($D$14="Weekday",INDEX(Tbl_Wait_Wkday[#All],MATCH('Model 2 - Permutations'!AC147,Tbl_Wait_Wkday[[#All],[Time]],1),MATCH('Model 2 - Permutations'!F147,Tbl_Wait_Wkday[#Headers],0)),INDEX(Tbl_Wait_Wkend[#All],MATCH('Model 2 - Permutations'!AC147,Tbl_Wait_Wkend[[#All],[Time]],1),MATCH('Model 2 - Permutations'!F147,Tbl_Wait_Wkend[#Headers],0))))</f>
        <v>2.4305555555555552E-2</v>
      </c>
      <c r="AE147" s="117">
        <f>IF(AD147="","",VLOOKUP(F147,Tbl_Ride[#Data],2,FALSE))</f>
        <v>2.0833333333333333E-3</v>
      </c>
      <c r="AF147" s="118">
        <f t="shared" si="32"/>
        <v>0.74305555555555558</v>
      </c>
      <c r="AG147" s="114">
        <f t="shared" si="33"/>
        <v>0</v>
      </c>
      <c r="AH147" s="115">
        <f>IF(AG147="","",IF($D$5="Average",INDEX(Tbl_Walk_Avg[#All],MATCH('Model 2 - Permutations'!F147,Tbl_Walk_Avg[[#All],[Ride]],0),MATCH('Model 2 - Permutations'!G147,Tbl_Walk_Avg[#Headers],0)),INDEX(Tbl_Walk_Leisure[#All],MATCH('Model 2 - Permutations'!F147,Tbl_Walk_Leisure[[#All],[Ride]],0),MATCH('Model 2 - Permutations'!G147,Tbl_Walk_Leisure[#Headers],0))))</f>
        <v>4.8611111111111112E-3</v>
      </c>
      <c r="AI147" s="113">
        <f t="shared" si="34"/>
        <v>0.74791666666666667</v>
      </c>
      <c r="AJ147" s="116">
        <f>IF(AI147="","",IF($D$14="Weekday",INDEX(Tbl_Wait_Wkday[#All],MATCH('Model 2 - Permutations'!AI147,Tbl_Wait_Wkday[[#All],[Time]],1),MATCH('Model 2 - Permutations'!G147,Tbl_Wait_Wkday[#Headers],0)),INDEX(Tbl_Wait_Wkend[#All],MATCH('Model 2 - Permutations'!AI147,Tbl_Wait_Wkend[[#All],[Time]],1),MATCH('Model 2 - Permutations'!G147,Tbl_Wait_Wkend[#Headers],0))))</f>
        <v>1.7361111111111112E-2</v>
      </c>
      <c r="AK147" s="117">
        <f>IF(AJ147="","",VLOOKUP(G147,Tbl_Ride[#Data],2,FALSE))</f>
        <v>6.9444444444444447E-4</v>
      </c>
      <c r="AL147" s="118">
        <f t="shared" si="35"/>
        <v>0.76597222222222228</v>
      </c>
      <c r="AM147" s="114">
        <f t="shared" si="36"/>
        <v>0</v>
      </c>
      <c r="AN147" s="115">
        <f>IF(AM147="","",IF($D$5="Average",INDEX(Tbl_Walk_Avg[#All],MATCH('Model 2 - Permutations'!G147,Tbl_Walk_Avg[[#All],[Ride]],0),MATCH('Model 2 - Permutations'!H147,Tbl_Walk_Avg[#Headers],0)),INDEX(Tbl_Walk_Leisure[#All],MATCH('Model 2 - Permutations'!G147,Tbl_Walk_Leisure[[#All],[Ride]],0),MATCH('Model 2 - Permutations'!H147,Tbl_Walk_Leisure[#Headers],0))))</f>
        <v>6.2500000000000003E-3</v>
      </c>
      <c r="AO147" s="113" t="str">
        <f t="shared" si="37"/>
        <v/>
      </c>
      <c r="AP147" s="116" t="str">
        <f>IF(AO147="","",IF($D$14="Weekday",INDEX(Tbl_Wait_Wkday[#All],MATCH('Model 2 - Permutations'!AO147,Tbl_Wait_Wkday[[#All],[Time]],1),MATCH('Model 2 - Permutations'!H147,Tbl_Wait_Wkday[#Headers],0)),INDEX(Tbl_Wait_Wkend[#All],MATCH('Model 2 - Permutations'!AO147,Tbl_Wait_Wkend[[#All],[Time]],1),MATCH('Model 2 - Permutations'!H147,Tbl_Wait_Wkend[#Headers],0))))</f>
        <v/>
      </c>
      <c r="AQ147" s="117" t="str">
        <f>IF(AP147="","",VLOOKUP(H147,Tbl_Ride[#Data],2,FALSE))</f>
        <v/>
      </c>
      <c r="AR147" s="118" t="str">
        <f t="shared" si="38"/>
        <v/>
      </c>
      <c r="AS147" s="119" t="str">
        <f t="shared" si="39"/>
        <v>Incomplete</v>
      </c>
      <c r="AT147" s="119" t="str">
        <f t="shared" si="40"/>
        <v>Incomplete</v>
      </c>
      <c r="AU147" s="119" t="str">
        <f t="shared" si="41"/>
        <v>Incomplete</v>
      </c>
    </row>
    <row r="148" spans="2:47">
      <c r="B148" s="111">
        <v>103</v>
      </c>
      <c r="C148" s="111" t="s">
        <v>66</v>
      </c>
      <c r="D148" s="112" t="str">
        <f t="shared" si="22"/>
        <v>Transformers The Ride</v>
      </c>
      <c r="E148" s="112" t="str">
        <f t="shared" si="22"/>
        <v>Battlestart Galactica: Human</v>
      </c>
      <c r="F148" s="112" t="str">
        <f t="shared" si="22"/>
        <v>Battlestar Galactica: Cylon</v>
      </c>
      <c r="G148" s="112" t="str">
        <f t="shared" si="22"/>
        <v>Enchanted Airways</v>
      </c>
      <c r="H148" s="112" t="str">
        <f t="shared" si="22"/>
        <v>Revenge of the Mummy</v>
      </c>
      <c r="I148" s="112">
        <v>5</v>
      </c>
      <c r="J148" s="112">
        <v>2</v>
      </c>
      <c r="K148" s="112">
        <v>1</v>
      </c>
      <c r="L148" s="112">
        <v>3</v>
      </c>
      <c r="M148" s="112">
        <v>4</v>
      </c>
      <c r="N148" s="113">
        <f t="shared" si="23"/>
        <v>0.5</v>
      </c>
      <c r="O148" s="114">
        <f t="shared" si="24"/>
        <v>0</v>
      </c>
      <c r="P148" s="115">
        <f>IF($D$5="Average",INDEX(Tbl_Walk_Avg[#All],MATCH('Model 2 - Permutations'!C148,Tbl_Walk_Avg[[#All],[Ride]],0),MATCH('Model 2 - Permutations'!D148,Tbl_Walk_Avg[#Headers],0)),INDEX(Tbl_Walk_Leisure[#All],MATCH('Model 2 - Permutations'!C148,Tbl_Walk_Leisure[[#All],[Ride]],0),MATCH('Model 2 - Permutations'!D148,Tbl_Walk_Leisure[#Headers],0)))</f>
        <v>4.8611111111111112E-3</v>
      </c>
      <c r="Q148" s="113">
        <f t="shared" si="25"/>
        <v>0.50486111111111109</v>
      </c>
      <c r="R148" s="116">
        <f>IF(Q148="","",IF($D$14="Weekday",INDEX(Tbl_Wait_Wkday[#All],MATCH('Model 2 - Permutations'!Q148,Tbl_Wait_Wkday[[#All],[Time]],1),MATCH('Model 2 - Permutations'!D148,Tbl_Wait_Wkday[#Headers],0)),INDEX(Tbl_Wait_Wkend[#All],MATCH('Model 2 - Permutations'!Q148,Tbl_Wait_Wkend[[#All],[Time]],1),MATCH('Model 2 - Permutations'!D148,Tbl_Wait_Wkend[#Headers],0))))</f>
        <v>6.5972222222222224E-2</v>
      </c>
      <c r="S148" s="117">
        <f>IF(R148="","",VLOOKUP(D148,Tbl_Ride[#Data],2,FALSE))</f>
        <v>3.4722222222222225E-3</v>
      </c>
      <c r="T148" s="118">
        <f t="shared" si="26"/>
        <v>0.57430555555555551</v>
      </c>
      <c r="U148" s="114">
        <f t="shared" si="27"/>
        <v>1</v>
      </c>
      <c r="V148" s="115">
        <f>IF(U148="","",IF($D$5="Average",INDEX(Tbl_Walk_Avg[#All],MATCH('Model 2 - Permutations'!D148,Tbl_Walk_Avg[[#All],[Ride]],0),MATCH('Model 2 - Permutations'!E148,Tbl_Walk_Avg[#Headers],0)),INDEX(Tbl_Walk_Leisure[#All],MATCH('Model 2 - Permutations'!D148,Tbl_Walk_Leisure[[#All],[Ride]],0),MATCH('Model 2 - Permutations'!E148,Tbl_Walk_Leisure[#Headers],0))))</f>
        <v>2.7777777777777779E-3</v>
      </c>
      <c r="W148" s="113">
        <f t="shared" si="28"/>
        <v>0.66041666666666665</v>
      </c>
      <c r="X148" s="116">
        <f>IF(W148="","",IF($D$14="Weekday",INDEX(Tbl_Wait_Wkday[#All],MATCH('Model 2 - Permutations'!W148,Tbl_Wait_Wkday[[#All],[Time]],1),MATCH('Model 2 - Permutations'!E148,Tbl_Wait_Wkday[#Headers],0)),INDEX(Tbl_Wait_Wkend[#All],MATCH('Model 2 - Permutations'!W148,Tbl_Wait_Wkend[[#All],[Time]],1),MATCH('Model 2 - Permutations'!E148,Tbl_Wait_Wkend[#Headers],0))))</f>
        <v>5.5555555555555552E-2</v>
      </c>
      <c r="Y148" s="117">
        <f>IF(X148="","",VLOOKUP(E148,Tbl_Ride[#Data],2,FALSE))</f>
        <v>1.3888888888888889E-3</v>
      </c>
      <c r="Z148" s="118">
        <f t="shared" si="29"/>
        <v>0.71736111111111112</v>
      </c>
      <c r="AA148" s="114">
        <f t="shared" si="30"/>
        <v>0</v>
      </c>
      <c r="AB148" s="115">
        <f>IF(AA148="","",IF($D$5="Average",INDEX(Tbl_Walk_Avg[#All],MATCH('Model 2 - Permutations'!E148,Tbl_Walk_Avg[[#All],[Ride]],0),MATCH('Model 2 - Permutations'!F148,Tbl_Walk_Avg[#Headers],0)),INDEX(Tbl_Walk_Leisure[#All],MATCH('Model 2 - Permutations'!E148,Tbl_Walk_Leisure[[#All],[Ride]],0),MATCH('Model 2 - Permutations'!F148,Tbl_Walk_Leisure[#Headers],0))))</f>
        <v>0</v>
      </c>
      <c r="AC148" s="113">
        <f t="shared" si="31"/>
        <v>0.71736111111111112</v>
      </c>
      <c r="AD148" s="116">
        <f>IF(AC148="","",IF($D$14="Weekday",INDEX(Tbl_Wait_Wkday[#All],MATCH('Model 2 - Permutations'!AC148,Tbl_Wait_Wkday[[#All],[Time]],1),MATCH('Model 2 - Permutations'!F148,Tbl_Wait_Wkday[#Headers],0)),INDEX(Tbl_Wait_Wkend[#All],MATCH('Model 2 - Permutations'!AC148,Tbl_Wait_Wkend[[#All],[Time]],1),MATCH('Model 2 - Permutations'!F148,Tbl_Wait_Wkend[#Headers],0))))</f>
        <v>3.8194444444444441E-2</v>
      </c>
      <c r="AE148" s="117">
        <f>IF(AD148="","",VLOOKUP(F148,Tbl_Ride[#Data],2,FALSE))</f>
        <v>1.3888888888888889E-3</v>
      </c>
      <c r="AF148" s="118">
        <f t="shared" si="32"/>
        <v>0.75694444444444442</v>
      </c>
      <c r="AG148" s="114">
        <f t="shared" si="33"/>
        <v>0</v>
      </c>
      <c r="AH148" s="115">
        <f>IF(AG148="","",IF($D$5="Average",INDEX(Tbl_Walk_Avg[#All],MATCH('Model 2 - Permutations'!F148,Tbl_Walk_Avg[[#All],[Ride]],0),MATCH('Model 2 - Permutations'!G148,Tbl_Walk_Avg[#Headers],0)),INDEX(Tbl_Walk_Leisure[#All],MATCH('Model 2 - Permutations'!F148,Tbl_Walk_Leisure[[#All],[Ride]],0),MATCH('Model 2 - Permutations'!G148,Tbl_Walk_Leisure[#Headers],0))))</f>
        <v>6.2500000000000003E-3</v>
      </c>
      <c r="AI148" s="113" t="str">
        <f t="shared" si="34"/>
        <v/>
      </c>
      <c r="AJ148" s="116" t="str">
        <f>IF(AI148="","",IF($D$14="Weekday",INDEX(Tbl_Wait_Wkday[#All],MATCH('Model 2 - Permutations'!AI148,Tbl_Wait_Wkday[[#All],[Time]],1),MATCH('Model 2 - Permutations'!G148,Tbl_Wait_Wkday[#Headers],0)),INDEX(Tbl_Wait_Wkend[#All],MATCH('Model 2 - Permutations'!AI148,Tbl_Wait_Wkend[[#All],[Time]],1),MATCH('Model 2 - Permutations'!G148,Tbl_Wait_Wkend[#Headers],0))))</f>
        <v/>
      </c>
      <c r="AK148" s="117" t="str">
        <f>IF(AJ148="","",VLOOKUP(G148,Tbl_Ride[#Data],2,FALSE))</f>
        <v/>
      </c>
      <c r="AL148" s="118" t="str">
        <f t="shared" si="35"/>
        <v/>
      </c>
      <c r="AM148" s="114" t="str">
        <f t="shared" si="36"/>
        <v/>
      </c>
      <c r="AN148" s="115" t="str">
        <f>IF(AM148="","",IF($D$5="Average",INDEX(Tbl_Walk_Avg[#All],MATCH('Model 2 - Permutations'!G148,Tbl_Walk_Avg[[#All],[Ride]],0),MATCH('Model 2 - Permutations'!H148,Tbl_Walk_Avg[#Headers],0)),INDEX(Tbl_Walk_Leisure[#All],MATCH('Model 2 - Permutations'!G148,Tbl_Walk_Leisure[[#All],[Ride]],0),MATCH('Model 2 - Permutations'!H148,Tbl_Walk_Leisure[#Headers],0))))</f>
        <v/>
      </c>
      <c r="AO148" s="113" t="str">
        <f t="shared" si="37"/>
        <v/>
      </c>
      <c r="AP148" s="116" t="str">
        <f>IF(AO148="","",IF($D$14="Weekday",INDEX(Tbl_Wait_Wkday[#All],MATCH('Model 2 - Permutations'!AO148,Tbl_Wait_Wkday[[#All],[Time]],1),MATCH('Model 2 - Permutations'!H148,Tbl_Wait_Wkday[#Headers],0)),INDEX(Tbl_Wait_Wkend[#All],MATCH('Model 2 - Permutations'!AO148,Tbl_Wait_Wkend[[#All],[Time]],1),MATCH('Model 2 - Permutations'!H148,Tbl_Wait_Wkend[#Headers],0))))</f>
        <v/>
      </c>
      <c r="AQ148" s="117" t="str">
        <f>IF(AP148="","",VLOOKUP(H148,Tbl_Ride[#Data],2,FALSE))</f>
        <v/>
      </c>
      <c r="AR148" s="118" t="str">
        <f t="shared" si="38"/>
        <v/>
      </c>
      <c r="AS148" s="119" t="str">
        <f t="shared" si="39"/>
        <v>Incomplete</v>
      </c>
      <c r="AT148" s="119" t="str">
        <f t="shared" si="40"/>
        <v>Incomplete</v>
      </c>
      <c r="AU148" s="119" t="str">
        <f t="shared" si="41"/>
        <v>Incomplete</v>
      </c>
    </row>
    <row r="149" spans="2:47">
      <c r="B149" s="111">
        <v>104</v>
      </c>
      <c r="C149" s="111" t="s">
        <v>66</v>
      </c>
      <c r="D149" s="112" t="str">
        <f t="shared" si="22"/>
        <v>Transformers The Ride</v>
      </c>
      <c r="E149" s="112" t="str">
        <f t="shared" si="22"/>
        <v>Battlestart Galactica: Human</v>
      </c>
      <c r="F149" s="112" t="str">
        <f t="shared" si="22"/>
        <v>Battlestar Galactica: Cylon</v>
      </c>
      <c r="G149" s="112" t="str">
        <f t="shared" si="22"/>
        <v>Revenge of the Mummy</v>
      </c>
      <c r="H149" s="112" t="str">
        <f t="shared" si="22"/>
        <v>Enchanted Airways</v>
      </c>
      <c r="I149" s="112">
        <v>5</v>
      </c>
      <c r="J149" s="112">
        <v>2</v>
      </c>
      <c r="K149" s="112">
        <v>1</v>
      </c>
      <c r="L149" s="112">
        <v>4</v>
      </c>
      <c r="M149" s="112">
        <v>3</v>
      </c>
      <c r="N149" s="113">
        <f t="shared" si="23"/>
        <v>0.5</v>
      </c>
      <c r="O149" s="114">
        <f t="shared" si="24"/>
        <v>0</v>
      </c>
      <c r="P149" s="115">
        <f>IF($D$5="Average",INDEX(Tbl_Walk_Avg[#All],MATCH('Model 2 - Permutations'!C149,Tbl_Walk_Avg[[#All],[Ride]],0),MATCH('Model 2 - Permutations'!D149,Tbl_Walk_Avg[#Headers],0)),INDEX(Tbl_Walk_Leisure[#All],MATCH('Model 2 - Permutations'!C149,Tbl_Walk_Leisure[[#All],[Ride]],0),MATCH('Model 2 - Permutations'!D149,Tbl_Walk_Leisure[#Headers],0)))</f>
        <v>4.8611111111111112E-3</v>
      </c>
      <c r="Q149" s="113">
        <f t="shared" si="25"/>
        <v>0.50486111111111109</v>
      </c>
      <c r="R149" s="116">
        <f>IF(Q149="","",IF($D$14="Weekday",INDEX(Tbl_Wait_Wkday[#All],MATCH('Model 2 - Permutations'!Q149,Tbl_Wait_Wkday[[#All],[Time]],1),MATCH('Model 2 - Permutations'!D149,Tbl_Wait_Wkday[#Headers],0)),INDEX(Tbl_Wait_Wkend[#All],MATCH('Model 2 - Permutations'!Q149,Tbl_Wait_Wkend[[#All],[Time]],1),MATCH('Model 2 - Permutations'!D149,Tbl_Wait_Wkend[#Headers],0))))</f>
        <v>6.5972222222222224E-2</v>
      </c>
      <c r="S149" s="117">
        <f>IF(R149="","",VLOOKUP(D149,Tbl_Ride[#Data],2,FALSE))</f>
        <v>3.4722222222222225E-3</v>
      </c>
      <c r="T149" s="118">
        <f t="shared" si="26"/>
        <v>0.57430555555555551</v>
      </c>
      <c r="U149" s="114">
        <f t="shared" si="27"/>
        <v>1</v>
      </c>
      <c r="V149" s="115">
        <f>IF(U149="","",IF($D$5="Average",INDEX(Tbl_Walk_Avg[#All],MATCH('Model 2 - Permutations'!D149,Tbl_Walk_Avg[[#All],[Ride]],0),MATCH('Model 2 - Permutations'!E149,Tbl_Walk_Avg[#Headers],0)),INDEX(Tbl_Walk_Leisure[#All],MATCH('Model 2 - Permutations'!D149,Tbl_Walk_Leisure[[#All],[Ride]],0),MATCH('Model 2 - Permutations'!E149,Tbl_Walk_Leisure[#Headers],0))))</f>
        <v>2.7777777777777779E-3</v>
      </c>
      <c r="W149" s="113">
        <f t="shared" si="28"/>
        <v>0.66041666666666665</v>
      </c>
      <c r="X149" s="116">
        <f>IF(W149="","",IF($D$14="Weekday",INDEX(Tbl_Wait_Wkday[#All],MATCH('Model 2 - Permutations'!W149,Tbl_Wait_Wkday[[#All],[Time]],1),MATCH('Model 2 - Permutations'!E149,Tbl_Wait_Wkday[#Headers],0)),INDEX(Tbl_Wait_Wkend[#All],MATCH('Model 2 - Permutations'!W149,Tbl_Wait_Wkend[[#All],[Time]],1),MATCH('Model 2 - Permutations'!E149,Tbl_Wait_Wkend[#Headers],0))))</f>
        <v>5.5555555555555552E-2</v>
      </c>
      <c r="Y149" s="117">
        <f>IF(X149="","",VLOOKUP(E149,Tbl_Ride[#Data],2,FALSE))</f>
        <v>1.3888888888888889E-3</v>
      </c>
      <c r="Z149" s="118">
        <f t="shared" si="29"/>
        <v>0.71736111111111112</v>
      </c>
      <c r="AA149" s="114">
        <f t="shared" si="30"/>
        <v>0</v>
      </c>
      <c r="AB149" s="115">
        <f>IF(AA149="","",IF($D$5="Average",INDEX(Tbl_Walk_Avg[#All],MATCH('Model 2 - Permutations'!E149,Tbl_Walk_Avg[[#All],[Ride]],0),MATCH('Model 2 - Permutations'!F149,Tbl_Walk_Avg[#Headers],0)),INDEX(Tbl_Walk_Leisure[#All],MATCH('Model 2 - Permutations'!E149,Tbl_Walk_Leisure[[#All],[Ride]],0),MATCH('Model 2 - Permutations'!F149,Tbl_Walk_Leisure[#Headers],0))))</f>
        <v>0</v>
      </c>
      <c r="AC149" s="113">
        <f t="shared" si="31"/>
        <v>0.71736111111111112</v>
      </c>
      <c r="AD149" s="116">
        <f>IF(AC149="","",IF($D$14="Weekday",INDEX(Tbl_Wait_Wkday[#All],MATCH('Model 2 - Permutations'!AC149,Tbl_Wait_Wkday[[#All],[Time]],1),MATCH('Model 2 - Permutations'!F149,Tbl_Wait_Wkday[#Headers],0)),INDEX(Tbl_Wait_Wkend[#All],MATCH('Model 2 - Permutations'!AC149,Tbl_Wait_Wkend[[#All],[Time]],1),MATCH('Model 2 - Permutations'!F149,Tbl_Wait_Wkend[#Headers],0))))</f>
        <v>3.8194444444444441E-2</v>
      </c>
      <c r="AE149" s="117">
        <f>IF(AD149="","",VLOOKUP(F149,Tbl_Ride[#Data],2,FALSE))</f>
        <v>1.3888888888888889E-3</v>
      </c>
      <c r="AF149" s="118">
        <f t="shared" si="32"/>
        <v>0.75694444444444442</v>
      </c>
      <c r="AG149" s="114">
        <f t="shared" si="33"/>
        <v>0</v>
      </c>
      <c r="AH149" s="115">
        <f>IF(AG149="","",IF($D$5="Average",INDEX(Tbl_Walk_Avg[#All],MATCH('Model 2 - Permutations'!F149,Tbl_Walk_Avg[[#All],[Ride]],0),MATCH('Model 2 - Permutations'!G149,Tbl_Walk_Avg[#Headers],0)),INDEX(Tbl_Walk_Leisure[#All],MATCH('Model 2 - Permutations'!F149,Tbl_Walk_Leisure[[#All],[Ride]],0),MATCH('Model 2 - Permutations'!G149,Tbl_Walk_Leisure[#Headers],0))))</f>
        <v>2.7777777777777779E-3</v>
      </c>
      <c r="AI149" s="113" t="str">
        <f t="shared" si="34"/>
        <v/>
      </c>
      <c r="AJ149" s="116" t="str">
        <f>IF(AI149="","",IF($D$14="Weekday",INDEX(Tbl_Wait_Wkday[#All],MATCH('Model 2 - Permutations'!AI149,Tbl_Wait_Wkday[[#All],[Time]],1),MATCH('Model 2 - Permutations'!G149,Tbl_Wait_Wkday[#Headers],0)),INDEX(Tbl_Wait_Wkend[#All],MATCH('Model 2 - Permutations'!AI149,Tbl_Wait_Wkend[[#All],[Time]],1),MATCH('Model 2 - Permutations'!G149,Tbl_Wait_Wkend[#Headers],0))))</f>
        <v/>
      </c>
      <c r="AK149" s="117" t="str">
        <f>IF(AJ149="","",VLOOKUP(G149,Tbl_Ride[#Data],2,FALSE))</f>
        <v/>
      </c>
      <c r="AL149" s="118" t="str">
        <f t="shared" si="35"/>
        <v/>
      </c>
      <c r="AM149" s="114" t="str">
        <f t="shared" si="36"/>
        <v/>
      </c>
      <c r="AN149" s="115" t="str">
        <f>IF(AM149="","",IF($D$5="Average",INDEX(Tbl_Walk_Avg[#All],MATCH('Model 2 - Permutations'!G149,Tbl_Walk_Avg[[#All],[Ride]],0),MATCH('Model 2 - Permutations'!H149,Tbl_Walk_Avg[#Headers],0)),INDEX(Tbl_Walk_Leisure[#All],MATCH('Model 2 - Permutations'!G149,Tbl_Walk_Leisure[[#All],[Ride]],0),MATCH('Model 2 - Permutations'!H149,Tbl_Walk_Leisure[#Headers],0))))</f>
        <v/>
      </c>
      <c r="AO149" s="113" t="str">
        <f t="shared" si="37"/>
        <v/>
      </c>
      <c r="AP149" s="116" t="str">
        <f>IF(AO149="","",IF($D$14="Weekday",INDEX(Tbl_Wait_Wkday[#All],MATCH('Model 2 - Permutations'!AO149,Tbl_Wait_Wkday[[#All],[Time]],1),MATCH('Model 2 - Permutations'!H149,Tbl_Wait_Wkday[#Headers],0)),INDEX(Tbl_Wait_Wkend[#All],MATCH('Model 2 - Permutations'!AO149,Tbl_Wait_Wkend[[#All],[Time]],1),MATCH('Model 2 - Permutations'!H149,Tbl_Wait_Wkend[#Headers],0))))</f>
        <v/>
      </c>
      <c r="AQ149" s="117" t="str">
        <f>IF(AP149="","",VLOOKUP(H149,Tbl_Ride[#Data],2,FALSE))</f>
        <v/>
      </c>
      <c r="AR149" s="118" t="str">
        <f t="shared" si="38"/>
        <v/>
      </c>
      <c r="AS149" s="119" t="str">
        <f t="shared" si="39"/>
        <v>Incomplete</v>
      </c>
      <c r="AT149" s="119" t="str">
        <f t="shared" si="40"/>
        <v>Incomplete</v>
      </c>
      <c r="AU149" s="119" t="str">
        <f t="shared" si="41"/>
        <v>Incomplete</v>
      </c>
    </row>
    <row r="150" spans="2:47">
      <c r="B150" s="111">
        <v>105</v>
      </c>
      <c r="C150" s="111" t="s">
        <v>66</v>
      </c>
      <c r="D150" s="112" t="str">
        <f t="shared" si="22"/>
        <v>Transformers The Ride</v>
      </c>
      <c r="E150" s="112" t="str">
        <f t="shared" si="22"/>
        <v>Battlestart Galactica: Human</v>
      </c>
      <c r="F150" s="112" t="str">
        <f t="shared" si="22"/>
        <v>Enchanted Airways</v>
      </c>
      <c r="G150" s="112" t="str">
        <f t="shared" si="22"/>
        <v>Battlestar Galactica: Cylon</v>
      </c>
      <c r="H150" s="112" t="str">
        <f t="shared" si="22"/>
        <v>Revenge of the Mummy</v>
      </c>
      <c r="I150" s="112">
        <v>5</v>
      </c>
      <c r="J150" s="112">
        <v>2</v>
      </c>
      <c r="K150" s="112">
        <v>3</v>
      </c>
      <c r="L150" s="112">
        <v>1</v>
      </c>
      <c r="M150" s="112">
        <v>4</v>
      </c>
      <c r="N150" s="113">
        <f t="shared" si="23"/>
        <v>0.5</v>
      </c>
      <c r="O150" s="114">
        <f t="shared" si="24"/>
        <v>0</v>
      </c>
      <c r="P150" s="115">
        <f>IF($D$5="Average",INDEX(Tbl_Walk_Avg[#All],MATCH('Model 2 - Permutations'!C150,Tbl_Walk_Avg[[#All],[Ride]],0),MATCH('Model 2 - Permutations'!D150,Tbl_Walk_Avg[#Headers],0)),INDEX(Tbl_Walk_Leisure[#All],MATCH('Model 2 - Permutations'!C150,Tbl_Walk_Leisure[[#All],[Ride]],0),MATCH('Model 2 - Permutations'!D150,Tbl_Walk_Leisure[#Headers],0)))</f>
        <v>4.8611111111111112E-3</v>
      </c>
      <c r="Q150" s="113">
        <f t="shared" si="25"/>
        <v>0.50486111111111109</v>
      </c>
      <c r="R150" s="116">
        <f>IF(Q150="","",IF($D$14="Weekday",INDEX(Tbl_Wait_Wkday[#All],MATCH('Model 2 - Permutations'!Q150,Tbl_Wait_Wkday[[#All],[Time]],1),MATCH('Model 2 - Permutations'!D150,Tbl_Wait_Wkday[#Headers],0)),INDEX(Tbl_Wait_Wkend[#All],MATCH('Model 2 - Permutations'!Q150,Tbl_Wait_Wkend[[#All],[Time]],1),MATCH('Model 2 - Permutations'!D150,Tbl_Wait_Wkend[#Headers],0))))</f>
        <v>6.5972222222222224E-2</v>
      </c>
      <c r="S150" s="117">
        <f>IF(R150="","",VLOOKUP(D150,Tbl_Ride[#Data],2,FALSE))</f>
        <v>3.4722222222222225E-3</v>
      </c>
      <c r="T150" s="118">
        <f t="shared" si="26"/>
        <v>0.57430555555555551</v>
      </c>
      <c r="U150" s="114">
        <f t="shared" si="27"/>
        <v>1</v>
      </c>
      <c r="V150" s="115">
        <f>IF(U150="","",IF($D$5="Average",INDEX(Tbl_Walk_Avg[#All],MATCH('Model 2 - Permutations'!D150,Tbl_Walk_Avg[[#All],[Ride]],0),MATCH('Model 2 - Permutations'!E150,Tbl_Walk_Avg[#Headers],0)),INDEX(Tbl_Walk_Leisure[#All],MATCH('Model 2 - Permutations'!D150,Tbl_Walk_Leisure[[#All],[Ride]],0),MATCH('Model 2 - Permutations'!E150,Tbl_Walk_Leisure[#Headers],0))))</f>
        <v>2.7777777777777779E-3</v>
      </c>
      <c r="W150" s="113">
        <f t="shared" si="28"/>
        <v>0.66041666666666665</v>
      </c>
      <c r="X150" s="116">
        <f>IF(W150="","",IF($D$14="Weekday",INDEX(Tbl_Wait_Wkday[#All],MATCH('Model 2 - Permutations'!W150,Tbl_Wait_Wkday[[#All],[Time]],1),MATCH('Model 2 - Permutations'!E150,Tbl_Wait_Wkday[#Headers],0)),INDEX(Tbl_Wait_Wkend[#All],MATCH('Model 2 - Permutations'!W150,Tbl_Wait_Wkend[[#All],[Time]],1),MATCH('Model 2 - Permutations'!E150,Tbl_Wait_Wkend[#Headers],0))))</f>
        <v>5.5555555555555552E-2</v>
      </c>
      <c r="Y150" s="117">
        <f>IF(X150="","",VLOOKUP(E150,Tbl_Ride[#Data],2,FALSE))</f>
        <v>1.3888888888888889E-3</v>
      </c>
      <c r="Z150" s="118">
        <f t="shared" si="29"/>
        <v>0.71736111111111112</v>
      </c>
      <c r="AA150" s="114">
        <f t="shared" si="30"/>
        <v>0</v>
      </c>
      <c r="AB150" s="115">
        <f>IF(AA150="","",IF($D$5="Average",INDEX(Tbl_Walk_Avg[#All],MATCH('Model 2 - Permutations'!E150,Tbl_Walk_Avg[[#All],[Ride]],0),MATCH('Model 2 - Permutations'!F150,Tbl_Walk_Avg[#Headers],0)),INDEX(Tbl_Walk_Leisure[#All],MATCH('Model 2 - Permutations'!E150,Tbl_Walk_Leisure[[#All],[Ride]],0),MATCH('Model 2 - Permutations'!F150,Tbl_Walk_Leisure[#Headers],0))))</f>
        <v>6.2500000000000003E-3</v>
      </c>
      <c r="AC150" s="113">
        <f t="shared" si="31"/>
        <v>0.72361111111111109</v>
      </c>
      <c r="AD150" s="116">
        <f>IF(AC150="","",IF($D$14="Weekday",INDEX(Tbl_Wait_Wkday[#All],MATCH('Model 2 - Permutations'!AC150,Tbl_Wait_Wkday[[#All],[Time]],1),MATCH('Model 2 - Permutations'!F150,Tbl_Wait_Wkday[#Headers],0)),INDEX(Tbl_Wait_Wkend[#All],MATCH('Model 2 - Permutations'!AC150,Tbl_Wait_Wkend[[#All],[Time]],1),MATCH('Model 2 - Permutations'!F150,Tbl_Wait_Wkend[#Headers],0))))</f>
        <v>1.7361111111111112E-2</v>
      </c>
      <c r="AE150" s="117">
        <f>IF(AD150="","",VLOOKUP(F150,Tbl_Ride[#Data],2,FALSE))</f>
        <v>6.9444444444444447E-4</v>
      </c>
      <c r="AF150" s="118">
        <f t="shared" si="32"/>
        <v>0.7416666666666667</v>
      </c>
      <c r="AG150" s="114">
        <f t="shared" si="33"/>
        <v>0</v>
      </c>
      <c r="AH150" s="115">
        <f>IF(AG150="","",IF($D$5="Average",INDEX(Tbl_Walk_Avg[#All],MATCH('Model 2 - Permutations'!F150,Tbl_Walk_Avg[[#All],[Ride]],0),MATCH('Model 2 - Permutations'!G150,Tbl_Walk_Avg[#Headers],0)),INDEX(Tbl_Walk_Leisure[#All],MATCH('Model 2 - Permutations'!F150,Tbl_Walk_Leisure[[#All],[Ride]],0),MATCH('Model 2 - Permutations'!G150,Tbl_Walk_Leisure[#Headers],0))))</f>
        <v>6.2500000000000003E-3</v>
      </c>
      <c r="AI150" s="113">
        <f t="shared" si="34"/>
        <v>0.74791666666666667</v>
      </c>
      <c r="AJ150" s="116">
        <f>IF(AI150="","",IF($D$14="Weekday",INDEX(Tbl_Wait_Wkday[#All],MATCH('Model 2 - Permutations'!AI150,Tbl_Wait_Wkday[[#All],[Time]],1),MATCH('Model 2 - Permutations'!G150,Tbl_Wait_Wkday[#Headers],0)),INDEX(Tbl_Wait_Wkend[#All],MATCH('Model 2 - Permutations'!AI150,Tbl_Wait_Wkend[[#All],[Time]],1),MATCH('Model 2 - Permutations'!G150,Tbl_Wait_Wkend[#Headers],0))))</f>
        <v>3.8194444444444441E-2</v>
      </c>
      <c r="AK150" s="117">
        <f>IF(AJ150="","",VLOOKUP(G150,Tbl_Ride[#Data],2,FALSE))</f>
        <v>1.3888888888888889E-3</v>
      </c>
      <c r="AL150" s="118">
        <f t="shared" si="35"/>
        <v>0.78749999999999998</v>
      </c>
      <c r="AM150" s="114">
        <f t="shared" si="36"/>
        <v>0</v>
      </c>
      <c r="AN150" s="115">
        <f>IF(AM150="","",IF($D$5="Average",INDEX(Tbl_Walk_Avg[#All],MATCH('Model 2 - Permutations'!G150,Tbl_Walk_Avg[[#All],[Ride]],0),MATCH('Model 2 - Permutations'!H150,Tbl_Walk_Avg[#Headers],0)),INDEX(Tbl_Walk_Leisure[#All],MATCH('Model 2 - Permutations'!G150,Tbl_Walk_Leisure[[#All],[Ride]],0),MATCH('Model 2 - Permutations'!H150,Tbl_Walk_Leisure[#Headers],0))))</f>
        <v>2.7777777777777779E-3</v>
      </c>
      <c r="AO150" s="113" t="str">
        <f t="shared" si="37"/>
        <v/>
      </c>
      <c r="AP150" s="116" t="str">
        <f>IF(AO150="","",IF($D$14="Weekday",INDEX(Tbl_Wait_Wkday[#All],MATCH('Model 2 - Permutations'!AO150,Tbl_Wait_Wkday[[#All],[Time]],1),MATCH('Model 2 - Permutations'!H150,Tbl_Wait_Wkday[#Headers],0)),INDEX(Tbl_Wait_Wkend[#All],MATCH('Model 2 - Permutations'!AO150,Tbl_Wait_Wkend[[#All],[Time]],1),MATCH('Model 2 - Permutations'!H150,Tbl_Wait_Wkend[#Headers],0))))</f>
        <v/>
      </c>
      <c r="AQ150" s="117" t="str">
        <f>IF(AP150="","",VLOOKUP(H150,Tbl_Ride[#Data],2,FALSE))</f>
        <v/>
      </c>
      <c r="AR150" s="118" t="str">
        <f t="shared" si="38"/>
        <v/>
      </c>
      <c r="AS150" s="119" t="str">
        <f t="shared" si="39"/>
        <v>Incomplete</v>
      </c>
      <c r="AT150" s="119" t="str">
        <f t="shared" si="40"/>
        <v>Incomplete</v>
      </c>
      <c r="AU150" s="119" t="str">
        <f t="shared" si="41"/>
        <v>Incomplete</v>
      </c>
    </row>
    <row r="151" spans="2:47">
      <c r="B151" s="111">
        <v>106</v>
      </c>
      <c r="C151" s="111" t="s">
        <v>66</v>
      </c>
      <c r="D151" s="112" t="str">
        <f t="shared" si="22"/>
        <v>Transformers The Ride</v>
      </c>
      <c r="E151" s="112" t="str">
        <f t="shared" si="22"/>
        <v>Battlestart Galactica: Human</v>
      </c>
      <c r="F151" s="112" t="str">
        <f t="shared" si="22"/>
        <v>Enchanted Airways</v>
      </c>
      <c r="G151" s="112" t="str">
        <f t="shared" si="22"/>
        <v>Revenge of the Mummy</v>
      </c>
      <c r="H151" s="112" t="str">
        <f t="shared" si="22"/>
        <v>Battlestar Galactica: Cylon</v>
      </c>
      <c r="I151" s="112">
        <v>5</v>
      </c>
      <c r="J151" s="112">
        <v>2</v>
      </c>
      <c r="K151" s="112">
        <v>3</v>
      </c>
      <c r="L151" s="112">
        <v>4</v>
      </c>
      <c r="M151" s="112">
        <v>1</v>
      </c>
      <c r="N151" s="113">
        <f t="shared" si="23"/>
        <v>0.5</v>
      </c>
      <c r="O151" s="114">
        <f t="shared" si="24"/>
        <v>0</v>
      </c>
      <c r="P151" s="115">
        <f>IF($D$5="Average",INDEX(Tbl_Walk_Avg[#All],MATCH('Model 2 - Permutations'!C151,Tbl_Walk_Avg[[#All],[Ride]],0),MATCH('Model 2 - Permutations'!D151,Tbl_Walk_Avg[#Headers],0)),INDEX(Tbl_Walk_Leisure[#All],MATCH('Model 2 - Permutations'!C151,Tbl_Walk_Leisure[[#All],[Ride]],0),MATCH('Model 2 - Permutations'!D151,Tbl_Walk_Leisure[#Headers],0)))</f>
        <v>4.8611111111111112E-3</v>
      </c>
      <c r="Q151" s="113">
        <f t="shared" si="25"/>
        <v>0.50486111111111109</v>
      </c>
      <c r="R151" s="116">
        <f>IF(Q151="","",IF($D$14="Weekday",INDEX(Tbl_Wait_Wkday[#All],MATCH('Model 2 - Permutations'!Q151,Tbl_Wait_Wkday[[#All],[Time]],1),MATCH('Model 2 - Permutations'!D151,Tbl_Wait_Wkday[#Headers],0)),INDEX(Tbl_Wait_Wkend[#All],MATCH('Model 2 - Permutations'!Q151,Tbl_Wait_Wkend[[#All],[Time]],1),MATCH('Model 2 - Permutations'!D151,Tbl_Wait_Wkend[#Headers],0))))</f>
        <v>6.5972222222222224E-2</v>
      </c>
      <c r="S151" s="117">
        <f>IF(R151="","",VLOOKUP(D151,Tbl_Ride[#Data],2,FALSE))</f>
        <v>3.4722222222222225E-3</v>
      </c>
      <c r="T151" s="118">
        <f t="shared" si="26"/>
        <v>0.57430555555555551</v>
      </c>
      <c r="U151" s="114">
        <f t="shared" si="27"/>
        <v>1</v>
      </c>
      <c r="V151" s="115">
        <f>IF(U151="","",IF($D$5="Average",INDEX(Tbl_Walk_Avg[#All],MATCH('Model 2 - Permutations'!D151,Tbl_Walk_Avg[[#All],[Ride]],0),MATCH('Model 2 - Permutations'!E151,Tbl_Walk_Avg[#Headers],0)),INDEX(Tbl_Walk_Leisure[#All],MATCH('Model 2 - Permutations'!D151,Tbl_Walk_Leisure[[#All],[Ride]],0),MATCH('Model 2 - Permutations'!E151,Tbl_Walk_Leisure[#Headers],0))))</f>
        <v>2.7777777777777779E-3</v>
      </c>
      <c r="W151" s="113">
        <f t="shared" si="28"/>
        <v>0.66041666666666665</v>
      </c>
      <c r="X151" s="116">
        <f>IF(W151="","",IF($D$14="Weekday",INDEX(Tbl_Wait_Wkday[#All],MATCH('Model 2 - Permutations'!W151,Tbl_Wait_Wkday[[#All],[Time]],1),MATCH('Model 2 - Permutations'!E151,Tbl_Wait_Wkday[#Headers],0)),INDEX(Tbl_Wait_Wkend[#All],MATCH('Model 2 - Permutations'!W151,Tbl_Wait_Wkend[[#All],[Time]],1),MATCH('Model 2 - Permutations'!E151,Tbl_Wait_Wkend[#Headers],0))))</f>
        <v>5.5555555555555552E-2</v>
      </c>
      <c r="Y151" s="117">
        <f>IF(X151="","",VLOOKUP(E151,Tbl_Ride[#Data],2,FALSE))</f>
        <v>1.3888888888888889E-3</v>
      </c>
      <c r="Z151" s="118">
        <f t="shared" si="29"/>
        <v>0.71736111111111112</v>
      </c>
      <c r="AA151" s="114">
        <f t="shared" si="30"/>
        <v>0</v>
      </c>
      <c r="AB151" s="115">
        <f>IF(AA151="","",IF($D$5="Average",INDEX(Tbl_Walk_Avg[#All],MATCH('Model 2 - Permutations'!E151,Tbl_Walk_Avg[[#All],[Ride]],0),MATCH('Model 2 - Permutations'!F151,Tbl_Walk_Avg[#Headers],0)),INDEX(Tbl_Walk_Leisure[#All],MATCH('Model 2 - Permutations'!E151,Tbl_Walk_Leisure[[#All],[Ride]],0),MATCH('Model 2 - Permutations'!F151,Tbl_Walk_Leisure[#Headers],0))))</f>
        <v>6.2500000000000003E-3</v>
      </c>
      <c r="AC151" s="113">
        <f t="shared" si="31"/>
        <v>0.72361111111111109</v>
      </c>
      <c r="AD151" s="116">
        <f>IF(AC151="","",IF($D$14="Weekday",INDEX(Tbl_Wait_Wkday[#All],MATCH('Model 2 - Permutations'!AC151,Tbl_Wait_Wkday[[#All],[Time]],1),MATCH('Model 2 - Permutations'!F151,Tbl_Wait_Wkday[#Headers],0)),INDEX(Tbl_Wait_Wkend[#All],MATCH('Model 2 - Permutations'!AC151,Tbl_Wait_Wkend[[#All],[Time]],1),MATCH('Model 2 - Permutations'!F151,Tbl_Wait_Wkend[#Headers],0))))</f>
        <v>1.7361111111111112E-2</v>
      </c>
      <c r="AE151" s="117">
        <f>IF(AD151="","",VLOOKUP(F151,Tbl_Ride[#Data],2,FALSE))</f>
        <v>6.9444444444444447E-4</v>
      </c>
      <c r="AF151" s="118">
        <f t="shared" si="32"/>
        <v>0.7416666666666667</v>
      </c>
      <c r="AG151" s="114">
        <f t="shared" si="33"/>
        <v>0</v>
      </c>
      <c r="AH151" s="115">
        <f>IF(AG151="","",IF($D$5="Average",INDEX(Tbl_Walk_Avg[#All],MATCH('Model 2 - Permutations'!F151,Tbl_Walk_Avg[[#All],[Ride]],0),MATCH('Model 2 - Permutations'!G151,Tbl_Walk_Avg[#Headers],0)),INDEX(Tbl_Walk_Leisure[#All],MATCH('Model 2 - Permutations'!F151,Tbl_Walk_Leisure[[#All],[Ride]],0),MATCH('Model 2 - Permutations'!G151,Tbl_Walk_Leisure[#Headers],0))))</f>
        <v>4.8611111111111112E-3</v>
      </c>
      <c r="AI151" s="113">
        <f t="shared" si="34"/>
        <v>0.74652777777777779</v>
      </c>
      <c r="AJ151" s="116">
        <f>IF(AI151="","",IF($D$14="Weekday",INDEX(Tbl_Wait_Wkday[#All],MATCH('Model 2 - Permutations'!AI151,Tbl_Wait_Wkday[[#All],[Time]],1),MATCH('Model 2 - Permutations'!G151,Tbl_Wait_Wkday[#Headers],0)),INDEX(Tbl_Wait_Wkend[#All],MATCH('Model 2 - Permutations'!AI151,Tbl_Wait_Wkend[[#All],[Time]],1),MATCH('Model 2 - Permutations'!G151,Tbl_Wait_Wkend[#Headers],0))))</f>
        <v>2.4305555555555552E-2</v>
      </c>
      <c r="AK151" s="117">
        <f>IF(AJ151="","",VLOOKUP(G151,Tbl_Ride[#Data],2,FALSE))</f>
        <v>2.0833333333333333E-3</v>
      </c>
      <c r="AL151" s="118">
        <f t="shared" si="35"/>
        <v>0.7729166666666667</v>
      </c>
      <c r="AM151" s="114">
        <f t="shared" si="36"/>
        <v>0</v>
      </c>
      <c r="AN151" s="115">
        <f>IF(AM151="","",IF($D$5="Average",INDEX(Tbl_Walk_Avg[#All],MATCH('Model 2 - Permutations'!G151,Tbl_Walk_Avg[[#All],[Ride]],0),MATCH('Model 2 - Permutations'!H151,Tbl_Walk_Avg[#Headers],0)),INDEX(Tbl_Walk_Leisure[#All],MATCH('Model 2 - Permutations'!G151,Tbl_Walk_Leisure[[#All],[Ride]],0),MATCH('Model 2 - Permutations'!H151,Tbl_Walk_Leisure[#Headers],0))))</f>
        <v>2.7777777777777779E-3</v>
      </c>
      <c r="AO151" s="113" t="str">
        <f t="shared" si="37"/>
        <v/>
      </c>
      <c r="AP151" s="116" t="str">
        <f>IF(AO151="","",IF($D$14="Weekday",INDEX(Tbl_Wait_Wkday[#All],MATCH('Model 2 - Permutations'!AO151,Tbl_Wait_Wkday[[#All],[Time]],1),MATCH('Model 2 - Permutations'!H151,Tbl_Wait_Wkday[#Headers],0)),INDEX(Tbl_Wait_Wkend[#All],MATCH('Model 2 - Permutations'!AO151,Tbl_Wait_Wkend[[#All],[Time]],1),MATCH('Model 2 - Permutations'!H151,Tbl_Wait_Wkend[#Headers],0))))</f>
        <v/>
      </c>
      <c r="AQ151" s="117" t="str">
        <f>IF(AP151="","",VLOOKUP(H151,Tbl_Ride[#Data],2,FALSE))</f>
        <v/>
      </c>
      <c r="AR151" s="118" t="str">
        <f t="shared" si="38"/>
        <v/>
      </c>
      <c r="AS151" s="119" t="str">
        <f t="shared" si="39"/>
        <v>Incomplete</v>
      </c>
      <c r="AT151" s="119" t="str">
        <f t="shared" si="40"/>
        <v>Incomplete</v>
      </c>
      <c r="AU151" s="119" t="str">
        <f t="shared" si="41"/>
        <v>Incomplete</v>
      </c>
    </row>
    <row r="152" spans="2:47">
      <c r="B152" s="111">
        <v>107</v>
      </c>
      <c r="C152" s="111" t="s">
        <v>66</v>
      </c>
      <c r="D152" s="112" t="str">
        <f t="shared" si="22"/>
        <v>Transformers The Ride</v>
      </c>
      <c r="E152" s="112" t="str">
        <f t="shared" si="22"/>
        <v>Battlestart Galactica: Human</v>
      </c>
      <c r="F152" s="112" t="str">
        <f t="shared" si="22"/>
        <v>Revenge of the Mummy</v>
      </c>
      <c r="G152" s="112" t="str">
        <f t="shared" si="22"/>
        <v>Battlestar Galactica: Cylon</v>
      </c>
      <c r="H152" s="112" t="str">
        <f t="shared" si="22"/>
        <v>Enchanted Airways</v>
      </c>
      <c r="I152" s="112">
        <v>5</v>
      </c>
      <c r="J152" s="112">
        <v>2</v>
      </c>
      <c r="K152" s="112">
        <v>4</v>
      </c>
      <c r="L152" s="112">
        <v>1</v>
      </c>
      <c r="M152" s="112">
        <v>3</v>
      </c>
      <c r="N152" s="113">
        <f t="shared" si="23"/>
        <v>0.5</v>
      </c>
      <c r="O152" s="114">
        <f t="shared" si="24"/>
        <v>0</v>
      </c>
      <c r="P152" s="115">
        <f>IF($D$5="Average",INDEX(Tbl_Walk_Avg[#All],MATCH('Model 2 - Permutations'!C152,Tbl_Walk_Avg[[#All],[Ride]],0),MATCH('Model 2 - Permutations'!D152,Tbl_Walk_Avg[#Headers],0)),INDEX(Tbl_Walk_Leisure[#All],MATCH('Model 2 - Permutations'!C152,Tbl_Walk_Leisure[[#All],[Ride]],0),MATCH('Model 2 - Permutations'!D152,Tbl_Walk_Leisure[#Headers],0)))</f>
        <v>4.8611111111111112E-3</v>
      </c>
      <c r="Q152" s="113">
        <f t="shared" si="25"/>
        <v>0.50486111111111109</v>
      </c>
      <c r="R152" s="116">
        <f>IF(Q152="","",IF($D$14="Weekday",INDEX(Tbl_Wait_Wkday[#All],MATCH('Model 2 - Permutations'!Q152,Tbl_Wait_Wkday[[#All],[Time]],1),MATCH('Model 2 - Permutations'!D152,Tbl_Wait_Wkday[#Headers],0)),INDEX(Tbl_Wait_Wkend[#All],MATCH('Model 2 - Permutations'!Q152,Tbl_Wait_Wkend[[#All],[Time]],1),MATCH('Model 2 - Permutations'!D152,Tbl_Wait_Wkend[#Headers],0))))</f>
        <v>6.5972222222222224E-2</v>
      </c>
      <c r="S152" s="117">
        <f>IF(R152="","",VLOOKUP(D152,Tbl_Ride[#Data],2,FALSE))</f>
        <v>3.4722222222222225E-3</v>
      </c>
      <c r="T152" s="118">
        <f t="shared" si="26"/>
        <v>0.57430555555555551</v>
      </c>
      <c r="U152" s="114">
        <f t="shared" si="27"/>
        <v>1</v>
      </c>
      <c r="V152" s="115">
        <f>IF(U152="","",IF($D$5="Average",INDEX(Tbl_Walk_Avg[#All],MATCH('Model 2 - Permutations'!D152,Tbl_Walk_Avg[[#All],[Ride]],0),MATCH('Model 2 - Permutations'!E152,Tbl_Walk_Avg[#Headers],0)),INDEX(Tbl_Walk_Leisure[#All],MATCH('Model 2 - Permutations'!D152,Tbl_Walk_Leisure[[#All],[Ride]],0),MATCH('Model 2 - Permutations'!E152,Tbl_Walk_Leisure[#Headers],0))))</f>
        <v>2.7777777777777779E-3</v>
      </c>
      <c r="W152" s="113">
        <f t="shared" si="28"/>
        <v>0.66041666666666665</v>
      </c>
      <c r="X152" s="116">
        <f>IF(W152="","",IF($D$14="Weekday",INDEX(Tbl_Wait_Wkday[#All],MATCH('Model 2 - Permutations'!W152,Tbl_Wait_Wkday[[#All],[Time]],1),MATCH('Model 2 - Permutations'!E152,Tbl_Wait_Wkday[#Headers],0)),INDEX(Tbl_Wait_Wkend[#All],MATCH('Model 2 - Permutations'!W152,Tbl_Wait_Wkend[[#All],[Time]],1),MATCH('Model 2 - Permutations'!E152,Tbl_Wait_Wkend[#Headers],0))))</f>
        <v>5.5555555555555552E-2</v>
      </c>
      <c r="Y152" s="117">
        <f>IF(X152="","",VLOOKUP(E152,Tbl_Ride[#Data],2,FALSE))</f>
        <v>1.3888888888888889E-3</v>
      </c>
      <c r="Z152" s="118">
        <f t="shared" si="29"/>
        <v>0.71736111111111112</v>
      </c>
      <c r="AA152" s="114">
        <f t="shared" si="30"/>
        <v>0</v>
      </c>
      <c r="AB152" s="115">
        <f>IF(AA152="","",IF($D$5="Average",INDEX(Tbl_Walk_Avg[#All],MATCH('Model 2 - Permutations'!E152,Tbl_Walk_Avg[[#All],[Ride]],0),MATCH('Model 2 - Permutations'!F152,Tbl_Walk_Avg[#Headers],0)),INDEX(Tbl_Walk_Leisure[#All],MATCH('Model 2 - Permutations'!E152,Tbl_Walk_Leisure[[#All],[Ride]],0),MATCH('Model 2 - Permutations'!F152,Tbl_Walk_Leisure[#Headers],0))))</f>
        <v>2.7777777777777779E-3</v>
      </c>
      <c r="AC152" s="113">
        <f t="shared" si="31"/>
        <v>0.72013888888888888</v>
      </c>
      <c r="AD152" s="116">
        <f>IF(AC152="","",IF($D$14="Weekday",INDEX(Tbl_Wait_Wkday[#All],MATCH('Model 2 - Permutations'!AC152,Tbl_Wait_Wkday[[#All],[Time]],1),MATCH('Model 2 - Permutations'!F152,Tbl_Wait_Wkday[#Headers],0)),INDEX(Tbl_Wait_Wkend[#All],MATCH('Model 2 - Permutations'!AC152,Tbl_Wait_Wkend[[#All],[Time]],1),MATCH('Model 2 - Permutations'!F152,Tbl_Wait_Wkend[#Headers],0))))</f>
        <v>2.4305555555555552E-2</v>
      </c>
      <c r="AE152" s="117">
        <f>IF(AD152="","",VLOOKUP(F152,Tbl_Ride[#Data],2,FALSE))</f>
        <v>2.0833333333333333E-3</v>
      </c>
      <c r="AF152" s="118">
        <f t="shared" si="32"/>
        <v>0.74652777777777779</v>
      </c>
      <c r="AG152" s="114">
        <f t="shared" si="33"/>
        <v>0</v>
      </c>
      <c r="AH152" s="115">
        <f>IF(AG152="","",IF($D$5="Average",INDEX(Tbl_Walk_Avg[#All],MATCH('Model 2 - Permutations'!F152,Tbl_Walk_Avg[[#All],[Ride]],0),MATCH('Model 2 - Permutations'!G152,Tbl_Walk_Avg[#Headers],0)),INDEX(Tbl_Walk_Leisure[#All],MATCH('Model 2 - Permutations'!F152,Tbl_Walk_Leisure[[#All],[Ride]],0),MATCH('Model 2 - Permutations'!G152,Tbl_Walk_Leisure[#Headers],0))))</f>
        <v>2.7777777777777779E-3</v>
      </c>
      <c r="AI152" s="113">
        <f t="shared" si="34"/>
        <v>0.74930555555555556</v>
      </c>
      <c r="AJ152" s="116">
        <f>IF(AI152="","",IF($D$14="Weekday",INDEX(Tbl_Wait_Wkday[#All],MATCH('Model 2 - Permutations'!AI152,Tbl_Wait_Wkday[[#All],[Time]],1),MATCH('Model 2 - Permutations'!G152,Tbl_Wait_Wkday[#Headers],0)),INDEX(Tbl_Wait_Wkend[#All],MATCH('Model 2 - Permutations'!AI152,Tbl_Wait_Wkend[[#All],[Time]],1),MATCH('Model 2 - Permutations'!G152,Tbl_Wait_Wkend[#Headers],0))))</f>
        <v>3.8194444444444441E-2</v>
      </c>
      <c r="AK152" s="117">
        <f>IF(AJ152="","",VLOOKUP(G152,Tbl_Ride[#Data],2,FALSE))</f>
        <v>1.3888888888888889E-3</v>
      </c>
      <c r="AL152" s="118">
        <f t="shared" si="35"/>
        <v>0.78888888888888886</v>
      </c>
      <c r="AM152" s="114">
        <f t="shared" si="36"/>
        <v>0</v>
      </c>
      <c r="AN152" s="115">
        <f>IF(AM152="","",IF($D$5="Average",INDEX(Tbl_Walk_Avg[#All],MATCH('Model 2 - Permutations'!G152,Tbl_Walk_Avg[[#All],[Ride]],0),MATCH('Model 2 - Permutations'!H152,Tbl_Walk_Avg[#Headers],0)),INDEX(Tbl_Walk_Leisure[#All],MATCH('Model 2 - Permutations'!G152,Tbl_Walk_Leisure[[#All],[Ride]],0),MATCH('Model 2 - Permutations'!H152,Tbl_Walk_Leisure[#Headers],0))))</f>
        <v>6.2500000000000003E-3</v>
      </c>
      <c r="AO152" s="113" t="str">
        <f t="shared" si="37"/>
        <v/>
      </c>
      <c r="AP152" s="116" t="str">
        <f>IF(AO152="","",IF($D$14="Weekday",INDEX(Tbl_Wait_Wkday[#All],MATCH('Model 2 - Permutations'!AO152,Tbl_Wait_Wkday[[#All],[Time]],1),MATCH('Model 2 - Permutations'!H152,Tbl_Wait_Wkday[#Headers],0)),INDEX(Tbl_Wait_Wkend[#All],MATCH('Model 2 - Permutations'!AO152,Tbl_Wait_Wkend[[#All],[Time]],1),MATCH('Model 2 - Permutations'!H152,Tbl_Wait_Wkend[#Headers],0))))</f>
        <v/>
      </c>
      <c r="AQ152" s="117" t="str">
        <f>IF(AP152="","",VLOOKUP(H152,Tbl_Ride[#Data],2,FALSE))</f>
        <v/>
      </c>
      <c r="AR152" s="118" t="str">
        <f t="shared" si="38"/>
        <v/>
      </c>
      <c r="AS152" s="119" t="str">
        <f t="shared" si="39"/>
        <v>Incomplete</v>
      </c>
      <c r="AT152" s="119" t="str">
        <f t="shared" si="40"/>
        <v>Incomplete</v>
      </c>
      <c r="AU152" s="119" t="str">
        <f t="shared" si="41"/>
        <v>Incomplete</v>
      </c>
    </row>
    <row r="153" spans="2:47">
      <c r="B153" s="111">
        <v>108</v>
      </c>
      <c r="C153" s="111" t="s">
        <v>66</v>
      </c>
      <c r="D153" s="112" t="str">
        <f t="shared" si="22"/>
        <v>Transformers The Ride</v>
      </c>
      <c r="E153" s="112" t="str">
        <f t="shared" si="22"/>
        <v>Battlestart Galactica: Human</v>
      </c>
      <c r="F153" s="112" t="str">
        <f t="shared" si="22"/>
        <v>Revenge of the Mummy</v>
      </c>
      <c r="G153" s="112" t="str">
        <f t="shared" si="22"/>
        <v>Enchanted Airways</v>
      </c>
      <c r="H153" s="112" t="str">
        <f t="shared" si="22"/>
        <v>Battlestar Galactica: Cylon</v>
      </c>
      <c r="I153" s="112">
        <v>5</v>
      </c>
      <c r="J153" s="112">
        <v>2</v>
      </c>
      <c r="K153" s="112">
        <v>4</v>
      </c>
      <c r="L153" s="112">
        <v>3</v>
      </c>
      <c r="M153" s="112">
        <v>1</v>
      </c>
      <c r="N153" s="113">
        <f t="shared" si="23"/>
        <v>0.5</v>
      </c>
      <c r="O153" s="114">
        <f t="shared" si="24"/>
        <v>0</v>
      </c>
      <c r="P153" s="115">
        <f>IF($D$5="Average",INDEX(Tbl_Walk_Avg[#All],MATCH('Model 2 - Permutations'!C153,Tbl_Walk_Avg[[#All],[Ride]],0),MATCH('Model 2 - Permutations'!D153,Tbl_Walk_Avg[#Headers],0)),INDEX(Tbl_Walk_Leisure[#All],MATCH('Model 2 - Permutations'!C153,Tbl_Walk_Leisure[[#All],[Ride]],0),MATCH('Model 2 - Permutations'!D153,Tbl_Walk_Leisure[#Headers],0)))</f>
        <v>4.8611111111111112E-3</v>
      </c>
      <c r="Q153" s="113">
        <f t="shared" si="25"/>
        <v>0.50486111111111109</v>
      </c>
      <c r="R153" s="116">
        <f>IF(Q153="","",IF($D$14="Weekday",INDEX(Tbl_Wait_Wkday[#All],MATCH('Model 2 - Permutations'!Q153,Tbl_Wait_Wkday[[#All],[Time]],1),MATCH('Model 2 - Permutations'!D153,Tbl_Wait_Wkday[#Headers],0)),INDEX(Tbl_Wait_Wkend[#All],MATCH('Model 2 - Permutations'!Q153,Tbl_Wait_Wkend[[#All],[Time]],1),MATCH('Model 2 - Permutations'!D153,Tbl_Wait_Wkend[#Headers],0))))</f>
        <v>6.5972222222222224E-2</v>
      </c>
      <c r="S153" s="117">
        <f>IF(R153="","",VLOOKUP(D153,Tbl_Ride[#Data],2,FALSE))</f>
        <v>3.4722222222222225E-3</v>
      </c>
      <c r="T153" s="118">
        <f t="shared" si="26"/>
        <v>0.57430555555555551</v>
      </c>
      <c r="U153" s="114">
        <f t="shared" si="27"/>
        <v>1</v>
      </c>
      <c r="V153" s="115">
        <f>IF(U153="","",IF($D$5="Average",INDEX(Tbl_Walk_Avg[#All],MATCH('Model 2 - Permutations'!D153,Tbl_Walk_Avg[[#All],[Ride]],0),MATCH('Model 2 - Permutations'!E153,Tbl_Walk_Avg[#Headers],0)),INDEX(Tbl_Walk_Leisure[#All],MATCH('Model 2 - Permutations'!D153,Tbl_Walk_Leisure[[#All],[Ride]],0),MATCH('Model 2 - Permutations'!E153,Tbl_Walk_Leisure[#Headers],0))))</f>
        <v>2.7777777777777779E-3</v>
      </c>
      <c r="W153" s="113">
        <f t="shared" si="28"/>
        <v>0.66041666666666665</v>
      </c>
      <c r="X153" s="116">
        <f>IF(W153="","",IF($D$14="Weekday",INDEX(Tbl_Wait_Wkday[#All],MATCH('Model 2 - Permutations'!W153,Tbl_Wait_Wkday[[#All],[Time]],1),MATCH('Model 2 - Permutations'!E153,Tbl_Wait_Wkday[#Headers],0)),INDEX(Tbl_Wait_Wkend[#All],MATCH('Model 2 - Permutations'!W153,Tbl_Wait_Wkend[[#All],[Time]],1),MATCH('Model 2 - Permutations'!E153,Tbl_Wait_Wkend[#Headers],0))))</f>
        <v>5.5555555555555552E-2</v>
      </c>
      <c r="Y153" s="117">
        <f>IF(X153="","",VLOOKUP(E153,Tbl_Ride[#Data],2,FALSE))</f>
        <v>1.3888888888888889E-3</v>
      </c>
      <c r="Z153" s="118">
        <f t="shared" si="29"/>
        <v>0.71736111111111112</v>
      </c>
      <c r="AA153" s="114">
        <f t="shared" si="30"/>
        <v>0</v>
      </c>
      <c r="AB153" s="115">
        <f>IF(AA153="","",IF($D$5="Average",INDEX(Tbl_Walk_Avg[#All],MATCH('Model 2 - Permutations'!E153,Tbl_Walk_Avg[[#All],[Ride]],0),MATCH('Model 2 - Permutations'!F153,Tbl_Walk_Avg[#Headers],0)),INDEX(Tbl_Walk_Leisure[#All],MATCH('Model 2 - Permutations'!E153,Tbl_Walk_Leisure[[#All],[Ride]],0),MATCH('Model 2 - Permutations'!F153,Tbl_Walk_Leisure[#Headers],0))))</f>
        <v>2.7777777777777779E-3</v>
      </c>
      <c r="AC153" s="113">
        <f t="shared" si="31"/>
        <v>0.72013888888888888</v>
      </c>
      <c r="AD153" s="116">
        <f>IF(AC153="","",IF($D$14="Weekday",INDEX(Tbl_Wait_Wkday[#All],MATCH('Model 2 - Permutations'!AC153,Tbl_Wait_Wkday[[#All],[Time]],1),MATCH('Model 2 - Permutations'!F153,Tbl_Wait_Wkday[#Headers],0)),INDEX(Tbl_Wait_Wkend[#All],MATCH('Model 2 - Permutations'!AC153,Tbl_Wait_Wkend[[#All],[Time]],1),MATCH('Model 2 - Permutations'!F153,Tbl_Wait_Wkend[#Headers],0))))</f>
        <v>2.4305555555555552E-2</v>
      </c>
      <c r="AE153" s="117">
        <f>IF(AD153="","",VLOOKUP(F153,Tbl_Ride[#Data],2,FALSE))</f>
        <v>2.0833333333333333E-3</v>
      </c>
      <c r="AF153" s="118">
        <f t="shared" si="32"/>
        <v>0.74652777777777779</v>
      </c>
      <c r="AG153" s="114">
        <f t="shared" si="33"/>
        <v>0</v>
      </c>
      <c r="AH153" s="115">
        <f>IF(AG153="","",IF($D$5="Average",INDEX(Tbl_Walk_Avg[#All],MATCH('Model 2 - Permutations'!F153,Tbl_Walk_Avg[[#All],[Ride]],0),MATCH('Model 2 - Permutations'!G153,Tbl_Walk_Avg[#Headers],0)),INDEX(Tbl_Walk_Leisure[#All],MATCH('Model 2 - Permutations'!F153,Tbl_Walk_Leisure[[#All],[Ride]],0),MATCH('Model 2 - Permutations'!G153,Tbl_Walk_Leisure[#Headers],0))))</f>
        <v>4.8611111111111112E-3</v>
      </c>
      <c r="AI153" s="113" t="str">
        <f t="shared" si="34"/>
        <v/>
      </c>
      <c r="AJ153" s="116" t="str">
        <f>IF(AI153="","",IF($D$14="Weekday",INDEX(Tbl_Wait_Wkday[#All],MATCH('Model 2 - Permutations'!AI153,Tbl_Wait_Wkday[[#All],[Time]],1),MATCH('Model 2 - Permutations'!G153,Tbl_Wait_Wkday[#Headers],0)),INDEX(Tbl_Wait_Wkend[#All],MATCH('Model 2 - Permutations'!AI153,Tbl_Wait_Wkend[[#All],[Time]],1),MATCH('Model 2 - Permutations'!G153,Tbl_Wait_Wkend[#Headers],0))))</f>
        <v/>
      </c>
      <c r="AK153" s="117" t="str">
        <f>IF(AJ153="","",VLOOKUP(G153,Tbl_Ride[#Data],2,FALSE))</f>
        <v/>
      </c>
      <c r="AL153" s="118" t="str">
        <f t="shared" si="35"/>
        <v/>
      </c>
      <c r="AM153" s="114" t="str">
        <f t="shared" si="36"/>
        <v/>
      </c>
      <c r="AN153" s="115" t="str">
        <f>IF(AM153="","",IF($D$5="Average",INDEX(Tbl_Walk_Avg[#All],MATCH('Model 2 - Permutations'!G153,Tbl_Walk_Avg[[#All],[Ride]],0),MATCH('Model 2 - Permutations'!H153,Tbl_Walk_Avg[#Headers],0)),INDEX(Tbl_Walk_Leisure[#All],MATCH('Model 2 - Permutations'!G153,Tbl_Walk_Leisure[[#All],[Ride]],0),MATCH('Model 2 - Permutations'!H153,Tbl_Walk_Leisure[#Headers],0))))</f>
        <v/>
      </c>
      <c r="AO153" s="113" t="str">
        <f t="shared" si="37"/>
        <v/>
      </c>
      <c r="AP153" s="116" t="str">
        <f>IF(AO153="","",IF($D$14="Weekday",INDEX(Tbl_Wait_Wkday[#All],MATCH('Model 2 - Permutations'!AO153,Tbl_Wait_Wkday[[#All],[Time]],1),MATCH('Model 2 - Permutations'!H153,Tbl_Wait_Wkday[#Headers],0)),INDEX(Tbl_Wait_Wkend[#All],MATCH('Model 2 - Permutations'!AO153,Tbl_Wait_Wkend[[#All],[Time]],1),MATCH('Model 2 - Permutations'!H153,Tbl_Wait_Wkend[#Headers],0))))</f>
        <v/>
      </c>
      <c r="AQ153" s="117" t="str">
        <f>IF(AP153="","",VLOOKUP(H153,Tbl_Ride[#Data],2,FALSE))</f>
        <v/>
      </c>
      <c r="AR153" s="118" t="str">
        <f t="shared" si="38"/>
        <v/>
      </c>
      <c r="AS153" s="119" t="str">
        <f t="shared" si="39"/>
        <v>Incomplete</v>
      </c>
      <c r="AT153" s="119" t="str">
        <f t="shared" si="40"/>
        <v>Incomplete</v>
      </c>
      <c r="AU153" s="119" t="str">
        <f t="shared" si="41"/>
        <v>Incomplete</v>
      </c>
    </row>
    <row r="154" spans="2:47">
      <c r="B154" s="111">
        <v>109</v>
      </c>
      <c r="C154" s="111" t="s">
        <v>66</v>
      </c>
      <c r="D154" s="112" t="str">
        <f t="shared" si="22"/>
        <v>Transformers The Ride</v>
      </c>
      <c r="E154" s="112" t="str">
        <f t="shared" si="22"/>
        <v>Enchanted Airways</v>
      </c>
      <c r="F154" s="112" t="str">
        <f t="shared" si="22"/>
        <v>Battlestar Galactica: Cylon</v>
      </c>
      <c r="G154" s="112" t="str">
        <f t="shared" si="22"/>
        <v>Battlestart Galactica: Human</v>
      </c>
      <c r="H154" s="112" t="str">
        <f t="shared" si="22"/>
        <v>Revenge of the Mummy</v>
      </c>
      <c r="I154" s="112">
        <v>5</v>
      </c>
      <c r="J154" s="112">
        <v>3</v>
      </c>
      <c r="K154" s="112">
        <v>1</v>
      </c>
      <c r="L154" s="112">
        <v>2</v>
      </c>
      <c r="M154" s="112">
        <v>4</v>
      </c>
      <c r="N154" s="113">
        <f t="shared" si="23"/>
        <v>0.5</v>
      </c>
      <c r="O154" s="114">
        <f t="shared" si="24"/>
        <v>0</v>
      </c>
      <c r="P154" s="115">
        <f>IF($D$5="Average",INDEX(Tbl_Walk_Avg[#All],MATCH('Model 2 - Permutations'!C154,Tbl_Walk_Avg[[#All],[Ride]],0),MATCH('Model 2 - Permutations'!D154,Tbl_Walk_Avg[#Headers],0)),INDEX(Tbl_Walk_Leisure[#All],MATCH('Model 2 - Permutations'!C154,Tbl_Walk_Leisure[[#All],[Ride]],0),MATCH('Model 2 - Permutations'!D154,Tbl_Walk_Leisure[#Headers],0)))</f>
        <v>4.8611111111111112E-3</v>
      </c>
      <c r="Q154" s="113">
        <f t="shared" si="25"/>
        <v>0.50486111111111109</v>
      </c>
      <c r="R154" s="116">
        <f>IF(Q154="","",IF($D$14="Weekday",INDEX(Tbl_Wait_Wkday[#All],MATCH('Model 2 - Permutations'!Q154,Tbl_Wait_Wkday[[#All],[Time]],1),MATCH('Model 2 - Permutations'!D154,Tbl_Wait_Wkday[#Headers],0)),INDEX(Tbl_Wait_Wkend[#All],MATCH('Model 2 - Permutations'!Q154,Tbl_Wait_Wkend[[#All],[Time]],1),MATCH('Model 2 - Permutations'!D154,Tbl_Wait_Wkend[#Headers],0))))</f>
        <v>6.5972222222222224E-2</v>
      </c>
      <c r="S154" s="117">
        <f>IF(R154="","",VLOOKUP(D154,Tbl_Ride[#Data],2,FALSE))</f>
        <v>3.4722222222222225E-3</v>
      </c>
      <c r="T154" s="118">
        <f t="shared" si="26"/>
        <v>0.57430555555555551</v>
      </c>
      <c r="U154" s="114">
        <f t="shared" si="27"/>
        <v>1</v>
      </c>
      <c r="V154" s="115">
        <f>IF(U154="","",IF($D$5="Average",INDEX(Tbl_Walk_Avg[#All],MATCH('Model 2 - Permutations'!D154,Tbl_Walk_Avg[[#All],[Ride]],0),MATCH('Model 2 - Permutations'!E154,Tbl_Walk_Avg[#Headers],0)),INDEX(Tbl_Walk_Leisure[#All],MATCH('Model 2 - Permutations'!D154,Tbl_Walk_Leisure[[#All],[Ride]],0),MATCH('Model 2 - Permutations'!E154,Tbl_Walk_Leisure[#Headers],0))))</f>
        <v>6.2500000000000003E-3</v>
      </c>
      <c r="W154" s="113">
        <f t="shared" si="28"/>
        <v>0.66388888888888886</v>
      </c>
      <c r="X154" s="116">
        <f>IF(W154="","",IF($D$14="Weekday",INDEX(Tbl_Wait_Wkday[#All],MATCH('Model 2 - Permutations'!W154,Tbl_Wait_Wkday[[#All],[Time]],1),MATCH('Model 2 - Permutations'!E154,Tbl_Wait_Wkday[#Headers],0)),INDEX(Tbl_Wait_Wkend[#All],MATCH('Model 2 - Permutations'!W154,Tbl_Wait_Wkend[[#All],[Time]],1),MATCH('Model 2 - Permutations'!E154,Tbl_Wait_Wkend[#Headers],0))))</f>
        <v>1.3888888888888888E-2</v>
      </c>
      <c r="Y154" s="117">
        <f>IF(X154="","",VLOOKUP(E154,Tbl_Ride[#Data],2,FALSE))</f>
        <v>6.9444444444444447E-4</v>
      </c>
      <c r="Z154" s="118">
        <f t="shared" si="29"/>
        <v>0.67847222222222214</v>
      </c>
      <c r="AA154" s="114">
        <f t="shared" si="30"/>
        <v>0</v>
      </c>
      <c r="AB154" s="115">
        <f>IF(AA154="","",IF($D$5="Average",INDEX(Tbl_Walk_Avg[#All],MATCH('Model 2 - Permutations'!E154,Tbl_Walk_Avg[[#All],[Ride]],0),MATCH('Model 2 - Permutations'!F154,Tbl_Walk_Avg[#Headers],0)),INDEX(Tbl_Walk_Leisure[#All],MATCH('Model 2 - Permutations'!E154,Tbl_Walk_Leisure[[#All],[Ride]],0),MATCH('Model 2 - Permutations'!F154,Tbl_Walk_Leisure[#Headers],0))))</f>
        <v>6.2500000000000003E-3</v>
      </c>
      <c r="AC154" s="113">
        <f t="shared" si="31"/>
        <v>0.68472222222222212</v>
      </c>
      <c r="AD154" s="116">
        <f>IF(AC154="","",IF($D$14="Weekday",INDEX(Tbl_Wait_Wkday[#All],MATCH('Model 2 - Permutations'!AC154,Tbl_Wait_Wkday[[#All],[Time]],1),MATCH('Model 2 - Permutations'!F154,Tbl_Wait_Wkday[#Headers],0)),INDEX(Tbl_Wait_Wkend[#All],MATCH('Model 2 - Permutations'!AC154,Tbl_Wait_Wkend[[#All],[Time]],1),MATCH('Model 2 - Permutations'!F154,Tbl_Wait_Wkend[#Headers],0))))</f>
        <v>3.4722222222222224E-2</v>
      </c>
      <c r="AE154" s="117">
        <f>IF(AD154="","",VLOOKUP(F154,Tbl_Ride[#Data],2,FALSE))</f>
        <v>1.3888888888888889E-3</v>
      </c>
      <c r="AF154" s="118">
        <f t="shared" si="32"/>
        <v>0.72083333333333321</v>
      </c>
      <c r="AG154" s="114">
        <f t="shared" si="33"/>
        <v>0</v>
      </c>
      <c r="AH154" s="115">
        <f>IF(AG154="","",IF($D$5="Average",INDEX(Tbl_Walk_Avg[#All],MATCH('Model 2 - Permutations'!F154,Tbl_Walk_Avg[[#All],[Ride]],0),MATCH('Model 2 - Permutations'!G154,Tbl_Walk_Avg[#Headers],0)),INDEX(Tbl_Walk_Leisure[#All],MATCH('Model 2 - Permutations'!F154,Tbl_Walk_Leisure[[#All],[Ride]],0),MATCH('Model 2 - Permutations'!G154,Tbl_Walk_Leisure[#Headers],0))))</f>
        <v>0</v>
      </c>
      <c r="AI154" s="113">
        <f t="shared" si="34"/>
        <v>0.72083333333333321</v>
      </c>
      <c r="AJ154" s="116">
        <f>IF(AI154="","",IF($D$14="Weekday",INDEX(Tbl_Wait_Wkday[#All],MATCH('Model 2 - Permutations'!AI154,Tbl_Wait_Wkday[[#All],[Time]],1),MATCH('Model 2 - Permutations'!G154,Tbl_Wait_Wkday[#Headers],0)),INDEX(Tbl_Wait_Wkend[#All],MATCH('Model 2 - Permutations'!AI154,Tbl_Wait_Wkend[[#All],[Time]],1),MATCH('Model 2 - Permutations'!G154,Tbl_Wait_Wkend[#Headers],0))))</f>
        <v>2.4305555555555552E-2</v>
      </c>
      <c r="AK154" s="117">
        <f>IF(AJ154="","",VLOOKUP(G154,Tbl_Ride[#Data],2,FALSE))</f>
        <v>1.3888888888888889E-3</v>
      </c>
      <c r="AL154" s="118">
        <f t="shared" si="35"/>
        <v>0.74652777777777768</v>
      </c>
      <c r="AM154" s="114">
        <f t="shared" si="36"/>
        <v>0</v>
      </c>
      <c r="AN154" s="115">
        <f>IF(AM154="","",IF($D$5="Average",INDEX(Tbl_Walk_Avg[#All],MATCH('Model 2 - Permutations'!G154,Tbl_Walk_Avg[[#All],[Ride]],0),MATCH('Model 2 - Permutations'!H154,Tbl_Walk_Avg[#Headers],0)),INDEX(Tbl_Walk_Leisure[#All],MATCH('Model 2 - Permutations'!G154,Tbl_Walk_Leisure[[#All],[Ride]],0),MATCH('Model 2 - Permutations'!H154,Tbl_Walk_Leisure[#Headers],0))))</f>
        <v>2.7777777777777779E-3</v>
      </c>
      <c r="AO154" s="113">
        <f t="shared" si="37"/>
        <v>0.74930555555555545</v>
      </c>
      <c r="AP154" s="116">
        <f>IF(AO154="","",IF($D$14="Weekday",INDEX(Tbl_Wait_Wkday[#All],MATCH('Model 2 - Permutations'!AO154,Tbl_Wait_Wkday[[#All],[Time]],1),MATCH('Model 2 - Permutations'!H154,Tbl_Wait_Wkday[#Headers],0)),INDEX(Tbl_Wait_Wkend[#All],MATCH('Model 2 - Permutations'!AO154,Tbl_Wait_Wkend[[#All],[Time]],1),MATCH('Model 2 - Permutations'!H154,Tbl_Wait_Wkend[#Headers],0))))</f>
        <v>2.4305555555555552E-2</v>
      </c>
      <c r="AQ154" s="117">
        <f>IF(AP154="","",VLOOKUP(H154,Tbl_Ride[#Data],2,FALSE))</f>
        <v>2.0833333333333333E-3</v>
      </c>
      <c r="AR154" s="118">
        <f t="shared" si="38"/>
        <v>0.77569444444444435</v>
      </c>
      <c r="AS154" s="119">
        <f t="shared" si="39"/>
        <v>2.013888888888889E-2</v>
      </c>
      <c r="AT154" s="119">
        <f t="shared" si="40"/>
        <v>0.16319444444444445</v>
      </c>
      <c r="AU154" s="119">
        <f t="shared" si="41"/>
        <v>0.18333333333333335</v>
      </c>
    </row>
    <row r="155" spans="2:47">
      <c r="B155" s="111">
        <v>110</v>
      </c>
      <c r="C155" s="111" t="s">
        <v>66</v>
      </c>
      <c r="D155" s="112" t="str">
        <f t="shared" si="22"/>
        <v>Transformers The Ride</v>
      </c>
      <c r="E155" s="112" t="str">
        <f t="shared" si="22"/>
        <v>Enchanted Airways</v>
      </c>
      <c r="F155" s="112" t="str">
        <f t="shared" si="22"/>
        <v>Battlestar Galactica: Cylon</v>
      </c>
      <c r="G155" s="112" t="str">
        <f t="shared" si="22"/>
        <v>Revenge of the Mummy</v>
      </c>
      <c r="H155" s="112" t="str">
        <f t="shared" si="22"/>
        <v>Battlestart Galactica: Human</v>
      </c>
      <c r="I155" s="112">
        <v>5</v>
      </c>
      <c r="J155" s="112">
        <v>3</v>
      </c>
      <c r="K155" s="112">
        <v>1</v>
      </c>
      <c r="L155" s="112">
        <v>4</v>
      </c>
      <c r="M155" s="112">
        <v>2</v>
      </c>
      <c r="N155" s="113">
        <f t="shared" si="23"/>
        <v>0.5</v>
      </c>
      <c r="O155" s="114">
        <f t="shared" si="24"/>
        <v>0</v>
      </c>
      <c r="P155" s="115">
        <f>IF($D$5="Average",INDEX(Tbl_Walk_Avg[#All],MATCH('Model 2 - Permutations'!C155,Tbl_Walk_Avg[[#All],[Ride]],0),MATCH('Model 2 - Permutations'!D155,Tbl_Walk_Avg[#Headers],0)),INDEX(Tbl_Walk_Leisure[#All],MATCH('Model 2 - Permutations'!C155,Tbl_Walk_Leisure[[#All],[Ride]],0),MATCH('Model 2 - Permutations'!D155,Tbl_Walk_Leisure[#Headers],0)))</f>
        <v>4.8611111111111112E-3</v>
      </c>
      <c r="Q155" s="113">
        <f t="shared" si="25"/>
        <v>0.50486111111111109</v>
      </c>
      <c r="R155" s="116">
        <f>IF(Q155="","",IF($D$14="Weekday",INDEX(Tbl_Wait_Wkday[#All],MATCH('Model 2 - Permutations'!Q155,Tbl_Wait_Wkday[[#All],[Time]],1),MATCH('Model 2 - Permutations'!D155,Tbl_Wait_Wkday[#Headers],0)),INDEX(Tbl_Wait_Wkend[#All],MATCH('Model 2 - Permutations'!Q155,Tbl_Wait_Wkend[[#All],[Time]],1),MATCH('Model 2 - Permutations'!D155,Tbl_Wait_Wkend[#Headers],0))))</f>
        <v>6.5972222222222224E-2</v>
      </c>
      <c r="S155" s="117">
        <f>IF(R155="","",VLOOKUP(D155,Tbl_Ride[#Data],2,FALSE))</f>
        <v>3.4722222222222225E-3</v>
      </c>
      <c r="T155" s="118">
        <f t="shared" si="26"/>
        <v>0.57430555555555551</v>
      </c>
      <c r="U155" s="114">
        <f t="shared" si="27"/>
        <v>1</v>
      </c>
      <c r="V155" s="115">
        <f>IF(U155="","",IF($D$5="Average",INDEX(Tbl_Walk_Avg[#All],MATCH('Model 2 - Permutations'!D155,Tbl_Walk_Avg[[#All],[Ride]],0),MATCH('Model 2 - Permutations'!E155,Tbl_Walk_Avg[#Headers],0)),INDEX(Tbl_Walk_Leisure[#All],MATCH('Model 2 - Permutations'!D155,Tbl_Walk_Leisure[[#All],[Ride]],0),MATCH('Model 2 - Permutations'!E155,Tbl_Walk_Leisure[#Headers],0))))</f>
        <v>6.2500000000000003E-3</v>
      </c>
      <c r="W155" s="113">
        <f t="shared" si="28"/>
        <v>0.66388888888888886</v>
      </c>
      <c r="X155" s="116">
        <f>IF(W155="","",IF($D$14="Weekday",INDEX(Tbl_Wait_Wkday[#All],MATCH('Model 2 - Permutations'!W155,Tbl_Wait_Wkday[[#All],[Time]],1),MATCH('Model 2 - Permutations'!E155,Tbl_Wait_Wkday[#Headers],0)),INDEX(Tbl_Wait_Wkend[#All],MATCH('Model 2 - Permutations'!W155,Tbl_Wait_Wkend[[#All],[Time]],1),MATCH('Model 2 - Permutations'!E155,Tbl_Wait_Wkend[#Headers],0))))</f>
        <v>1.3888888888888888E-2</v>
      </c>
      <c r="Y155" s="117">
        <f>IF(X155="","",VLOOKUP(E155,Tbl_Ride[#Data],2,FALSE))</f>
        <v>6.9444444444444447E-4</v>
      </c>
      <c r="Z155" s="118">
        <f t="shared" si="29"/>
        <v>0.67847222222222214</v>
      </c>
      <c r="AA155" s="114">
        <f t="shared" si="30"/>
        <v>0</v>
      </c>
      <c r="AB155" s="115">
        <f>IF(AA155="","",IF($D$5="Average",INDEX(Tbl_Walk_Avg[#All],MATCH('Model 2 - Permutations'!E155,Tbl_Walk_Avg[[#All],[Ride]],0),MATCH('Model 2 - Permutations'!F155,Tbl_Walk_Avg[#Headers],0)),INDEX(Tbl_Walk_Leisure[#All],MATCH('Model 2 - Permutations'!E155,Tbl_Walk_Leisure[[#All],[Ride]],0),MATCH('Model 2 - Permutations'!F155,Tbl_Walk_Leisure[#Headers],0))))</f>
        <v>6.2500000000000003E-3</v>
      </c>
      <c r="AC155" s="113">
        <f t="shared" si="31"/>
        <v>0.68472222222222212</v>
      </c>
      <c r="AD155" s="116">
        <f>IF(AC155="","",IF($D$14="Weekday",INDEX(Tbl_Wait_Wkday[#All],MATCH('Model 2 - Permutations'!AC155,Tbl_Wait_Wkday[[#All],[Time]],1),MATCH('Model 2 - Permutations'!F155,Tbl_Wait_Wkday[#Headers],0)),INDEX(Tbl_Wait_Wkend[#All],MATCH('Model 2 - Permutations'!AC155,Tbl_Wait_Wkend[[#All],[Time]],1),MATCH('Model 2 - Permutations'!F155,Tbl_Wait_Wkend[#Headers],0))))</f>
        <v>3.4722222222222224E-2</v>
      </c>
      <c r="AE155" s="117">
        <f>IF(AD155="","",VLOOKUP(F155,Tbl_Ride[#Data],2,FALSE))</f>
        <v>1.3888888888888889E-3</v>
      </c>
      <c r="AF155" s="118">
        <f t="shared" si="32"/>
        <v>0.72083333333333321</v>
      </c>
      <c r="AG155" s="114">
        <f t="shared" si="33"/>
        <v>0</v>
      </c>
      <c r="AH155" s="115">
        <f>IF(AG155="","",IF($D$5="Average",INDEX(Tbl_Walk_Avg[#All],MATCH('Model 2 - Permutations'!F155,Tbl_Walk_Avg[[#All],[Ride]],0),MATCH('Model 2 - Permutations'!G155,Tbl_Walk_Avg[#Headers],0)),INDEX(Tbl_Walk_Leisure[#All],MATCH('Model 2 - Permutations'!F155,Tbl_Walk_Leisure[[#All],[Ride]],0),MATCH('Model 2 - Permutations'!G155,Tbl_Walk_Leisure[#Headers],0))))</f>
        <v>2.7777777777777779E-3</v>
      </c>
      <c r="AI155" s="113">
        <f t="shared" si="34"/>
        <v>0.72361111111111098</v>
      </c>
      <c r="AJ155" s="116">
        <f>IF(AI155="","",IF($D$14="Weekday",INDEX(Tbl_Wait_Wkday[#All],MATCH('Model 2 - Permutations'!AI155,Tbl_Wait_Wkday[[#All],[Time]],1),MATCH('Model 2 - Permutations'!G155,Tbl_Wait_Wkday[#Headers],0)),INDEX(Tbl_Wait_Wkend[#All],MATCH('Model 2 - Permutations'!AI155,Tbl_Wait_Wkend[[#All],[Time]],1),MATCH('Model 2 - Permutations'!G155,Tbl_Wait_Wkend[#Headers],0))))</f>
        <v>2.4305555555555552E-2</v>
      </c>
      <c r="AK155" s="117">
        <f>IF(AJ155="","",VLOOKUP(G155,Tbl_Ride[#Data],2,FALSE))</f>
        <v>2.0833333333333333E-3</v>
      </c>
      <c r="AL155" s="118">
        <f t="shared" si="35"/>
        <v>0.74999999999999989</v>
      </c>
      <c r="AM155" s="114">
        <f t="shared" si="36"/>
        <v>0</v>
      </c>
      <c r="AN155" s="115">
        <f>IF(AM155="","",IF($D$5="Average",INDEX(Tbl_Walk_Avg[#All],MATCH('Model 2 - Permutations'!G155,Tbl_Walk_Avg[[#All],[Ride]],0),MATCH('Model 2 - Permutations'!H155,Tbl_Walk_Avg[#Headers],0)),INDEX(Tbl_Walk_Leisure[#All],MATCH('Model 2 - Permutations'!G155,Tbl_Walk_Leisure[[#All],[Ride]],0),MATCH('Model 2 - Permutations'!H155,Tbl_Walk_Leisure[#Headers],0))))</f>
        <v>2.7777777777777779E-3</v>
      </c>
      <c r="AO155" s="113" t="str">
        <f t="shared" si="37"/>
        <v/>
      </c>
      <c r="AP155" s="116" t="str">
        <f>IF(AO155="","",IF($D$14="Weekday",INDEX(Tbl_Wait_Wkday[#All],MATCH('Model 2 - Permutations'!AO155,Tbl_Wait_Wkday[[#All],[Time]],1),MATCH('Model 2 - Permutations'!H155,Tbl_Wait_Wkday[#Headers],0)),INDEX(Tbl_Wait_Wkend[#All],MATCH('Model 2 - Permutations'!AO155,Tbl_Wait_Wkend[[#All],[Time]],1),MATCH('Model 2 - Permutations'!H155,Tbl_Wait_Wkend[#Headers],0))))</f>
        <v/>
      </c>
      <c r="AQ155" s="117" t="str">
        <f>IF(AP155="","",VLOOKUP(H155,Tbl_Ride[#Data],2,FALSE))</f>
        <v/>
      </c>
      <c r="AR155" s="118" t="str">
        <f t="shared" si="38"/>
        <v/>
      </c>
      <c r="AS155" s="119" t="str">
        <f t="shared" si="39"/>
        <v>Incomplete</v>
      </c>
      <c r="AT155" s="119" t="str">
        <f t="shared" si="40"/>
        <v>Incomplete</v>
      </c>
      <c r="AU155" s="119" t="str">
        <f t="shared" si="41"/>
        <v>Incomplete</v>
      </c>
    </row>
    <row r="156" spans="2:47">
      <c r="B156" s="111">
        <v>111</v>
      </c>
      <c r="C156" s="111" t="s">
        <v>66</v>
      </c>
      <c r="D156" s="112" t="str">
        <f t="shared" si="22"/>
        <v>Transformers The Ride</v>
      </c>
      <c r="E156" s="112" t="str">
        <f t="shared" si="22"/>
        <v>Enchanted Airways</v>
      </c>
      <c r="F156" s="112" t="str">
        <f t="shared" si="22"/>
        <v>Battlestart Galactica: Human</v>
      </c>
      <c r="G156" s="112" t="str">
        <f t="shared" si="22"/>
        <v>Battlestar Galactica: Cylon</v>
      </c>
      <c r="H156" s="112" t="str">
        <f t="shared" si="22"/>
        <v>Revenge of the Mummy</v>
      </c>
      <c r="I156" s="112">
        <v>5</v>
      </c>
      <c r="J156" s="112">
        <v>3</v>
      </c>
      <c r="K156" s="112">
        <v>2</v>
      </c>
      <c r="L156" s="112">
        <v>1</v>
      </c>
      <c r="M156" s="112">
        <v>4</v>
      </c>
      <c r="N156" s="113">
        <f t="shared" si="23"/>
        <v>0.5</v>
      </c>
      <c r="O156" s="114">
        <f t="shared" si="24"/>
        <v>0</v>
      </c>
      <c r="P156" s="115">
        <f>IF($D$5="Average",INDEX(Tbl_Walk_Avg[#All],MATCH('Model 2 - Permutations'!C156,Tbl_Walk_Avg[[#All],[Ride]],0),MATCH('Model 2 - Permutations'!D156,Tbl_Walk_Avg[#Headers],0)),INDEX(Tbl_Walk_Leisure[#All],MATCH('Model 2 - Permutations'!C156,Tbl_Walk_Leisure[[#All],[Ride]],0),MATCH('Model 2 - Permutations'!D156,Tbl_Walk_Leisure[#Headers],0)))</f>
        <v>4.8611111111111112E-3</v>
      </c>
      <c r="Q156" s="113">
        <f t="shared" si="25"/>
        <v>0.50486111111111109</v>
      </c>
      <c r="R156" s="116">
        <f>IF(Q156="","",IF($D$14="Weekday",INDEX(Tbl_Wait_Wkday[#All],MATCH('Model 2 - Permutations'!Q156,Tbl_Wait_Wkday[[#All],[Time]],1),MATCH('Model 2 - Permutations'!D156,Tbl_Wait_Wkday[#Headers],0)),INDEX(Tbl_Wait_Wkend[#All],MATCH('Model 2 - Permutations'!Q156,Tbl_Wait_Wkend[[#All],[Time]],1),MATCH('Model 2 - Permutations'!D156,Tbl_Wait_Wkend[#Headers],0))))</f>
        <v>6.5972222222222224E-2</v>
      </c>
      <c r="S156" s="117">
        <f>IF(R156="","",VLOOKUP(D156,Tbl_Ride[#Data],2,FALSE))</f>
        <v>3.4722222222222225E-3</v>
      </c>
      <c r="T156" s="118">
        <f t="shared" si="26"/>
        <v>0.57430555555555551</v>
      </c>
      <c r="U156" s="114">
        <f t="shared" si="27"/>
        <v>1</v>
      </c>
      <c r="V156" s="115">
        <f>IF(U156="","",IF($D$5="Average",INDEX(Tbl_Walk_Avg[#All],MATCH('Model 2 - Permutations'!D156,Tbl_Walk_Avg[[#All],[Ride]],0),MATCH('Model 2 - Permutations'!E156,Tbl_Walk_Avg[#Headers],0)),INDEX(Tbl_Walk_Leisure[#All],MATCH('Model 2 - Permutations'!D156,Tbl_Walk_Leisure[[#All],[Ride]],0),MATCH('Model 2 - Permutations'!E156,Tbl_Walk_Leisure[#Headers],0))))</f>
        <v>6.2500000000000003E-3</v>
      </c>
      <c r="W156" s="113">
        <f t="shared" si="28"/>
        <v>0.66388888888888886</v>
      </c>
      <c r="X156" s="116">
        <f>IF(W156="","",IF($D$14="Weekday",INDEX(Tbl_Wait_Wkday[#All],MATCH('Model 2 - Permutations'!W156,Tbl_Wait_Wkday[[#All],[Time]],1),MATCH('Model 2 - Permutations'!E156,Tbl_Wait_Wkday[#Headers],0)),INDEX(Tbl_Wait_Wkend[#All],MATCH('Model 2 - Permutations'!W156,Tbl_Wait_Wkend[[#All],[Time]],1),MATCH('Model 2 - Permutations'!E156,Tbl_Wait_Wkend[#Headers],0))))</f>
        <v>1.3888888888888888E-2</v>
      </c>
      <c r="Y156" s="117">
        <f>IF(X156="","",VLOOKUP(E156,Tbl_Ride[#Data],2,FALSE))</f>
        <v>6.9444444444444447E-4</v>
      </c>
      <c r="Z156" s="118">
        <f t="shared" si="29"/>
        <v>0.67847222222222214</v>
      </c>
      <c r="AA156" s="114">
        <f t="shared" si="30"/>
        <v>0</v>
      </c>
      <c r="AB156" s="115">
        <f>IF(AA156="","",IF($D$5="Average",INDEX(Tbl_Walk_Avg[#All],MATCH('Model 2 - Permutations'!E156,Tbl_Walk_Avg[[#All],[Ride]],0),MATCH('Model 2 - Permutations'!F156,Tbl_Walk_Avg[#Headers],0)),INDEX(Tbl_Walk_Leisure[#All],MATCH('Model 2 - Permutations'!E156,Tbl_Walk_Leisure[[#All],[Ride]],0),MATCH('Model 2 - Permutations'!F156,Tbl_Walk_Leisure[#Headers],0))))</f>
        <v>6.2500000000000003E-3</v>
      </c>
      <c r="AC156" s="113">
        <f t="shared" si="31"/>
        <v>0.68472222222222212</v>
      </c>
      <c r="AD156" s="116">
        <f>IF(AC156="","",IF($D$14="Weekday",INDEX(Tbl_Wait_Wkday[#All],MATCH('Model 2 - Permutations'!AC156,Tbl_Wait_Wkday[[#All],[Time]],1),MATCH('Model 2 - Permutations'!F156,Tbl_Wait_Wkday[#Headers],0)),INDEX(Tbl_Wait_Wkend[#All],MATCH('Model 2 - Permutations'!AC156,Tbl_Wait_Wkend[[#All],[Time]],1),MATCH('Model 2 - Permutations'!F156,Tbl_Wait_Wkend[#Headers],0))))</f>
        <v>4.1666666666666664E-2</v>
      </c>
      <c r="AE156" s="117">
        <f>IF(AD156="","",VLOOKUP(F156,Tbl_Ride[#Data],2,FALSE))</f>
        <v>1.3888888888888889E-3</v>
      </c>
      <c r="AF156" s="118">
        <f t="shared" si="32"/>
        <v>0.72777777777777763</v>
      </c>
      <c r="AG156" s="114">
        <f t="shared" si="33"/>
        <v>0</v>
      </c>
      <c r="AH156" s="115">
        <f>IF(AG156="","",IF($D$5="Average",INDEX(Tbl_Walk_Avg[#All],MATCH('Model 2 - Permutations'!F156,Tbl_Walk_Avg[[#All],[Ride]],0),MATCH('Model 2 - Permutations'!G156,Tbl_Walk_Avg[#Headers],0)),INDEX(Tbl_Walk_Leisure[#All],MATCH('Model 2 - Permutations'!F156,Tbl_Walk_Leisure[[#All],[Ride]],0),MATCH('Model 2 - Permutations'!G156,Tbl_Walk_Leisure[#Headers],0))))</f>
        <v>0</v>
      </c>
      <c r="AI156" s="113">
        <f t="shared" si="34"/>
        <v>0.72777777777777763</v>
      </c>
      <c r="AJ156" s="116">
        <f>IF(AI156="","",IF($D$14="Weekday",INDEX(Tbl_Wait_Wkday[#All],MATCH('Model 2 - Permutations'!AI156,Tbl_Wait_Wkday[[#All],[Time]],1),MATCH('Model 2 - Permutations'!G156,Tbl_Wait_Wkday[#Headers],0)),INDEX(Tbl_Wait_Wkend[#All],MATCH('Model 2 - Permutations'!AI156,Tbl_Wait_Wkend[[#All],[Time]],1),MATCH('Model 2 - Permutations'!G156,Tbl_Wait_Wkend[#Headers],0))))</f>
        <v>3.8194444444444441E-2</v>
      </c>
      <c r="AK156" s="117">
        <f>IF(AJ156="","",VLOOKUP(G156,Tbl_Ride[#Data],2,FALSE))</f>
        <v>1.3888888888888889E-3</v>
      </c>
      <c r="AL156" s="118">
        <f t="shared" si="35"/>
        <v>0.76736111111111094</v>
      </c>
      <c r="AM156" s="114">
        <f t="shared" si="36"/>
        <v>0</v>
      </c>
      <c r="AN156" s="115">
        <f>IF(AM156="","",IF($D$5="Average",INDEX(Tbl_Walk_Avg[#All],MATCH('Model 2 - Permutations'!G156,Tbl_Walk_Avg[[#All],[Ride]],0),MATCH('Model 2 - Permutations'!H156,Tbl_Walk_Avg[#Headers],0)),INDEX(Tbl_Walk_Leisure[#All],MATCH('Model 2 - Permutations'!G156,Tbl_Walk_Leisure[[#All],[Ride]],0),MATCH('Model 2 - Permutations'!H156,Tbl_Walk_Leisure[#Headers],0))))</f>
        <v>2.7777777777777779E-3</v>
      </c>
      <c r="AO156" s="113" t="str">
        <f t="shared" si="37"/>
        <v/>
      </c>
      <c r="AP156" s="116" t="str">
        <f>IF(AO156="","",IF($D$14="Weekday",INDEX(Tbl_Wait_Wkday[#All],MATCH('Model 2 - Permutations'!AO156,Tbl_Wait_Wkday[[#All],[Time]],1),MATCH('Model 2 - Permutations'!H156,Tbl_Wait_Wkday[#Headers],0)),INDEX(Tbl_Wait_Wkend[#All],MATCH('Model 2 - Permutations'!AO156,Tbl_Wait_Wkend[[#All],[Time]],1),MATCH('Model 2 - Permutations'!H156,Tbl_Wait_Wkend[#Headers],0))))</f>
        <v/>
      </c>
      <c r="AQ156" s="117" t="str">
        <f>IF(AP156="","",VLOOKUP(H156,Tbl_Ride[#Data],2,FALSE))</f>
        <v/>
      </c>
      <c r="AR156" s="118" t="str">
        <f t="shared" si="38"/>
        <v/>
      </c>
      <c r="AS156" s="119" t="str">
        <f t="shared" si="39"/>
        <v>Incomplete</v>
      </c>
      <c r="AT156" s="119" t="str">
        <f t="shared" si="40"/>
        <v>Incomplete</v>
      </c>
      <c r="AU156" s="119" t="str">
        <f t="shared" si="41"/>
        <v>Incomplete</v>
      </c>
    </row>
    <row r="157" spans="2:47">
      <c r="B157" s="111">
        <v>112</v>
      </c>
      <c r="C157" s="111" t="s">
        <v>66</v>
      </c>
      <c r="D157" s="112" t="str">
        <f t="shared" si="22"/>
        <v>Transformers The Ride</v>
      </c>
      <c r="E157" s="112" t="str">
        <f t="shared" si="22"/>
        <v>Enchanted Airways</v>
      </c>
      <c r="F157" s="112" t="str">
        <f t="shared" si="22"/>
        <v>Battlestart Galactica: Human</v>
      </c>
      <c r="G157" s="112" t="str">
        <f t="shared" si="22"/>
        <v>Revenge of the Mummy</v>
      </c>
      <c r="H157" s="112" t="str">
        <f t="shared" si="22"/>
        <v>Battlestar Galactica: Cylon</v>
      </c>
      <c r="I157" s="112">
        <v>5</v>
      </c>
      <c r="J157" s="112">
        <v>3</v>
      </c>
      <c r="K157" s="112">
        <v>2</v>
      </c>
      <c r="L157" s="112">
        <v>4</v>
      </c>
      <c r="M157" s="112">
        <v>1</v>
      </c>
      <c r="N157" s="113">
        <f t="shared" si="23"/>
        <v>0.5</v>
      </c>
      <c r="O157" s="114">
        <f t="shared" si="24"/>
        <v>0</v>
      </c>
      <c r="P157" s="115">
        <f>IF($D$5="Average",INDEX(Tbl_Walk_Avg[#All],MATCH('Model 2 - Permutations'!C157,Tbl_Walk_Avg[[#All],[Ride]],0),MATCH('Model 2 - Permutations'!D157,Tbl_Walk_Avg[#Headers],0)),INDEX(Tbl_Walk_Leisure[#All],MATCH('Model 2 - Permutations'!C157,Tbl_Walk_Leisure[[#All],[Ride]],0),MATCH('Model 2 - Permutations'!D157,Tbl_Walk_Leisure[#Headers],0)))</f>
        <v>4.8611111111111112E-3</v>
      </c>
      <c r="Q157" s="113">
        <f t="shared" si="25"/>
        <v>0.50486111111111109</v>
      </c>
      <c r="R157" s="116">
        <f>IF(Q157="","",IF($D$14="Weekday",INDEX(Tbl_Wait_Wkday[#All],MATCH('Model 2 - Permutations'!Q157,Tbl_Wait_Wkday[[#All],[Time]],1),MATCH('Model 2 - Permutations'!D157,Tbl_Wait_Wkday[#Headers],0)),INDEX(Tbl_Wait_Wkend[#All],MATCH('Model 2 - Permutations'!Q157,Tbl_Wait_Wkend[[#All],[Time]],1),MATCH('Model 2 - Permutations'!D157,Tbl_Wait_Wkend[#Headers],0))))</f>
        <v>6.5972222222222224E-2</v>
      </c>
      <c r="S157" s="117">
        <f>IF(R157="","",VLOOKUP(D157,Tbl_Ride[#Data],2,FALSE))</f>
        <v>3.4722222222222225E-3</v>
      </c>
      <c r="T157" s="118">
        <f t="shared" si="26"/>
        <v>0.57430555555555551</v>
      </c>
      <c r="U157" s="114">
        <f t="shared" si="27"/>
        <v>1</v>
      </c>
      <c r="V157" s="115">
        <f>IF(U157="","",IF($D$5="Average",INDEX(Tbl_Walk_Avg[#All],MATCH('Model 2 - Permutations'!D157,Tbl_Walk_Avg[[#All],[Ride]],0),MATCH('Model 2 - Permutations'!E157,Tbl_Walk_Avg[#Headers],0)),INDEX(Tbl_Walk_Leisure[#All],MATCH('Model 2 - Permutations'!D157,Tbl_Walk_Leisure[[#All],[Ride]],0),MATCH('Model 2 - Permutations'!E157,Tbl_Walk_Leisure[#Headers],0))))</f>
        <v>6.2500000000000003E-3</v>
      </c>
      <c r="W157" s="113">
        <f t="shared" si="28"/>
        <v>0.66388888888888886</v>
      </c>
      <c r="X157" s="116">
        <f>IF(W157="","",IF($D$14="Weekday",INDEX(Tbl_Wait_Wkday[#All],MATCH('Model 2 - Permutations'!W157,Tbl_Wait_Wkday[[#All],[Time]],1),MATCH('Model 2 - Permutations'!E157,Tbl_Wait_Wkday[#Headers],0)),INDEX(Tbl_Wait_Wkend[#All],MATCH('Model 2 - Permutations'!W157,Tbl_Wait_Wkend[[#All],[Time]],1),MATCH('Model 2 - Permutations'!E157,Tbl_Wait_Wkend[#Headers],0))))</f>
        <v>1.3888888888888888E-2</v>
      </c>
      <c r="Y157" s="117">
        <f>IF(X157="","",VLOOKUP(E157,Tbl_Ride[#Data],2,FALSE))</f>
        <v>6.9444444444444447E-4</v>
      </c>
      <c r="Z157" s="118">
        <f t="shared" si="29"/>
        <v>0.67847222222222214</v>
      </c>
      <c r="AA157" s="114">
        <f t="shared" si="30"/>
        <v>0</v>
      </c>
      <c r="AB157" s="115">
        <f>IF(AA157="","",IF($D$5="Average",INDEX(Tbl_Walk_Avg[#All],MATCH('Model 2 - Permutations'!E157,Tbl_Walk_Avg[[#All],[Ride]],0),MATCH('Model 2 - Permutations'!F157,Tbl_Walk_Avg[#Headers],0)),INDEX(Tbl_Walk_Leisure[#All],MATCH('Model 2 - Permutations'!E157,Tbl_Walk_Leisure[[#All],[Ride]],0),MATCH('Model 2 - Permutations'!F157,Tbl_Walk_Leisure[#Headers],0))))</f>
        <v>6.2500000000000003E-3</v>
      </c>
      <c r="AC157" s="113">
        <f t="shared" si="31"/>
        <v>0.68472222222222212</v>
      </c>
      <c r="AD157" s="116">
        <f>IF(AC157="","",IF($D$14="Weekday",INDEX(Tbl_Wait_Wkday[#All],MATCH('Model 2 - Permutations'!AC157,Tbl_Wait_Wkday[[#All],[Time]],1),MATCH('Model 2 - Permutations'!F157,Tbl_Wait_Wkday[#Headers],0)),INDEX(Tbl_Wait_Wkend[#All],MATCH('Model 2 - Permutations'!AC157,Tbl_Wait_Wkend[[#All],[Time]],1),MATCH('Model 2 - Permutations'!F157,Tbl_Wait_Wkend[#Headers],0))))</f>
        <v>4.1666666666666664E-2</v>
      </c>
      <c r="AE157" s="117">
        <f>IF(AD157="","",VLOOKUP(F157,Tbl_Ride[#Data],2,FALSE))</f>
        <v>1.3888888888888889E-3</v>
      </c>
      <c r="AF157" s="118">
        <f t="shared" si="32"/>
        <v>0.72777777777777763</v>
      </c>
      <c r="AG157" s="114">
        <f t="shared" si="33"/>
        <v>0</v>
      </c>
      <c r="AH157" s="115">
        <f>IF(AG157="","",IF($D$5="Average",INDEX(Tbl_Walk_Avg[#All],MATCH('Model 2 - Permutations'!F157,Tbl_Walk_Avg[[#All],[Ride]],0),MATCH('Model 2 - Permutations'!G157,Tbl_Walk_Avg[#Headers],0)),INDEX(Tbl_Walk_Leisure[#All],MATCH('Model 2 - Permutations'!F157,Tbl_Walk_Leisure[[#All],[Ride]],0),MATCH('Model 2 - Permutations'!G157,Tbl_Walk_Leisure[#Headers],0))))</f>
        <v>2.7777777777777779E-3</v>
      </c>
      <c r="AI157" s="113">
        <f t="shared" si="34"/>
        <v>0.7305555555555554</v>
      </c>
      <c r="AJ157" s="116">
        <f>IF(AI157="","",IF($D$14="Weekday",INDEX(Tbl_Wait_Wkday[#All],MATCH('Model 2 - Permutations'!AI157,Tbl_Wait_Wkday[[#All],[Time]],1),MATCH('Model 2 - Permutations'!G157,Tbl_Wait_Wkday[#Headers],0)),INDEX(Tbl_Wait_Wkend[#All],MATCH('Model 2 - Permutations'!AI157,Tbl_Wait_Wkend[[#All],[Time]],1),MATCH('Model 2 - Permutations'!G157,Tbl_Wait_Wkend[#Headers],0))))</f>
        <v>2.4305555555555552E-2</v>
      </c>
      <c r="AK157" s="117">
        <f>IF(AJ157="","",VLOOKUP(G157,Tbl_Ride[#Data],2,FALSE))</f>
        <v>2.0833333333333333E-3</v>
      </c>
      <c r="AL157" s="118">
        <f t="shared" si="35"/>
        <v>0.75694444444444431</v>
      </c>
      <c r="AM157" s="114">
        <f t="shared" si="36"/>
        <v>0</v>
      </c>
      <c r="AN157" s="115">
        <f>IF(AM157="","",IF($D$5="Average",INDEX(Tbl_Walk_Avg[#All],MATCH('Model 2 - Permutations'!G157,Tbl_Walk_Avg[[#All],[Ride]],0),MATCH('Model 2 - Permutations'!H157,Tbl_Walk_Avg[#Headers],0)),INDEX(Tbl_Walk_Leisure[#All],MATCH('Model 2 - Permutations'!G157,Tbl_Walk_Leisure[[#All],[Ride]],0),MATCH('Model 2 - Permutations'!H157,Tbl_Walk_Leisure[#Headers],0))))</f>
        <v>2.7777777777777779E-3</v>
      </c>
      <c r="AO157" s="113" t="str">
        <f t="shared" si="37"/>
        <v/>
      </c>
      <c r="AP157" s="116" t="str">
        <f>IF(AO157="","",IF($D$14="Weekday",INDEX(Tbl_Wait_Wkday[#All],MATCH('Model 2 - Permutations'!AO157,Tbl_Wait_Wkday[[#All],[Time]],1),MATCH('Model 2 - Permutations'!H157,Tbl_Wait_Wkday[#Headers],0)),INDEX(Tbl_Wait_Wkend[#All],MATCH('Model 2 - Permutations'!AO157,Tbl_Wait_Wkend[[#All],[Time]],1),MATCH('Model 2 - Permutations'!H157,Tbl_Wait_Wkend[#Headers],0))))</f>
        <v/>
      </c>
      <c r="AQ157" s="117" t="str">
        <f>IF(AP157="","",VLOOKUP(H157,Tbl_Ride[#Data],2,FALSE))</f>
        <v/>
      </c>
      <c r="AR157" s="118" t="str">
        <f t="shared" si="38"/>
        <v/>
      </c>
      <c r="AS157" s="119" t="str">
        <f t="shared" si="39"/>
        <v>Incomplete</v>
      </c>
      <c r="AT157" s="119" t="str">
        <f t="shared" si="40"/>
        <v>Incomplete</v>
      </c>
      <c r="AU157" s="119" t="str">
        <f t="shared" si="41"/>
        <v>Incomplete</v>
      </c>
    </row>
    <row r="158" spans="2:47">
      <c r="B158" s="111">
        <v>113</v>
      </c>
      <c r="C158" s="111" t="s">
        <v>66</v>
      </c>
      <c r="D158" s="112" t="str">
        <f t="shared" si="22"/>
        <v>Transformers The Ride</v>
      </c>
      <c r="E158" s="112" t="str">
        <f t="shared" si="22"/>
        <v>Enchanted Airways</v>
      </c>
      <c r="F158" s="112" t="str">
        <f t="shared" si="22"/>
        <v>Revenge of the Mummy</v>
      </c>
      <c r="G158" s="112" t="str">
        <f t="shared" si="22"/>
        <v>Battlestar Galactica: Cylon</v>
      </c>
      <c r="H158" s="112" t="str">
        <f t="shared" si="22"/>
        <v>Battlestart Galactica: Human</v>
      </c>
      <c r="I158" s="112">
        <v>5</v>
      </c>
      <c r="J158" s="112">
        <v>3</v>
      </c>
      <c r="K158" s="112">
        <v>4</v>
      </c>
      <c r="L158" s="112">
        <v>1</v>
      </c>
      <c r="M158" s="112">
        <v>2</v>
      </c>
      <c r="N158" s="113">
        <f t="shared" si="23"/>
        <v>0.5</v>
      </c>
      <c r="O158" s="114">
        <f t="shared" si="24"/>
        <v>0</v>
      </c>
      <c r="P158" s="115">
        <f>IF($D$5="Average",INDEX(Tbl_Walk_Avg[#All],MATCH('Model 2 - Permutations'!C158,Tbl_Walk_Avg[[#All],[Ride]],0),MATCH('Model 2 - Permutations'!D158,Tbl_Walk_Avg[#Headers],0)),INDEX(Tbl_Walk_Leisure[#All],MATCH('Model 2 - Permutations'!C158,Tbl_Walk_Leisure[[#All],[Ride]],0),MATCH('Model 2 - Permutations'!D158,Tbl_Walk_Leisure[#Headers],0)))</f>
        <v>4.8611111111111112E-3</v>
      </c>
      <c r="Q158" s="113">
        <f t="shared" si="25"/>
        <v>0.50486111111111109</v>
      </c>
      <c r="R158" s="116">
        <f>IF(Q158="","",IF($D$14="Weekday",INDEX(Tbl_Wait_Wkday[#All],MATCH('Model 2 - Permutations'!Q158,Tbl_Wait_Wkday[[#All],[Time]],1),MATCH('Model 2 - Permutations'!D158,Tbl_Wait_Wkday[#Headers],0)),INDEX(Tbl_Wait_Wkend[#All],MATCH('Model 2 - Permutations'!Q158,Tbl_Wait_Wkend[[#All],[Time]],1),MATCH('Model 2 - Permutations'!D158,Tbl_Wait_Wkend[#Headers],0))))</f>
        <v>6.5972222222222224E-2</v>
      </c>
      <c r="S158" s="117">
        <f>IF(R158="","",VLOOKUP(D158,Tbl_Ride[#Data],2,FALSE))</f>
        <v>3.4722222222222225E-3</v>
      </c>
      <c r="T158" s="118">
        <f t="shared" si="26"/>
        <v>0.57430555555555551</v>
      </c>
      <c r="U158" s="114">
        <f t="shared" si="27"/>
        <v>1</v>
      </c>
      <c r="V158" s="115">
        <f>IF(U158="","",IF($D$5="Average",INDEX(Tbl_Walk_Avg[#All],MATCH('Model 2 - Permutations'!D158,Tbl_Walk_Avg[[#All],[Ride]],0),MATCH('Model 2 - Permutations'!E158,Tbl_Walk_Avg[#Headers],0)),INDEX(Tbl_Walk_Leisure[#All],MATCH('Model 2 - Permutations'!D158,Tbl_Walk_Leisure[[#All],[Ride]],0),MATCH('Model 2 - Permutations'!E158,Tbl_Walk_Leisure[#Headers],0))))</f>
        <v>6.2500000000000003E-3</v>
      </c>
      <c r="W158" s="113">
        <f t="shared" si="28"/>
        <v>0.66388888888888886</v>
      </c>
      <c r="X158" s="116">
        <f>IF(W158="","",IF($D$14="Weekday",INDEX(Tbl_Wait_Wkday[#All],MATCH('Model 2 - Permutations'!W158,Tbl_Wait_Wkday[[#All],[Time]],1),MATCH('Model 2 - Permutations'!E158,Tbl_Wait_Wkday[#Headers],0)),INDEX(Tbl_Wait_Wkend[#All],MATCH('Model 2 - Permutations'!W158,Tbl_Wait_Wkend[[#All],[Time]],1),MATCH('Model 2 - Permutations'!E158,Tbl_Wait_Wkend[#Headers],0))))</f>
        <v>1.3888888888888888E-2</v>
      </c>
      <c r="Y158" s="117">
        <f>IF(X158="","",VLOOKUP(E158,Tbl_Ride[#Data],2,FALSE))</f>
        <v>6.9444444444444447E-4</v>
      </c>
      <c r="Z158" s="118">
        <f t="shared" si="29"/>
        <v>0.67847222222222214</v>
      </c>
      <c r="AA158" s="114">
        <f t="shared" si="30"/>
        <v>0</v>
      </c>
      <c r="AB158" s="115">
        <f>IF(AA158="","",IF($D$5="Average",INDEX(Tbl_Walk_Avg[#All],MATCH('Model 2 - Permutations'!E158,Tbl_Walk_Avg[[#All],[Ride]],0),MATCH('Model 2 - Permutations'!F158,Tbl_Walk_Avg[#Headers],0)),INDEX(Tbl_Walk_Leisure[#All],MATCH('Model 2 - Permutations'!E158,Tbl_Walk_Leisure[[#All],[Ride]],0),MATCH('Model 2 - Permutations'!F158,Tbl_Walk_Leisure[#Headers],0))))</f>
        <v>4.8611111111111112E-3</v>
      </c>
      <c r="AC158" s="113">
        <f t="shared" si="31"/>
        <v>0.68333333333333324</v>
      </c>
      <c r="AD158" s="116">
        <f>IF(AC158="","",IF($D$14="Weekday",INDEX(Tbl_Wait_Wkday[#All],MATCH('Model 2 - Permutations'!AC158,Tbl_Wait_Wkday[[#All],[Time]],1),MATCH('Model 2 - Permutations'!F158,Tbl_Wait_Wkday[#Headers],0)),INDEX(Tbl_Wait_Wkend[#All],MATCH('Model 2 - Permutations'!AC158,Tbl_Wait_Wkend[[#All],[Time]],1),MATCH('Model 2 - Permutations'!F158,Tbl_Wait_Wkend[#Headers],0))))</f>
        <v>2.7777777777777776E-2</v>
      </c>
      <c r="AE158" s="117">
        <f>IF(AD158="","",VLOOKUP(F158,Tbl_Ride[#Data],2,FALSE))</f>
        <v>2.0833333333333333E-3</v>
      </c>
      <c r="AF158" s="118">
        <f t="shared" si="32"/>
        <v>0.71319444444444435</v>
      </c>
      <c r="AG158" s="114">
        <f t="shared" si="33"/>
        <v>0</v>
      </c>
      <c r="AH158" s="115">
        <f>IF(AG158="","",IF($D$5="Average",INDEX(Tbl_Walk_Avg[#All],MATCH('Model 2 - Permutations'!F158,Tbl_Walk_Avg[[#All],[Ride]],0),MATCH('Model 2 - Permutations'!G158,Tbl_Walk_Avg[#Headers],0)),INDEX(Tbl_Walk_Leisure[#All],MATCH('Model 2 - Permutations'!F158,Tbl_Walk_Leisure[[#All],[Ride]],0),MATCH('Model 2 - Permutations'!G158,Tbl_Walk_Leisure[#Headers],0))))</f>
        <v>2.7777777777777779E-3</v>
      </c>
      <c r="AI158" s="113">
        <f t="shared" si="34"/>
        <v>0.71597222222222212</v>
      </c>
      <c r="AJ158" s="116">
        <f>IF(AI158="","",IF($D$14="Weekday",INDEX(Tbl_Wait_Wkday[#All],MATCH('Model 2 - Permutations'!AI158,Tbl_Wait_Wkday[[#All],[Time]],1),MATCH('Model 2 - Permutations'!G158,Tbl_Wait_Wkday[#Headers],0)),INDEX(Tbl_Wait_Wkend[#All],MATCH('Model 2 - Permutations'!AI158,Tbl_Wait_Wkend[[#All],[Time]],1),MATCH('Model 2 - Permutations'!G158,Tbl_Wait_Wkend[#Headers],0))))</f>
        <v>3.8194444444444441E-2</v>
      </c>
      <c r="AK158" s="117">
        <f>IF(AJ158="","",VLOOKUP(G158,Tbl_Ride[#Data],2,FALSE))</f>
        <v>1.3888888888888889E-3</v>
      </c>
      <c r="AL158" s="118">
        <f t="shared" si="35"/>
        <v>0.75555555555555542</v>
      </c>
      <c r="AM158" s="114">
        <f t="shared" si="36"/>
        <v>0</v>
      </c>
      <c r="AN158" s="115">
        <f>IF(AM158="","",IF($D$5="Average",INDEX(Tbl_Walk_Avg[#All],MATCH('Model 2 - Permutations'!G158,Tbl_Walk_Avg[[#All],[Ride]],0),MATCH('Model 2 - Permutations'!H158,Tbl_Walk_Avg[#Headers],0)),INDEX(Tbl_Walk_Leisure[#All],MATCH('Model 2 - Permutations'!G158,Tbl_Walk_Leisure[[#All],[Ride]],0),MATCH('Model 2 - Permutations'!H158,Tbl_Walk_Leisure[#Headers],0))))</f>
        <v>0</v>
      </c>
      <c r="AO158" s="113" t="str">
        <f t="shared" si="37"/>
        <v/>
      </c>
      <c r="AP158" s="116" t="str">
        <f>IF(AO158="","",IF($D$14="Weekday",INDEX(Tbl_Wait_Wkday[#All],MATCH('Model 2 - Permutations'!AO158,Tbl_Wait_Wkday[[#All],[Time]],1),MATCH('Model 2 - Permutations'!H158,Tbl_Wait_Wkday[#Headers],0)),INDEX(Tbl_Wait_Wkend[#All],MATCH('Model 2 - Permutations'!AO158,Tbl_Wait_Wkend[[#All],[Time]],1),MATCH('Model 2 - Permutations'!H158,Tbl_Wait_Wkend[#Headers],0))))</f>
        <v/>
      </c>
      <c r="AQ158" s="117" t="str">
        <f>IF(AP158="","",VLOOKUP(H158,Tbl_Ride[#Data],2,FALSE))</f>
        <v/>
      </c>
      <c r="AR158" s="118" t="str">
        <f t="shared" si="38"/>
        <v/>
      </c>
      <c r="AS158" s="119" t="str">
        <f t="shared" si="39"/>
        <v>Incomplete</v>
      </c>
      <c r="AT158" s="119" t="str">
        <f t="shared" si="40"/>
        <v>Incomplete</v>
      </c>
      <c r="AU158" s="119" t="str">
        <f t="shared" si="41"/>
        <v>Incomplete</v>
      </c>
    </row>
    <row r="159" spans="2:47">
      <c r="B159" s="111">
        <v>114</v>
      </c>
      <c r="C159" s="111" t="s">
        <v>66</v>
      </c>
      <c r="D159" s="112" t="str">
        <f t="shared" si="22"/>
        <v>Transformers The Ride</v>
      </c>
      <c r="E159" s="112" t="str">
        <f t="shared" si="22"/>
        <v>Enchanted Airways</v>
      </c>
      <c r="F159" s="112" t="str">
        <f t="shared" si="22"/>
        <v>Revenge of the Mummy</v>
      </c>
      <c r="G159" s="112" t="str">
        <f t="shared" si="22"/>
        <v>Battlestart Galactica: Human</v>
      </c>
      <c r="H159" s="112" t="str">
        <f t="shared" si="22"/>
        <v>Battlestar Galactica: Cylon</v>
      </c>
      <c r="I159" s="112">
        <v>5</v>
      </c>
      <c r="J159" s="112">
        <v>3</v>
      </c>
      <c r="K159" s="112">
        <v>4</v>
      </c>
      <c r="L159" s="112">
        <v>2</v>
      </c>
      <c r="M159" s="112">
        <v>1</v>
      </c>
      <c r="N159" s="113">
        <f t="shared" si="23"/>
        <v>0.5</v>
      </c>
      <c r="O159" s="114">
        <f t="shared" si="24"/>
        <v>0</v>
      </c>
      <c r="P159" s="115">
        <f>IF($D$5="Average",INDEX(Tbl_Walk_Avg[#All],MATCH('Model 2 - Permutations'!C159,Tbl_Walk_Avg[[#All],[Ride]],0),MATCH('Model 2 - Permutations'!D159,Tbl_Walk_Avg[#Headers],0)),INDEX(Tbl_Walk_Leisure[#All],MATCH('Model 2 - Permutations'!C159,Tbl_Walk_Leisure[[#All],[Ride]],0),MATCH('Model 2 - Permutations'!D159,Tbl_Walk_Leisure[#Headers],0)))</f>
        <v>4.8611111111111112E-3</v>
      </c>
      <c r="Q159" s="113">
        <f t="shared" si="25"/>
        <v>0.50486111111111109</v>
      </c>
      <c r="R159" s="116">
        <f>IF(Q159="","",IF($D$14="Weekday",INDEX(Tbl_Wait_Wkday[#All],MATCH('Model 2 - Permutations'!Q159,Tbl_Wait_Wkday[[#All],[Time]],1),MATCH('Model 2 - Permutations'!D159,Tbl_Wait_Wkday[#Headers],0)),INDEX(Tbl_Wait_Wkend[#All],MATCH('Model 2 - Permutations'!Q159,Tbl_Wait_Wkend[[#All],[Time]],1),MATCH('Model 2 - Permutations'!D159,Tbl_Wait_Wkend[#Headers],0))))</f>
        <v>6.5972222222222224E-2</v>
      </c>
      <c r="S159" s="117">
        <f>IF(R159="","",VLOOKUP(D159,Tbl_Ride[#Data],2,FALSE))</f>
        <v>3.4722222222222225E-3</v>
      </c>
      <c r="T159" s="118">
        <f t="shared" si="26"/>
        <v>0.57430555555555551</v>
      </c>
      <c r="U159" s="114">
        <f t="shared" si="27"/>
        <v>1</v>
      </c>
      <c r="V159" s="115">
        <f>IF(U159="","",IF($D$5="Average",INDEX(Tbl_Walk_Avg[#All],MATCH('Model 2 - Permutations'!D159,Tbl_Walk_Avg[[#All],[Ride]],0),MATCH('Model 2 - Permutations'!E159,Tbl_Walk_Avg[#Headers],0)),INDEX(Tbl_Walk_Leisure[#All],MATCH('Model 2 - Permutations'!D159,Tbl_Walk_Leisure[[#All],[Ride]],0),MATCH('Model 2 - Permutations'!E159,Tbl_Walk_Leisure[#Headers],0))))</f>
        <v>6.2500000000000003E-3</v>
      </c>
      <c r="W159" s="113">
        <f t="shared" si="28"/>
        <v>0.66388888888888886</v>
      </c>
      <c r="X159" s="116">
        <f>IF(W159="","",IF($D$14="Weekday",INDEX(Tbl_Wait_Wkday[#All],MATCH('Model 2 - Permutations'!W159,Tbl_Wait_Wkday[[#All],[Time]],1),MATCH('Model 2 - Permutations'!E159,Tbl_Wait_Wkday[#Headers],0)),INDEX(Tbl_Wait_Wkend[#All],MATCH('Model 2 - Permutations'!W159,Tbl_Wait_Wkend[[#All],[Time]],1),MATCH('Model 2 - Permutations'!E159,Tbl_Wait_Wkend[#Headers],0))))</f>
        <v>1.3888888888888888E-2</v>
      </c>
      <c r="Y159" s="117">
        <f>IF(X159="","",VLOOKUP(E159,Tbl_Ride[#Data],2,FALSE))</f>
        <v>6.9444444444444447E-4</v>
      </c>
      <c r="Z159" s="118">
        <f t="shared" si="29"/>
        <v>0.67847222222222214</v>
      </c>
      <c r="AA159" s="114">
        <f t="shared" si="30"/>
        <v>0</v>
      </c>
      <c r="AB159" s="115">
        <f>IF(AA159="","",IF($D$5="Average",INDEX(Tbl_Walk_Avg[#All],MATCH('Model 2 - Permutations'!E159,Tbl_Walk_Avg[[#All],[Ride]],0),MATCH('Model 2 - Permutations'!F159,Tbl_Walk_Avg[#Headers],0)),INDEX(Tbl_Walk_Leisure[#All],MATCH('Model 2 - Permutations'!E159,Tbl_Walk_Leisure[[#All],[Ride]],0),MATCH('Model 2 - Permutations'!F159,Tbl_Walk_Leisure[#Headers],0))))</f>
        <v>4.8611111111111112E-3</v>
      </c>
      <c r="AC159" s="113">
        <f t="shared" si="31"/>
        <v>0.68333333333333324</v>
      </c>
      <c r="AD159" s="116">
        <f>IF(AC159="","",IF($D$14="Weekday",INDEX(Tbl_Wait_Wkday[#All],MATCH('Model 2 - Permutations'!AC159,Tbl_Wait_Wkday[[#All],[Time]],1),MATCH('Model 2 - Permutations'!F159,Tbl_Wait_Wkday[#Headers],0)),INDEX(Tbl_Wait_Wkend[#All],MATCH('Model 2 - Permutations'!AC159,Tbl_Wait_Wkend[[#All],[Time]],1),MATCH('Model 2 - Permutations'!F159,Tbl_Wait_Wkend[#Headers],0))))</f>
        <v>2.7777777777777776E-2</v>
      </c>
      <c r="AE159" s="117">
        <f>IF(AD159="","",VLOOKUP(F159,Tbl_Ride[#Data],2,FALSE))</f>
        <v>2.0833333333333333E-3</v>
      </c>
      <c r="AF159" s="118">
        <f t="shared" si="32"/>
        <v>0.71319444444444435</v>
      </c>
      <c r="AG159" s="114">
        <f t="shared" si="33"/>
        <v>0</v>
      </c>
      <c r="AH159" s="115">
        <f>IF(AG159="","",IF($D$5="Average",INDEX(Tbl_Walk_Avg[#All],MATCH('Model 2 - Permutations'!F159,Tbl_Walk_Avg[[#All],[Ride]],0),MATCH('Model 2 - Permutations'!G159,Tbl_Walk_Avg[#Headers],0)),INDEX(Tbl_Walk_Leisure[#All],MATCH('Model 2 - Permutations'!F159,Tbl_Walk_Leisure[[#All],[Ride]],0),MATCH('Model 2 - Permutations'!G159,Tbl_Walk_Leisure[#Headers],0))))</f>
        <v>2.7777777777777779E-3</v>
      </c>
      <c r="AI159" s="113">
        <f t="shared" si="34"/>
        <v>0.71597222222222212</v>
      </c>
      <c r="AJ159" s="116">
        <f>IF(AI159="","",IF($D$14="Weekday",INDEX(Tbl_Wait_Wkday[#All],MATCH('Model 2 - Permutations'!AI159,Tbl_Wait_Wkday[[#All],[Time]],1),MATCH('Model 2 - Permutations'!G159,Tbl_Wait_Wkday[#Headers],0)),INDEX(Tbl_Wait_Wkend[#All],MATCH('Model 2 - Permutations'!AI159,Tbl_Wait_Wkend[[#All],[Time]],1),MATCH('Model 2 - Permutations'!G159,Tbl_Wait_Wkend[#Headers],0))))</f>
        <v>2.4305555555555552E-2</v>
      </c>
      <c r="AK159" s="117">
        <f>IF(AJ159="","",VLOOKUP(G159,Tbl_Ride[#Data],2,FALSE))</f>
        <v>1.3888888888888889E-3</v>
      </c>
      <c r="AL159" s="118">
        <f t="shared" si="35"/>
        <v>0.74166666666666659</v>
      </c>
      <c r="AM159" s="114">
        <f t="shared" si="36"/>
        <v>0</v>
      </c>
      <c r="AN159" s="115">
        <f>IF(AM159="","",IF($D$5="Average",INDEX(Tbl_Walk_Avg[#All],MATCH('Model 2 - Permutations'!G159,Tbl_Walk_Avg[[#All],[Ride]],0),MATCH('Model 2 - Permutations'!H159,Tbl_Walk_Avg[#Headers],0)),INDEX(Tbl_Walk_Leisure[#All],MATCH('Model 2 - Permutations'!G159,Tbl_Walk_Leisure[[#All],[Ride]],0),MATCH('Model 2 - Permutations'!H159,Tbl_Walk_Leisure[#Headers],0))))</f>
        <v>0</v>
      </c>
      <c r="AO159" s="113">
        <f t="shared" si="37"/>
        <v>0.74166666666666659</v>
      </c>
      <c r="AP159" s="116">
        <f>IF(AO159="","",IF($D$14="Weekday",INDEX(Tbl_Wait_Wkday[#All],MATCH('Model 2 - Permutations'!AO159,Tbl_Wait_Wkday[[#All],[Time]],1),MATCH('Model 2 - Permutations'!H159,Tbl_Wait_Wkday[#Headers],0)),INDEX(Tbl_Wait_Wkend[#All],MATCH('Model 2 - Permutations'!AO159,Tbl_Wait_Wkend[[#All],[Time]],1),MATCH('Model 2 - Permutations'!H159,Tbl_Wait_Wkend[#Headers],0))))</f>
        <v>3.8194444444444441E-2</v>
      </c>
      <c r="AQ159" s="117">
        <f>IF(AP159="","",VLOOKUP(H159,Tbl_Ride[#Data],2,FALSE))</f>
        <v>1.3888888888888889E-3</v>
      </c>
      <c r="AR159" s="118">
        <f t="shared" si="38"/>
        <v>0.78124999999999989</v>
      </c>
      <c r="AS159" s="119">
        <f t="shared" si="39"/>
        <v>1.8749999999999999E-2</v>
      </c>
      <c r="AT159" s="119">
        <f t="shared" si="40"/>
        <v>0.17013888888888887</v>
      </c>
      <c r="AU159" s="119">
        <f t="shared" si="41"/>
        <v>0.18888888888888886</v>
      </c>
    </row>
    <row r="160" spans="2:47">
      <c r="B160" s="111">
        <v>115</v>
      </c>
      <c r="C160" s="111" t="s">
        <v>66</v>
      </c>
      <c r="D160" s="112" t="str">
        <f t="shared" si="22"/>
        <v>Transformers The Ride</v>
      </c>
      <c r="E160" s="112" t="str">
        <f t="shared" si="22"/>
        <v>Revenge of the Mummy</v>
      </c>
      <c r="F160" s="112" t="str">
        <f t="shared" si="22"/>
        <v>Battlestar Galactica: Cylon</v>
      </c>
      <c r="G160" s="112" t="str">
        <f t="shared" si="22"/>
        <v>Battlestart Galactica: Human</v>
      </c>
      <c r="H160" s="112" t="str">
        <f t="shared" si="22"/>
        <v>Enchanted Airways</v>
      </c>
      <c r="I160" s="112">
        <v>5</v>
      </c>
      <c r="J160" s="112">
        <v>4</v>
      </c>
      <c r="K160" s="112">
        <v>1</v>
      </c>
      <c r="L160" s="112">
        <v>2</v>
      </c>
      <c r="M160" s="112">
        <v>3</v>
      </c>
      <c r="N160" s="113">
        <f t="shared" si="23"/>
        <v>0.5</v>
      </c>
      <c r="O160" s="114">
        <f t="shared" si="24"/>
        <v>0</v>
      </c>
      <c r="P160" s="115">
        <f>IF($D$5="Average",INDEX(Tbl_Walk_Avg[#All],MATCH('Model 2 - Permutations'!C160,Tbl_Walk_Avg[[#All],[Ride]],0),MATCH('Model 2 - Permutations'!D160,Tbl_Walk_Avg[#Headers],0)),INDEX(Tbl_Walk_Leisure[#All],MATCH('Model 2 - Permutations'!C160,Tbl_Walk_Leisure[[#All],[Ride]],0),MATCH('Model 2 - Permutations'!D160,Tbl_Walk_Leisure[#Headers],0)))</f>
        <v>4.8611111111111112E-3</v>
      </c>
      <c r="Q160" s="113">
        <f t="shared" si="25"/>
        <v>0.50486111111111109</v>
      </c>
      <c r="R160" s="116">
        <f>IF(Q160="","",IF($D$14="Weekday",INDEX(Tbl_Wait_Wkday[#All],MATCH('Model 2 - Permutations'!Q160,Tbl_Wait_Wkday[[#All],[Time]],1),MATCH('Model 2 - Permutations'!D160,Tbl_Wait_Wkday[#Headers],0)),INDEX(Tbl_Wait_Wkend[#All],MATCH('Model 2 - Permutations'!Q160,Tbl_Wait_Wkend[[#All],[Time]],1),MATCH('Model 2 - Permutations'!D160,Tbl_Wait_Wkend[#Headers],0))))</f>
        <v>6.5972222222222224E-2</v>
      </c>
      <c r="S160" s="117">
        <f>IF(R160="","",VLOOKUP(D160,Tbl_Ride[#Data],2,FALSE))</f>
        <v>3.4722222222222225E-3</v>
      </c>
      <c r="T160" s="118">
        <f t="shared" si="26"/>
        <v>0.57430555555555551</v>
      </c>
      <c r="U160" s="114">
        <f t="shared" si="27"/>
        <v>1</v>
      </c>
      <c r="V160" s="115">
        <f>IF(U160="","",IF($D$5="Average",INDEX(Tbl_Walk_Avg[#All],MATCH('Model 2 - Permutations'!D160,Tbl_Walk_Avg[[#All],[Ride]],0),MATCH('Model 2 - Permutations'!E160,Tbl_Walk_Avg[#Headers],0)),INDEX(Tbl_Walk_Leisure[#All],MATCH('Model 2 - Permutations'!D160,Tbl_Walk_Leisure[[#All],[Ride]],0),MATCH('Model 2 - Permutations'!E160,Tbl_Walk_Leisure[#Headers],0))))</f>
        <v>4.1666666666666666E-3</v>
      </c>
      <c r="W160" s="113">
        <f t="shared" si="28"/>
        <v>0.66180555555555554</v>
      </c>
      <c r="X160" s="116">
        <f>IF(W160="","",IF($D$14="Weekday",INDEX(Tbl_Wait_Wkday[#All],MATCH('Model 2 - Permutations'!W160,Tbl_Wait_Wkday[[#All],[Time]],1),MATCH('Model 2 - Permutations'!E160,Tbl_Wait_Wkday[#Headers],0)),INDEX(Tbl_Wait_Wkend[#All],MATCH('Model 2 - Permutations'!W160,Tbl_Wait_Wkend[[#All],[Time]],1),MATCH('Model 2 - Permutations'!E160,Tbl_Wait_Wkend[#Headers],0))))</f>
        <v>3.125E-2</v>
      </c>
      <c r="Y160" s="117">
        <f>IF(X160="","",VLOOKUP(E160,Tbl_Ride[#Data],2,FALSE))</f>
        <v>2.0833333333333333E-3</v>
      </c>
      <c r="Z160" s="118">
        <f t="shared" si="29"/>
        <v>0.69513888888888886</v>
      </c>
      <c r="AA160" s="114">
        <f t="shared" si="30"/>
        <v>0</v>
      </c>
      <c r="AB160" s="115">
        <f>IF(AA160="","",IF($D$5="Average",INDEX(Tbl_Walk_Avg[#All],MATCH('Model 2 - Permutations'!E160,Tbl_Walk_Avg[[#All],[Ride]],0),MATCH('Model 2 - Permutations'!F160,Tbl_Walk_Avg[#Headers],0)),INDEX(Tbl_Walk_Leisure[#All],MATCH('Model 2 - Permutations'!E160,Tbl_Walk_Leisure[[#All],[Ride]],0),MATCH('Model 2 - Permutations'!F160,Tbl_Walk_Leisure[#Headers],0))))</f>
        <v>2.7777777777777779E-3</v>
      </c>
      <c r="AC160" s="113">
        <f t="shared" si="31"/>
        <v>0.69791666666666663</v>
      </c>
      <c r="AD160" s="116">
        <f>IF(AC160="","",IF($D$14="Weekday",INDEX(Tbl_Wait_Wkday[#All],MATCH('Model 2 - Permutations'!AC160,Tbl_Wait_Wkday[[#All],[Time]],1),MATCH('Model 2 - Permutations'!F160,Tbl_Wait_Wkday[#Headers],0)),INDEX(Tbl_Wait_Wkend[#All],MATCH('Model 2 - Permutations'!AC160,Tbl_Wait_Wkend[[#All],[Time]],1),MATCH('Model 2 - Permutations'!F160,Tbl_Wait_Wkend[#Headers],0))))</f>
        <v>3.4722222222222224E-2</v>
      </c>
      <c r="AE160" s="117">
        <f>IF(AD160="","",VLOOKUP(F160,Tbl_Ride[#Data],2,FALSE))</f>
        <v>1.3888888888888889E-3</v>
      </c>
      <c r="AF160" s="118">
        <f t="shared" si="32"/>
        <v>0.73402777777777772</v>
      </c>
      <c r="AG160" s="114">
        <f t="shared" si="33"/>
        <v>0</v>
      </c>
      <c r="AH160" s="115">
        <f>IF(AG160="","",IF($D$5="Average",INDEX(Tbl_Walk_Avg[#All],MATCH('Model 2 - Permutations'!F160,Tbl_Walk_Avg[[#All],[Ride]],0),MATCH('Model 2 - Permutations'!G160,Tbl_Walk_Avg[#Headers],0)),INDEX(Tbl_Walk_Leisure[#All],MATCH('Model 2 - Permutations'!F160,Tbl_Walk_Leisure[[#All],[Ride]],0),MATCH('Model 2 - Permutations'!G160,Tbl_Walk_Leisure[#Headers],0))))</f>
        <v>0</v>
      </c>
      <c r="AI160" s="113">
        <f t="shared" si="34"/>
        <v>0.73402777777777772</v>
      </c>
      <c r="AJ160" s="116">
        <f>IF(AI160="","",IF($D$14="Weekday",INDEX(Tbl_Wait_Wkday[#All],MATCH('Model 2 - Permutations'!AI160,Tbl_Wait_Wkday[[#All],[Time]],1),MATCH('Model 2 - Permutations'!G160,Tbl_Wait_Wkday[#Headers],0)),INDEX(Tbl_Wait_Wkend[#All],MATCH('Model 2 - Permutations'!AI160,Tbl_Wait_Wkend[[#All],[Time]],1),MATCH('Model 2 - Permutations'!G160,Tbl_Wait_Wkend[#Headers],0))))</f>
        <v>2.4305555555555552E-2</v>
      </c>
      <c r="AK160" s="117">
        <f>IF(AJ160="","",VLOOKUP(G160,Tbl_Ride[#Data],2,FALSE))</f>
        <v>1.3888888888888889E-3</v>
      </c>
      <c r="AL160" s="118">
        <f t="shared" si="35"/>
        <v>0.75972222222222219</v>
      </c>
      <c r="AM160" s="114">
        <f t="shared" si="36"/>
        <v>0</v>
      </c>
      <c r="AN160" s="115">
        <f>IF(AM160="","",IF($D$5="Average",INDEX(Tbl_Walk_Avg[#All],MATCH('Model 2 - Permutations'!G160,Tbl_Walk_Avg[[#All],[Ride]],0),MATCH('Model 2 - Permutations'!H160,Tbl_Walk_Avg[#Headers],0)),INDEX(Tbl_Walk_Leisure[#All],MATCH('Model 2 - Permutations'!G160,Tbl_Walk_Leisure[[#All],[Ride]],0),MATCH('Model 2 - Permutations'!H160,Tbl_Walk_Leisure[#Headers],0))))</f>
        <v>6.2500000000000003E-3</v>
      </c>
      <c r="AO160" s="113" t="str">
        <f t="shared" si="37"/>
        <v/>
      </c>
      <c r="AP160" s="116" t="str">
        <f>IF(AO160="","",IF($D$14="Weekday",INDEX(Tbl_Wait_Wkday[#All],MATCH('Model 2 - Permutations'!AO160,Tbl_Wait_Wkday[[#All],[Time]],1),MATCH('Model 2 - Permutations'!H160,Tbl_Wait_Wkday[#Headers],0)),INDEX(Tbl_Wait_Wkend[#All],MATCH('Model 2 - Permutations'!AO160,Tbl_Wait_Wkend[[#All],[Time]],1),MATCH('Model 2 - Permutations'!H160,Tbl_Wait_Wkend[#Headers],0))))</f>
        <v/>
      </c>
      <c r="AQ160" s="117" t="str">
        <f>IF(AP160="","",VLOOKUP(H160,Tbl_Ride[#Data],2,FALSE))</f>
        <v/>
      </c>
      <c r="AR160" s="118" t="str">
        <f t="shared" si="38"/>
        <v/>
      </c>
      <c r="AS160" s="119" t="str">
        <f t="shared" si="39"/>
        <v>Incomplete</v>
      </c>
      <c r="AT160" s="119" t="str">
        <f t="shared" si="40"/>
        <v>Incomplete</v>
      </c>
      <c r="AU160" s="119" t="str">
        <f t="shared" si="41"/>
        <v>Incomplete</v>
      </c>
    </row>
    <row r="161" spans="2:47">
      <c r="B161" s="111">
        <v>116</v>
      </c>
      <c r="C161" s="111" t="s">
        <v>66</v>
      </c>
      <c r="D161" s="112" t="str">
        <f t="shared" ref="D161:H165" si="42">IF($D$12=$C$44,HLOOKUP(I161,$D$9:$H$10,2,FALSE),"")</f>
        <v>Transformers The Ride</v>
      </c>
      <c r="E161" s="112" t="str">
        <f t="shared" si="42"/>
        <v>Revenge of the Mummy</v>
      </c>
      <c r="F161" s="112" t="str">
        <f t="shared" si="42"/>
        <v>Battlestar Galactica: Cylon</v>
      </c>
      <c r="G161" s="112" t="str">
        <f t="shared" si="42"/>
        <v>Enchanted Airways</v>
      </c>
      <c r="H161" s="112" t="str">
        <f t="shared" si="42"/>
        <v>Battlestart Galactica: Human</v>
      </c>
      <c r="I161" s="112">
        <v>5</v>
      </c>
      <c r="J161" s="112">
        <v>4</v>
      </c>
      <c r="K161" s="112">
        <v>1</v>
      </c>
      <c r="L161" s="112">
        <v>3</v>
      </c>
      <c r="M161" s="112">
        <v>2</v>
      </c>
      <c r="N161" s="113">
        <f t="shared" si="23"/>
        <v>0.5</v>
      </c>
      <c r="O161" s="114">
        <f t="shared" si="24"/>
        <v>0</v>
      </c>
      <c r="P161" s="115">
        <f>IF($D$5="Average",INDEX(Tbl_Walk_Avg[#All],MATCH('Model 2 - Permutations'!C161,Tbl_Walk_Avg[[#All],[Ride]],0),MATCH('Model 2 - Permutations'!D161,Tbl_Walk_Avg[#Headers],0)),INDEX(Tbl_Walk_Leisure[#All],MATCH('Model 2 - Permutations'!C161,Tbl_Walk_Leisure[[#All],[Ride]],0),MATCH('Model 2 - Permutations'!D161,Tbl_Walk_Leisure[#Headers],0)))</f>
        <v>4.8611111111111112E-3</v>
      </c>
      <c r="Q161" s="113">
        <f t="shared" si="25"/>
        <v>0.50486111111111109</v>
      </c>
      <c r="R161" s="116">
        <f>IF(Q161="","",IF($D$14="Weekday",INDEX(Tbl_Wait_Wkday[#All],MATCH('Model 2 - Permutations'!Q161,Tbl_Wait_Wkday[[#All],[Time]],1),MATCH('Model 2 - Permutations'!D161,Tbl_Wait_Wkday[#Headers],0)),INDEX(Tbl_Wait_Wkend[#All],MATCH('Model 2 - Permutations'!Q161,Tbl_Wait_Wkend[[#All],[Time]],1),MATCH('Model 2 - Permutations'!D161,Tbl_Wait_Wkend[#Headers],0))))</f>
        <v>6.5972222222222224E-2</v>
      </c>
      <c r="S161" s="117">
        <f>IF(R161="","",VLOOKUP(D161,Tbl_Ride[#Data],2,FALSE))</f>
        <v>3.4722222222222225E-3</v>
      </c>
      <c r="T161" s="118">
        <f t="shared" si="26"/>
        <v>0.57430555555555551</v>
      </c>
      <c r="U161" s="114">
        <f t="shared" si="27"/>
        <v>1</v>
      </c>
      <c r="V161" s="115">
        <f>IF(U161="","",IF($D$5="Average",INDEX(Tbl_Walk_Avg[#All],MATCH('Model 2 - Permutations'!D161,Tbl_Walk_Avg[[#All],[Ride]],0),MATCH('Model 2 - Permutations'!E161,Tbl_Walk_Avg[#Headers],0)),INDEX(Tbl_Walk_Leisure[#All],MATCH('Model 2 - Permutations'!D161,Tbl_Walk_Leisure[[#All],[Ride]],0),MATCH('Model 2 - Permutations'!E161,Tbl_Walk_Leisure[#Headers],0))))</f>
        <v>4.1666666666666666E-3</v>
      </c>
      <c r="W161" s="113">
        <f t="shared" si="28"/>
        <v>0.66180555555555554</v>
      </c>
      <c r="X161" s="116">
        <f>IF(W161="","",IF($D$14="Weekday",INDEX(Tbl_Wait_Wkday[#All],MATCH('Model 2 - Permutations'!W161,Tbl_Wait_Wkday[[#All],[Time]],1),MATCH('Model 2 - Permutations'!E161,Tbl_Wait_Wkday[#Headers],0)),INDEX(Tbl_Wait_Wkend[#All],MATCH('Model 2 - Permutations'!W161,Tbl_Wait_Wkend[[#All],[Time]],1),MATCH('Model 2 - Permutations'!E161,Tbl_Wait_Wkend[#Headers],0))))</f>
        <v>3.125E-2</v>
      </c>
      <c r="Y161" s="117">
        <f>IF(X161="","",VLOOKUP(E161,Tbl_Ride[#Data],2,FALSE))</f>
        <v>2.0833333333333333E-3</v>
      </c>
      <c r="Z161" s="118">
        <f t="shared" si="29"/>
        <v>0.69513888888888886</v>
      </c>
      <c r="AA161" s="114">
        <f t="shared" si="30"/>
        <v>0</v>
      </c>
      <c r="AB161" s="115">
        <f>IF(AA161="","",IF($D$5="Average",INDEX(Tbl_Walk_Avg[#All],MATCH('Model 2 - Permutations'!E161,Tbl_Walk_Avg[[#All],[Ride]],0),MATCH('Model 2 - Permutations'!F161,Tbl_Walk_Avg[#Headers],0)),INDEX(Tbl_Walk_Leisure[#All],MATCH('Model 2 - Permutations'!E161,Tbl_Walk_Leisure[[#All],[Ride]],0),MATCH('Model 2 - Permutations'!F161,Tbl_Walk_Leisure[#Headers],0))))</f>
        <v>2.7777777777777779E-3</v>
      </c>
      <c r="AC161" s="113">
        <f t="shared" si="31"/>
        <v>0.69791666666666663</v>
      </c>
      <c r="AD161" s="116">
        <f>IF(AC161="","",IF($D$14="Weekday",INDEX(Tbl_Wait_Wkday[#All],MATCH('Model 2 - Permutations'!AC161,Tbl_Wait_Wkday[[#All],[Time]],1),MATCH('Model 2 - Permutations'!F161,Tbl_Wait_Wkday[#Headers],0)),INDEX(Tbl_Wait_Wkend[#All],MATCH('Model 2 - Permutations'!AC161,Tbl_Wait_Wkend[[#All],[Time]],1),MATCH('Model 2 - Permutations'!F161,Tbl_Wait_Wkend[#Headers],0))))</f>
        <v>3.4722222222222224E-2</v>
      </c>
      <c r="AE161" s="117">
        <f>IF(AD161="","",VLOOKUP(F161,Tbl_Ride[#Data],2,FALSE))</f>
        <v>1.3888888888888889E-3</v>
      </c>
      <c r="AF161" s="118">
        <f t="shared" si="32"/>
        <v>0.73402777777777772</v>
      </c>
      <c r="AG161" s="114">
        <f t="shared" si="33"/>
        <v>0</v>
      </c>
      <c r="AH161" s="115">
        <f>IF(AG161="","",IF($D$5="Average",INDEX(Tbl_Walk_Avg[#All],MATCH('Model 2 - Permutations'!F161,Tbl_Walk_Avg[[#All],[Ride]],0),MATCH('Model 2 - Permutations'!G161,Tbl_Walk_Avg[#Headers],0)),INDEX(Tbl_Walk_Leisure[#All],MATCH('Model 2 - Permutations'!F161,Tbl_Walk_Leisure[[#All],[Ride]],0),MATCH('Model 2 - Permutations'!G161,Tbl_Walk_Leisure[#Headers],0))))</f>
        <v>6.2500000000000003E-3</v>
      </c>
      <c r="AI161" s="113">
        <f t="shared" si="34"/>
        <v>0.7402777777777777</v>
      </c>
      <c r="AJ161" s="116">
        <f>IF(AI161="","",IF($D$14="Weekday",INDEX(Tbl_Wait_Wkday[#All],MATCH('Model 2 - Permutations'!AI161,Tbl_Wait_Wkday[[#All],[Time]],1),MATCH('Model 2 - Permutations'!G161,Tbl_Wait_Wkday[#Headers],0)),INDEX(Tbl_Wait_Wkend[#All],MATCH('Model 2 - Permutations'!AI161,Tbl_Wait_Wkend[[#All],[Time]],1),MATCH('Model 2 - Permutations'!G161,Tbl_Wait_Wkend[#Headers],0))))</f>
        <v>1.7361111111111112E-2</v>
      </c>
      <c r="AK161" s="117">
        <f>IF(AJ161="","",VLOOKUP(G161,Tbl_Ride[#Data],2,FALSE))</f>
        <v>6.9444444444444447E-4</v>
      </c>
      <c r="AL161" s="118">
        <f t="shared" si="35"/>
        <v>0.7583333333333333</v>
      </c>
      <c r="AM161" s="114">
        <f t="shared" si="36"/>
        <v>0</v>
      </c>
      <c r="AN161" s="115">
        <f>IF(AM161="","",IF($D$5="Average",INDEX(Tbl_Walk_Avg[#All],MATCH('Model 2 - Permutations'!G161,Tbl_Walk_Avg[[#All],[Ride]],0),MATCH('Model 2 - Permutations'!H161,Tbl_Walk_Avg[#Headers],0)),INDEX(Tbl_Walk_Leisure[#All],MATCH('Model 2 - Permutations'!G161,Tbl_Walk_Leisure[[#All],[Ride]],0),MATCH('Model 2 - Permutations'!H161,Tbl_Walk_Leisure[#Headers],0))))</f>
        <v>6.2500000000000003E-3</v>
      </c>
      <c r="AO161" s="113" t="str">
        <f t="shared" si="37"/>
        <v/>
      </c>
      <c r="AP161" s="116" t="str">
        <f>IF(AO161="","",IF($D$14="Weekday",INDEX(Tbl_Wait_Wkday[#All],MATCH('Model 2 - Permutations'!AO161,Tbl_Wait_Wkday[[#All],[Time]],1),MATCH('Model 2 - Permutations'!H161,Tbl_Wait_Wkday[#Headers],0)),INDEX(Tbl_Wait_Wkend[#All],MATCH('Model 2 - Permutations'!AO161,Tbl_Wait_Wkend[[#All],[Time]],1),MATCH('Model 2 - Permutations'!H161,Tbl_Wait_Wkend[#Headers],0))))</f>
        <v/>
      </c>
      <c r="AQ161" s="117" t="str">
        <f>IF(AP161="","",VLOOKUP(H161,Tbl_Ride[#Data],2,FALSE))</f>
        <v/>
      </c>
      <c r="AR161" s="118" t="str">
        <f t="shared" si="38"/>
        <v/>
      </c>
      <c r="AS161" s="119" t="str">
        <f t="shared" si="39"/>
        <v>Incomplete</v>
      </c>
      <c r="AT161" s="119" t="str">
        <f t="shared" si="40"/>
        <v>Incomplete</v>
      </c>
      <c r="AU161" s="119" t="str">
        <f t="shared" si="41"/>
        <v>Incomplete</v>
      </c>
    </row>
    <row r="162" spans="2:47">
      <c r="B162" s="111">
        <v>117</v>
      </c>
      <c r="C162" s="111" t="s">
        <v>66</v>
      </c>
      <c r="D162" s="112" t="str">
        <f t="shared" si="42"/>
        <v>Transformers The Ride</v>
      </c>
      <c r="E162" s="112" t="str">
        <f t="shared" si="42"/>
        <v>Revenge of the Mummy</v>
      </c>
      <c r="F162" s="112" t="str">
        <f t="shared" si="42"/>
        <v>Battlestart Galactica: Human</v>
      </c>
      <c r="G162" s="112" t="str">
        <f t="shared" si="42"/>
        <v>Battlestar Galactica: Cylon</v>
      </c>
      <c r="H162" s="112" t="str">
        <f t="shared" si="42"/>
        <v>Enchanted Airways</v>
      </c>
      <c r="I162" s="112">
        <v>5</v>
      </c>
      <c r="J162" s="112">
        <v>4</v>
      </c>
      <c r="K162" s="112">
        <v>2</v>
      </c>
      <c r="L162" s="112">
        <v>1</v>
      </c>
      <c r="M162" s="112">
        <v>3</v>
      </c>
      <c r="N162" s="113">
        <f t="shared" si="23"/>
        <v>0.5</v>
      </c>
      <c r="O162" s="114">
        <f t="shared" si="24"/>
        <v>0</v>
      </c>
      <c r="P162" s="115">
        <f>IF($D$5="Average",INDEX(Tbl_Walk_Avg[#All],MATCH('Model 2 - Permutations'!C162,Tbl_Walk_Avg[[#All],[Ride]],0),MATCH('Model 2 - Permutations'!D162,Tbl_Walk_Avg[#Headers],0)),INDEX(Tbl_Walk_Leisure[#All],MATCH('Model 2 - Permutations'!C162,Tbl_Walk_Leisure[[#All],[Ride]],0),MATCH('Model 2 - Permutations'!D162,Tbl_Walk_Leisure[#Headers],0)))</f>
        <v>4.8611111111111112E-3</v>
      </c>
      <c r="Q162" s="113">
        <f t="shared" si="25"/>
        <v>0.50486111111111109</v>
      </c>
      <c r="R162" s="116">
        <f>IF(Q162="","",IF($D$14="Weekday",INDEX(Tbl_Wait_Wkday[#All],MATCH('Model 2 - Permutations'!Q162,Tbl_Wait_Wkday[[#All],[Time]],1),MATCH('Model 2 - Permutations'!D162,Tbl_Wait_Wkday[#Headers],0)),INDEX(Tbl_Wait_Wkend[#All],MATCH('Model 2 - Permutations'!Q162,Tbl_Wait_Wkend[[#All],[Time]],1),MATCH('Model 2 - Permutations'!D162,Tbl_Wait_Wkend[#Headers],0))))</f>
        <v>6.5972222222222224E-2</v>
      </c>
      <c r="S162" s="117">
        <f>IF(R162="","",VLOOKUP(D162,Tbl_Ride[#Data],2,FALSE))</f>
        <v>3.4722222222222225E-3</v>
      </c>
      <c r="T162" s="118">
        <f t="shared" si="26"/>
        <v>0.57430555555555551</v>
      </c>
      <c r="U162" s="114">
        <f t="shared" si="27"/>
        <v>1</v>
      </c>
      <c r="V162" s="115">
        <f>IF(U162="","",IF($D$5="Average",INDEX(Tbl_Walk_Avg[#All],MATCH('Model 2 - Permutations'!D162,Tbl_Walk_Avg[[#All],[Ride]],0),MATCH('Model 2 - Permutations'!E162,Tbl_Walk_Avg[#Headers],0)),INDEX(Tbl_Walk_Leisure[#All],MATCH('Model 2 - Permutations'!D162,Tbl_Walk_Leisure[[#All],[Ride]],0),MATCH('Model 2 - Permutations'!E162,Tbl_Walk_Leisure[#Headers],0))))</f>
        <v>4.1666666666666666E-3</v>
      </c>
      <c r="W162" s="113">
        <f t="shared" si="28"/>
        <v>0.66180555555555554</v>
      </c>
      <c r="X162" s="116">
        <f>IF(W162="","",IF($D$14="Weekday",INDEX(Tbl_Wait_Wkday[#All],MATCH('Model 2 - Permutations'!W162,Tbl_Wait_Wkday[[#All],[Time]],1),MATCH('Model 2 - Permutations'!E162,Tbl_Wait_Wkday[#Headers],0)),INDEX(Tbl_Wait_Wkend[#All],MATCH('Model 2 - Permutations'!W162,Tbl_Wait_Wkend[[#All],[Time]],1),MATCH('Model 2 - Permutations'!E162,Tbl_Wait_Wkend[#Headers],0))))</f>
        <v>3.125E-2</v>
      </c>
      <c r="Y162" s="117">
        <f>IF(X162="","",VLOOKUP(E162,Tbl_Ride[#Data],2,FALSE))</f>
        <v>2.0833333333333333E-3</v>
      </c>
      <c r="Z162" s="118">
        <f t="shared" si="29"/>
        <v>0.69513888888888886</v>
      </c>
      <c r="AA162" s="114">
        <f t="shared" si="30"/>
        <v>0</v>
      </c>
      <c r="AB162" s="115">
        <f>IF(AA162="","",IF($D$5="Average",INDEX(Tbl_Walk_Avg[#All],MATCH('Model 2 - Permutations'!E162,Tbl_Walk_Avg[[#All],[Ride]],0),MATCH('Model 2 - Permutations'!F162,Tbl_Walk_Avg[#Headers],0)),INDEX(Tbl_Walk_Leisure[#All],MATCH('Model 2 - Permutations'!E162,Tbl_Walk_Leisure[[#All],[Ride]],0),MATCH('Model 2 - Permutations'!F162,Tbl_Walk_Leisure[#Headers],0))))</f>
        <v>2.7777777777777779E-3</v>
      </c>
      <c r="AC162" s="113">
        <f t="shared" si="31"/>
        <v>0.69791666666666663</v>
      </c>
      <c r="AD162" s="116">
        <f>IF(AC162="","",IF($D$14="Weekday",INDEX(Tbl_Wait_Wkday[#All],MATCH('Model 2 - Permutations'!AC162,Tbl_Wait_Wkday[[#All],[Time]],1),MATCH('Model 2 - Permutations'!F162,Tbl_Wait_Wkday[#Headers],0)),INDEX(Tbl_Wait_Wkend[#All],MATCH('Model 2 - Permutations'!AC162,Tbl_Wait_Wkend[[#All],[Time]],1),MATCH('Model 2 - Permutations'!F162,Tbl_Wait_Wkend[#Headers],0))))</f>
        <v>4.1666666666666664E-2</v>
      </c>
      <c r="AE162" s="117">
        <f>IF(AD162="","",VLOOKUP(F162,Tbl_Ride[#Data],2,FALSE))</f>
        <v>1.3888888888888889E-3</v>
      </c>
      <c r="AF162" s="118">
        <f t="shared" si="32"/>
        <v>0.74097222222222214</v>
      </c>
      <c r="AG162" s="114">
        <f t="shared" si="33"/>
        <v>0</v>
      </c>
      <c r="AH162" s="115">
        <f>IF(AG162="","",IF($D$5="Average",INDEX(Tbl_Walk_Avg[#All],MATCH('Model 2 - Permutations'!F162,Tbl_Walk_Avg[[#All],[Ride]],0),MATCH('Model 2 - Permutations'!G162,Tbl_Walk_Avg[#Headers],0)),INDEX(Tbl_Walk_Leisure[#All],MATCH('Model 2 - Permutations'!F162,Tbl_Walk_Leisure[[#All],[Ride]],0),MATCH('Model 2 - Permutations'!G162,Tbl_Walk_Leisure[#Headers],0))))</f>
        <v>0</v>
      </c>
      <c r="AI162" s="113">
        <f t="shared" si="34"/>
        <v>0.74097222222222214</v>
      </c>
      <c r="AJ162" s="116">
        <f>IF(AI162="","",IF($D$14="Weekday",INDEX(Tbl_Wait_Wkday[#All],MATCH('Model 2 - Permutations'!AI162,Tbl_Wait_Wkday[[#All],[Time]],1),MATCH('Model 2 - Permutations'!G162,Tbl_Wait_Wkday[#Headers],0)),INDEX(Tbl_Wait_Wkend[#All],MATCH('Model 2 - Permutations'!AI162,Tbl_Wait_Wkend[[#All],[Time]],1),MATCH('Model 2 - Permutations'!G162,Tbl_Wait_Wkend[#Headers],0))))</f>
        <v>3.8194444444444441E-2</v>
      </c>
      <c r="AK162" s="117">
        <f>IF(AJ162="","",VLOOKUP(G162,Tbl_Ride[#Data],2,FALSE))</f>
        <v>1.3888888888888889E-3</v>
      </c>
      <c r="AL162" s="118">
        <f t="shared" si="35"/>
        <v>0.78055555555555545</v>
      </c>
      <c r="AM162" s="114">
        <f t="shared" si="36"/>
        <v>0</v>
      </c>
      <c r="AN162" s="115">
        <f>IF(AM162="","",IF($D$5="Average",INDEX(Tbl_Walk_Avg[#All],MATCH('Model 2 - Permutations'!G162,Tbl_Walk_Avg[[#All],[Ride]],0),MATCH('Model 2 - Permutations'!H162,Tbl_Walk_Avg[#Headers],0)),INDEX(Tbl_Walk_Leisure[#All],MATCH('Model 2 - Permutations'!G162,Tbl_Walk_Leisure[[#All],[Ride]],0),MATCH('Model 2 - Permutations'!H162,Tbl_Walk_Leisure[#Headers],0))))</f>
        <v>6.2500000000000003E-3</v>
      </c>
      <c r="AO162" s="113" t="str">
        <f t="shared" si="37"/>
        <v/>
      </c>
      <c r="AP162" s="116" t="str">
        <f>IF(AO162="","",IF($D$14="Weekday",INDEX(Tbl_Wait_Wkday[#All],MATCH('Model 2 - Permutations'!AO162,Tbl_Wait_Wkday[[#All],[Time]],1),MATCH('Model 2 - Permutations'!H162,Tbl_Wait_Wkday[#Headers],0)),INDEX(Tbl_Wait_Wkend[#All],MATCH('Model 2 - Permutations'!AO162,Tbl_Wait_Wkend[[#All],[Time]],1),MATCH('Model 2 - Permutations'!H162,Tbl_Wait_Wkend[#Headers],0))))</f>
        <v/>
      </c>
      <c r="AQ162" s="117" t="str">
        <f>IF(AP162="","",VLOOKUP(H162,Tbl_Ride[#Data],2,FALSE))</f>
        <v/>
      </c>
      <c r="AR162" s="118" t="str">
        <f t="shared" si="38"/>
        <v/>
      </c>
      <c r="AS162" s="119" t="str">
        <f t="shared" si="39"/>
        <v>Incomplete</v>
      </c>
      <c r="AT162" s="119" t="str">
        <f t="shared" si="40"/>
        <v>Incomplete</v>
      </c>
      <c r="AU162" s="119" t="str">
        <f t="shared" si="41"/>
        <v>Incomplete</v>
      </c>
    </row>
    <row r="163" spans="2:47">
      <c r="B163" s="111">
        <v>118</v>
      </c>
      <c r="C163" s="111" t="s">
        <v>66</v>
      </c>
      <c r="D163" s="112" t="str">
        <f t="shared" si="42"/>
        <v>Transformers The Ride</v>
      </c>
      <c r="E163" s="112" t="str">
        <f t="shared" si="42"/>
        <v>Revenge of the Mummy</v>
      </c>
      <c r="F163" s="112" t="str">
        <f t="shared" si="42"/>
        <v>Battlestart Galactica: Human</v>
      </c>
      <c r="G163" s="112" t="str">
        <f t="shared" si="42"/>
        <v>Enchanted Airways</v>
      </c>
      <c r="H163" s="112" t="str">
        <f t="shared" si="42"/>
        <v>Battlestar Galactica: Cylon</v>
      </c>
      <c r="I163" s="112">
        <v>5</v>
      </c>
      <c r="J163" s="112">
        <v>4</v>
      </c>
      <c r="K163" s="112">
        <v>2</v>
      </c>
      <c r="L163" s="112">
        <v>3</v>
      </c>
      <c r="M163" s="112">
        <v>1</v>
      </c>
      <c r="N163" s="113">
        <f t="shared" si="23"/>
        <v>0.5</v>
      </c>
      <c r="O163" s="114">
        <f t="shared" si="24"/>
        <v>0</v>
      </c>
      <c r="P163" s="115">
        <f>IF($D$5="Average",INDEX(Tbl_Walk_Avg[#All],MATCH('Model 2 - Permutations'!C163,Tbl_Walk_Avg[[#All],[Ride]],0),MATCH('Model 2 - Permutations'!D163,Tbl_Walk_Avg[#Headers],0)),INDEX(Tbl_Walk_Leisure[#All],MATCH('Model 2 - Permutations'!C163,Tbl_Walk_Leisure[[#All],[Ride]],0),MATCH('Model 2 - Permutations'!D163,Tbl_Walk_Leisure[#Headers],0)))</f>
        <v>4.8611111111111112E-3</v>
      </c>
      <c r="Q163" s="113">
        <f t="shared" si="25"/>
        <v>0.50486111111111109</v>
      </c>
      <c r="R163" s="116">
        <f>IF(Q163="","",IF($D$14="Weekday",INDEX(Tbl_Wait_Wkday[#All],MATCH('Model 2 - Permutations'!Q163,Tbl_Wait_Wkday[[#All],[Time]],1),MATCH('Model 2 - Permutations'!D163,Tbl_Wait_Wkday[#Headers],0)),INDEX(Tbl_Wait_Wkend[#All],MATCH('Model 2 - Permutations'!Q163,Tbl_Wait_Wkend[[#All],[Time]],1),MATCH('Model 2 - Permutations'!D163,Tbl_Wait_Wkend[#Headers],0))))</f>
        <v>6.5972222222222224E-2</v>
      </c>
      <c r="S163" s="117">
        <f>IF(R163="","",VLOOKUP(D163,Tbl_Ride[#Data],2,FALSE))</f>
        <v>3.4722222222222225E-3</v>
      </c>
      <c r="T163" s="118">
        <f t="shared" si="26"/>
        <v>0.57430555555555551</v>
      </c>
      <c r="U163" s="114">
        <f t="shared" si="27"/>
        <v>1</v>
      </c>
      <c r="V163" s="115">
        <f>IF(U163="","",IF($D$5="Average",INDEX(Tbl_Walk_Avg[#All],MATCH('Model 2 - Permutations'!D163,Tbl_Walk_Avg[[#All],[Ride]],0),MATCH('Model 2 - Permutations'!E163,Tbl_Walk_Avg[#Headers],0)),INDEX(Tbl_Walk_Leisure[#All],MATCH('Model 2 - Permutations'!D163,Tbl_Walk_Leisure[[#All],[Ride]],0),MATCH('Model 2 - Permutations'!E163,Tbl_Walk_Leisure[#Headers],0))))</f>
        <v>4.1666666666666666E-3</v>
      </c>
      <c r="W163" s="113">
        <f t="shared" si="28"/>
        <v>0.66180555555555554</v>
      </c>
      <c r="X163" s="116">
        <f>IF(W163="","",IF($D$14="Weekday",INDEX(Tbl_Wait_Wkday[#All],MATCH('Model 2 - Permutations'!W163,Tbl_Wait_Wkday[[#All],[Time]],1),MATCH('Model 2 - Permutations'!E163,Tbl_Wait_Wkday[#Headers],0)),INDEX(Tbl_Wait_Wkend[#All],MATCH('Model 2 - Permutations'!W163,Tbl_Wait_Wkend[[#All],[Time]],1),MATCH('Model 2 - Permutations'!E163,Tbl_Wait_Wkend[#Headers],0))))</f>
        <v>3.125E-2</v>
      </c>
      <c r="Y163" s="117">
        <f>IF(X163="","",VLOOKUP(E163,Tbl_Ride[#Data],2,FALSE))</f>
        <v>2.0833333333333333E-3</v>
      </c>
      <c r="Z163" s="118">
        <f t="shared" si="29"/>
        <v>0.69513888888888886</v>
      </c>
      <c r="AA163" s="114">
        <f t="shared" si="30"/>
        <v>0</v>
      </c>
      <c r="AB163" s="115">
        <f>IF(AA163="","",IF($D$5="Average",INDEX(Tbl_Walk_Avg[#All],MATCH('Model 2 - Permutations'!E163,Tbl_Walk_Avg[[#All],[Ride]],0),MATCH('Model 2 - Permutations'!F163,Tbl_Walk_Avg[#Headers],0)),INDEX(Tbl_Walk_Leisure[#All],MATCH('Model 2 - Permutations'!E163,Tbl_Walk_Leisure[[#All],[Ride]],0),MATCH('Model 2 - Permutations'!F163,Tbl_Walk_Leisure[#Headers],0))))</f>
        <v>2.7777777777777779E-3</v>
      </c>
      <c r="AC163" s="113">
        <f t="shared" si="31"/>
        <v>0.69791666666666663</v>
      </c>
      <c r="AD163" s="116">
        <f>IF(AC163="","",IF($D$14="Weekday",INDEX(Tbl_Wait_Wkday[#All],MATCH('Model 2 - Permutations'!AC163,Tbl_Wait_Wkday[[#All],[Time]],1),MATCH('Model 2 - Permutations'!F163,Tbl_Wait_Wkday[#Headers],0)),INDEX(Tbl_Wait_Wkend[#All],MATCH('Model 2 - Permutations'!AC163,Tbl_Wait_Wkend[[#All],[Time]],1),MATCH('Model 2 - Permutations'!F163,Tbl_Wait_Wkend[#Headers],0))))</f>
        <v>4.1666666666666664E-2</v>
      </c>
      <c r="AE163" s="117">
        <f>IF(AD163="","",VLOOKUP(F163,Tbl_Ride[#Data],2,FALSE))</f>
        <v>1.3888888888888889E-3</v>
      </c>
      <c r="AF163" s="118">
        <f t="shared" si="32"/>
        <v>0.74097222222222214</v>
      </c>
      <c r="AG163" s="114">
        <f t="shared" si="33"/>
        <v>0</v>
      </c>
      <c r="AH163" s="115">
        <f>IF(AG163="","",IF($D$5="Average",INDEX(Tbl_Walk_Avg[#All],MATCH('Model 2 - Permutations'!F163,Tbl_Walk_Avg[[#All],[Ride]],0),MATCH('Model 2 - Permutations'!G163,Tbl_Walk_Avg[#Headers],0)),INDEX(Tbl_Walk_Leisure[#All],MATCH('Model 2 - Permutations'!F163,Tbl_Walk_Leisure[[#All],[Ride]],0),MATCH('Model 2 - Permutations'!G163,Tbl_Walk_Leisure[#Headers],0))))</f>
        <v>6.2500000000000003E-3</v>
      </c>
      <c r="AI163" s="113">
        <f t="shared" si="34"/>
        <v>0.74722222222222212</v>
      </c>
      <c r="AJ163" s="116">
        <f>IF(AI163="","",IF($D$14="Weekday",INDEX(Tbl_Wait_Wkday[#All],MATCH('Model 2 - Permutations'!AI163,Tbl_Wait_Wkday[[#All],[Time]],1),MATCH('Model 2 - Permutations'!G163,Tbl_Wait_Wkday[#Headers],0)),INDEX(Tbl_Wait_Wkend[#All],MATCH('Model 2 - Permutations'!AI163,Tbl_Wait_Wkend[[#All],[Time]],1),MATCH('Model 2 - Permutations'!G163,Tbl_Wait_Wkend[#Headers],0))))</f>
        <v>1.7361111111111112E-2</v>
      </c>
      <c r="AK163" s="117">
        <f>IF(AJ163="","",VLOOKUP(G163,Tbl_Ride[#Data],2,FALSE))</f>
        <v>6.9444444444444447E-4</v>
      </c>
      <c r="AL163" s="118">
        <f t="shared" si="35"/>
        <v>0.76527777777777772</v>
      </c>
      <c r="AM163" s="114">
        <f t="shared" si="36"/>
        <v>0</v>
      </c>
      <c r="AN163" s="115">
        <f>IF(AM163="","",IF($D$5="Average",INDEX(Tbl_Walk_Avg[#All],MATCH('Model 2 - Permutations'!G163,Tbl_Walk_Avg[[#All],[Ride]],0),MATCH('Model 2 - Permutations'!H163,Tbl_Walk_Avg[#Headers],0)),INDEX(Tbl_Walk_Leisure[#All],MATCH('Model 2 - Permutations'!G163,Tbl_Walk_Leisure[[#All],[Ride]],0),MATCH('Model 2 - Permutations'!H163,Tbl_Walk_Leisure[#Headers],0))))</f>
        <v>6.2500000000000003E-3</v>
      </c>
      <c r="AO163" s="113" t="str">
        <f t="shared" si="37"/>
        <v/>
      </c>
      <c r="AP163" s="116" t="str">
        <f>IF(AO163="","",IF($D$14="Weekday",INDEX(Tbl_Wait_Wkday[#All],MATCH('Model 2 - Permutations'!AO163,Tbl_Wait_Wkday[[#All],[Time]],1),MATCH('Model 2 - Permutations'!H163,Tbl_Wait_Wkday[#Headers],0)),INDEX(Tbl_Wait_Wkend[#All],MATCH('Model 2 - Permutations'!AO163,Tbl_Wait_Wkend[[#All],[Time]],1),MATCH('Model 2 - Permutations'!H163,Tbl_Wait_Wkend[#Headers],0))))</f>
        <v/>
      </c>
      <c r="AQ163" s="117" t="str">
        <f>IF(AP163="","",VLOOKUP(H163,Tbl_Ride[#Data],2,FALSE))</f>
        <v/>
      </c>
      <c r="AR163" s="118" t="str">
        <f t="shared" si="38"/>
        <v/>
      </c>
      <c r="AS163" s="119" t="str">
        <f t="shared" si="39"/>
        <v>Incomplete</v>
      </c>
      <c r="AT163" s="119" t="str">
        <f t="shared" si="40"/>
        <v>Incomplete</v>
      </c>
      <c r="AU163" s="119" t="str">
        <f t="shared" si="41"/>
        <v>Incomplete</v>
      </c>
    </row>
    <row r="164" spans="2:47">
      <c r="B164" s="111">
        <v>119</v>
      </c>
      <c r="C164" s="111" t="s">
        <v>66</v>
      </c>
      <c r="D164" s="112" t="str">
        <f t="shared" si="42"/>
        <v>Transformers The Ride</v>
      </c>
      <c r="E164" s="112" t="str">
        <f t="shared" si="42"/>
        <v>Revenge of the Mummy</v>
      </c>
      <c r="F164" s="112" t="str">
        <f t="shared" si="42"/>
        <v>Enchanted Airways</v>
      </c>
      <c r="G164" s="112" t="str">
        <f t="shared" si="42"/>
        <v>Battlestar Galactica: Cylon</v>
      </c>
      <c r="H164" s="112" t="str">
        <f t="shared" si="42"/>
        <v>Battlestart Galactica: Human</v>
      </c>
      <c r="I164" s="112">
        <v>5</v>
      </c>
      <c r="J164" s="112">
        <v>4</v>
      </c>
      <c r="K164" s="112">
        <v>3</v>
      </c>
      <c r="L164" s="112">
        <v>1</v>
      </c>
      <c r="M164" s="112">
        <v>2</v>
      </c>
      <c r="N164" s="113">
        <f t="shared" si="23"/>
        <v>0.5</v>
      </c>
      <c r="O164" s="114">
        <f t="shared" si="24"/>
        <v>0</v>
      </c>
      <c r="P164" s="115">
        <f>IF($D$5="Average",INDEX(Tbl_Walk_Avg[#All],MATCH('Model 2 - Permutations'!C164,Tbl_Walk_Avg[[#All],[Ride]],0),MATCH('Model 2 - Permutations'!D164,Tbl_Walk_Avg[#Headers],0)),INDEX(Tbl_Walk_Leisure[#All],MATCH('Model 2 - Permutations'!C164,Tbl_Walk_Leisure[[#All],[Ride]],0),MATCH('Model 2 - Permutations'!D164,Tbl_Walk_Leisure[#Headers],0)))</f>
        <v>4.8611111111111112E-3</v>
      </c>
      <c r="Q164" s="113">
        <f t="shared" si="25"/>
        <v>0.50486111111111109</v>
      </c>
      <c r="R164" s="116">
        <f>IF(Q164="","",IF($D$14="Weekday",INDEX(Tbl_Wait_Wkday[#All],MATCH('Model 2 - Permutations'!Q164,Tbl_Wait_Wkday[[#All],[Time]],1),MATCH('Model 2 - Permutations'!D164,Tbl_Wait_Wkday[#Headers],0)),INDEX(Tbl_Wait_Wkend[#All],MATCH('Model 2 - Permutations'!Q164,Tbl_Wait_Wkend[[#All],[Time]],1),MATCH('Model 2 - Permutations'!D164,Tbl_Wait_Wkend[#Headers],0))))</f>
        <v>6.5972222222222224E-2</v>
      </c>
      <c r="S164" s="117">
        <f>IF(R164="","",VLOOKUP(D164,Tbl_Ride[#Data],2,FALSE))</f>
        <v>3.4722222222222225E-3</v>
      </c>
      <c r="T164" s="118">
        <f t="shared" si="26"/>
        <v>0.57430555555555551</v>
      </c>
      <c r="U164" s="114">
        <f t="shared" si="27"/>
        <v>1</v>
      </c>
      <c r="V164" s="115">
        <f>IF(U164="","",IF($D$5="Average",INDEX(Tbl_Walk_Avg[#All],MATCH('Model 2 - Permutations'!D164,Tbl_Walk_Avg[[#All],[Ride]],0),MATCH('Model 2 - Permutations'!E164,Tbl_Walk_Avg[#Headers],0)),INDEX(Tbl_Walk_Leisure[#All],MATCH('Model 2 - Permutations'!D164,Tbl_Walk_Leisure[[#All],[Ride]],0),MATCH('Model 2 - Permutations'!E164,Tbl_Walk_Leisure[#Headers],0))))</f>
        <v>4.1666666666666666E-3</v>
      </c>
      <c r="W164" s="113">
        <f t="shared" si="28"/>
        <v>0.66180555555555554</v>
      </c>
      <c r="X164" s="116">
        <f>IF(W164="","",IF($D$14="Weekday",INDEX(Tbl_Wait_Wkday[#All],MATCH('Model 2 - Permutations'!W164,Tbl_Wait_Wkday[[#All],[Time]],1),MATCH('Model 2 - Permutations'!E164,Tbl_Wait_Wkday[#Headers],0)),INDEX(Tbl_Wait_Wkend[#All],MATCH('Model 2 - Permutations'!W164,Tbl_Wait_Wkend[[#All],[Time]],1),MATCH('Model 2 - Permutations'!E164,Tbl_Wait_Wkend[#Headers],0))))</f>
        <v>3.125E-2</v>
      </c>
      <c r="Y164" s="117">
        <f>IF(X164="","",VLOOKUP(E164,Tbl_Ride[#Data],2,FALSE))</f>
        <v>2.0833333333333333E-3</v>
      </c>
      <c r="Z164" s="118">
        <f t="shared" si="29"/>
        <v>0.69513888888888886</v>
      </c>
      <c r="AA164" s="114">
        <f t="shared" si="30"/>
        <v>0</v>
      </c>
      <c r="AB164" s="115">
        <f>IF(AA164="","",IF($D$5="Average",INDEX(Tbl_Walk_Avg[#All],MATCH('Model 2 - Permutations'!E164,Tbl_Walk_Avg[[#All],[Ride]],0),MATCH('Model 2 - Permutations'!F164,Tbl_Walk_Avg[#Headers],0)),INDEX(Tbl_Walk_Leisure[#All],MATCH('Model 2 - Permutations'!E164,Tbl_Walk_Leisure[[#All],[Ride]],0),MATCH('Model 2 - Permutations'!F164,Tbl_Walk_Leisure[#Headers],0))))</f>
        <v>4.8611111111111112E-3</v>
      </c>
      <c r="AC164" s="113">
        <f t="shared" si="31"/>
        <v>0.7</v>
      </c>
      <c r="AD164" s="116">
        <f>IF(AC164="","",IF($D$14="Weekday",INDEX(Tbl_Wait_Wkday[#All],MATCH('Model 2 - Permutations'!AC164,Tbl_Wait_Wkday[[#All],[Time]],1),MATCH('Model 2 - Permutations'!F164,Tbl_Wait_Wkday[#Headers],0)),INDEX(Tbl_Wait_Wkend[#All],MATCH('Model 2 - Permutations'!AC164,Tbl_Wait_Wkend[[#All],[Time]],1),MATCH('Model 2 - Permutations'!F164,Tbl_Wait_Wkend[#Headers],0))))</f>
        <v>1.7361111111111112E-2</v>
      </c>
      <c r="AE164" s="117">
        <f>IF(AD164="","",VLOOKUP(F164,Tbl_Ride[#Data],2,FALSE))</f>
        <v>6.9444444444444447E-4</v>
      </c>
      <c r="AF164" s="118">
        <f t="shared" si="32"/>
        <v>0.71805555555555556</v>
      </c>
      <c r="AG164" s="114">
        <f t="shared" si="33"/>
        <v>0</v>
      </c>
      <c r="AH164" s="115">
        <f>IF(AG164="","",IF($D$5="Average",INDEX(Tbl_Walk_Avg[#All],MATCH('Model 2 - Permutations'!F164,Tbl_Walk_Avg[[#All],[Ride]],0),MATCH('Model 2 - Permutations'!G164,Tbl_Walk_Avg[#Headers],0)),INDEX(Tbl_Walk_Leisure[#All],MATCH('Model 2 - Permutations'!F164,Tbl_Walk_Leisure[[#All],[Ride]],0),MATCH('Model 2 - Permutations'!G164,Tbl_Walk_Leisure[#Headers],0))))</f>
        <v>6.2500000000000003E-3</v>
      </c>
      <c r="AI164" s="113">
        <f t="shared" si="34"/>
        <v>0.72430555555555554</v>
      </c>
      <c r="AJ164" s="116">
        <f>IF(AI164="","",IF($D$14="Weekday",INDEX(Tbl_Wait_Wkday[#All],MATCH('Model 2 - Permutations'!AI164,Tbl_Wait_Wkday[[#All],[Time]],1),MATCH('Model 2 - Permutations'!G164,Tbl_Wait_Wkday[#Headers],0)),INDEX(Tbl_Wait_Wkend[#All],MATCH('Model 2 - Permutations'!AI164,Tbl_Wait_Wkend[[#All],[Time]],1),MATCH('Model 2 - Permutations'!G164,Tbl_Wait_Wkend[#Headers],0))))</f>
        <v>3.8194444444444441E-2</v>
      </c>
      <c r="AK164" s="117">
        <f>IF(AJ164="","",VLOOKUP(G164,Tbl_Ride[#Data],2,FALSE))</f>
        <v>1.3888888888888889E-3</v>
      </c>
      <c r="AL164" s="118">
        <f t="shared" si="35"/>
        <v>0.76388888888888884</v>
      </c>
      <c r="AM164" s="114">
        <f t="shared" si="36"/>
        <v>0</v>
      </c>
      <c r="AN164" s="115">
        <f>IF(AM164="","",IF($D$5="Average",INDEX(Tbl_Walk_Avg[#All],MATCH('Model 2 - Permutations'!G164,Tbl_Walk_Avg[[#All],[Ride]],0),MATCH('Model 2 - Permutations'!H164,Tbl_Walk_Avg[#Headers],0)),INDEX(Tbl_Walk_Leisure[#All],MATCH('Model 2 - Permutations'!G164,Tbl_Walk_Leisure[[#All],[Ride]],0),MATCH('Model 2 - Permutations'!H164,Tbl_Walk_Leisure[#Headers],0))))</f>
        <v>0</v>
      </c>
      <c r="AO164" s="113" t="str">
        <f t="shared" si="37"/>
        <v/>
      </c>
      <c r="AP164" s="116" t="str">
        <f>IF(AO164="","",IF($D$14="Weekday",INDEX(Tbl_Wait_Wkday[#All],MATCH('Model 2 - Permutations'!AO164,Tbl_Wait_Wkday[[#All],[Time]],1),MATCH('Model 2 - Permutations'!H164,Tbl_Wait_Wkday[#Headers],0)),INDEX(Tbl_Wait_Wkend[#All],MATCH('Model 2 - Permutations'!AO164,Tbl_Wait_Wkend[[#All],[Time]],1),MATCH('Model 2 - Permutations'!H164,Tbl_Wait_Wkend[#Headers],0))))</f>
        <v/>
      </c>
      <c r="AQ164" s="117" t="str">
        <f>IF(AP164="","",VLOOKUP(H164,Tbl_Ride[#Data],2,FALSE))</f>
        <v/>
      </c>
      <c r="AR164" s="118" t="str">
        <f t="shared" si="38"/>
        <v/>
      </c>
      <c r="AS164" s="119" t="str">
        <f t="shared" si="39"/>
        <v>Incomplete</v>
      </c>
      <c r="AT164" s="119" t="str">
        <f t="shared" si="40"/>
        <v>Incomplete</v>
      </c>
      <c r="AU164" s="119" t="str">
        <f t="shared" si="41"/>
        <v>Incomplete</v>
      </c>
    </row>
    <row r="165" spans="2:47">
      <c r="B165" s="111">
        <v>120</v>
      </c>
      <c r="C165" s="111" t="s">
        <v>66</v>
      </c>
      <c r="D165" s="112" t="str">
        <f t="shared" si="42"/>
        <v>Transformers The Ride</v>
      </c>
      <c r="E165" s="112" t="str">
        <f t="shared" si="42"/>
        <v>Revenge of the Mummy</v>
      </c>
      <c r="F165" s="112" t="str">
        <f t="shared" si="42"/>
        <v>Enchanted Airways</v>
      </c>
      <c r="G165" s="112" t="str">
        <f t="shared" si="42"/>
        <v>Battlestart Galactica: Human</v>
      </c>
      <c r="H165" s="112" t="str">
        <f t="shared" si="42"/>
        <v>Battlestar Galactica: Cylon</v>
      </c>
      <c r="I165" s="112">
        <v>5</v>
      </c>
      <c r="J165" s="112">
        <v>4</v>
      </c>
      <c r="K165" s="112">
        <v>3</v>
      </c>
      <c r="L165" s="112">
        <v>2</v>
      </c>
      <c r="M165" s="112">
        <v>1</v>
      </c>
      <c r="N165" s="113">
        <f t="shared" si="23"/>
        <v>0.5</v>
      </c>
      <c r="O165" s="114">
        <f t="shared" si="24"/>
        <v>0</v>
      </c>
      <c r="P165" s="115">
        <f>IF($D$5="Average",INDEX(Tbl_Walk_Avg[#All],MATCH('Model 2 - Permutations'!C165,Tbl_Walk_Avg[[#All],[Ride]],0),MATCH('Model 2 - Permutations'!D165,Tbl_Walk_Avg[#Headers],0)),INDEX(Tbl_Walk_Leisure[#All],MATCH('Model 2 - Permutations'!C165,Tbl_Walk_Leisure[[#All],[Ride]],0),MATCH('Model 2 - Permutations'!D165,Tbl_Walk_Leisure[#Headers],0)))</f>
        <v>4.8611111111111112E-3</v>
      </c>
      <c r="Q165" s="113">
        <f t="shared" si="25"/>
        <v>0.50486111111111109</v>
      </c>
      <c r="R165" s="116">
        <f>IF(Q165="","",IF($D$14="Weekday",INDEX(Tbl_Wait_Wkday[#All],MATCH('Model 2 - Permutations'!Q165,Tbl_Wait_Wkday[[#All],[Time]],1),MATCH('Model 2 - Permutations'!D165,Tbl_Wait_Wkday[#Headers],0)),INDEX(Tbl_Wait_Wkend[#All],MATCH('Model 2 - Permutations'!Q165,Tbl_Wait_Wkend[[#All],[Time]],1),MATCH('Model 2 - Permutations'!D165,Tbl_Wait_Wkend[#Headers],0))))</f>
        <v>6.5972222222222224E-2</v>
      </c>
      <c r="S165" s="117">
        <f>IF(R165="","",VLOOKUP(D165,Tbl_Ride[#Data],2,FALSE))</f>
        <v>3.4722222222222225E-3</v>
      </c>
      <c r="T165" s="118">
        <f t="shared" si="26"/>
        <v>0.57430555555555551</v>
      </c>
      <c r="U165" s="114">
        <f t="shared" si="27"/>
        <v>1</v>
      </c>
      <c r="V165" s="115">
        <f>IF(U165="","",IF($D$5="Average",INDEX(Tbl_Walk_Avg[#All],MATCH('Model 2 - Permutations'!D165,Tbl_Walk_Avg[[#All],[Ride]],0),MATCH('Model 2 - Permutations'!E165,Tbl_Walk_Avg[#Headers],0)),INDEX(Tbl_Walk_Leisure[#All],MATCH('Model 2 - Permutations'!D165,Tbl_Walk_Leisure[[#All],[Ride]],0),MATCH('Model 2 - Permutations'!E165,Tbl_Walk_Leisure[#Headers],0))))</f>
        <v>4.1666666666666666E-3</v>
      </c>
      <c r="W165" s="113">
        <f t="shared" si="28"/>
        <v>0.66180555555555554</v>
      </c>
      <c r="X165" s="116">
        <f>IF(W165="","",IF($D$14="Weekday",INDEX(Tbl_Wait_Wkday[#All],MATCH('Model 2 - Permutations'!W165,Tbl_Wait_Wkday[[#All],[Time]],1),MATCH('Model 2 - Permutations'!E165,Tbl_Wait_Wkday[#Headers],0)),INDEX(Tbl_Wait_Wkend[#All],MATCH('Model 2 - Permutations'!W165,Tbl_Wait_Wkend[[#All],[Time]],1),MATCH('Model 2 - Permutations'!E165,Tbl_Wait_Wkend[#Headers],0))))</f>
        <v>3.125E-2</v>
      </c>
      <c r="Y165" s="117">
        <f>IF(X165="","",VLOOKUP(E165,Tbl_Ride[#Data],2,FALSE))</f>
        <v>2.0833333333333333E-3</v>
      </c>
      <c r="Z165" s="118">
        <f t="shared" si="29"/>
        <v>0.69513888888888886</v>
      </c>
      <c r="AA165" s="114">
        <f t="shared" si="30"/>
        <v>0</v>
      </c>
      <c r="AB165" s="115">
        <f>IF(AA165="","",IF($D$5="Average",INDEX(Tbl_Walk_Avg[#All],MATCH('Model 2 - Permutations'!E165,Tbl_Walk_Avg[[#All],[Ride]],0),MATCH('Model 2 - Permutations'!F165,Tbl_Walk_Avg[#Headers],0)),INDEX(Tbl_Walk_Leisure[#All],MATCH('Model 2 - Permutations'!E165,Tbl_Walk_Leisure[[#All],[Ride]],0),MATCH('Model 2 - Permutations'!F165,Tbl_Walk_Leisure[#Headers],0))))</f>
        <v>4.8611111111111112E-3</v>
      </c>
      <c r="AC165" s="113">
        <f t="shared" si="31"/>
        <v>0.7</v>
      </c>
      <c r="AD165" s="116">
        <f>IF(AC165="","",IF($D$14="Weekday",INDEX(Tbl_Wait_Wkday[#All],MATCH('Model 2 - Permutations'!AC165,Tbl_Wait_Wkday[[#All],[Time]],1),MATCH('Model 2 - Permutations'!F165,Tbl_Wait_Wkday[#Headers],0)),INDEX(Tbl_Wait_Wkend[#All],MATCH('Model 2 - Permutations'!AC165,Tbl_Wait_Wkend[[#All],[Time]],1),MATCH('Model 2 - Permutations'!F165,Tbl_Wait_Wkend[#Headers],0))))</f>
        <v>1.7361111111111112E-2</v>
      </c>
      <c r="AE165" s="117">
        <f>IF(AD165="","",VLOOKUP(F165,Tbl_Ride[#Data],2,FALSE))</f>
        <v>6.9444444444444447E-4</v>
      </c>
      <c r="AF165" s="118">
        <f t="shared" si="32"/>
        <v>0.71805555555555556</v>
      </c>
      <c r="AG165" s="114">
        <f t="shared" si="33"/>
        <v>0</v>
      </c>
      <c r="AH165" s="115">
        <f>IF(AG165="","",IF($D$5="Average",INDEX(Tbl_Walk_Avg[#All],MATCH('Model 2 - Permutations'!F165,Tbl_Walk_Avg[[#All],[Ride]],0),MATCH('Model 2 - Permutations'!G165,Tbl_Walk_Avg[#Headers],0)),INDEX(Tbl_Walk_Leisure[#All],MATCH('Model 2 - Permutations'!F165,Tbl_Walk_Leisure[[#All],[Ride]],0),MATCH('Model 2 - Permutations'!G165,Tbl_Walk_Leisure[#Headers],0))))</f>
        <v>6.2500000000000003E-3</v>
      </c>
      <c r="AI165" s="113">
        <f t="shared" si="34"/>
        <v>0.72430555555555554</v>
      </c>
      <c r="AJ165" s="116">
        <f>IF(AI165="","",IF($D$14="Weekday",INDEX(Tbl_Wait_Wkday[#All],MATCH('Model 2 - Permutations'!AI165,Tbl_Wait_Wkday[[#All],[Time]],1),MATCH('Model 2 - Permutations'!G165,Tbl_Wait_Wkday[#Headers],0)),INDEX(Tbl_Wait_Wkend[#All],MATCH('Model 2 - Permutations'!AI165,Tbl_Wait_Wkend[[#All],[Time]],1),MATCH('Model 2 - Permutations'!G165,Tbl_Wait_Wkend[#Headers],0))))</f>
        <v>2.4305555555555552E-2</v>
      </c>
      <c r="AK165" s="117">
        <f>IF(AJ165="","",VLOOKUP(G165,Tbl_Ride[#Data],2,FALSE))</f>
        <v>1.3888888888888889E-3</v>
      </c>
      <c r="AL165" s="118">
        <f t="shared" si="35"/>
        <v>0.75</v>
      </c>
      <c r="AM165" s="114">
        <f t="shared" si="36"/>
        <v>0</v>
      </c>
      <c r="AN165" s="115">
        <f>IF(AM165="","",IF($D$5="Average",INDEX(Tbl_Walk_Avg[#All],MATCH('Model 2 - Permutations'!G165,Tbl_Walk_Avg[[#All],[Ride]],0),MATCH('Model 2 - Permutations'!H165,Tbl_Walk_Avg[#Headers],0)),INDEX(Tbl_Walk_Leisure[#All],MATCH('Model 2 - Permutations'!G165,Tbl_Walk_Leisure[[#All],[Ride]],0),MATCH('Model 2 - Permutations'!H165,Tbl_Walk_Leisure[#Headers],0))))</f>
        <v>0</v>
      </c>
      <c r="AO165" s="113">
        <f t="shared" si="37"/>
        <v>0.75</v>
      </c>
      <c r="AP165" s="116">
        <f>IF(AO165="","",IF($D$14="Weekday",INDEX(Tbl_Wait_Wkday[#All],MATCH('Model 2 - Permutations'!AO165,Tbl_Wait_Wkday[[#All],[Time]],1),MATCH('Model 2 - Permutations'!H165,Tbl_Wait_Wkday[#Headers],0)),INDEX(Tbl_Wait_Wkend[#All],MATCH('Model 2 - Permutations'!AO165,Tbl_Wait_Wkend[[#All],[Time]],1),MATCH('Model 2 - Permutations'!H165,Tbl_Wait_Wkend[#Headers],0))))</f>
        <v>3.8194444444444441E-2</v>
      </c>
      <c r="AQ165" s="117">
        <f>IF(AP165="","",VLOOKUP(H165,Tbl_Ride[#Data],2,FALSE))</f>
        <v>1.3888888888888889E-3</v>
      </c>
      <c r="AR165" s="118">
        <f t="shared" si="38"/>
        <v>0.7895833333333333</v>
      </c>
      <c r="AS165" s="119">
        <f t="shared" si="39"/>
        <v>2.0138888888888887E-2</v>
      </c>
      <c r="AT165" s="119">
        <f t="shared" si="40"/>
        <v>0.17708333333333334</v>
      </c>
      <c r="AU165" s="119">
        <f t="shared" si="41"/>
        <v>0.19722222222222224</v>
      </c>
    </row>
    <row r="169" spans="2:47">
      <c r="C169" s="65"/>
      <c r="D169" s="65"/>
    </row>
    <row r="172" spans="2:47">
      <c r="C172" s="86" t="s">
        <v>165</v>
      </c>
      <c r="D172" s="87" t="s">
        <v>128</v>
      </c>
    </row>
    <row r="173" spans="2:47">
      <c r="C173" s="91" t="str">
        <f>IF(MIN($AN$202:$AN$225)=0,$R$5,MIN($AN$202:$AN$225))</f>
        <v>Incomplete</v>
      </c>
      <c r="D173" s="92">
        <f>COUNTIF($AN$202:$AN$225,"="&amp;C173)</f>
        <v>24</v>
      </c>
    </row>
    <row r="174" spans="2:47">
      <c r="C174" s="91" t="str">
        <f>IFERROR(SMALL($AN$202:$AN$225,SUM($D$173:D173)+1),$R$5)</f>
        <v>Incomplete</v>
      </c>
      <c r="D174" s="92">
        <f>COUNTIF($AN$202:$AN$225,"="&amp;C174)</f>
        <v>24</v>
      </c>
    </row>
    <row r="175" spans="2:47">
      <c r="C175" s="91" t="str">
        <f>IFERROR(SMALL($AN$202:$AN$225,SUM($D$173:D174)+1),$R$5)</f>
        <v>Incomplete</v>
      </c>
      <c r="D175" s="92">
        <f>COUNTIF($AN$202:$AN$225,"="&amp;C175)</f>
        <v>24</v>
      </c>
    </row>
    <row r="176" spans="2:47">
      <c r="C176" s="91"/>
      <c r="D176" s="92"/>
    </row>
    <row r="177" spans="3:48">
      <c r="C177" s="86" t="s">
        <v>129</v>
      </c>
      <c r="D177" s="87" t="s">
        <v>128</v>
      </c>
    </row>
    <row r="178" spans="3:48">
      <c r="C178" s="91" t="str">
        <f>IF(MIN($AM$202:$AM$225)=0,$R$5,MIN($AM$202:$AM$225))</f>
        <v>Incomplete</v>
      </c>
      <c r="D178" s="95">
        <f>COUNTIF($AM$202:$AM$225,"="&amp;C178)</f>
        <v>24</v>
      </c>
    </row>
    <row r="179" spans="3:48">
      <c r="C179" s="91"/>
      <c r="D179" s="92"/>
    </row>
    <row r="180" spans="3:48">
      <c r="C180" s="86" t="s">
        <v>130</v>
      </c>
      <c r="D180" s="87" t="s">
        <v>128</v>
      </c>
    </row>
    <row r="181" spans="3:48">
      <c r="C181" s="91" t="e">
        <f>IF(MIN($AL$202:$AL$225)=0,$R$5,MIN($AL$202:$AL$225))</f>
        <v>#N/A</v>
      </c>
      <c r="D181" s="92">
        <f>COUNTIF($AL$202:$AL$225,"="&amp;C181)</f>
        <v>24</v>
      </c>
    </row>
    <row r="184" spans="3:48">
      <c r="C184" s="61" t="s">
        <v>166</v>
      </c>
      <c r="M184" s="35"/>
      <c r="N184" s="35" t="s">
        <v>83</v>
      </c>
      <c r="O184" s="35" t="s">
        <v>132</v>
      </c>
      <c r="P184" s="35" t="s">
        <v>83</v>
      </c>
      <c r="Q184" s="35" t="s">
        <v>83</v>
      </c>
      <c r="R184" s="35" t="s">
        <v>83</v>
      </c>
      <c r="S184" s="35" t="s">
        <v>83</v>
      </c>
      <c r="T184" s="35" t="s">
        <v>83</v>
      </c>
      <c r="U184" s="35" t="s">
        <v>132</v>
      </c>
      <c r="V184" s="35" t="s">
        <v>83</v>
      </c>
      <c r="W184" s="35" t="s">
        <v>83</v>
      </c>
      <c r="X184" s="35" t="s">
        <v>83</v>
      </c>
      <c r="Y184" s="35" t="s">
        <v>83</v>
      </c>
      <c r="Z184" s="35" t="s">
        <v>83</v>
      </c>
      <c r="AA184" s="35" t="s">
        <v>132</v>
      </c>
      <c r="AB184" s="35" t="s">
        <v>83</v>
      </c>
      <c r="AC184" s="35" t="s">
        <v>83</v>
      </c>
      <c r="AD184" s="35" t="s">
        <v>83</v>
      </c>
      <c r="AE184" s="35" t="s">
        <v>83</v>
      </c>
      <c r="AF184" s="35" t="s">
        <v>83</v>
      </c>
      <c r="AG184" s="35" t="s">
        <v>132</v>
      </c>
      <c r="AH184" s="35" t="s">
        <v>83</v>
      </c>
      <c r="AI184" s="35" t="s">
        <v>83</v>
      </c>
      <c r="AJ184" s="35" t="s">
        <v>83</v>
      </c>
      <c r="AK184" s="35" t="s">
        <v>83</v>
      </c>
      <c r="AL184" s="35" t="s">
        <v>83</v>
      </c>
      <c r="AM184" s="35" t="s">
        <v>83</v>
      </c>
      <c r="AN184" s="35" t="s">
        <v>83</v>
      </c>
      <c r="AO184" s="35"/>
      <c r="AP184" s="35"/>
      <c r="AQ184" s="35"/>
      <c r="AR184" s="35"/>
      <c r="AS184" s="35"/>
      <c r="AT184" s="35"/>
      <c r="AU184" s="35"/>
      <c r="AV184" s="35"/>
    </row>
    <row r="185" spans="3:48" ht="30">
      <c r="C185" s="99" t="s">
        <v>133</v>
      </c>
      <c r="D185" s="99" t="s">
        <v>66</v>
      </c>
      <c r="E185" s="100" t="s">
        <v>85</v>
      </c>
      <c r="F185" s="100" t="s">
        <v>86</v>
      </c>
      <c r="G185" s="100" t="s">
        <v>87</v>
      </c>
      <c r="H185" s="100" t="s">
        <v>88</v>
      </c>
      <c r="I185" s="101">
        <v>1</v>
      </c>
      <c r="J185" s="101">
        <v>2</v>
      </c>
      <c r="K185" s="101">
        <v>3</v>
      </c>
      <c r="L185" s="101">
        <v>4</v>
      </c>
      <c r="M185" s="102" t="s">
        <v>134</v>
      </c>
      <c r="N185" s="103" t="s">
        <v>135</v>
      </c>
      <c r="O185" s="104" t="s">
        <v>136</v>
      </c>
      <c r="P185" s="102" t="s">
        <v>137</v>
      </c>
      <c r="Q185" s="105" t="s">
        <v>138</v>
      </c>
      <c r="R185" s="106" t="s">
        <v>139</v>
      </c>
      <c r="S185" s="107" t="s">
        <v>140</v>
      </c>
      <c r="T185" s="103" t="s">
        <v>135</v>
      </c>
      <c r="U185" s="104" t="s">
        <v>141</v>
      </c>
      <c r="V185" s="102" t="s">
        <v>142</v>
      </c>
      <c r="W185" s="105" t="s">
        <v>143</v>
      </c>
      <c r="X185" s="106" t="s">
        <v>144</v>
      </c>
      <c r="Y185" s="107" t="s">
        <v>145</v>
      </c>
      <c r="Z185" s="103" t="s">
        <v>135</v>
      </c>
      <c r="AA185" s="104" t="s">
        <v>146</v>
      </c>
      <c r="AB185" s="102" t="s">
        <v>147</v>
      </c>
      <c r="AC185" s="105" t="s">
        <v>148</v>
      </c>
      <c r="AD185" s="106" t="s">
        <v>149</v>
      </c>
      <c r="AE185" s="107" t="s">
        <v>150</v>
      </c>
      <c r="AF185" s="103" t="s">
        <v>135</v>
      </c>
      <c r="AG185" s="104" t="s">
        <v>151</v>
      </c>
      <c r="AH185" s="102" t="s">
        <v>152</v>
      </c>
      <c r="AI185" s="105" t="s">
        <v>153</v>
      </c>
      <c r="AJ185" s="106" t="s">
        <v>154</v>
      </c>
      <c r="AK185" s="107" t="s">
        <v>155</v>
      </c>
      <c r="AL185" s="108" t="s">
        <v>161</v>
      </c>
      <c r="AM185" s="109" t="s">
        <v>94</v>
      </c>
      <c r="AN185" s="110" t="s">
        <v>162</v>
      </c>
    </row>
    <row r="186" spans="3:48">
      <c r="C186" s="19" t="e" cm="1" vm="2">
        <f t="array" aca="1" ref="C186" ca="1">_xlfn._xlws.FILTER($C$202:$C$225,($AN$202:$AN$225&lt;=$C$173))</f>
        <v>#VALUE!</v>
      </c>
      <c r="D186" s="111" t="e" vm="1">
        <f t="array" aca="1" ref="D186:AN186" ca="1">IF(C186="","",INDEX($D$202:$AN$225,MATCH(C186,$C$202:$C$225,0),0))</f>
        <v>#VALUE!</v>
      </c>
      <c r="E186" s="112" t="e" vm="1">
        <f ca="1"/>
        <v>#VALUE!</v>
      </c>
      <c r="F186" s="112" t="e" vm="1">
        <f ca="1"/>
        <v>#VALUE!</v>
      </c>
      <c r="G186" s="112" t="e" vm="1">
        <f ca="1"/>
        <v>#VALUE!</v>
      </c>
      <c r="H186" s="112" t="e" vm="1">
        <f ca="1"/>
        <v>#VALUE!</v>
      </c>
      <c r="I186" s="79" t="e" vm="1">
        <f ca="1"/>
        <v>#VALUE!</v>
      </c>
      <c r="J186" s="79" t="e" vm="1">
        <f ca="1"/>
        <v>#VALUE!</v>
      </c>
      <c r="K186" s="79" t="e" vm="1">
        <f ca="1"/>
        <v>#VALUE!</v>
      </c>
      <c r="L186" s="79" t="e" vm="1">
        <f ca="1"/>
        <v>#VALUE!</v>
      </c>
      <c r="M186" s="113" t="e" vm="1">
        <f ca="1"/>
        <v>#VALUE!</v>
      </c>
      <c r="N186" s="114" t="e" vm="1">
        <f ca="1"/>
        <v>#VALUE!</v>
      </c>
      <c r="O186" s="115" t="e" vm="1">
        <f ca="1"/>
        <v>#VALUE!</v>
      </c>
      <c r="P186" s="113" t="e" vm="1">
        <f ca="1"/>
        <v>#VALUE!</v>
      </c>
      <c r="Q186" s="116" t="e" vm="1">
        <f ca="1"/>
        <v>#VALUE!</v>
      </c>
      <c r="R186" s="117" t="e" vm="1">
        <f ca="1"/>
        <v>#VALUE!</v>
      </c>
      <c r="S186" s="118" t="e" vm="1">
        <f ca="1"/>
        <v>#VALUE!</v>
      </c>
      <c r="T186" s="114" t="e" vm="1">
        <f ca="1"/>
        <v>#VALUE!</v>
      </c>
      <c r="U186" s="115" t="e" vm="1">
        <f ca="1"/>
        <v>#VALUE!</v>
      </c>
      <c r="V186" s="113" t="e" vm="1">
        <f ca="1"/>
        <v>#VALUE!</v>
      </c>
      <c r="W186" s="116" t="e" vm="1">
        <f ca="1"/>
        <v>#VALUE!</v>
      </c>
      <c r="X186" s="117" t="e" vm="1">
        <f ca="1"/>
        <v>#VALUE!</v>
      </c>
      <c r="Y186" s="118" t="e" vm="1">
        <f ca="1"/>
        <v>#VALUE!</v>
      </c>
      <c r="Z186" s="114" t="e" vm="1">
        <f ca="1"/>
        <v>#VALUE!</v>
      </c>
      <c r="AA186" s="115" t="e" vm="1">
        <f ca="1"/>
        <v>#VALUE!</v>
      </c>
      <c r="AB186" s="113" t="e" vm="1">
        <f ca="1"/>
        <v>#VALUE!</v>
      </c>
      <c r="AC186" s="116" t="e" vm="1">
        <f ca="1"/>
        <v>#VALUE!</v>
      </c>
      <c r="AD186" s="117" t="e" vm="1">
        <f ca="1"/>
        <v>#VALUE!</v>
      </c>
      <c r="AE186" s="118" t="e" vm="1">
        <f ca="1"/>
        <v>#VALUE!</v>
      </c>
      <c r="AF186" s="114" t="e" vm="1">
        <f ca="1"/>
        <v>#VALUE!</v>
      </c>
      <c r="AG186" s="115" t="e" vm="1">
        <f ca="1"/>
        <v>#VALUE!</v>
      </c>
      <c r="AH186" s="113" t="e" vm="1">
        <f ca="1"/>
        <v>#VALUE!</v>
      </c>
      <c r="AI186" s="116" t="e" vm="1">
        <f ca="1"/>
        <v>#VALUE!</v>
      </c>
      <c r="AJ186" s="117" t="e" vm="1">
        <f ca="1"/>
        <v>#VALUE!</v>
      </c>
      <c r="AK186" s="118" t="e" vm="1">
        <f ca="1"/>
        <v>#VALUE!</v>
      </c>
      <c r="AL186" s="119" t="e" vm="1">
        <f ca="1"/>
        <v>#VALUE!</v>
      </c>
      <c r="AM186" s="119" t="e" vm="1">
        <f ca="1"/>
        <v>#VALUE!</v>
      </c>
      <c r="AN186" s="119" t="e" vm="1">
        <f ca="1"/>
        <v>#VALUE!</v>
      </c>
    </row>
    <row r="187" spans="3:48">
      <c r="C187" s="19"/>
      <c r="D187" s="111" t="str">
        <f t="array" ref="D187:AN187">IF(C187="","",INDEX($D$202:$AN$225,MATCH(C187,$C$202:$C$225,0),0))</f>
        <v/>
      </c>
      <c r="E187" s="112" t="str">
        <v/>
      </c>
      <c r="F187" s="112" t="str">
        <v/>
      </c>
      <c r="G187" s="112" t="str">
        <v/>
      </c>
      <c r="H187" s="112" t="str">
        <v/>
      </c>
      <c r="I187" s="79" t="str">
        <v/>
      </c>
      <c r="J187" s="79" t="str">
        <v/>
      </c>
      <c r="K187" s="79" t="str">
        <v/>
      </c>
      <c r="L187" s="79" t="str">
        <v/>
      </c>
      <c r="M187" s="113" t="str">
        <v/>
      </c>
      <c r="N187" s="114" t="str">
        <v/>
      </c>
      <c r="O187" s="115" t="str">
        <v/>
      </c>
      <c r="P187" s="113" t="str">
        <v/>
      </c>
      <c r="Q187" s="116" t="str">
        <v/>
      </c>
      <c r="R187" s="117" t="str">
        <v/>
      </c>
      <c r="S187" s="118" t="str">
        <v/>
      </c>
      <c r="T187" s="114" t="str">
        <v/>
      </c>
      <c r="U187" s="115" t="str">
        <v/>
      </c>
      <c r="V187" s="113" t="str">
        <v/>
      </c>
      <c r="W187" s="116" t="str">
        <v/>
      </c>
      <c r="X187" s="117" t="str">
        <v/>
      </c>
      <c r="Y187" s="118" t="str">
        <v/>
      </c>
      <c r="Z187" s="114" t="str">
        <v/>
      </c>
      <c r="AA187" s="115" t="str">
        <v/>
      </c>
      <c r="AB187" s="113" t="str">
        <v/>
      </c>
      <c r="AC187" s="116" t="str">
        <v/>
      </c>
      <c r="AD187" s="117" t="str">
        <v/>
      </c>
      <c r="AE187" s="118" t="str">
        <v/>
      </c>
      <c r="AF187" s="114" t="str">
        <v/>
      </c>
      <c r="AG187" s="115" t="str">
        <v/>
      </c>
      <c r="AH187" s="113" t="str">
        <v/>
      </c>
      <c r="AI187" s="116" t="str">
        <v/>
      </c>
      <c r="AJ187" s="117" t="str">
        <v/>
      </c>
      <c r="AK187" s="118" t="str">
        <v/>
      </c>
      <c r="AL187" s="119" t="str">
        <v/>
      </c>
      <c r="AM187" s="119" t="str">
        <v/>
      </c>
      <c r="AN187" s="119" t="str">
        <v/>
      </c>
    </row>
    <row r="188" spans="3:48">
      <c r="C188" s="19"/>
      <c r="D188" s="111" t="str">
        <f t="array" ref="D188:AN188">IF(C188="","",INDEX($D$202:$AN$225,MATCH(C188,$C$202:$C$225,0),0))</f>
        <v/>
      </c>
      <c r="E188" s="112" t="str">
        <v/>
      </c>
      <c r="F188" s="112" t="str">
        <v/>
      </c>
      <c r="G188" s="112" t="str">
        <v/>
      </c>
      <c r="H188" s="112" t="str">
        <v/>
      </c>
      <c r="I188" s="79" t="str">
        <v/>
      </c>
      <c r="J188" s="79" t="str">
        <v/>
      </c>
      <c r="K188" s="79" t="str">
        <v/>
      </c>
      <c r="L188" s="79" t="str">
        <v/>
      </c>
      <c r="M188" s="113" t="str">
        <v/>
      </c>
      <c r="N188" s="114" t="str">
        <v/>
      </c>
      <c r="O188" s="115" t="str">
        <v/>
      </c>
      <c r="P188" s="113" t="str">
        <v/>
      </c>
      <c r="Q188" s="116" t="str">
        <v/>
      </c>
      <c r="R188" s="117" t="str">
        <v/>
      </c>
      <c r="S188" s="118" t="str">
        <v/>
      </c>
      <c r="T188" s="114" t="str">
        <v/>
      </c>
      <c r="U188" s="115" t="str">
        <v/>
      </c>
      <c r="V188" s="113" t="str">
        <v/>
      </c>
      <c r="W188" s="116" t="str">
        <v/>
      </c>
      <c r="X188" s="117" t="str">
        <v/>
      </c>
      <c r="Y188" s="118" t="str">
        <v/>
      </c>
      <c r="Z188" s="114" t="str">
        <v/>
      </c>
      <c r="AA188" s="115" t="str">
        <v/>
      </c>
      <c r="AB188" s="113" t="str">
        <v/>
      </c>
      <c r="AC188" s="116" t="str">
        <v/>
      </c>
      <c r="AD188" s="117" t="str">
        <v/>
      </c>
      <c r="AE188" s="118" t="str">
        <v/>
      </c>
      <c r="AF188" s="114" t="str">
        <v/>
      </c>
      <c r="AG188" s="115" t="str">
        <v/>
      </c>
      <c r="AH188" s="113" t="str">
        <v/>
      </c>
      <c r="AI188" s="116" t="str">
        <v/>
      </c>
      <c r="AJ188" s="117" t="str">
        <v/>
      </c>
      <c r="AK188" s="118" t="str">
        <v/>
      </c>
      <c r="AL188" s="119" t="str">
        <v/>
      </c>
      <c r="AM188" s="119" t="str">
        <v/>
      </c>
      <c r="AN188" s="119" t="str">
        <v/>
      </c>
    </row>
    <row r="189" spans="3:48">
      <c r="C189" s="19"/>
      <c r="D189" s="111" t="str">
        <f t="array" ref="D189:AN189">IF(C189="","",INDEX($D$202:$AN$225,MATCH(C189,$C$202:$C$225,0),0))</f>
        <v/>
      </c>
      <c r="E189" s="112" t="str">
        <v/>
      </c>
      <c r="F189" s="112" t="str">
        <v/>
      </c>
      <c r="G189" s="112" t="str">
        <v/>
      </c>
      <c r="H189" s="112" t="str">
        <v/>
      </c>
      <c r="I189" s="79" t="str">
        <v/>
      </c>
      <c r="J189" s="79" t="str">
        <v/>
      </c>
      <c r="K189" s="79" t="str">
        <v/>
      </c>
      <c r="L189" s="79" t="str">
        <v/>
      </c>
      <c r="M189" s="113" t="str">
        <v/>
      </c>
      <c r="N189" s="114" t="str">
        <v/>
      </c>
      <c r="O189" s="115" t="str">
        <v/>
      </c>
      <c r="P189" s="113" t="str">
        <v/>
      </c>
      <c r="Q189" s="116" t="str">
        <v/>
      </c>
      <c r="R189" s="117" t="str">
        <v/>
      </c>
      <c r="S189" s="118" t="str">
        <v/>
      </c>
      <c r="T189" s="114" t="str">
        <v/>
      </c>
      <c r="U189" s="115" t="str">
        <v/>
      </c>
      <c r="V189" s="113" t="str">
        <v/>
      </c>
      <c r="W189" s="116" t="str">
        <v/>
      </c>
      <c r="X189" s="117" t="str">
        <v/>
      </c>
      <c r="Y189" s="118" t="str">
        <v/>
      </c>
      <c r="Z189" s="114" t="str">
        <v/>
      </c>
      <c r="AA189" s="115" t="str">
        <v/>
      </c>
      <c r="AB189" s="113" t="str">
        <v/>
      </c>
      <c r="AC189" s="116" t="str">
        <v/>
      </c>
      <c r="AD189" s="117" t="str">
        <v/>
      </c>
      <c r="AE189" s="118" t="str">
        <v/>
      </c>
      <c r="AF189" s="114" t="str">
        <v/>
      </c>
      <c r="AG189" s="115" t="str">
        <v/>
      </c>
      <c r="AH189" s="113" t="str">
        <v/>
      </c>
      <c r="AI189" s="116" t="str">
        <v/>
      </c>
      <c r="AJ189" s="117" t="str">
        <v/>
      </c>
      <c r="AK189" s="118" t="str">
        <v/>
      </c>
      <c r="AL189" s="119" t="str">
        <v/>
      </c>
      <c r="AM189" s="119" t="str">
        <v/>
      </c>
      <c r="AN189" s="119" t="str">
        <v/>
      </c>
    </row>
    <row r="190" spans="3:48">
      <c r="C190" s="19"/>
      <c r="D190" s="111" t="str">
        <f t="array" ref="D190:AN190">IF(C190="","",INDEX($D$202:$AN$225,MATCH(C190,$C$202:$C$225,0),0))</f>
        <v/>
      </c>
      <c r="E190" s="112" t="str">
        <v/>
      </c>
      <c r="F190" s="112" t="str">
        <v/>
      </c>
      <c r="G190" s="112" t="str">
        <v/>
      </c>
      <c r="H190" s="112" t="str">
        <v/>
      </c>
      <c r="I190" s="79" t="str">
        <v/>
      </c>
      <c r="J190" s="79" t="str">
        <v/>
      </c>
      <c r="K190" s="79" t="str">
        <v/>
      </c>
      <c r="L190" s="79" t="str">
        <v/>
      </c>
      <c r="M190" s="113" t="str">
        <v/>
      </c>
      <c r="N190" s="114" t="str">
        <v/>
      </c>
      <c r="O190" s="115" t="str">
        <v/>
      </c>
      <c r="P190" s="113" t="str">
        <v/>
      </c>
      <c r="Q190" s="116" t="str">
        <v/>
      </c>
      <c r="R190" s="117" t="str">
        <v/>
      </c>
      <c r="S190" s="118" t="str">
        <v/>
      </c>
      <c r="T190" s="114" t="str">
        <v/>
      </c>
      <c r="U190" s="115" t="str">
        <v/>
      </c>
      <c r="V190" s="113" t="str">
        <v/>
      </c>
      <c r="W190" s="116" t="str">
        <v/>
      </c>
      <c r="X190" s="117" t="str">
        <v/>
      </c>
      <c r="Y190" s="118" t="str">
        <v/>
      </c>
      <c r="Z190" s="114" t="str">
        <v/>
      </c>
      <c r="AA190" s="115" t="str">
        <v/>
      </c>
      <c r="AB190" s="113" t="str">
        <v/>
      </c>
      <c r="AC190" s="116" t="str">
        <v/>
      </c>
      <c r="AD190" s="117" t="str">
        <v/>
      </c>
      <c r="AE190" s="118" t="str">
        <v/>
      </c>
      <c r="AF190" s="114" t="str">
        <v/>
      </c>
      <c r="AG190" s="115" t="str">
        <v/>
      </c>
      <c r="AH190" s="113" t="str">
        <v/>
      </c>
      <c r="AI190" s="116" t="str">
        <v/>
      </c>
      <c r="AJ190" s="117" t="str">
        <v/>
      </c>
      <c r="AK190" s="118" t="str">
        <v/>
      </c>
      <c r="AL190" s="119" t="str">
        <v/>
      </c>
      <c r="AM190" s="119" t="str">
        <v/>
      </c>
      <c r="AN190" s="119" t="str">
        <v/>
      </c>
    </row>
    <row r="191" spans="3:48">
      <c r="C191" s="19"/>
      <c r="D191" s="111" t="str">
        <f t="array" ref="D191:AN191">IF(C191="","",INDEX($D$202:$AN$225,MATCH(C191,$C$202:$C$225,0),0))</f>
        <v/>
      </c>
      <c r="E191" s="112" t="str">
        <v/>
      </c>
      <c r="F191" s="112" t="str">
        <v/>
      </c>
      <c r="G191" s="112" t="str">
        <v/>
      </c>
      <c r="H191" s="112" t="str">
        <v/>
      </c>
      <c r="I191" s="79" t="str">
        <v/>
      </c>
      <c r="J191" s="79" t="str">
        <v/>
      </c>
      <c r="K191" s="79" t="str">
        <v/>
      </c>
      <c r="L191" s="79" t="str">
        <v/>
      </c>
      <c r="M191" s="113" t="str">
        <v/>
      </c>
      <c r="N191" s="114" t="str">
        <v/>
      </c>
      <c r="O191" s="115" t="str">
        <v/>
      </c>
      <c r="P191" s="113" t="str">
        <v/>
      </c>
      <c r="Q191" s="116" t="str">
        <v/>
      </c>
      <c r="R191" s="117" t="str">
        <v/>
      </c>
      <c r="S191" s="118" t="str">
        <v/>
      </c>
      <c r="T191" s="114" t="str">
        <v/>
      </c>
      <c r="U191" s="115" t="str">
        <v/>
      </c>
      <c r="V191" s="113" t="str">
        <v/>
      </c>
      <c r="W191" s="116" t="str">
        <v/>
      </c>
      <c r="X191" s="117" t="str">
        <v/>
      </c>
      <c r="Y191" s="118" t="str">
        <v/>
      </c>
      <c r="Z191" s="114" t="str">
        <v/>
      </c>
      <c r="AA191" s="115" t="str">
        <v/>
      </c>
      <c r="AB191" s="113" t="str">
        <v/>
      </c>
      <c r="AC191" s="116" t="str">
        <v/>
      </c>
      <c r="AD191" s="117" t="str">
        <v/>
      </c>
      <c r="AE191" s="118" t="str">
        <v/>
      </c>
      <c r="AF191" s="114" t="str">
        <v/>
      </c>
      <c r="AG191" s="115" t="str">
        <v/>
      </c>
      <c r="AH191" s="113" t="str">
        <v/>
      </c>
      <c r="AI191" s="116" t="str">
        <v/>
      </c>
      <c r="AJ191" s="117" t="str">
        <v/>
      </c>
      <c r="AK191" s="118" t="str">
        <v/>
      </c>
      <c r="AL191" s="119" t="str">
        <v/>
      </c>
      <c r="AM191" s="119" t="str">
        <v/>
      </c>
      <c r="AN191" s="119" t="str">
        <v/>
      </c>
    </row>
    <row r="192" spans="3:48">
      <c r="C192" s="19"/>
      <c r="D192" s="111" t="str">
        <f t="array" ref="D192:AN192">IF(C192="","",INDEX($D$202:$AN$225,MATCH(C192,$C$202:$C$225,0),0))</f>
        <v/>
      </c>
      <c r="E192" s="112" t="str">
        <v/>
      </c>
      <c r="F192" s="112" t="str">
        <v/>
      </c>
      <c r="G192" s="112" t="str">
        <v/>
      </c>
      <c r="H192" s="112" t="str">
        <v/>
      </c>
      <c r="I192" s="79" t="str">
        <v/>
      </c>
      <c r="J192" s="79" t="str">
        <v/>
      </c>
      <c r="K192" s="79" t="str">
        <v/>
      </c>
      <c r="L192" s="79" t="str">
        <v/>
      </c>
      <c r="M192" s="113" t="str">
        <v/>
      </c>
      <c r="N192" s="114" t="str">
        <v/>
      </c>
      <c r="O192" s="115" t="str">
        <v/>
      </c>
      <c r="P192" s="113" t="str">
        <v/>
      </c>
      <c r="Q192" s="116" t="str">
        <v/>
      </c>
      <c r="R192" s="117" t="str">
        <v/>
      </c>
      <c r="S192" s="118" t="str">
        <v/>
      </c>
      <c r="T192" s="114" t="str">
        <v/>
      </c>
      <c r="U192" s="115" t="str">
        <v/>
      </c>
      <c r="V192" s="113" t="str">
        <v/>
      </c>
      <c r="W192" s="116" t="str">
        <v/>
      </c>
      <c r="X192" s="117" t="str">
        <v/>
      </c>
      <c r="Y192" s="118" t="str">
        <v/>
      </c>
      <c r="Z192" s="114" t="str">
        <v/>
      </c>
      <c r="AA192" s="115" t="str">
        <v/>
      </c>
      <c r="AB192" s="113" t="str">
        <v/>
      </c>
      <c r="AC192" s="116" t="str">
        <v/>
      </c>
      <c r="AD192" s="117" t="str">
        <v/>
      </c>
      <c r="AE192" s="118" t="str">
        <v/>
      </c>
      <c r="AF192" s="114" t="str">
        <v/>
      </c>
      <c r="AG192" s="115" t="str">
        <v/>
      </c>
      <c r="AH192" s="113" t="str">
        <v/>
      </c>
      <c r="AI192" s="116" t="str">
        <v/>
      </c>
      <c r="AJ192" s="117" t="str">
        <v/>
      </c>
      <c r="AK192" s="118" t="str">
        <v/>
      </c>
      <c r="AL192" s="119" t="str">
        <v/>
      </c>
      <c r="AM192" s="119" t="str">
        <v/>
      </c>
      <c r="AN192" s="119" t="str">
        <v/>
      </c>
    </row>
    <row r="193" spans="3:48">
      <c r="C193" s="19"/>
      <c r="D193" s="111" t="str">
        <f t="array" ref="D193:AN193">IF(C193="","",INDEX($D$202:$AN$225,MATCH(C193,$C$202:$C$225,0),0))</f>
        <v/>
      </c>
      <c r="E193" s="112" t="str">
        <v/>
      </c>
      <c r="F193" s="112" t="str">
        <v/>
      </c>
      <c r="G193" s="112" t="str">
        <v/>
      </c>
      <c r="H193" s="112" t="str">
        <v/>
      </c>
      <c r="I193" s="79" t="str">
        <v/>
      </c>
      <c r="J193" s="79" t="str">
        <v/>
      </c>
      <c r="K193" s="79" t="str">
        <v/>
      </c>
      <c r="L193" s="79" t="str">
        <v/>
      </c>
      <c r="M193" s="113" t="str">
        <v/>
      </c>
      <c r="N193" s="114" t="str">
        <v/>
      </c>
      <c r="O193" s="115" t="str">
        <v/>
      </c>
      <c r="P193" s="113" t="str">
        <v/>
      </c>
      <c r="Q193" s="116" t="str">
        <v/>
      </c>
      <c r="R193" s="117" t="str">
        <v/>
      </c>
      <c r="S193" s="118" t="str">
        <v/>
      </c>
      <c r="T193" s="114" t="str">
        <v/>
      </c>
      <c r="U193" s="115" t="str">
        <v/>
      </c>
      <c r="V193" s="113" t="str">
        <v/>
      </c>
      <c r="W193" s="116" t="str">
        <v/>
      </c>
      <c r="X193" s="117" t="str">
        <v/>
      </c>
      <c r="Y193" s="118" t="str">
        <v/>
      </c>
      <c r="Z193" s="114" t="str">
        <v/>
      </c>
      <c r="AA193" s="115" t="str">
        <v/>
      </c>
      <c r="AB193" s="113" t="str">
        <v/>
      </c>
      <c r="AC193" s="116" t="str">
        <v/>
      </c>
      <c r="AD193" s="117" t="str">
        <v/>
      </c>
      <c r="AE193" s="118" t="str">
        <v/>
      </c>
      <c r="AF193" s="114" t="str">
        <v/>
      </c>
      <c r="AG193" s="115" t="str">
        <v/>
      </c>
      <c r="AH193" s="113" t="str">
        <v/>
      </c>
      <c r="AI193" s="116" t="str">
        <v/>
      </c>
      <c r="AJ193" s="117" t="str">
        <v/>
      </c>
      <c r="AK193" s="118" t="str">
        <v/>
      </c>
      <c r="AL193" s="119" t="str">
        <v/>
      </c>
      <c r="AM193" s="119" t="str">
        <v/>
      </c>
      <c r="AN193" s="119" t="str">
        <v/>
      </c>
    </row>
    <row r="194" spans="3:48">
      <c r="C194" s="19"/>
      <c r="D194" s="111" t="str">
        <f t="array" ref="D194:AN194">IF(C194="","",INDEX($D$202:$AN$225,MATCH(C194,$C$202:$C$225,0),0))</f>
        <v/>
      </c>
      <c r="E194" s="112" t="str">
        <v/>
      </c>
      <c r="F194" s="112" t="str">
        <v/>
      </c>
      <c r="G194" s="112" t="str">
        <v/>
      </c>
      <c r="H194" s="112" t="str">
        <v/>
      </c>
      <c r="I194" s="79" t="str">
        <v/>
      </c>
      <c r="J194" s="79" t="str">
        <v/>
      </c>
      <c r="K194" s="79" t="str">
        <v/>
      </c>
      <c r="L194" s="79" t="str">
        <v/>
      </c>
      <c r="M194" s="113" t="str">
        <v/>
      </c>
      <c r="N194" s="114" t="str">
        <v/>
      </c>
      <c r="O194" s="115" t="str">
        <v/>
      </c>
      <c r="P194" s="113" t="str">
        <v/>
      </c>
      <c r="Q194" s="116" t="str">
        <v/>
      </c>
      <c r="R194" s="117" t="str">
        <v/>
      </c>
      <c r="S194" s="118" t="str">
        <v/>
      </c>
      <c r="T194" s="114" t="str">
        <v/>
      </c>
      <c r="U194" s="115" t="str">
        <v/>
      </c>
      <c r="V194" s="113" t="str">
        <v/>
      </c>
      <c r="W194" s="116" t="str">
        <v/>
      </c>
      <c r="X194" s="117" t="str">
        <v/>
      </c>
      <c r="Y194" s="118" t="str">
        <v/>
      </c>
      <c r="Z194" s="114" t="str">
        <v/>
      </c>
      <c r="AA194" s="115" t="str">
        <v/>
      </c>
      <c r="AB194" s="113" t="str">
        <v/>
      </c>
      <c r="AC194" s="116" t="str">
        <v/>
      </c>
      <c r="AD194" s="117" t="str">
        <v/>
      </c>
      <c r="AE194" s="118" t="str">
        <v/>
      </c>
      <c r="AF194" s="114" t="str">
        <v/>
      </c>
      <c r="AG194" s="115" t="str">
        <v/>
      </c>
      <c r="AH194" s="113" t="str">
        <v/>
      </c>
      <c r="AI194" s="116" t="str">
        <v/>
      </c>
      <c r="AJ194" s="117" t="str">
        <v/>
      </c>
      <c r="AK194" s="118" t="str">
        <v/>
      </c>
      <c r="AL194" s="119" t="str">
        <v/>
      </c>
      <c r="AM194" s="119" t="str">
        <v/>
      </c>
      <c r="AN194" s="119" t="str">
        <v/>
      </c>
    </row>
    <row r="195" spans="3:48">
      <c r="C195" s="19"/>
      <c r="D195" s="111" t="str">
        <f t="array" ref="D195:AN195">IF(C195="","",INDEX($D$202:$AN$225,MATCH(C195,$C$202:$C$225,0),0))</f>
        <v/>
      </c>
      <c r="E195" s="112" t="str">
        <v/>
      </c>
      <c r="F195" s="112" t="str">
        <v/>
      </c>
      <c r="G195" s="112" t="str">
        <v/>
      </c>
      <c r="H195" s="112" t="str">
        <v/>
      </c>
      <c r="I195" s="79" t="str">
        <v/>
      </c>
      <c r="J195" s="79" t="str">
        <v/>
      </c>
      <c r="K195" s="79" t="str">
        <v/>
      </c>
      <c r="L195" s="79" t="str">
        <v/>
      </c>
      <c r="M195" s="113" t="str">
        <v/>
      </c>
      <c r="N195" s="114" t="str">
        <v/>
      </c>
      <c r="O195" s="115" t="str">
        <v/>
      </c>
      <c r="P195" s="113" t="str">
        <v/>
      </c>
      <c r="Q195" s="116" t="str">
        <v/>
      </c>
      <c r="R195" s="117" t="str">
        <v/>
      </c>
      <c r="S195" s="118" t="str">
        <v/>
      </c>
      <c r="T195" s="114" t="str">
        <v/>
      </c>
      <c r="U195" s="115" t="str">
        <v/>
      </c>
      <c r="V195" s="113" t="str">
        <v/>
      </c>
      <c r="W195" s="116" t="str">
        <v/>
      </c>
      <c r="X195" s="117" t="str">
        <v/>
      </c>
      <c r="Y195" s="118" t="str">
        <v/>
      </c>
      <c r="Z195" s="114" t="str">
        <v/>
      </c>
      <c r="AA195" s="115" t="str">
        <v/>
      </c>
      <c r="AB195" s="113" t="str">
        <v/>
      </c>
      <c r="AC195" s="116" t="str">
        <v/>
      </c>
      <c r="AD195" s="117" t="str">
        <v/>
      </c>
      <c r="AE195" s="118" t="str">
        <v/>
      </c>
      <c r="AF195" s="114" t="str">
        <v/>
      </c>
      <c r="AG195" s="115" t="str">
        <v/>
      </c>
      <c r="AH195" s="113" t="str">
        <v/>
      </c>
      <c r="AI195" s="116" t="str">
        <v/>
      </c>
      <c r="AJ195" s="117" t="str">
        <v/>
      </c>
      <c r="AK195" s="118" t="str">
        <v/>
      </c>
      <c r="AL195" s="119" t="str">
        <v/>
      </c>
      <c r="AM195" s="119" t="str">
        <v/>
      </c>
      <c r="AN195" s="119" t="str">
        <v/>
      </c>
    </row>
    <row r="196" spans="3:48">
      <c r="AL196" s="65"/>
    </row>
    <row r="199" spans="3:48">
      <c r="C199" s="8" t="s">
        <v>167</v>
      </c>
    </row>
    <row r="200" spans="3:48">
      <c r="C200" s="35" t="s">
        <v>164</v>
      </c>
      <c r="D200" s="35">
        <v>4</v>
      </c>
      <c r="E200" s="35"/>
      <c r="F200" s="35"/>
      <c r="G200" s="35"/>
      <c r="H200" s="35"/>
      <c r="I200" s="35"/>
      <c r="J200" s="35"/>
      <c r="K200" s="35"/>
      <c r="L200" s="35"/>
      <c r="M200" s="35"/>
      <c r="N200" s="35" t="s">
        <v>83</v>
      </c>
      <c r="O200" s="35" t="s">
        <v>132</v>
      </c>
      <c r="P200" s="35" t="s">
        <v>83</v>
      </c>
      <c r="Q200" s="35" t="s">
        <v>83</v>
      </c>
      <c r="R200" s="35" t="s">
        <v>83</v>
      </c>
      <c r="S200" s="35" t="s">
        <v>83</v>
      </c>
      <c r="T200" s="35" t="s">
        <v>83</v>
      </c>
      <c r="U200" s="35" t="s">
        <v>132</v>
      </c>
      <c r="V200" s="35" t="s">
        <v>83</v>
      </c>
      <c r="W200" s="35" t="s">
        <v>83</v>
      </c>
      <c r="X200" s="35" t="s">
        <v>83</v>
      </c>
      <c r="Y200" s="35" t="s">
        <v>83</v>
      </c>
      <c r="Z200" s="35" t="s">
        <v>83</v>
      </c>
      <c r="AA200" s="35" t="s">
        <v>132</v>
      </c>
      <c r="AB200" s="35" t="s">
        <v>83</v>
      </c>
      <c r="AC200" s="35" t="s">
        <v>83</v>
      </c>
      <c r="AD200" s="35" t="s">
        <v>83</v>
      </c>
      <c r="AE200" s="35" t="s">
        <v>83</v>
      </c>
      <c r="AF200" s="35" t="s">
        <v>83</v>
      </c>
      <c r="AG200" s="35" t="s">
        <v>132</v>
      </c>
      <c r="AH200" s="35" t="s">
        <v>83</v>
      </c>
      <c r="AI200" s="35" t="s">
        <v>83</v>
      </c>
      <c r="AJ200" s="35" t="s">
        <v>83</v>
      </c>
      <c r="AK200" s="35" t="s">
        <v>83</v>
      </c>
      <c r="AL200" s="35" t="s">
        <v>83</v>
      </c>
      <c r="AM200" s="35" t="s">
        <v>83</v>
      </c>
      <c r="AN200" s="35" t="s">
        <v>83</v>
      </c>
      <c r="AO200" s="35"/>
      <c r="AQ200" s="35"/>
      <c r="AR200" s="35"/>
      <c r="AS200" s="35"/>
      <c r="AT200" s="35"/>
      <c r="AU200" s="35"/>
      <c r="AV200" s="35"/>
    </row>
    <row r="201" spans="3:48" ht="30">
      <c r="C201" s="99" t="s">
        <v>133</v>
      </c>
      <c r="D201" s="99" t="s">
        <v>66</v>
      </c>
      <c r="E201" s="100" t="s">
        <v>85</v>
      </c>
      <c r="F201" s="100" t="s">
        <v>86</v>
      </c>
      <c r="G201" s="100" t="s">
        <v>87</v>
      </c>
      <c r="H201" s="100" t="s">
        <v>88</v>
      </c>
      <c r="I201" s="101">
        <v>1</v>
      </c>
      <c r="J201" s="101">
        <v>2</v>
      </c>
      <c r="K201" s="101">
        <v>3</v>
      </c>
      <c r="L201" s="101">
        <v>4</v>
      </c>
      <c r="M201" s="102" t="s">
        <v>134</v>
      </c>
      <c r="N201" s="103" t="s">
        <v>135</v>
      </c>
      <c r="O201" s="104" t="s">
        <v>136</v>
      </c>
      <c r="P201" s="102" t="s">
        <v>137</v>
      </c>
      <c r="Q201" s="105" t="s">
        <v>138</v>
      </c>
      <c r="R201" s="106" t="s">
        <v>139</v>
      </c>
      <c r="S201" s="107" t="s">
        <v>140</v>
      </c>
      <c r="T201" s="103" t="s">
        <v>135</v>
      </c>
      <c r="U201" s="104" t="s">
        <v>141</v>
      </c>
      <c r="V201" s="102" t="s">
        <v>142</v>
      </c>
      <c r="W201" s="105" t="s">
        <v>143</v>
      </c>
      <c r="X201" s="106" t="s">
        <v>144</v>
      </c>
      <c r="Y201" s="107" t="s">
        <v>145</v>
      </c>
      <c r="Z201" s="103" t="s">
        <v>135</v>
      </c>
      <c r="AA201" s="104" t="s">
        <v>146</v>
      </c>
      <c r="AB201" s="102" t="s">
        <v>147</v>
      </c>
      <c r="AC201" s="105" t="s">
        <v>148</v>
      </c>
      <c r="AD201" s="106" t="s">
        <v>149</v>
      </c>
      <c r="AE201" s="107" t="s">
        <v>150</v>
      </c>
      <c r="AF201" s="103" t="s">
        <v>135</v>
      </c>
      <c r="AG201" s="104" t="s">
        <v>151</v>
      </c>
      <c r="AH201" s="102" t="s">
        <v>152</v>
      </c>
      <c r="AI201" s="105" t="s">
        <v>153</v>
      </c>
      <c r="AJ201" s="106" t="s">
        <v>154</v>
      </c>
      <c r="AK201" s="107" t="s">
        <v>155</v>
      </c>
      <c r="AL201" s="108" t="s">
        <v>161</v>
      </c>
      <c r="AM201" s="109" t="s">
        <v>94</v>
      </c>
      <c r="AN201" s="110" t="s">
        <v>162</v>
      </c>
    </row>
    <row r="202" spans="3:48">
      <c r="C202" s="111">
        <v>1</v>
      </c>
      <c r="D202" s="111" t="s">
        <v>66</v>
      </c>
      <c r="E202" s="112" t="str">
        <f>IF($D$12=$D$200,HLOOKUP(I202,$D$9:$H$10,2,FALSE),"")</f>
        <v/>
      </c>
      <c r="F202" s="112" t="str">
        <f t="shared" ref="F202:H217" si="43">IF($D$12=$D$200,HLOOKUP(J202,$D$9:$H$10,2,FALSE),"")</f>
        <v/>
      </c>
      <c r="G202" s="112" t="str">
        <f t="shared" si="43"/>
        <v/>
      </c>
      <c r="H202" s="112" t="str">
        <f t="shared" si="43"/>
        <v/>
      </c>
      <c r="I202" s="79">
        <v>1</v>
      </c>
      <c r="J202" s="79">
        <v>2</v>
      </c>
      <c r="K202" s="79">
        <v>3</v>
      </c>
      <c r="L202" s="79">
        <v>4</v>
      </c>
      <c r="M202" s="113">
        <f>$D$6</f>
        <v>0.5</v>
      </c>
      <c r="N202" s="114">
        <f>IF($G$4="No",0,IF(M202&gt;=$G$5,1,0))</f>
        <v>0</v>
      </c>
      <c r="O202" s="115" t="e">
        <f>IF($D$5="Average",INDEX(Tbl_Walk_Avg[#All],MATCH('Model 2 - Permutations'!D202,Tbl_Walk_Avg[[#All],[Ride]],0),MATCH('Model 2 - Permutations'!E202,Tbl_Walk_Avg[#Headers],0)),INDEX(Tbl_Walk_Leisure[#All],MATCH('Model 2 - Permutations'!D202,Tbl_Walk_Leisure[[#All],[Ride]],0),MATCH('Model 2 - Permutations'!E202,Tbl_Walk_Leisure[#Headers],0)))</f>
        <v>#N/A</v>
      </c>
      <c r="P202" s="113" t="e">
        <f>IF((M202+N202*$G$6+O202)&gt;$D$7,"",M202+N202*$G$6+O202)</f>
        <v>#N/A</v>
      </c>
      <c r="Q202" s="116" t="e">
        <f>IF(P202="","",IF($D$14="Weekday",INDEX(Tbl_Wait_Wkday[#All],MATCH('Model 2 - Permutations'!P202,Tbl_Wait_Wkday[[#All],[Time]],1),MATCH('Model 2 - Permutations'!E202,Tbl_Wait_Wkday[#Headers],0)),INDEX(Tbl_Wait_Wkend[#All],MATCH('Model 2 - Permutations'!P202,Tbl_Wait_Wkend[[#All],[Time]],1),MATCH('Model 2 - Permutations'!E202,Tbl_Wait_Wkend[#Headers],0))))</f>
        <v>#N/A</v>
      </c>
      <c r="R202" s="117" t="e">
        <f>IF(Q202="","",VLOOKUP(E202,Tbl_Ride[#Data],2,FALSE))</f>
        <v>#N/A</v>
      </c>
      <c r="S202" s="118" t="e">
        <f>IF(R202="","",P202+Q202+R202)</f>
        <v>#N/A</v>
      </c>
      <c r="T202" s="114" t="e">
        <f>IF(S202="","",IF($G$4="No",0,IF(N202=1,0,IF(S202&gt;=$G$5,1,0))))</f>
        <v>#N/A</v>
      </c>
      <c r="U202" s="115" t="e">
        <f>IF(T202="","",IF($D$5="Average",INDEX(Tbl_Walk_Avg[#All],MATCH('Model 2 - Permutations'!E202,Tbl_Walk_Avg[[#All],[Ride]],0),MATCH('Model 2 - Permutations'!F202,Tbl_Walk_Avg[#Headers],0)),INDEX(Tbl_Walk_Leisure[#All],MATCH('Model 2 - Permutations'!E202,Tbl_Walk_Leisure[[#All],[Ride]],0),MATCH('Model 2 - Permutations'!F202,Tbl_Walk_Leisure[#Headers],0))))</f>
        <v>#N/A</v>
      </c>
      <c r="V202" s="113" t="e">
        <f>IF(U202="","",IF((S202+T202*$G$6+U202)&gt;$D$7,"",S202+T202*$G$6+U202))</f>
        <v>#N/A</v>
      </c>
      <c r="W202" s="116" t="e">
        <f>IF(V202="","",IF($D$14="Weekday",INDEX(Tbl_Wait_Wkday[#All],MATCH('Model 2 - Permutations'!V202,Tbl_Wait_Wkday[[#All],[Time]],1),MATCH('Model 2 - Permutations'!F202,Tbl_Wait_Wkday[#Headers],0)),INDEX(Tbl_Wait_Wkend[#All],MATCH('Model 2 - Permutations'!V202,Tbl_Wait_Wkend[[#All],[Time]],1),MATCH('Model 2 - Permutations'!F202,Tbl_Wait_Wkend[#Headers],0))))</f>
        <v>#N/A</v>
      </c>
      <c r="X202" s="117" t="e">
        <f>IF(W202="","",VLOOKUP(F202,Tbl_Ride[#Data],2,FALSE))</f>
        <v>#N/A</v>
      </c>
      <c r="Y202" s="118" t="e">
        <f>IF(X202="","",V202+W202+X202)</f>
        <v>#N/A</v>
      </c>
      <c r="Z202" s="114" t="e">
        <f>IF(Y202="","",IF($G$4="No",0,IF((N202+T202)=1,0,IF(Y202&gt;=$G$5,1,0))))</f>
        <v>#N/A</v>
      </c>
      <c r="AA202" s="115" t="e">
        <f>IF(Z202="","",IF($D$5="Average",INDEX(Tbl_Walk_Avg[#All],MATCH('Model 2 - Permutations'!F202,Tbl_Walk_Avg[[#All],[Ride]],0),MATCH('Model 2 - Permutations'!G202,Tbl_Walk_Avg[#Headers],0)),INDEX(Tbl_Walk_Leisure[#All],MATCH('Model 2 - Permutations'!F202,Tbl_Walk_Leisure[[#All],[Ride]],0),MATCH('Model 2 - Permutations'!G202,Tbl_Walk_Leisure[#Headers],0))))</f>
        <v>#N/A</v>
      </c>
      <c r="AB202" s="113" t="e">
        <f>IF(AA202="","",IF((Y202+Z202*$G$6+AA202)&gt;$D$7,"",Y202+Z202*$G$6+AA202))</f>
        <v>#N/A</v>
      </c>
      <c r="AC202" s="116" t="e">
        <f>IF(AB202="","",IF($D$14="Weekday",INDEX(Tbl_Wait_Wkday[#All],MATCH('Model 2 - Permutations'!AB202,Tbl_Wait_Wkday[[#All],[Time]],1),MATCH('Model 2 - Permutations'!G202,Tbl_Wait_Wkday[#Headers],0)),INDEX(Tbl_Wait_Wkend[#All],MATCH('Model 2 - Permutations'!AB202,Tbl_Wait_Wkend[[#All],[Time]],1),MATCH('Model 2 - Permutations'!G202,Tbl_Wait_Wkend[#Headers],0))))</f>
        <v>#N/A</v>
      </c>
      <c r="AD202" s="117" t="e">
        <f>IF(AC202="","",VLOOKUP(G202,Tbl_Ride[#Data],2,FALSE))</f>
        <v>#N/A</v>
      </c>
      <c r="AE202" s="118" t="e">
        <f>IF(AD202="","",AB202+AC202+AD202)</f>
        <v>#N/A</v>
      </c>
      <c r="AF202" s="114" t="e">
        <f>IF(AE202="","",IF($G$4="No",0,IF((N202+T202+Z202)=1,0,IF(AE202&gt;=$G$5,1,0))))</f>
        <v>#N/A</v>
      </c>
      <c r="AG202" s="115" t="e">
        <f>IF(AF202="","",IF($D$5="Average",INDEX(Tbl_Walk_Avg[#All],MATCH('Model 2 - Permutations'!G202,Tbl_Walk_Avg[[#All],[Ride]],0),MATCH('Model 2 - Permutations'!H202,Tbl_Walk_Avg[#Headers],0)),INDEX(Tbl_Walk_Leisure[#All],MATCH('Model 2 - Permutations'!G202,Tbl_Walk_Leisure[[#All],[Ride]],0),MATCH('Model 2 - Permutations'!H202,Tbl_Walk_Leisure[#Headers],0))))</f>
        <v>#N/A</v>
      </c>
      <c r="AH202" s="113" t="e">
        <f>IF(AG202="","",IF((AE202+AF202*$G$6+AG202)&gt;$D$7,"",AE202+AF202*$G$6+AG202))</f>
        <v>#N/A</v>
      </c>
      <c r="AI202" s="116" t="e">
        <f>IF(AH202="","",IF($D$14="Weekday",INDEX(Tbl_Wait_Wkday[#All],MATCH('Model 2 - Permutations'!AH202,Tbl_Wait_Wkday[[#All],[Time]],1),MATCH('Model 2 - Permutations'!H202,Tbl_Wait_Wkday[#Headers],0)),INDEX(Tbl_Wait_Wkend[#All],MATCH('Model 2 - Permutations'!AH202,Tbl_Wait_Wkend[[#All],[Time]],1),MATCH('Model 2 - Permutations'!H202,Tbl_Wait_Wkend[#Headers],0))))</f>
        <v>#N/A</v>
      </c>
      <c r="AJ202" s="117" t="e">
        <f>IF(AI202="","",VLOOKUP(H202,Tbl_Ride[#Data],2,FALSE))</f>
        <v>#N/A</v>
      </c>
      <c r="AK202" s="118" t="e">
        <f>IF(AJ202="","",AH202+AI202+AJ202)</f>
        <v>#N/A</v>
      </c>
      <c r="AL202" s="119" t="e">
        <f>IF(AK202="",$R$5,IFERROR(O202+U202+AA202+AG202,$R$5))</f>
        <v>#N/A</v>
      </c>
      <c r="AM202" s="119" t="str">
        <f>IFERROR(Q202+W202+AC202+AI202,$R$5)</f>
        <v>Incomplete</v>
      </c>
      <c r="AN202" s="119" t="str">
        <f>IFERROR(SUM(AL202+AM202),$R$5)</f>
        <v>Incomplete</v>
      </c>
      <c r="AP202" s="121"/>
      <c r="AR202" s="81"/>
    </row>
    <row r="203" spans="3:48">
      <c r="C203" s="111">
        <v>2</v>
      </c>
      <c r="D203" s="111" t="s">
        <v>66</v>
      </c>
      <c r="E203" s="112" t="str">
        <f t="shared" ref="E203:H225" si="44">IF($D$12=$D$200,HLOOKUP(I203,$D$9:$H$10,2,FALSE),"")</f>
        <v/>
      </c>
      <c r="F203" s="112" t="str">
        <f t="shared" si="43"/>
        <v/>
      </c>
      <c r="G203" s="112" t="str">
        <f t="shared" si="43"/>
        <v/>
      </c>
      <c r="H203" s="112" t="str">
        <f t="shared" si="43"/>
        <v/>
      </c>
      <c r="I203" s="79">
        <v>1</v>
      </c>
      <c r="J203" s="79">
        <v>2</v>
      </c>
      <c r="K203" s="79">
        <v>4</v>
      </c>
      <c r="L203" s="79">
        <v>3</v>
      </c>
      <c r="M203" s="113">
        <f t="shared" ref="M203:M225" si="45">$D$6</f>
        <v>0.5</v>
      </c>
      <c r="N203" s="114">
        <f t="shared" ref="N203:N225" si="46">IF($G$4="No",0,IF(M203&gt;=$G$5,1,0))</f>
        <v>0</v>
      </c>
      <c r="O203" s="115" t="e">
        <f>IF($D$5="Average",INDEX(Tbl_Walk_Avg[#All],MATCH('Model 2 - Permutations'!D203,Tbl_Walk_Avg[[#All],[Ride]],0),MATCH('Model 2 - Permutations'!E203,Tbl_Walk_Avg[#Headers],0)),INDEX(Tbl_Walk_Leisure[#All],MATCH('Model 2 - Permutations'!D203,Tbl_Walk_Leisure[[#All],[Ride]],0),MATCH('Model 2 - Permutations'!E203,Tbl_Walk_Leisure[#Headers],0)))</f>
        <v>#N/A</v>
      </c>
      <c r="P203" s="113" t="e">
        <f t="shared" ref="P203:P225" si="47">IF((M203+N203*$G$6+O203)&gt;$D$7,"",M203+N203*$G$6+O203)</f>
        <v>#N/A</v>
      </c>
      <c r="Q203" s="116" t="e">
        <f>IF(P203="","",IF($D$14="Weekday",INDEX(Tbl_Wait_Wkday[#All],MATCH('Model 2 - Permutations'!P203,Tbl_Wait_Wkday[[#All],[Time]],1),MATCH('Model 2 - Permutations'!E203,Tbl_Wait_Wkday[#Headers],0)),INDEX(Tbl_Wait_Wkend[#All],MATCH('Model 2 - Permutations'!P203,Tbl_Wait_Wkend[[#All],[Time]],1),MATCH('Model 2 - Permutations'!E203,Tbl_Wait_Wkend[#Headers],0))))</f>
        <v>#N/A</v>
      </c>
      <c r="R203" s="117" t="e">
        <f>IF(Q203="","",VLOOKUP(E203,Tbl_Ride[#Data],2,FALSE))</f>
        <v>#N/A</v>
      </c>
      <c r="S203" s="118" t="e">
        <f t="shared" ref="S203:S225" si="48">IF(R203="","",P203+Q203+R203)</f>
        <v>#N/A</v>
      </c>
      <c r="T203" s="114" t="e">
        <f t="shared" ref="T203:T225" si="49">IF(S203="","",IF($G$4="No",0,IF(N203=1,0,IF(S203&gt;=$G$5,1,0))))</f>
        <v>#N/A</v>
      </c>
      <c r="U203" s="115" t="e">
        <f>IF(T203="","",IF($D$5="Average",INDEX(Tbl_Walk_Avg[#All],MATCH('Model 2 - Permutations'!E203,Tbl_Walk_Avg[[#All],[Ride]],0),MATCH('Model 2 - Permutations'!F203,Tbl_Walk_Avg[#Headers],0)),INDEX(Tbl_Walk_Leisure[#All],MATCH('Model 2 - Permutations'!E203,Tbl_Walk_Leisure[[#All],[Ride]],0),MATCH('Model 2 - Permutations'!F203,Tbl_Walk_Leisure[#Headers],0))))</f>
        <v>#N/A</v>
      </c>
      <c r="V203" s="113" t="e">
        <f t="shared" ref="V203:V225" si="50">IF(U203="","",IF((S203+T203*$G$6+U203)&gt;$D$7,"",S203+T203*$G$6+U203))</f>
        <v>#N/A</v>
      </c>
      <c r="W203" s="116" t="e">
        <f>IF(V203="","",IF($D$14="Weekday",INDEX(Tbl_Wait_Wkday[#All],MATCH('Model 2 - Permutations'!V203,Tbl_Wait_Wkday[[#All],[Time]],1),MATCH('Model 2 - Permutations'!F203,Tbl_Wait_Wkday[#Headers],0)),INDEX(Tbl_Wait_Wkend[#All],MATCH('Model 2 - Permutations'!V203,Tbl_Wait_Wkend[[#All],[Time]],1),MATCH('Model 2 - Permutations'!F203,Tbl_Wait_Wkend[#Headers],0))))</f>
        <v>#N/A</v>
      </c>
      <c r="X203" s="117" t="e">
        <f>IF(W203="","",VLOOKUP(F203,Tbl_Ride[#Data],2,FALSE))</f>
        <v>#N/A</v>
      </c>
      <c r="Y203" s="118" t="e">
        <f t="shared" ref="Y203:Y225" si="51">IF(X203="","",V203+W203+X203)</f>
        <v>#N/A</v>
      </c>
      <c r="Z203" s="114" t="e">
        <f t="shared" ref="Z203:Z225" si="52">IF(Y203="","",IF($G$4="No",0,IF((N203+T203)=1,0,IF(Y203&gt;=$G$5,1,0))))</f>
        <v>#N/A</v>
      </c>
      <c r="AA203" s="115" t="e">
        <f>IF(Z203="","",IF($D$5="Average",INDEX(Tbl_Walk_Avg[#All],MATCH('Model 2 - Permutations'!F203,Tbl_Walk_Avg[[#All],[Ride]],0),MATCH('Model 2 - Permutations'!G203,Tbl_Walk_Avg[#Headers],0)),INDEX(Tbl_Walk_Leisure[#All],MATCH('Model 2 - Permutations'!F203,Tbl_Walk_Leisure[[#All],[Ride]],0),MATCH('Model 2 - Permutations'!G203,Tbl_Walk_Leisure[#Headers],0))))</f>
        <v>#N/A</v>
      </c>
      <c r="AB203" s="113" t="e">
        <f t="shared" ref="AB203:AB225" si="53">IF(AA203="","",IF((Y203+Z203*$G$6+AA203)&gt;$D$7,"",Y203+Z203*$G$6+AA203))</f>
        <v>#N/A</v>
      </c>
      <c r="AC203" s="116" t="e">
        <f>IF(AB203="","",IF($D$14="Weekday",INDEX(Tbl_Wait_Wkday[#All],MATCH('Model 2 - Permutations'!AB203,Tbl_Wait_Wkday[[#All],[Time]],1),MATCH('Model 2 - Permutations'!G203,Tbl_Wait_Wkday[#Headers],0)),INDEX(Tbl_Wait_Wkend[#All],MATCH('Model 2 - Permutations'!AB203,Tbl_Wait_Wkend[[#All],[Time]],1),MATCH('Model 2 - Permutations'!G203,Tbl_Wait_Wkend[#Headers],0))))</f>
        <v>#N/A</v>
      </c>
      <c r="AD203" s="117" t="e">
        <f>IF(AC203="","",VLOOKUP(G203,Tbl_Ride[#Data],2,FALSE))</f>
        <v>#N/A</v>
      </c>
      <c r="AE203" s="118" t="e">
        <f t="shared" ref="AE203:AE225" si="54">IF(AD203="","",AB203+AC203+AD203)</f>
        <v>#N/A</v>
      </c>
      <c r="AF203" s="114" t="e">
        <f t="shared" ref="AF203:AF225" si="55">IF(AE203="","",IF($G$4="No",0,IF((N203+T203+Z203)=1,0,IF(AE203&gt;=$G$5,1,0))))</f>
        <v>#N/A</v>
      </c>
      <c r="AG203" s="115" t="e">
        <f>IF(AF203="","",IF($D$5="Average",INDEX(Tbl_Walk_Avg[#All],MATCH('Model 2 - Permutations'!G203,Tbl_Walk_Avg[[#All],[Ride]],0),MATCH('Model 2 - Permutations'!H203,Tbl_Walk_Avg[#Headers],0)),INDEX(Tbl_Walk_Leisure[#All],MATCH('Model 2 - Permutations'!G203,Tbl_Walk_Leisure[[#All],[Ride]],0),MATCH('Model 2 - Permutations'!H203,Tbl_Walk_Leisure[#Headers],0))))</f>
        <v>#N/A</v>
      </c>
      <c r="AH203" s="113" t="e">
        <f t="shared" ref="AH203:AH225" si="56">IF(AG203="","",IF((AE203+AF203*$G$6+AG203)&gt;$D$7,"",AE203+AF203*$G$6+AG203))</f>
        <v>#N/A</v>
      </c>
      <c r="AI203" s="116" t="e">
        <f>IF(AH203="","",IF($D$14="Weekday",INDEX(Tbl_Wait_Wkday[#All],MATCH('Model 2 - Permutations'!AH203,Tbl_Wait_Wkday[[#All],[Time]],1),MATCH('Model 2 - Permutations'!H203,Tbl_Wait_Wkday[#Headers],0)),INDEX(Tbl_Wait_Wkend[#All],MATCH('Model 2 - Permutations'!AH203,Tbl_Wait_Wkend[[#All],[Time]],1),MATCH('Model 2 - Permutations'!H203,Tbl_Wait_Wkend[#Headers],0))))</f>
        <v>#N/A</v>
      </c>
      <c r="AJ203" s="117" t="e">
        <f>IF(AI203="","",VLOOKUP(H203,Tbl_Ride[#Data],2,FALSE))</f>
        <v>#N/A</v>
      </c>
      <c r="AK203" s="118" t="e">
        <f t="shared" ref="AK203:AK225" si="57">IF(AJ203="","",AH203+AI203+AJ203)</f>
        <v>#N/A</v>
      </c>
      <c r="AL203" s="119" t="e">
        <f t="shared" ref="AL203:AL225" si="58">IF(AK203="",$R$5,IFERROR(O203+U203+AA203+AG203,$R$5))</f>
        <v>#N/A</v>
      </c>
      <c r="AM203" s="119" t="str">
        <f t="shared" ref="AM203:AM225" si="59">IFERROR(Q203+W203+AC203+AI203,$R$5)</f>
        <v>Incomplete</v>
      </c>
      <c r="AN203" s="119" t="str">
        <f t="shared" ref="AN203:AN225" si="60">IFERROR(SUM(AL203+AM203),$R$5)</f>
        <v>Incomplete</v>
      </c>
      <c r="AP203" s="81"/>
      <c r="AR203" s="81"/>
    </row>
    <row r="204" spans="3:48">
      <c r="C204" s="111">
        <v>3</v>
      </c>
      <c r="D204" s="111" t="s">
        <v>66</v>
      </c>
      <c r="E204" s="112" t="str">
        <f t="shared" si="44"/>
        <v/>
      </c>
      <c r="F204" s="112" t="str">
        <f t="shared" si="43"/>
        <v/>
      </c>
      <c r="G204" s="112" t="str">
        <f t="shared" si="43"/>
        <v/>
      </c>
      <c r="H204" s="112" t="str">
        <f t="shared" si="43"/>
        <v/>
      </c>
      <c r="I204" s="79">
        <v>1</v>
      </c>
      <c r="J204" s="79">
        <v>3</v>
      </c>
      <c r="K204" s="79">
        <v>2</v>
      </c>
      <c r="L204" s="79">
        <v>4</v>
      </c>
      <c r="M204" s="113">
        <f t="shared" si="45"/>
        <v>0.5</v>
      </c>
      <c r="N204" s="114">
        <f t="shared" si="46"/>
        <v>0</v>
      </c>
      <c r="O204" s="115" t="e">
        <f>IF($D$5="Average",INDEX(Tbl_Walk_Avg[#All],MATCH('Model 2 - Permutations'!D204,Tbl_Walk_Avg[[#All],[Ride]],0),MATCH('Model 2 - Permutations'!E204,Tbl_Walk_Avg[#Headers],0)),INDEX(Tbl_Walk_Leisure[#All],MATCH('Model 2 - Permutations'!D204,Tbl_Walk_Leisure[[#All],[Ride]],0),MATCH('Model 2 - Permutations'!E204,Tbl_Walk_Leisure[#Headers],0)))</f>
        <v>#N/A</v>
      </c>
      <c r="P204" s="113" t="e">
        <f t="shared" si="47"/>
        <v>#N/A</v>
      </c>
      <c r="Q204" s="116" t="e">
        <f>IF(P204="","",IF($D$14="Weekday",INDEX(Tbl_Wait_Wkday[#All],MATCH('Model 2 - Permutations'!P204,Tbl_Wait_Wkday[[#All],[Time]],1),MATCH('Model 2 - Permutations'!E204,Tbl_Wait_Wkday[#Headers],0)),INDEX(Tbl_Wait_Wkend[#All],MATCH('Model 2 - Permutations'!P204,Tbl_Wait_Wkend[[#All],[Time]],1),MATCH('Model 2 - Permutations'!E204,Tbl_Wait_Wkend[#Headers],0))))</f>
        <v>#N/A</v>
      </c>
      <c r="R204" s="117" t="e">
        <f>IF(Q204="","",VLOOKUP(E204,Tbl_Ride[#Data],2,FALSE))</f>
        <v>#N/A</v>
      </c>
      <c r="S204" s="118" t="e">
        <f t="shared" si="48"/>
        <v>#N/A</v>
      </c>
      <c r="T204" s="114" t="e">
        <f t="shared" si="49"/>
        <v>#N/A</v>
      </c>
      <c r="U204" s="115" t="e">
        <f>IF(T204="","",IF($D$5="Average",INDEX(Tbl_Walk_Avg[#All],MATCH('Model 2 - Permutations'!E204,Tbl_Walk_Avg[[#All],[Ride]],0),MATCH('Model 2 - Permutations'!F204,Tbl_Walk_Avg[#Headers],0)),INDEX(Tbl_Walk_Leisure[#All],MATCH('Model 2 - Permutations'!E204,Tbl_Walk_Leisure[[#All],[Ride]],0),MATCH('Model 2 - Permutations'!F204,Tbl_Walk_Leisure[#Headers],0))))</f>
        <v>#N/A</v>
      </c>
      <c r="V204" s="113" t="e">
        <f t="shared" si="50"/>
        <v>#N/A</v>
      </c>
      <c r="W204" s="116" t="e">
        <f>IF(V204="","",IF($D$14="Weekday",INDEX(Tbl_Wait_Wkday[#All],MATCH('Model 2 - Permutations'!V204,Tbl_Wait_Wkday[[#All],[Time]],1),MATCH('Model 2 - Permutations'!F204,Tbl_Wait_Wkday[#Headers],0)),INDEX(Tbl_Wait_Wkend[#All],MATCH('Model 2 - Permutations'!V204,Tbl_Wait_Wkend[[#All],[Time]],1),MATCH('Model 2 - Permutations'!F204,Tbl_Wait_Wkend[#Headers],0))))</f>
        <v>#N/A</v>
      </c>
      <c r="X204" s="117" t="e">
        <f>IF(W204="","",VLOOKUP(F204,Tbl_Ride[#Data],2,FALSE))</f>
        <v>#N/A</v>
      </c>
      <c r="Y204" s="118" t="e">
        <f t="shared" si="51"/>
        <v>#N/A</v>
      </c>
      <c r="Z204" s="114" t="e">
        <f t="shared" si="52"/>
        <v>#N/A</v>
      </c>
      <c r="AA204" s="115" t="e">
        <f>IF(Z204="","",IF($D$5="Average",INDEX(Tbl_Walk_Avg[#All],MATCH('Model 2 - Permutations'!F204,Tbl_Walk_Avg[[#All],[Ride]],0),MATCH('Model 2 - Permutations'!G204,Tbl_Walk_Avg[#Headers],0)),INDEX(Tbl_Walk_Leisure[#All],MATCH('Model 2 - Permutations'!F204,Tbl_Walk_Leisure[[#All],[Ride]],0),MATCH('Model 2 - Permutations'!G204,Tbl_Walk_Leisure[#Headers],0))))</f>
        <v>#N/A</v>
      </c>
      <c r="AB204" s="113" t="e">
        <f t="shared" si="53"/>
        <v>#N/A</v>
      </c>
      <c r="AC204" s="116" t="e">
        <f>IF(AB204="","",IF($D$14="Weekday",INDEX(Tbl_Wait_Wkday[#All],MATCH('Model 2 - Permutations'!AB204,Tbl_Wait_Wkday[[#All],[Time]],1),MATCH('Model 2 - Permutations'!G204,Tbl_Wait_Wkday[#Headers],0)),INDEX(Tbl_Wait_Wkend[#All],MATCH('Model 2 - Permutations'!AB204,Tbl_Wait_Wkend[[#All],[Time]],1),MATCH('Model 2 - Permutations'!G204,Tbl_Wait_Wkend[#Headers],0))))</f>
        <v>#N/A</v>
      </c>
      <c r="AD204" s="117" t="e">
        <f>IF(AC204="","",VLOOKUP(G204,Tbl_Ride[#Data],2,FALSE))</f>
        <v>#N/A</v>
      </c>
      <c r="AE204" s="118" t="e">
        <f t="shared" si="54"/>
        <v>#N/A</v>
      </c>
      <c r="AF204" s="114" t="e">
        <f t="shared" si="55"/>
        <v>#N/A</v>
      </c>
      <c r="AG204" s="115" t="e">
        <f>IF(AF204="","",IF($D$5="Average",INDEX(Tbl_Walk_Avg[#All],MATCH('Model 2 - Permutations'!G204,Tbl_Walk_Avg[[#All],[Ride]],0),MATCH('Model 2 - Permutations'!H204,Tbl_Walk_Avg[#Headers],0)),INDEX(Tbl_Walk_Leisure[#All],MATCH('Model 2 - Permutations'!G204,Tbl_Walk_Leisure[[#All],[Ride]],0),MATCH('Model 2 - Permutations'!H204,Tbl_Walk_Leisure[#Headers],0))))</f>
        <v>#N/A</v>
      </c>
      <c r="AH204" s="113" t="e">
        <f t="shared" si="56"/>
        <v>#N/A</v>
      </c>
      <c r="AI204" s="116" t="e">
        <f>IF(AH204="","",IF($D$14="Weekday",INDEX(Tbl_Wait_Wkday[#All],MATCH('Model 2 - Permutations'!AH204,Tbl_Wait_Wkday[[#All],[Time]],1),MATCH('Model 2 - Permutations'!H204,Tbl_Wait_Wkday[#Headers],0)),INDEX(Tbl_Wait_Wkend[#All],MATCH('Model 2 - Permutations'!AH204,Tbl_Wait_Wkend[[#All],[Time]],1),MATCH('Model 2 - Permutations'!H204,Tbl_Wait_Wkend[#Headers],0))))</f>
        <v>#N/A</v>
      </c>
      <c r="AJ204" s="117" t="e">
        <f>IF(AI204="","",VLOOKUP(H204,Tbl_Ride[#Data],2,FALSE))</f>
        <v>#N/A</v>
      </c>
      <c r="AK204" s="118" t="e">
        <f t="shared" si="57"/>
        <v>#N/A</v>
      </c>
      <c r="AL204" s="119" t="e">
        <f t="shared" si="58"/>
        <v>#N/A</v>
      </c>
      <c r="AM204" s="119" t="str">
        <f t="shared" si="59"/>
        <v>Incomplete</v>
      </c>
      <c r="AN204" s="119" t="str">
        <f t="shared" si="60"/>
        <v>Incomplete</v>
      </c>
      <c r="AP204" s="81"/>
      <c r="AR204" s="81"/>
    </row>
    <row r="205" spans="3:48">
      <c r="C205" s="111">
        <v>4</v>
      </c>
      <c r="D205" s="111" t="s">
        <v>66</v>
      </c>
      <c r="E205" s="112" t="str">
        <f t="shared" si="44"/>
        <v/>
      </c>
      <c r="F205" s="112" t="str">
        <f t="shared" si="43"/>
        <v/>
      </c>
      <c r="G205" s="112" t="str">
        <f t="shared" si="43"/>
        <v/>
      </c>
      <c r="H205" s="112" t="str">
        <f t="shared" si="43"/>
        <v/>
      </c>
      <c r="I205" s="79">
        <v>1</v>
      </c>
      <c r="J205" s="79">
        <v>3</v>
      </c>
      <c r="K205" s="79">
        <v>4</v>
      </c>
      <c r="L205" s="79">
        <v>2</v>
      </c>
      <c r="M205" s="113">
        <f t="shared" si="45"/>
        <v>0.5</v>
      </c>
      <c r="N205" s="114">
        <f t="shared" si="46"/>
        <v>0</v>
      </c>
      <c r="O205" s="115" t="e">
        <f>IF($D$5="Average",INDEX(Tbl_Walk_Avg[#All],MATCH('Model 2 - Permutations'!D205,Tbl_Walk_Avg[[#All],[Ride]],0),MATCH('Model 2 - Permutations'!E205,Tbl_Walk_Avg[#Headers],0)),INDEX(Tbl_Walk_Leisure[#All],MATCH('Model 2 - Permutations'!D205,Tbl_Walk_Leisure[[#All],[Ride]],0),MATCH('Model 2 - Permutations'!E205,Tbl_Walk_Leisure[#Headers],0)))</f>
        <v>#N/A</v>
      </c>
      <c r="P205" s="113" t="e">
        <f t="shared" si="47"/>
        <v>#N/A</v>
      </c>
      <c r="Q205" s="116" t="e">
        <f>IF(P205="","",IF($D$14="Weekday",INDEX(Tbl_Wait_Wkday[#All],MATCH('Model 2 - Permutations'!P205,Tbl_Wait_Wkday[[#All],[Time]],1),MATCH('Model 2 - Permutations'!E205,Tbl_Wait_Wkday[#Headers],0)),INDEX(Tbl_Wait_Wkend[#All],MATCH('Model 2 - Permutations'!P205,Tbl_Wait_Wkend[[#All],[Time]],1),MATCH('Model 2 - Permutations'!E205,Tbl_Wait_Wkend[#Headers],0))))</f>
        <v>#N/A</v>
      </c>
      <c r="R205" s="117" t="e">
        <f>IF(Q205="","",VLOOKUP(E205,Tbl_Ride[#Data],2,FALSE))</f>
        <v>#N/A</v>
      </c>
      <c r="S205" s="118" t="e">
        <f t="shared" si="48"/>
        <v>#N/A</v>
      </c>
      <c r="T205" s="114" t="e">
        <f t="shared" si="49"/>
        <v>#N/A</v>
      </c>
      <c r="U205" s="115" t="e">
        <f>IF(T205="","",IF($D$5="Average",INDEX(Tbl_Walk_Avg[#All],MATCH('Model 2 - Permutations'!E205,Tbl_Walk_Avg[[#All],[Ride]],0),MATCH('Model 2 - Permutations'!F205,Tbl_Walk_Avg[#Headers],0)),INDEX(Tbl_Walk_Leisure[#All],MATCH('Model 2 - Permutations'!E205,Tbl_Walk_Leisure[[#All],[Ride]],0),MATCH('Model 2 - Permutations'!F205,Tbl_Walk_Leisure[#Headers],0))))</f>
        <v>#N/A</v>
      </c>
      <c r="V205" s="113" t="e">
        <f t="shared" si="50"/>
        <v>#N/A</v>
      </c>
      <c r="W205" s="116" t="e">
        <f>IF(V205="","",IF($D$14="Weekday",INDEX(Tbl_Wait_Wkday[#All],MATCH('Model 2 - Permutations'!V205,Tbl_Wait_Wkday[[#All],[Time]],1),MATCH('Model 2 - Permutations'!F205,Tbl_Wait_Wkday[#Headers],0)),INDEX(Tbl_Wait_Wkend[#All],MATCH('Model 2 - Permutations'!V205,Tbl_Wait_Wkend[[#All],[Time]],1),MATCH('Model 2 - Permutations'!F205,Tbl_Wait_Wkend[#Headers],0))))</f>
        <v>#N/A</v>
      </c>
      <c r="X205" s="117" t="e">
        <f>IF(W205="","",VLOOKUP(F205,Tbl_Ride[#Data],2,FALSE))</f>
        <v>#N/A</v>
      </c>
      <c r="Y205" s="118" t="e">
        <f t="shared" si="51"/>
        <v>#N/A</v>
      </c>
      <c r="Z205" s="114" t="e">
        <f t="shared" si="52"/>
        <v>#N/A</v>
      </c>
      <c r="AA205" s="115" t="e">
        <f>IF(Z205="","",IF($D$5="Average",INDEX(Tbl_Walk_Avg[#All],MATCH('Model 2 - Permutations'!F205,Tbl_Walk_Avg[[#All],[Ride]],0),MATCH('Model 2 - Permutations'!G205,Tbl_Walk_Avg[#Headers],0)),INDEX(Tbl_Walk_Leisure[#All],MATCH('Model 2 - Permutations'!F205,Tbl_Walk_Leisure[[#All],[Ride]],0),MATCH('Model 2 - Permutations'!G205,Tbl_Walk_Leisure[#Headers],0))))</f>
        <v>#N/A</v>
      </c>
      <c r="AB205" s="113" t="e">
        <f t="shared" si="53"/>
        <v>#N/A</v>
      </c>
      <c r="AC205" s="116" t="e">
        <f>IF(AB205="","",IF($D$14="Weekday",INDEX(Tbl_Wait_Wkday[#All],MATCH('Model 2 - Permutations'!AB205,Tbl_Wait_Wkday[[#All],[Time]],1),MATCH('Model 2 - Permutations'!G205,Tbl_Wait_Wkday[#Headers],0)),INDEX(Tbl_Wait_Wkend[#All],MATCH('Model 2 - Permutations'!AB205,Tbl_Wait_Wkend[[#All],[Time]],1),MATCH('Model 2 - Permutations'!G205,Tbl_Wait_Wkend[#Headers],0))))</f>
        <v>#N/A</v>
      </c>
      <c r="AD205" s="117" t="e">
        <f>IF(AC205="","",VLOOKUP(G205,Tbl_Ride[#Data],2,FALSE))</f>
        <v>#N/A</v>
      </c>
      <c r="AE205" s="118" t="e">
        <f t="shared" si="54"/>
        <v>#N/A</v>
      </c>
      <c r="AF205" s="114" t="e">
        <f t="shared" si="55"/>
        <v>#N/A</v>
      </c>
      <c r="AG205" s="115" t="e">
        <f>IF(AF205="","",IF($D$5="Average",INDEX(Tbl_Walk_Avg[#All],MATCH('Model 2 - Permutations'!G205,Tbl_Walk_Avg[[#All],[Ride]],0),MATCH('Model 2 - Permutations'!H205,Tbl_Walk_Avg[#Headers],0)),INDEX(Tbl_Walk_Leisure[#All],MATCH('Model 2 - Permutations'!G205,Tbl_Walk_Leisure[[#All],[Ride]],0),MATCH('Model 2 - Permutations'!H205,Tbl_Walk_Leisure[#Headers],0))))</f>
        <v>#N/A</v>
      </c>
      <c r="AH205" s="113" t="e">
        <f t="shared" si="56"/>
        <v>#N/A</v>
      </c>
      <c r="AI205" s="116" t="e">
        <f>IF(AH205="","",IF($D$14="Weekday",INDEX(Tbl_Wait_Wkday[#All],MATCH('Model 2 - Permutations'!AH205,Tbl_Wait_Wkday[[#All],[Time]],1),MATCH('Model 2 - Permutations'!H205,Tbl_Wait_Wkday[#Headers],0)),INDEX(Tbl_Wait_Wkend[#All],MATCH('Model 2 - Permutations'!AH205,Tbl_Wait_Wkend[[#All],[Time]],1),MATCH('Model 2 - Permutations'!H205,Tbl_Wait_Wkend[#Headers],0))))</f>
        <v>#N/A</v>
      </c>
      <c r="AJ205" s="117" t="e">
        <f>IF(AI205="","",VLOOKUP(H205,Tbl_Ride[#Data],2,FALSE))</f>
        <v>#N/A</v>
      </c>
      <c r="AK205" s="118" t="e">
        <f t="shared" si="57"/>
        <v>#N/A</v>
      </c>
      <c r="AL205" s="119" t="e">
        <f t="shared" si="58"/>
        <v>#N/A</v>
      </c>
      <c r="AM205" s="119" t="str">
        <f t="shared" si="59"/>
        <v>Incomplete</v>
      </c>
      <c r="AN205" s="119" t="str">
        <f t="shared" si="60"/>
        <v>Incomplete</v>
      </c>
      <c r="AP205" s="81"/>
      <c r="AR205" s="81"/>
    </row>
    <row r="206" spans="3:48">
      <c r="C206" s="111">
        <v>5</v>
      </c>
      <c r="D206" s="111" t="s">
        <v>66</v>
      </c>
      <c r="E206" s="112" t="str">
        <f t="shared" si="44"/>
        <v/>
      </c>
      <c r="F206" s="112" t="str">
        <f t="shared" si="43"/>
        <v/>
      </c>
      <c r="G206" s="112" t="str">
        <f t="shared" si="43"/>
        <v/>
      </c>
      <c r="H206" s="112" t="str">
        <f t="shared" si="43"/>
        <v/>
      </c>
      <c r="I206" s="79">
        <v>1</v>
      </c>
      <c r="J206" s="79">
        <v>4</v>
      </c>
      <c r="K206" s="79">
        <v>2</v>
      </c>
      <c r="L206" s="79">
        <v>3</v>
      </c>
      <c r="M206" s="113">
        <f t="shared" si="45"/>
        <v>0.5</v>
      </c>
      <c r="N206" s="114">
        <f t="shared" si="46"/>
        <v>0</v>
      </c>
      <c r="O206" s="115" t="e">
        <f>IF($D$5="Average",INDEX(Tbl_Walk_Avg[#All],MATCH('Model 2 - Permutations'!D206,Tbl_Walk_Avg[[#All],[Ride]],0),MATCH('Model 2 - Permutations'!E206,Tbl_Walk_Avg[#Headers],0)),INDEX(Tbl_Walk_Leisure[#All],MATCH('Model 2 - Permutations'!D206,Tbl_Walk_Leisure[[#All],[Ride]],0),MATCH('Model 2 - Permutations'!E206,Tbl_Walk_Leisure[#Headers],0)))</f>
        <v>#N/A</v>
      </c>
      <c r="P206" s="113" t="e">
        <f t="shared" si="47"/>
        <v>#N/A</v>
      </c>
      <c r="Q206" s="116" t="e">
        <f>IF(P206="","",IF($D$14="Weekday",INDEX(Tbl_Wait_Wkday[#All],MATCH('Model 2 - Permutations'!P206,Tbl_Wait_Wkday[[#All],[Time]],1),MATCH('Model 2 - Permutations'!E206,Tbl_Wait_Wkday[#Headers],0)),INDEX(Tbl_Wait_Wkend[#All],MATCH('Model 2 - Permutations'!P206,Tbl_Wait_Wkend[[#All],[Time]],1),MATCH('Model 2 - Permutations'!E206,Tbl_Wait_Wkend[#Headers],0))))</f>
        <v>#N/A</v>
      </c>
      <c r="R206" s="117" t="e">
        <f>IF(Q206="","",VLOOKUP(E206,Tbl_Ride[#Data],2,FALSE))</f>
        <v>#N/A</v>
      </c>
      <c r="S206" s="118" t="e">
        <f t="shared" si="48"/>
        <v>#N/A</v>
      </c>
      <c r="T206" s="114" t="e">
        <f t="shared" si="49"/>
        <v>#N/A</v>
      </c>
      <c r="U206" s="115" t="e">
        <f>IF(T206="","",IF($D$5="Average",INDEX(Tbl_Walk_Avg[#All],MATCH('Model 2 - Permutations'!E206,Tbl_Walk_Avg[[#All],[Ride]],0),MATCH('Model 2 - Permutations'!F206,Tbl_Walk_Avg[#Headers],0)),INDEX(Tbl_Walk_Leisure[#All],MATCH('Model 2 - Permutations'!E206,Tbl_Walk_Leisure[[#All],[Ride]],0),MATCH('Model 2 - Permutations'!F206,Tbl_Walk_Leisure[#Headers],0))))</f>
        <v>#N/A</v>
      </c>
      <c r="V206" s="113" t="e">
        <f t="shared" si="50"/>
        <v>#N/A</v>
      </c>
      <c r="W206" s="116" t="e">
        <f>IF(V206="","",IF($D$14="Weekday",INDEX(Tbl_Wait_Wkday[#All],MATCH('Model 2 - Permutations'!V206,Tbl_Wait_Wkday[[#All],[Time]],1),MATCH('Model 2 - Permutations'!F206,Tbl_Wait_Wkday[#Headers],0)),INDEX(Tbl_Wait_Wkend[#All],MATCH('Model 2 - Permutations'!V206,Tbl_Wait_Wkend[[#All],[Time]],1),MATCH('Model 2 - Permutations'!F206,Tbl_Wait_Wkend[#Headers],0))))</f>
        <v>#N/A</v>
      </c>
      <c r="X206" s="117" t="e">
        <f>IF(W206="","",VLOOKUP(F206,Tbl_Ride[#Data],2,FALSE))</f>
        <v>#N/A</v>
      </c>
      <c r="Y206" s="118" t="e">
        <f t="shared" si="51"/>
        <v>#N/A</v>
      </c>
      <c r="Z206" s="114" t="e">
        <f t="shared" si="52"/>
        <v>#N/A</v>
      </c>
      <c r="AA206" s="115" t="e">
        <f>IF(Z206="","",IF($D$5="Average",INDEX(Tbl_Walk_Avg[#All],MATCH('Model 2 - Permutations'!F206,Tbl_Walk_Avg[[#All],[Ride]],0),MATCH('Model 2 - Permutations'!G206,Tbl_Walk_Avg[#Headers],0)),INDEX(Tbl_Walk_Leisure[#All],MATCH('Model 2 - Permutations'!F206,Tbl_Walk_Leisure[[#All],[Ride]],0),MATCH('Model 2 - Permutations'!G206,Tbl_Walk_Leisure[#Headers],0))))</f>
        <v>#N/A</v>
      </c>
      <c r="AB206" s="113" t="e">
        <f t="shared" si="53"/>
        <v>#N/A</v>
      </c>
      <c r="AC206" s="116" t="e">
        <f>IF(AB206="","",IF($D$14="Weekday",INDEX(Tbl_Wait_Wkday[#All],MATCH('Model 2 - Permutations'!AB206,Tbl_Wait_Wkday[[#All],[Time]],1),MATCH('Model 2 - Permutations'!G206,Tbl_Wait_Wkday[#Headers],0)),INDEX(Tbl_Wait_Wkend[#All],MATCH('Model 2 - Permutations'!AB206,Tbl_Wait_Wkend[[#All],[Time]],1),MATCH('Model 2 - Permutations'!G206,Tbl_Wait_Wkend[#Headers],0))))</f>
        <v>#N/A</v>
      </c>
      <c r="AD206" s="117" t="e">
        <f>IF(AC206="","",VLOOKUP(G206,Tbl_Ride[#Data],2,FALSE))</f>
        <v>#N/A</v>
      </c>
      <c r="AE206" s="118" t="e">
        <f t="shared" si="54"/>
        <v>#N/A</v>
      </c>
      <c r="AF206" s="114" t="e">
        <f t="shared" si="55"/>
        <v>#N/A</v>
      </c>
      <c r="AG206" s="115" t="e">
        <f>IF(AF206="","",IF($D$5="Average",INDEX(Tbl_Walk_Avg[#All],MATCH('Model 2 - Permutations'!G206,Tbl_Walk_Avg[[#All],[Ride]],0),MATCH('Model 2 - Permutations'!H206,Tbl_Walk_Avg[#Headers],0)),INDEX(Tbl_Walk_Leisure[#All],MATCH('Model 2 - Permutations'!G206,Tbl_Walk_Leisure[[#All],[Ride]],0),MATCH('Model 2 - Permutations'!H206,Tbl_Walk_Leisure[#Headers],0))))</f>
        <v>#N/A</v>
      </c>
      <c r="AH206" s="113" t="e">
        <f t="shared" si="56"/>
        <v>#N/A</v>
      </c>
      <c r="AI206" s="116" t="e">
        <f>IF(AH206="","",IF($D$14="Weekday",INDEX(Tbl_Wait_Wkday[#All],MATCH('Model 2 - Permutations'!AH206,Tbl_Wait_Wkday[[#All],[Time]],1),MATCH('Model 2 - Permutations'!H206,Tbl_Wait_Wkday[#Headers],0)),INDEX(Tbl_Wait_Wkend[#All],MATCH('Model 2 - Permutations'!AH206,Tbl_Wait_Wkend[[#All],[Time]],1),MATCH('Model 2 - Permutations'!H206,Tbl_Wait_Wkend[#Headers],0))))</f>
        <v>#N/A</v>
      </c>
      <c r="AJ206" s="117" t="e">
        <f>IF(AI206="","",VLOOKUP(H206,Tbl_Ride[#Data],2,FALSE))</f>
        <v>#N/A</v>
      </c>
      <c r="AK206" s="118" t="e">
        <f t="shared" si="57"/>
        <v>#N/A</v>
      </c>
      <c r="AL206" s="119" t="e">
        <f t="shared" si="58"/>
        <v>#N/A</v>
      </c>
      <c r="AM206" s="119" t="str">
        <f t="shared" si="59"/>
        <v>Incomplete</v>
      </c>
      <c r="AN206" s="119" t="str">
        <f t="shared" si="60"/>
        <v>Incomplete</v>
      </c>
      <c r="AP206" s="81"/>
      <c r="AR206" s="81"/>
    </row>
    <row r="207" spans="3:48">
      <c r="C207" s="111">
        <v>6</v>
      </c>
      <c r="D207" s="111" t="s">
        <v>66</v>
      </c>
      <c r="E207" s="112" t="str">
        <f t="shared" si="44"/>
        <v/>
      </c>
      <c r="F207" s="112" t="str">
        <f t="shared" si="43"/>
        <v/>
      </c>
      <c r="G207" s="112" t="str">
        <f t="shared" si="43"/>
        <v/>
      </c>
      <c r="H207" s="112" t="str">
        <f t="shared" si="43"/>
        <v/>
      </c>
      <c r="I207" s="79">
        <v>1</v>
      </c>
      <c r="J207" s="79">
        <v>4</v>
      </c>
      <c r="K207" s="79">
        <v>3</v>
      </c>
      <c r="L207" s="79">
        <v>2</v>
      </c>
      <c r="M207" s="113">
        <f t="shared" si="45"/>
        <v>0.5</v>
      </c>
      <c r="N207" s="114">
        <f t="shared" si="46"/>
        <v>0</v>
      </c>
      <c r="O207" s="115" t="e">
        <f>IF($D$5="Average",INDEX(Tbl_Walk_Avg[#All],MATCH('Model 2 - Permutations'!D207,Tbl_Walk_Avg[[#All],[Ride]],0),MATCH('Model 2 - Permutations'!E207,Tbl_Walk_Avg[#Headers],0)),INDEX(Tbl_Walk_Leisure[#All],MATCH('Model 2 - Permutations'!D207,Tbl_Walk_Leisure[[#All],[Ride]],0),MATCH('Model 2 - Permutations'!E207,Tbl_Walk_Leisure[#Headers],0)))</f>
        <v>#N/A</v>
      </c>
      <c r="P207" s="113" t="e">
        <f t="shared" si="47"/>
        <v>#N/A</v>
      </c>
      <c r="Q207" s="116" t="e">
        <f>IF(P207="","",IF($D$14="Weekday",INDEX(Tbl_Wait_Wkday[#All],MATCH('Model 2 - Permutations'!P207,Tbl_Wait_Wkday[[#All],[Time]],1),MATCH('Model 2 - Permutations'!E207,Tbl_Wait_Wkday[#Headers],0)),INDEX(Tbl_Wait_Wkend[#All],MATCH('Model 2 - Permutations'!P207,Tbl_Wait_Wkend[[#All],[Time]],1),MATCH('Model 2 - Permutations'!E207,Tbl_Wait_Wkend[#Headers],0))))</f>
        <v>#N/A</v>
      </c>
      <c r="R207" s="117" t="e">
        <f>IF(Q207="","",VLOOKUP(E207,Tbl_Ride[#Data],2,FALSE))</f>
        <v>#N/A</v>
      </c>
      <c r="S207" s="118" t="e">
        <f t="shared" si="48"/>
        <v>#N/A</v>
      </c>
      <c r="T207" s="114" t="e">
        <f t="shared" si="49"/>
        <v>#N/A</v>
      </c>
      <c r="U207" s="115" t="e">
        <f>IF(T207="","",IF($D$5="Average",INDEX(Tbl_Walk_Avg[#All],MATCH('Model 2 - Permutations'!E207,Tbl_Walk_Avg[[#All],[Ride]],0),MATCH('Model 2 - Permutations'!F207,Tbl_Walk_Avg[#Headers],0)),INDEX(Tbl_Walk_Leisure[#All],MATCH('Model 2 - Permutations'!E207,Tbl_Walk_Leisure[[#All],[Ride]],0),MATCH('Model 2 - Permutations'!F207,Tbl_Walk_Leisure[#Headers],0))))</f>
        <v>#N/A</v>
      </c>
      <c r="V207" s="113" t="e">
        <f t="shared" si="50"/>
        <v>#N/A</v>
      </c>
      <c r="W207" s="116" t="e">
        <f>IF(V207="","",IF($D$14="Weekday",INDEX(Tbl_Wait_Wkday[#All],MATCH('Model 2 - Permutations'!V207,Tbl_Wait_Wkday[[#All],[Time]],1),MATCH('Model 2 - Permutations'!F207,Tbl_Wait_Wkday[#Headers],0)),INDEX(Tbl_Wait_Wkend[#All],MATCH('Model 2 - Permutations'!V207,Tbl_Wait_Wkend[[#All],[Time]],1),MATCH('Model 2 - Permutations'!F207,Tbl_Wait_Wkend[#Headers],0))))</f>
        <v>#N/A</v>
      </c>
      <c r="X207" s="117" t="e">
        <f>IF(W207="","",VLOOKUP(F207,Tbl_Ride[#Data],2,FALSE))</f>
        <v>#N/A</v>
      </c>
      <c r="Y207" s="118" t="e">
        <f t="shared" si="51"/>
        <v>#N/A</v>
      </c>
      <c r="Z207" s="114" t="e">
        <f t="shared" si="52"/>
        <v>#N/A</v>
      </c>
      <c r="AA207" s="115" t="e">
        <f>IF(Z207="","",IF($D$5="Average",INDEX(Tbl_Walk_Avg[#All],MATCH('Model 2 - Permutations'!F207,Tbl_Walk_Avg[[#All],[Ride]],0),MATCH('Model 2 - Permutations'!G207,Tbl_Walk_Avg[#Headers],0)),INDEX(Tbl_Walk_Leisure[#All],MATCH('Model 2 - Permutations'!F207,Tbl_Walk_Leisure[[#All],[Ride]],0),MATCH('Model 2 - Permutations'!G207,Tbl_Walk_Leisure[#Headers],0))))</f>
        <v>#N/A</v>
      </c>
      <c r="AB207" s="113" t="e">
        <f t="shared" si="53"/>
        <v>#N/A</v>
      </c>
      <c r="AC207" s="116" t="e">
        <f>IF(AB207="","",IF($D$14="Weekday",INDEX(Tbl_Wait_Wkday[#All],MATCH('Model 2 - Permutations'!AB207,Tbl_Wait_Wkday[[#All],[Time]],1),MATCH('Model 2 - Permutations'!G207,Tbl_Wait_Wkday[#Headers],0)),INDEX(Tbl_Wait_Wkend[#All],MATCH('Model 2 - Permutations'!AB207,Tbl_Wait_Wkend[[#All],[Time]],1),MATCH('Model 2 - Permutations'!G207,Tbl_Wait_Wkend[#Headers],0))))</f>
        <v>#N/A</v>
      </c>
      <c r="AD207" s="117" t="e">
        <f>IF(AC207="","",VLOOKUP(G207,Tbl_Ride[#Data],2,FALSE))</f>
        <v>#N/A</v>
      </c>
      <c r="AE207" s="118" t="e">
        <f t="shared" si="54"/>
        <v>#N/A</v>
      </c>
      <c r="AF207" s="114" t="e">
        <f t="shared" si="55"/>
        <v>#N/A</v>
      </c>
      <c r="AG207" s="115" t="e">
        <f>IF(AF207="","",IF($D$5="Average",INDEX(Tbl_Walk_Avg[#All],MATCH('Model 2 - Permutations'!G207,Tbl_Walk_Avg[[#All],[Ride]],0),MATCH('Model 2 - Permutations'!H207,Tbl_Walk_Avg[#Headers],0)),INDEX(Tbl_Walk_Leisure[#All],MATCH('Model 2 - Permutations'!G207,Tbl_Walk_Leisure[[#All],[Ride]],0),MATCH('Model 2 - Permutations'!H207,Tbl_Walk_Leisure[#Headers],0))))</f>
        <v>#N/A</v>
      </c>
      <c r="AH207" s="113" t="e">
        <f t="shared" si="56"/>
        <v>#N/A</v>
      </c>
      <c r="AI207" s="116" t="e">
        <f>IF(AH207="","",IF($D$14="Weekday",INDEX(Tbl_Wait_Wkday[#All],MATCH('Model 2 - Permutations'!AH207,Tbl_Wait_Wkday[[#All],[Time]],1),MATCH('Model 2 - Permutations'!H207,Tbl_Wait_Wkday[#Headers],0)),INDEX(Tbl_Wait_Wkend[#All],MATCH('Model 2 - Permutations'!AH207,Tbl_Wait_Wkend[[#All],[Time]],1),MATCH('Model 2 - Permutations'!H207,Tbl_Wait_Wkend[#Headers],0))))</f>
        <v>#N/A</v>
      </c>
      <c r="AJ207" s="117" t="e">
        <f>IF(AI207="","",VLOOKUP(H207,Tbl_Ride[#Data],2,FALSE))</f>
        <v>#N/A</v>
      </c>
      <c r="AK207" s="118" t="e">
        <f t="shared" si="57"/>
        <v>#N/A</v>
      </c>
      <c r="AL207" s="119" t="e">
        <f t="shared" si="58"/>
        <v>#N/A</v>
      </c>
      <c r="AM207" s="119" t="str">
        <f t="shared" si="59"/>
        <v>Incomplete</v>
      </c>
      <c r="AN207" s="119" t="str">
        <f t="shared" si="60"/>
        <v>Incomplete</v>
      </c>
      <c r="AR207" s="81"/>
    </row>
    <row r="208" spans="3:48">
      <c r="C208" s="111">
        <v>7</v>
      </c>
      <c r="D208" s="111" t="s">
        <v>66</v>
      </c>
      <c r="E208" s="112" t="str">
        <f t="shared" si="44"/>
        <v/>
      </c>
      <c r="F208" s="112" t="str">
        <f t="shared" si="43"/>
        <v/>
      </c>
      <c r="G208" s="112" t="str">
        <f t="shared" si="43"/>
        <v/>
      </c>
      <c r="H208" s="112" t="str">
        <f t="shared" si="43"/>
        <v/>
      </c>
      <c r="I208" s="79">
        <v>2</v>
      </c>
      <c r="J208" s="79">
        <v>1</v>
      </c>
      <c r="K208" s="79">
        <v>3</v>
      </c>
      <c r="L208" s="79">
        <v>4</v>
      </c>
      <c r="M208" s="113">
        <f t="shared" si="45"/>
        <v>0.5</v>
      </c>
      <c r="N208" s="114">
        <f t="shared" si="46"/>
        <v>0</v>
      </c>
      <c r="O208" s="115" t="e">
        <f>IF($D$5="Average",INDEX(Tbl_Walk_Avg[#All],MATCH('Model 2 - Permutations'!D208,Tbl_Walk_Avg[[#All],[Ride]],0),MATCH('Model 2 - Permutations'!E208,Tbl_Walk_Avg[#Headers],0)),INDEX(Tbl_Walk_Leisure[#All],MATCH('Model 2 - Permutations'!D208,Tbl_Walk_Leisure[[#All],[Ride]],0),MATCH('Model 2 - Permutations'!E208,Tbl_Walk_Leisure[#Headers],0)))</f>
        <v>#N/A</v>
      </c>
      <c r="P208" s="113" t="e">
        <f t="shared" si="47"/>
        <v>#N/A</v>
      </c>
      <c r="Q208" s="116" t="e">
        <f>IF(P208="","",IF($D$14="Weekday",INDEX(Tbl_Wait_Wkday[#All],MATCH('Model 2 - Permutations'!P208,Tbl_Wait_Wkday[[#All],[Time]],1),MATCH('Model 2 - Permutations'!E208,Tbl_Wait_Wkday[#Headers],0)),INDEX(Tbl_Wait_Wkend[#All],MATCH('Model 2 - Permutations'!P208,Tbl_Wait_Wkend[[#All],[Time]],1),MATCH('Model 2 - Permutations'!E208,Tbl_Wait_Wkend[#Headers],0))))</f>
        <v>#N/A</v>
      </c>
      <c r="R208" s="117" t="e">
        <f>IF(Q208="","",VLOOKUP(E208,Tbl_Ride[#Data],2,FALSE))</f>
        <v>#N/A</v>
      </c>
      <c r="S208" s="118" t="e">
        <f t="shared" si="48"/>
        <v>#N/A</v>
      </c>
      <c r="T208" s="114" t="e">
        <f t="shared" si="49"/>
        <v>#N/A</v>
      </c>
      <c r="U208" s="115" t="e">
        <f>IF(T208="","",IF($D$5="Average",INDEX(Tbl_Walk_Avg[#All],MATCH('Model 2 - Permutations'!E208,Tbl_Walk_Avg[[#All],[Ride]],0),MATCH('Model 2 - Permutations'!F208,Tbl_Walk_Avg[#Headers],0)),INDEX(Tbl_Walk_Leisure[#All],MATCH('Model 2 - Permutations'!E208,Tbl_Walk_Leisure[[#All],[Ride]],0),MATCH('Model 2 - Permutations'!F208,Tbl_Walk_Leisure[#Headers],0))))</f>
        <v>#N/A</v>
      </c>
      <c r="V208" s="113" t="e">
        <f t="shared" si="50"/>
        <v>#N/A</v>
      </c>
      <c r="W208" s="116" t="e">
        <f>IF(V208="","",IF($D$14="Weekday",INDEX(Tbl_Wait_Wkday[#All],MATCH('Model 2 - Permutations'!V208,Tbl_Wait_Wkday[[#All],[Time]],1),MATCH('Model 2 - Permutations'!F208,Tbl_Wait_Wkday[#Headers],0)),INDEX(Tbl_Wait_Wkend[#All],MATCH('Model 2 - Permutations'!V208,Tbl_Wait_Wkend[[#All],[Time]],1),MATCH('Model 2 - Permutations'!F208,Tbl_Wait_Wkend[#Headers],0))))</f>
        <v>#N/A</v>
      </c>
      <c r="X208" s="117" t="e">
        <f>IF(W208="","",VLOOKUP(F208,Tbl_Ride[#Data],2,FALSE))</f>
        <v>#N/A</v>
      </c>
      <c r="Y208" s="118" t="e">
        <f t="shared" si="51"/>
        <v>#N/A</v>
      </c>
      <c r="Z208" s="114" t="e">
        <f t="shared" si="52"/>
        <v>#N/A</v>
      </c>
      <c r="AA208" s="115" t="e">
        <f>IF(Z208="","",IF($D$5="Average",INDEX(Tbl_Walk_Avg[#All],MATCH('Model 2 - Permutations'!F208,Tbl_Walk_Avg[[#All],[Ride]],0),MATCH('Model 2 - Permutations'!G208,Tbl_Walk_Avg[#Headers],0)),INDEX(Tbl_Walk_Leisure[#All],MATCH('Model 2 - Permutations'!F208,Tbl_Walk_Leisure[[#All],[Ride]],0),MATCH('Model 2 - Permutations'!G208,Tbl_Walk_Leisure[#Headers],0))))</f>
        <v>#N/A</v>
      </c>
      <c r="AB208" s="113" t="e">
        <f t="shared" si="53"/>
        <v>#N/A</v>
      </c>
      <c r="AC208" s="116" t="e">
        <f>IF(AB208="","",IF($D$14="Weekday",INDEX(Tbl_Wait_Wkday[#All],MATCH('Model 2 - Permutations'!AB208,Tbl_Wait_Wkday[[#All],[Time]],1),MATCH('Model 2 - Permutations'!G208,Tbl_Wait_Wkday[#Headers],0)),INDEX(Tbl_Wait_Wkend[#All],MATCH('Model 2 - Permutations'!AB208,Tbl_Wait_Wkend[[#All],[Time]],1),MATCH('Model 2 - Permutations'!G208,Tbl_Wait_Wkend[#Headers],0))))</f>
        <v>#N/A</v>
      </c>
      <c r="AD208" s="117" t="e">
        <f>IF(AC208="","",VLOOKUP(G208,Tbl_Ride[#Data],2,FALSE))</f>
        <v>#N/A</v>
      </c>
      <c r="AE208" s="118" t="e">
        <f t="shared" si="54"/>
        <v>#N/A</v>
      </c>
      <c r="AF208" s="114" t="e">
        <f t="shared" si="55"/>
        <v>#N/A</v>
      </c>
      <c r="AG208" s="115" t="e">
        <f>IF(AF208="","",IF($D$5="Average",INDEX(Tbl_Walk_Avg[#All],MATCH('Model 2 - Permutations'!G208,Tbl_Walk_Avg[[#All],[Ride]],0),MATCH('Model 2 - Permutations'!H208,Tbl_Walk_Avg[#Headers],0)),INDEX(Tbl_Walk_Leisure[#All],MATCH('Model 2 - Permutations'!G208,Tbl_Walk_Leisure[[#All],[Ride]],0),MATCH('Model 2 - Permutations'!H208,Tbl_Walk_Leisure[#Headers],0))))</f>
        <v>#N/A</v>
      </c>
      <c r="AH208" s="113" t="e">
        <f t="shared" si="56"/>
        <v>#N/A</v>
      </c>
      <c r="AI208" s="116" t="e">
        <f>IF(AH208="","",IF($D$14="Weekday",INDEX(Tbl_Wait_Wkday[#All],MATCH('Model 2 - Permutations'!AH208,Tbl_Wait_Wkday[[#All],[Time]],1),MATCH('Model 2 - Permutations'!H208,Tbl_Wait_Wkday[#Headers],0)),INDEX(Tbl_Wait_Wkend[#All],MATCH('Model 2 - Permutations'!AH208,Tbl_Wait_Wkend[[#All],[Time]],1),MATCH('Model 2 - Permutations'!H208,Tbl_Wait_Wkend[#Headers],0))))</f>
        <v>#N/A</v>
      </c>
      <c r="AJ208" s="117" t="e">
        <f>IF(AI208="","",VLOOKUP(H208,Tbl_Ride[#Data],2,FALSE))</f>
        <v>#N/A</v>
      </c>
      <c r="AK208" s="118" t="e">
        <f t="shared" si="57"/>
        <v>#N/A</v>
      </c>
      <c r="AL208" s="119" t="e">
        <f t="shared" si="58"/>
        <v>#N/A</v>
      </c>
      <c r="AM208" s="119" t="str">
        <f t="shared" si="59"/>
        <v>Incomplete</v>
      </c>
      <c r="AN208" s="119" t="str">
        <f t="shared" si="60"/>
        <v>Incomplete</v>
      </c>
      <c r="AR208" s="81"/>
    </row>
    <row r="209" spans="3:44">
      <c r="C209" s="111">
        <v>8</v>
      </c>
      <c r="D209" s="111" t="s">
        <v>66</v>
      </c>
      <c r="E209" s="112" t="str">
        <f t="shared" si="44"/>
        <v/>
      </c>
      <c r="F209" s="112" t="str">
        <f t="shared" si="43"/>
        <v/>
      </c>
      <c r="G209" s="112" t="str">
        <f t="shared" si="43"/>
        <v/>
      </c>
      <c r="H209" s="112" t="str">
        <f t="shared" si="43"/>
        <v/>
      </c>
      <c r="I209" s="79">
        <v>2</v>
      </c>
      <c r="J209" s="79">
        <v>1</v>
      </c>
      <c r="K209" s="79">
        <v>4</v>
      </c>
      <c r="L209" s="79">
        <v>3</v>
      </c>
      <c r="M209" s="113">
        <f t="shared" si="45"/>
        <v>0.5</v>
      </c>
      <c r="N209" s="114">
        <f t="shared" si="46"/>
        <v>0</v>
      </c>
      <c r="O209" s="115" t="e">
        <f>IF($D$5="Average",INDEX(Tbl_Walk_Avg[#All],MATCH('Model 2 - Permutations'!D209,Tbl_Walk_Avg[[#All],[Ride]],0),MATCH('Model 2 - Permutations'!E209,Tbl_Walk_Avg[#Headers],0)),INDEX(Tbl_Walk_Leisure[#All],MATCH('Model 2 - Permutations'!D209,Tbl_Walk_Leisure[[#All],[Ride]],0),MATCH('Model 2 - Permutations'!E209,Tbl_Walk_Leisure[#Headers],0)))</f>
        <v>#N/A</v>
      </c>
      <c r="P209" s="113" t="e">
        <f t="shared" si="47"/>
        <v>#N/A</v>
      </c>
      <c r="Q209" s="116" t="e">
        <f>IF(P209="","",IF($D$14="Weekday",INDEX(Tbl_Wait_Wkday[#All],MATCH('Model 2 - Permutations'!P209,Tbl_Wait_Wkday[[#All],[Time]],1),MATCH('Model 2 - Permutations'!E209,Tbl_Wait_Wkday[#Headers],0)),INDEX(Tbl_Wait_Wkend[#All],MATCH('Model 2 - Permutations'!P209,Tbl_Wait_Wkend[[#All],[Time]],1),MATCH('Model 2 - Permutations'!E209,Tbl_Wait_Wkend[#Headers],0))))</f>
        <v>#N/A</v>
      </c>
      <c r="R209" s="117" t="e">
        <f>IF(Q209="","",VLOOKUP(E209,Tbl_Ride[#Data],2,FALSE))</f>
        <v>#N/A</v>
      </c>
      <c r="S209" s="118" t="e">
        <f t="shared" si="48"/>
        <v>#N/A</v>
      </c>
      <c r="T209" s="114" t="e">
        <f t="shared" si="49"/>
        <v>#N/A</v>
      </c>
      <c r="U209" s="115" t="e">
        <f>IF(T209="","",IF($D$5="Average",INDEX(Tbl_Walk_Avg[#All],MATCH('Model 2 - Permutations'!E209,Tbl_Walk_Avg[[#All],[Ride]],0),MATCH('Model 2 - Permutations'!F209,Tbl_Walk_Avg[#Headers],0)),INDEX(Tbl_Walk_Leisure[#All],MATCH('Model 2 - Permutations'!E209,Tbl_Walk_Leisure[[#All],[Ride]],0),MATCH('Model 2 - Permutations'!F209,Tbl_Walk_Leisure[#Headers],0))))</f>
        <v>#N/A</v>
      </c>
      <c r="V209" s="113" t="e">
        <f t="shared" si="50"/>
        <v>#N/A</v>
      </c>
      <c r="W209" s="116" t="e">
        <f>IF(V209="","",IF($D$14="Weekday",INDEX(Tbl_Wait_Wkday[#All],MATCH('Model 2 - Permutations'!V209,Tbl_Wait_Wkday[[#All],[Time]],1),MATCH('Model 2 - Permutations'!F209,Tbl_Wait_Wkday[#Headers],0)),INDEX(Tbl_Wait_Wkend[#All],MATCH('Model 2 - Permutations'!V209,Tbl_Wait_Wkend[[#All],[Time]],1),MATCH('Model 2 - Permutations'!F209,Tbl_Wait_Wkend[#Headers],0))))</f>
        <v>#N/A</v>
      </c>
      <c r="X209" s="117" t="e">
        <f>IF(W209="","",VLOOKUP(F209,Tbl_Ride[#Data],2,FALSE))</f>
        <v>#N/A</v>
      </c>
      <c r="Y209" s="118" t="e">
        <f t="shared" si="51"/>
        <v>#N/A</v>
      </c>
      <c r="Z209" s="114" t="e">
        <f t="shared" si="52"/>
        <v>#N/A</v>
      </c>
      <c r="AA209" s="115" t="e">
        <f>IF(Z209="","",IF($D$5="Average",INDEX(Tbl_Walk_Avg[#All],MATCH('Model 2 - Permutations'!F209,Tbl_Walk_Avg[[#All],[Ride]],0),MATCH('Model 2 - Permutations'!G209,Tbl_Walk_Avg[#Headers],0)),INDEX(Tbl_Walk_Leisure[#All],MATCH('Model 2 - Permutations'!F209,Tbl_Walk_Leisure[[#All],[Ride]],0),MATCH('Model 2 - Permutations'!G209,Tbl_Walk_Leisure[#Headers],0))))</f>
        <v>#N/A</v>
      </c>
      <c r="AB209" s="113" t="e">
        <f t="shared" si="53"/>
        <v>#N/A</v>
      </c>
      <c r="AC209" s="116" t="e">
        <f>IF(AB209="","",IF($D$14="Weekday",INDEX(Tbl_Wait_Wkday[#All],MATCH('Model 2 - Permutations'!AB209,Tbl_Wait_Wkday[[#All],[Time]],1),MATCH('Model 2 - Permutations'!G209,Tbl_Wait_Wkday[#Headers],0)),INDEX(Tbl_Wait_Wkend[#All],MATCH('Model 2 - Permutations'!AB209,Tbl_Wait_Wkend[[#All],[Time]],1),MATCH('Model 2 - Permutations'!G209,Tbl_Wait_Wkend[#Headers],0))))</f>
        <v>#N/A</v>
      </c>
      <c r="AD209" s="117" t="e">
        <f>IF(AC209="","",VLOOKUP(G209,Tbl_Ride[#Data],2,FALSE))</f>
        <v>#N/A</v>
      </c>
      <c r="AE209" s="118" t="e">
        <f t="shared" si="54"/>
        <v>#N/A</v>
      </c>
      <c r="AF209" s="114" t="e">
        <f t="shared" si="55"/>
        <v>#N/A</v>
      </c>
      <c r="AG209" s="115" t="e">
        <f>IF(AF209="","",IF($D$5="Average",INDEX(Tbl_Walk_Avg[#All],MATCH('Model 2 - Permutations'!G209,Tbl_Walk_Avg[[#All],[Ride]],0),MATCH('Model 2 - Permutations'!H209,Tbl_Walk_Avg[#Headers],0)),INDEX(Tbl_Walk_Leisure[#All],MATCH('Model 2 - Permutations'!G209,Tbl_Walk_Leisure[[#All],[Ride]],0),MATCH('Model 2 - Permutations'!H209,Tbl_Walk_Leisure[#Headers],0))))</f>
        <v>#N/A</v>
      </c>
      <c r="AH209" s="113" t="e">
        <f t="shared" si="56"/>
        <v>#N/A</v>
      </c>
      <c r="AI209" s="116" t="e">
        <f>IF(AH209="","",IF($D$14="Weekday",INDEX(Tbl_Wait_Wkday[#All],MATCH('Model 2 - Permutations'!AH209,Tbl_Wait_Wkday[[#All],[Time]],1),MATCH('Model 2 - Permutations'!H209,Tbl_Wait_Wkday[#Headers],0)),INDEX(Tbl_Wait_Wkend[#All],MATCH('Model 2 - Permutations'!AH209,Tbl_Wait_Wkend[[#All],[Time]],1),MATCH('Model 2 - Permutations'!H209,Tbl_Wait_Wkend[#Headers],0))))</f>
        <v>#N/A</v>
      </c>
      <c r="AJ209" s="117" t="e">
        <f>IF(AI209="","",VLOOKUP(H209,Tbl_Ride[#Data],2,FALSE))</f>
        <v>#N/A</v>
      </c>
      <c r="AK209" s="118" t="e">
        <f t="shared" si="57"/>
        <v>#N/A</v>
      </c>
      <c r="AL209" s="119" t="e">
        <f t="shared" si="58"/>
        <v>#N/A</v>
      </c>
      <c r="AM209" s="119" t="str">
        <f t="shared" si="59"/>
        <v>Incomplete</v>
      </c>
      <c r="AN209" s="119" t="str">
        <f t="shared" si="60"/>
        <v>Incomplete</v>
      </c>
      <c r="AR209" s="81"/>
    </row>
    <row r="210" spans="3:44">
      <c r="C210" s="111">
        <v>9</v>
      </c>
      <c r="D210" s="111" t="s">
        <v>66</v>
      </c>
      <c r="E210" s="112" t="str">
        <f t="shared" si="44"/>
        <v/>
      </c>
      <c r="F210" s="112" t="str">
        <f t="shared" si="43"/>
        <v/>
      </c>
      <c r="G210" s="112" t="str">
        <f t="shared" si="43"/>
        <v/>
      </c>
      <c r="H210" s="112" t="str">
        <f t="shared" si="43"/>
        <v/>
      </c>
      <c r="I210" s="79">
        <v>2</v>
      </c>
      <c r="J210" s="79">
        <v>3</v>
      </c>
      <c r="K210" s="79">
        <v>1</v>
      </c>
      <c r="L210" s="79">
        <v>4</v>
      </c>
      <c r="M210" s="113">
        <f t="shared" si="45"/>
        <v>0.5</v>
      </c>
      <c r="N210" s="114">
        <f t="shared" si="46"/>
        <v>0</v>
      </c>
      <c r="O210" s="115" t="e">
        <f>IF($D$5="Average",INDEX(Tbl_Walk_Avg[#All],MATCH('Model 2 - Permutations'!D210,Tbl_Walk_Avg[[#All],[Ride]],0),MATCH('Model 2 - Permutations'!E210,Tbl_Walk_Avg[#Headers],0)),INDEX(Tbl_Walk_Leisure[#All],MATCH('Model 2 - Permutations'!D210,Tbl_Walk_Leisure[[#All],[Ride]],0),MATCH('Model 2 - Permutations'!E210,Tbl_Walk_Leisure[#Headers],0)))</f>
        <v>#N/A</v>
      </c>
      <c r="P210" s="113" t="e">
        <f t="shared" si="47"/>
        <v>#N/A</v>
      </c>
      <c r="Q210" s="116" t="e">
        <f>IF(P210="","",IF($D$14="Weekday",INDEX(Tbl_Wait_Wkday[#All],MATCH('Model 2 - Permutations'!P210,Tbl_Wait_Wkday[[#All],[Time]],1),MATCH('Model 2 - Permutations'!E210,Tbl_Wait_Wkday[#Headers],0)),INDEX(Tbl_Wait_Wkend[#All],MATCH('Model 2 - Permutations'!P210,Tbl_Wait_Wkend[[#All],[Time]],1),MATCH('Model 2 - Permutations'!E210,Tbl_Wait_Wkend[#Headers],0))))</f>
        <v>#N/A</v>
      </c>
      <c r="R210" s="117" t="e">
        <f>IF(Q210="","",VLOOKUP(E210,Tbl_Ride[#Data],2,FALSE))</f>
        <v>#N/A</v>
      </c>
      <c r="S210" s="118" t="e">
        <f t="shared" si="48"/>
        <v>#N/A</v>
      </c>
      <c r="T210" s="114" t="e">
        <f t="shared" si="49"/>
        <v>#N/A</v>
      </c>
      <c r="U210" s="115" t="e">
        <f>IF(T210="","",IF($D$5="Average",INDEX(Tbl_Walk_Avg[#All],MATCH('Model 2 - Permutations'!E210,Tbl_Walk_Avg[[#All],[Ride]],0),MATCH('Model 2 - Permutations'!F210,Tbl_Walk_Avg[#Headers],0)),INDEX(Tbl_Walk_Leisure[#All],MATCH('Model 2 - Permutations'!E210,Tbl_Walk_Leisure[[#All],[Ride]],0),MATCH('Model 2 - Permutations'!F210,Tbl_Walk_Leisure[#Headers],0))))</f>
        <v>#N/A</v>
      </c>
      <c r="V210" s="113" t="e">
        <f t="shared" si="50"/>
        <v>#N/A</v>
      </c>
      <c r="W210" s="116" t="e">
        <f>IF(V210="","",IF($D$14="Weekday",INDEX(Tbl_Wait_Wkday[#All],MATCH('Model 2 - Permutations'!V210,Tbl_Wait_Wkday[[#All],[Time]],1),MATCH('Model 2 - Permutations'!F210,Tbl_Wait_Wkday[#Headers],0)),INDEX(Tbl_Wait_Wkend[#All],MATCH('Model 2 - Permutations'!V210,Tbl_Wait_Wkend[[#All],[Time]],1),MATCH('Model 2 - Permutations'!F210,Tbl_Wait_Wkend[#Headers],0))))</f>
        <v>#N/A</v>
      </c>
      <c r="X210" s="117" t="e">
        <f>IF(W210="","",VLOOKUP(F210,Tbl_Ride[#Data],2,FALSE))</f>
        <v>#N/A</v>
      </c>
      <c r="Y210" s="118" t="e">
        <f t="shared" si="51"/>
        <v>#N/A</v>
      </c>
      <c r="Z210" s="114" t="e">
        <f t="shared" si="52"/>
        <v>#N/A</v>
      </c>
      <c r="AA210" s="115" t="e">
        <f>IF(Z210="","",IF($D$5="Average",INDEX(Tbl_Walk_Avg[#All],MATCH('Model 2 - Permutations'!F210,Tbl_Walk_Avg[[#All],[Ride]],0),MATCH('Model 2 - Permutations'!G210,Tbl_Walk_Avg[#Headers],0)),INDEX(Tbl_Walk_Leisure[#All],MATCH('Model 2 - Permutations'!F210,Tbl_Walk_Leisure[[#All],[Ride]],0),MATCH('Model 2 - Permutations'!G210,Tbl_Walk_Leisure[#Headers],0))))</f>
        <v>#N/A</v>
      </c>
      <c r="AB210" s="113" t="e">
        <f t="shared" si="53"/>
        <v>#N/A</v>
      </c>
      <c r="AC210" s="116" t="e">
        <f>IF(AB210="","",IF($D$14="Weekday",INDEX(Tbl_Wait_Wkday[#All],MATCH('Model 2 - Permutations'!AB210,Tbl_Wait_Wkday[[#All],[Time]],1),MATCH('Model 2 - Permutations'!G210,Tbl_Wait_Wkday[#Headers],0)),INDEX(Tbl_Wait_Wkend[#All],MATCH('Model 2 - Permutations'!AB210,Tbl_Wait_Wkend[[#All],[Time]],1),MATCH('Model 2 - Permutations'!G210,Tbl_Wait_Wkend[#Headers],0))))</f>
        <v>#N/A</v>
      </c>
      <c r="AD210" s="117" t="e">
        <f>IF(AC210="","",VLOOKUP(G210,Tbl_Ride[#Data],2,FALSE))</f>
        <v>#N/A</v>
      </c>
      <c r="AE210" s="118" t="e">
        <f t="shared" si="54"/>
        <v>#N/A</v>
      </c>
      <c r="AF210" s="114" t="e">
        <f t="shared" si="55"/>
        <v>#N/A</v>
      </c>
      <c r="AG210" s="115" t="e">
        <f>IF(AF210="","",IF($D$5="Average",INDEX(Tbl_Walk_Avg[#All],MATCH('Model 2 - Permutations'!G210,Tbl_Walk_Avg[[#All],[Ride]],0),MATCH('Model 2 - Permutations'!H210,Tbl_Walk_Avg[#Headers],0)),INDEX(Tbl_Walk_Leisure[#All],MATCH('Model 2 - Permutations'!G210,Tbl_Walk_Leisure[[#All],[Ride]],0),MATCH('Model 2 - Permutations'!H210,Tbl_Walk_Leisure[#Headers],0))))</f>
        <v>#N/A</v>
      </c>
      <c r="AH210" s="113" t="e">
        <f t="shared" si="56"/>
        <v>#N/A</v>
      </c>
      <c r="AI210" s="116" t="e">
        <f>IF(AH210="","",IF($D$14="Weekday",INDEX(Tbl_Wait_Wkday[#All],MATCH('Model 2 - Permutations'!AH210,Tbl_Wait_Wkday[[#All],[Time]],1),MATCH('Model 2 - Permutations'!H210,Tbl_Wait_Wkday[#Headers],0)),INDEX(Tbl_Wait_Wkend[#All],MATCH('Model 2 - Permutations'!AH210,Tbl_Wait_Wkend[[#All],[Time]],1),MATCH('Model 2 - Permutations'!H210,Tbl_Wait_Wkend[#Headers],0))))</f>
        <v>#N/A</v>
      </c>
      <c r="AJ210" s="117" t="e">
        <f>IF(AI210="","",VLOOKUP(H210,Tbl_Ride[#Data],2,FALSE))</f>
        <v>#N/A</v>
      </c>
      <c r="AK210" s="118" t="e">
        <f t="shared" si="57"/>
        <v>#N/A</v>
      </c>
      <c r="AL210" s="119" t="e">
        <f t="shared" si="58"/>
        <v>#N/A</v>
      </c>
      <c r="AM210" s="119" t="str">
        <f t="shared" si="59"/>
        <v>Incomplete</v>
      </c>
      <c r="AN210" s="119" t="str">
        <f t="shared" si="60"/>
        <v>Incomplete</v>
      </c>
      <c r="AR210" s="81"/>
    </row>
    <row r="211" spans="3:44">
      <c r="C211" s="111">
        <v>10</v>
      </c>
      <c r="D211" s="111" t="s">
        <v>66</v>
      </c>
      <c r="E211" s="112" t="str">
        <f t="shared" si="44"/>
        <v/>
      </c>
      <c r="F211" s="112" t="str">
        <f t="shared" si="43"/>
        <v/>
      </c>
      <c r="G211" s="112" t="str">
        <f t="shared" si="43"/>
        <v/>
      </c>
      <c r="H211" s="112" t="str">
        <f t="shared" si="43"/>
        <v/>
      </c>
      <c r="I211" s="79">
        <v>2</v>
      </c>
      <c r="J211" s="79">
        <v>3</v>
      </c>
      <c r="K211" s="79">
        <v>4</v>
      </c>
      <c r="L211" s="79">
        <v>1</v>
      </c>
      <c r="M211" s="113">
        <f t="shared" si="45"/>
        <v>0.5</v>
      </c>
      <c r="N211" s="114">
        <f t="shared" si="46"/>
        <v>0</v>
      </c>
      <c r="O211" s="115" t="e">
        <f>IF($D$5="Average",INDEX(Tbl_Walk_Avg[#All],MATCH('Model 2 - Permutations'!D211,Tbl_Walk_Avg[[#All],[Ride]],0),MATCH('Model 2 - Permutations'!E211,Tbl_Walk_Avg[#Headers],0)),INDEX(Tbl_Walk_Leisure[#All],MATCH('Model 2 - Permutations'!D211,Tbl_Walk_Leisure[[#All],[Ride]],0),MATCH('Model 2 - Permutations'!E211,Tbl_Walk_Leisure[#Headers],0)))</f>
        <v>#N/A</v>
      </c>
      <c r="P211" s="113" t="e">
        <f t="shared" si="47"/>
        <v>#N/A</v>
      </c>
      <c r="Q211" s="116" t="e">
        <f>IF(P211="","",IF($D$14="Weekday",INDEX(Tbl_Wait_Wkday[#All],MATCH('Model 2 - Permutations'!P211,Tbl_Wait_Wkday[[#All],[Time]],1),MATCH('Model 2 - Permutations'!E211,Tbl_Wait_Wkday[#Headers],0)),INDEX(Tbl_Wait_Wkend[#All],MATCH('Model 2 - Permutations'!P211,Tbl_Wait_Wkend[[#All],[Time]],1),MATCH('Model 2 - Permutations'!E211,Tbl_Wait_Wkend[#Headers],0))))</f>
        <v>#N/A</v>
      </c>
      <c r="R211" s="117" t="e">
        <f>IF(Q211="","",VLOOKUP(E211,Tbl_Ride[#Data],2,FALSE))</f>
        <v>#N/A</v>
      </c>
      <c r="S211" s="118" t="e">
        <f t="shared" si="48"/>
        <v>#N/A</v>
      </c>
      <c r="T211" s="114" t="e">
        <f t="shared" si="49"/>
        <v>#N/A</v>
      </c>
      <c r="U211" s="115" t="e">
        <f>IF(T211="","",IF($D$5="Average",INDEX(Tbl_Walk_Avg[#All],MATCH('Model 2 - Permutations'!E211,Tbl_Walk_Avg[[#All],[Ride]],0),MATCH('Model 2 - Permutations'!F211,Tbl_Walk_Avg[#Headers],0)),INDEX(Tbl_Walk_Leisure[#All],MATCH('Model 2 - Permutations'!E211,Tbl_Walk_Leisure[[#All],[Ride]],0),MATCH('Model 2 - Permutations'!F211,Tbl_Walk_Leisure[#Headers],0))))</f>
        <v>#N/A</v>
      </c>
      <c r="V211" s="113" t="e">
        <f t="shared" si="50"/>
        <v>#N/A</v>
      </c>
      <c r="W211" s="116" t="e">
        <f>IF(V211="","",IF($D$14="Weekday",INDEX(Tbl_Wait_Wkday[#All],MATCH('Model 2 - Permutations'!V211,Tbl_Wait_Wkday[[#All],[Time]],1),MATCH('Model 2 - Permutations'!F211,Tbl_Wait_Wkday[#Headers],0)),INDEX(Tbl_Wait_Wkend[#All],MATCH('Model 2 - Permutations'!V211,Tbl_Wait_Wkend[[#All],[Time]],1),MATCH('Model 2 - Permutations'!F211,Tbl_Wait_Wkend[#Headers],0))))</f>
        <v>#N/A</v>
      </c>
      <c r="X211" s="117" t="e">
        <f>IF(W211="","",VLOOKUP(F211,Tbl_Ride[#Data],2,FALSE))</f>
        <v>#N/A</v>
      </c>
      <c r="Y211" s="118" t="e">
        <f t="shared" si="51"/>
        <v>#N/A</v>
      </c>
      <c r="Z211" s="114" t="e">
        <f t="shared" si="52"/>
        <v>#N/A</v>
      </c>
      <c r="AA211" s="115" t="e">
        <f>IF(Z211="","",IF($D$5="Average",INDEX(Tbl_Walk_Avg[#All],MATCH('Model 2 - Permutations'!F211,Tbl_Walk_Avg[[#All],[Ride]],0),MATCH('Model 2 - Permutations'!G211,Tbl_Walk_Avg[#Headers],0)),INDEX(Tbl_Walk_Leisure[#All],MATCH('Model 2 - Permutations'!F211,Tbl_Walk_Leisure[[#All],[Ride]],0),MATCH('Model 2 - Permutations'!G211,Tbl_Walk_Leisure[#Headers],0))))</f>
        <v>#N/A</v>
      </c>
      <c r="AB211" s="113" t="e">
        <f t="shared" si="53"/>
        <v>#N/A</v>
      </c>
      <c r="AC211" s="116" t="e">
        <f>IF(AB211="","",IF($D$14="Weekday",INDEX(Tbl_Wait_Wkday[#All],MATCH('Model 2 - Permutations'!AB211,Tbl_Wait_Wkday[[#All],[Time]],1),MATCH('Model 2 - Permutations'!G211,Tbl_Wait_Wkday[#Headers],0)),INDEX(Tbl_Wait_Wkend[#All],MATCH('Model 2 - Permutations'!AB211,Tbl_Wait_Wkend[[#All],[Time]],1),MATCH('Model 2 - Permutations'!G211,Tbl_Wait_Wkend[#Headers],0))))</f>
        <v>#N/A</v>
      </c>
      <c r="AD211" s="117" t="e">
        <f>IF(AC211="","",VLOOKUP(G211,Tbl_Ride[#Data],2,FALSE))</f>
        <v>#N/A</v>
      </c>
      <c r="AE211" s="118" t="e">
        <f t="shared" si="54"/>
        <v>#N/A</v>
      </c>
      <c r="AF211" s="114" t="e">
        <f t="shared" si="55"/>
        <v>#N/A</v>
      </c>
      <c r="AG211" s="115" t="e">
        <f>IF(AF211="","",IF($D$5="Average",INDEX(Tbl_Walk_Avg[#All],MATCH('Model 2 - Permutations'!G211,Tbl_Walk_Avg[[#All],[Ride]],0),MATCH('Model 2 - Permutations'!H211,Tbl_Walk_Avg[#Headers],0)),INDEX(Tbl_Walk_Leisure[#All],MATCH('Model 2 - Permutations'!G211,Tbl_Walk_Leisure[[#All],[Ride]],0),MATCH('Model 2 - Permutations'!H211,Tbl_Walk_Leisure[#Headers],0))))</f>
        <v>#N/A</v>
      </c>
      <c r="AH211" s="113" t="e">
        <f t="shared" si="56"/>
        <v>#N/A</v>
      </c>
      <c r="AI211" s="116" t="e">
        <f>IF(AH211="","",IF($D$14="Weekday",INDEX(Tbl_Wait_Wkday[#All],MATCH('Model 2 - Permutations'!AH211,Tbl_Wait_Wkday[[#All],[Time]],1),MATCH('Model 2 - Permutations'!H211,Tbl_Wait_Wkday[#Headers],0)),INDEX(Tbl_Wait_Wkend[#All],MATCH('Model 2 - Permutations'!AH211,Tbl_Wait_Wkend[[#All],[Time]],1),MATCH('Model 2 - Permutations'!H211,Tbl_Wait_Wkend[#Headers],0))))</f>
        <v>#N/A</v>
      </c>
      <c r="AJ211" s="117" t="e">
        <f>IF(AI211="","",VLOOKUP(H211,Tbl_Ride[#Data],2,FALSE))</f>
        <v>#N/A</v>
      </c>
      <c r="AK211" s="118" t="e">
        <f t="shared" si="57"/>
        <v>#N/A</v>
      </c>
      <c r="AL211" s="119" t="e">
        <f t="shared" si="58"/>
        <v>#N/A</v>
      </c>
      <c r="AM211" s="119" t="str">
        <f t="shared" si="59"/>
        <v>Incomplete</v>
      </c>
      <c r="AN211" s="119" t="str">
        <f t="shared" si="60"/>
        <v>Incomplete</v>
      </c>
      <c r="AR211" s="81"/>
    </row>
    <row r="212" spans="3:44">
      <c r="C212" s="111">
        <v>11</v>
      </c>
      <c r="D212" s="111" t="s">
        <v>66</v>
      </c>
      <c r="E212" s="112" t="str">
        <f t="shared" si="44"/>
        <v/>
      </c>
      <c r="F212" s="112" t="str">
        <f t="shared" si="43"/>
        <v/>
      </c>
      <c r="G212" s="112" t="str">
        <f t="shared" si="43"/>
        <v/>
      </c>
      <c r="H212" s="112" t="str">
        <f t="shared" si="43"/>
        <v/>
      </c>
      <c r="I212" s="79">
        <v>2</v>
      </c>
      <c r="J212" s="79">
        <v>4</v>
      </c>
      <c r="K212" s="79">
        <v>1</v>
      </c>
      <c r="L212" s="79">
        <v>3</v>
      </c>
      <c r="M212" s="113">
        <f t="shared" si="45"/>
        <v>0.5</v>
      </c>
      <c r="N212" s="114">
        <f t="shared" si="46"/>
        <v>0</v>
      </c>
      <c r="O212" s="115" t="e">
        <f>IF($D$5="Average",INDEX(Tbl_Walk_Avg[#All],MATCH('Model 2 - Permutations'!D212,Tbl_Walk_Avg[[#All],[Ride]],0),MATCH('Model 2 - Permutations'!E212,Tbl_Walk_Avg[#Headers],0)),INDEX(Tbl_Walk_Leisure[#All],MATCH('Model 2 - Permutations'!D212,Tbl_Walk_Leisure[[#All],[Ride]],0),MATCH('Model 2 - Permutations'!E212,Tbl_Walk_Leisure[#Headers],0)))</f>
        <v>#N/A</v>
      </c>
      <c r="P212" s="113" t="e">
        <f t="shared" si="47"/>
        <v>#N/A</v>
      </c>
      <c r="Q212" s="116" t="e">
        <f>IF(P212="","",IF($D$14="Weekday",INDEX(Tbl_Wait_Wkday[#All],MATCH('Model 2 - Permutations'!P212,Tbl_Wait_Wkday[[#All],[Time]],1),MATCH('Model 2 - Permutations'!E212,Tbl_Wait_Wkday[#Headers],0)),INDEX(Tbl_Wait_Wkend[#All],MATCH('Model 2 - Permutations'!P212,Tbl_Wait_Wkend[[#All],[Time]],1),MATCH('Model 2 - Permutations'!E212,Tbl_Wait_Wkend[#Headers],0))))</f>
        <v>#N/A</v>
      </c>
      <c r="R212" s="117" t="e">
        <f>IF(Q212="","",VLOOKUP(E212,Tbl_Ride[#Data],2,FALSE))</f>
        <v>#N/A</v>
      </c>
      <c r="S212" s="118" t="e">
        <f t="shared" si="48"/>
        <v>#N/A</v>
      </c>
      <c r="T212" s="114" t="e">
        <f t="shared" si="49"/>
        <v>#N/A</v>
      </c>
      <c r="U212" s="115" t="e">
        <f>IF(T212="","",IF($D$5="Average",INDEX(Tbl_Walk_Avg[#All],MATCH('Model 2 - Permutations'!E212,Tbl_Walk_Avg[[#All],[Ride]],0),MATCH('Model 2 - Permutations'!F212,Tbl_Walk_Avg[#Headers],0)),INDEX(Tbl_Walk_Leisure[#All],MATCH('Model 2 - Permutations'!E212,Tbl_Walk_Leisure[[#All],[Ride]],0),MATCH('Model 2 - Permutations'!F212,Tbl_Walk_Leisure[#Headers],0))))</f>
        <v>#N/A</v>
      </c>
      <c r="V212" s="113" t="e">
        <f t="shared" si="50"/>
        <v>#N/A</v>
      </c>
      <c r="W212" s="116" t="e">
        <f>IF(V212="","",IF($D$14="Weekday",INDEX(Tbl_Wait_Wkday[#All],MATCH('Model 2 - Permutations'!V212,Tbl_Wait_Wkday[[#All],[Time]],1),MATCH('Model 2 - Permutations'!F212,Tbl_Wait_Wkday[#Headers],0)),INDEX(Tbl_Wait_Wkend[#All],MATCH('Model 2 - Permutations'!V212,Tbl_Wait_Wkend[[#All],[Time]],1),MATCH('Model 2 - Permutations'!F212,Tbl_Wait_Wkend[#Headers],0))))</f>
        <v>#N/A</v>
      </c>
      <c r="X212" s="117" t="e">
        <f>IF(W212="","",VLOOKUP(F212,Tbl_Ride[#Data],2,FALSE))</f>
        <v>#N/A</v>
      </c>
      <c r="Y212" s="118" t="e">
        <f t="shared" si="51"/>
        <v>#N/A</v>
      </c>
      <c r="Z212" s="114" t="e">
        <f t="shared" si="52"/>
        <v>#N/A</v>
      </c>
      <c r="AA212" s="115" t="e">
        <f>IF(Z212="","",IF($D$5="Average",INDEX(Tbl_Walk_Avg[#All],MATCH('Model 2 - Permutations'!F212,Tbl_Walk_Avg[[#All],[Ride]],0),MATCH('Model 2 - Permutations'!G212,Tbl_Walk_Avg[#Headers],0)),INDEX(Tbl_Walk_Leisure[#All],MATCH('Model 2 - Permutations'!F212,Tbl_Walk_Leisure[[#All],[Ride]],0),MATCH('Model 2 - Permutations'!G212,Tbl_Walk_Leisure[#Headers],0))))</f>
        <v>#N/A</v>
      </c>
      <c r="AB212" s="113" t="e">
        <f t="shared" si="53"/>
        <v>#N/A</v>
      </c>
      <c r="AC212" s="116" t="e">
        <f>IF(AB212="","",IF($D$14="Weekday",INDEX(Tbl_Wait_Wkday[#All],MATCH('Model 2 - Permutations'!AB212,Tbl_Wait_Wkday[[#All],[Time]],1),MATCH('Model 2 - Permutations'!G212,Tbl_Wait_Wkday[#Headers],0)),INDEX(Tbl_Wait_Wkend[#All],MATCH('Model 2 - Permutations'!AB212,Tbl_Wait_Wkend[[#All],[Time]],1),MATCH('Model 2 - Permutations'!G212,Tbl_Wait_Wkend[#Headers],0))))</f>
        <v>#N/A</v>
      </c>
      <c r="AD212" s="117" t="e">
        <f>IF(AC212="","",VLOOKUP(G212,Tbl_Ride[#Data],2,FALSE))</f>
        <v>#N/A</v>
      </c>
      <c r="AE212" s="118" t="e">
        <f t="shared" si="54"/>
        <v>#N/A</v>
      </c>
      <c r="AF212" s="114" t="e">
        <f t="shared" si="55"/>
        <v>#N/A</v>
      </c>
      <c r="AG212" s="115" t="e">
        <f>IF(AF212="","",IF($D$5="Average",INDEX(Tbl_Walk_Avg[#All],MATCH('Model 2 - Permutations'!G212,Tbl_Walk_Avg[[#All],[Ride]],0),MATCH('Model 2 - Permutations'!H212,Tbl_Walk_Avg[#Headers],0)),INDEX(Tbl_Walk_Leisure[#All],MATCH('Model 2 - Permutations'!G212,Tbl_Walk_Leisure[[#All],[Ride]],0),MATCH('Model 2 - Permutations'!H212,Tbl_Walk_Leisure[#Headers],0))))</f>
        <v>#N/A</v>
      </c>
      <c r="AH212" s="113" t="e">
        <f t="shared" si="56"/>
        <v>#N/A</v>
      </c>
      <c r="AI212" s="116" t="e">
        <f>IF(AH212="","",IF($D$14="Weekday",INDEX(Tbl_Wait_Wkday[#All],MATCH('Model 2 - Permutations'!AH212,Tbl_Wait_Wkday[[#All],[Time]],1),MATCH('Model 2 - Permutations'!H212,Tbl_Wait_Wkday[#Headers],0)),INDEX(Tbl_Wait_Wkend[#All],MATCH('Model 2 - Permutations'!AH212,Tbl_Wait_Wkend[[#All],[Time]],1),MATCH('Model 2 - Permutations'!H212,Tbl_Wait_Wkend[#Headers],0))))</f>
        <v>#N/A</v>
      </c>
      <c r="AJ212" s="117" t="e">
        <f>IF(AI212="","",VLOOKUP(H212,Tbl_Ride[#Data],2,FALSE))</f>
        <v>#N/A</v>
      </c>
      <c r="AK212" s="118" t="e">
        <f t="shared" si="57"/>
        <v>#N/A</v>
      </c>
      <c r="AL212" s="119" t="e">
        <f t="shared" si="58"/>
        <v>#N/A</v>
      </c>
      <c r="AM212" s="119" t="str">
        <f t="shared" si="59"/>
        <v>Incomplete</v>
      </c>
      <c r="AN212" s="119" t="str">
        <f t="shared" si="60"/>
        <v>Incomplete</v>
      </c>
      <c r="AR212" s="81"/>
    </row>
    <row r="213" spans="3:44">
      <c r="C213" s="111">
        <v>12</v>
      </c>
      <c r="D213" s="111" t="s">
        <v>66</v>
      </c>
      <c r="E213" s="112" t="str">
        <f t="shared" si="44"/>
        <v/>
      </c>
      <c r="F213" s="112" t="str">
        <f t="shared" si="43"/>
        <v/>
      </c>
      <c r="G213" s="112" t="str">
        <f t="shared" si="43"/>
        <v/>
      </c>
      <c r="H213" s="112" t="str">
        <f t="shared" si="43"/>
        <v/>
      </c>
      <c r="I213" s="79">
        <v>2</v>
      </c>
      <c r="J213" s="79">
        <v>4</v>
      </c>
      <c r="K213" s="79">
        <v>3</v>
      </c>
      <c r="L213" s="79">
        <v>1</v>
      </c>
      <c r="M213" s="113">
        <f t="shared" si="45"/>
        <v>0.5</v>
      </c>
      <c r="N213" s="114">
        <f t="shared" si="46"/>
        <v>0</v>
      </c>
      <c r="O213" s="115" t="e">
        <f>IF($D$5="Average",INDEX(Tbl_Walk_Avg[#All],MATCH('Model 2 - Permutations'!D213,Tbl_Walk_Avg[[#All],[Ride]],0),MATCH('Model 2 - Permutations'!E213,Tbl_Walk_Avg[#Headers],0)),INDEX(Tbl_Walk_Leisure[#All],MATCH('Model 2 - Permutations'!D213,Tbl_Walk_Leisure[[#All],[Ride]],0),MATCH('Model 2 - Permutations'!E213,Tbl_Walk_Leisure[#Headers],0)))</f>
        <v>#N/A</v>
      </c>
      <c r="P213" s="113" t="e">
        <f t="shared" si="47"/>
        <v>#N/A</v>
      </c>
      <c r="Q213" s="116" t="e">
        <f>IF(P213="","",IF($D$14="Weekday",INDEX(Tbl_Wait_Wkday[#All],MATCH('Model 2 - Permutations'!P213,Tbl_Wait_Wkday[[#All],[Time]],1),MATCH('Model 2 - Permutations'!E213,Tbl_Wait_Wkday[#Headers],0)),INDEX(Tbl_Wait_Wkend[#All],MATCH('Model 2 - Permutations'!P213,Tbl_Wait_Wkend[[#All],[Time]],1),MATCH('Model 2 - Permutations'!E213,Tbl_Wait_Wkend[#Headers],0))))</f>
        <v>#N/A</v>
      </c>
      <c r="R213" s="117" t="e">
        <f>IF(Q213="","",VLOOKUP(E213,Tbl_Ride[#Data],2,FALSE))</f>
        <v>#N/A</v>
      </c>
      <c r="S213" s="118" t="e">
        <f t="shared" si="48"/>
        <v>#N/A</v>
      </c>
      <c r="T213" s="114" t="e">
        <f t="shared" si="49"/>
        <v>#N/A</v>
      </c>
      <c r="U213" s="115" t="e">
        <f>IF(T213="","",IF($D$5="Average",INDEX(Tbl_Walk_Avg[#All],MATCH('Model 2 - Permutations'!E213,Tbl_Walk_Avg[[#All],[Ride]],0),MATCH('Model 2 - Permutations'!F213,Tbl_Walk_Avg[#Headers],0)),INDEX(Tbl_Walk_Leisure[#All],MATCH('Model 2 - Permutations'!E213,Tbl_Walk_Leisure[[#All],[Ride]],0),MATCH('Model 2 - Permutations'!F213,Tbl_Walk_Leisure[#Headers],0))))</f>
        <v>#N/A</v>
      </c>
      <c r="V213" s="113" t="e">
        <f t="shared" si="50"/>
        <v>#N/A</v>
      </c>
      <c r="W213" s="116" t="e">
        <f>IF(V213="","",IF($D$14="Weekday",INDEX(Tbl_Wait_Wkday[#All],MATCH('Model 2 - Permutations'!V213,Tbl_Wait_Wkday[[#All],[Time]],1),MATCH('Model 2 - Permutations'!F213,Tbl_Wait_Wkday[#Headers],0)),INDEX(Tbl_Wait_Wkend[#All],MATCH('Model 2 - Permutations'!V213,Tbl_Wait_Wkend[[#All],[Time]],1),MATCH('Model 2 - Permutations'!F213,Tbl_Wait_Wkend[#Headers],0))))</f>
        <v>#N/A</v>
      </c>
      <c r="X213" s="117" t="e">
        <f>IF(W213="","",VLOOKUP(F213,Tbl_Ride[#Data],2,FALSE))</f>
        <v>#N/A</v>
      </c>
      <c r="Y213" s="118" t="e">
        <f t="shared" si="51"/>
        <v>#N/A</v>
      </c>
      <c r="Z213" s="114" t="e">
        <f t="shared" si="52"/>
        <v>#N/A</v>
      </c>
      <c r="AA213" s="115" t="e">
        <f>IF(Z213="","",IF($D$5="Average",INDEX(Tbl_Walk_Avg[#All],MATCH('Model 2 - Permutations'!F213,Tbl_Walk_Avg[[#All],[Ride]],0),MATCH('Model 2 - Permutations'!G213,Tbl_Walk_Avg[#Headers],0)),INDEX(Tbl_Walk_Leisure[#All],MATCH('Model 2 - Permutations'!F213,Tbl_Walk_Leisure[[#All],[Ride]],0),MATCH('Model 2 - Permutations'!G213,Tbl_Walk_Leisure[#Headers],0))))</f>
        <v>#N/A</v>
      </c>
      <c r="AB213" s="113" t="e">
        <f t="shared" si="53"/>
        <v>#N/A</v>
      </c>
      <c r="AC213" s="116" t="e">
        <f>IF(AB213="","",IF($D$14="Weekday",INDEX(Tbl_Wait_Wkday[#All],MATCH('Model 2 - Permutations'!AB213,Tbl_Wait_Wkday[[#All],[Time]],1),MATCH('Model 2 - Permutations'!G213,Tbl_Wait_Wkday[#Headers],0)),INDEX(Tbl_Wait_Wkend[#All],MATCH('Model 2 - Permutations'!AB213,Tbl_Wait_Wkend[[#All],[Time]],1),MATCH('Model 2 - Permutations'!G213,Tbl_Wait_Wkend[#Headers],0))))</f>
        <v>#N/A</v>
      </c>
      <c r="AD213" s="117" t="e">
        <f>IF(AC213="","",VLOOKUP(G213,Tbl_Ride[#Data],2,FALSE))</f>
        <v>#N/A</v>
      </c>
      <c r="AE213" s="118" t="e">
        <f t="shared" si="54"/>
        <v>#N/A</v>
      </c>
      <c r="AF213" s="114" t="e">
        <f t="shared" si="55"/>
        <v>#N/A</v>
      </c>
      <c r="AG213" s="115" t="e">
        <f>IF(AF213="","",IF($D$5="Average",INDEX(Tbl_Walk_Avg[#All],MATCH('Model 2 - Permutations'!G213,Tbl_Walk_Avg[[#All],[Ride]],0),MATCH('Model 2 - Permutations'!H213,Tbl_Walk_Avg[#Headers],0)),INDEX(Tbl_Walk_Leisure[#All],MATCH('Model 2 - Permutations'!G213,Tbl_Walk_Leisure[[#All],[Ride]],0),MATCH('Model 2 - Permutations'!H213,Tbl_Walk_Leisure[#Headers],0))))</f>
        <v>#N/A</v>
      </c>
      <c r="AH213" s="113" t="e">
        <f t="shared" si="56"/>
        <v>#N/A</v>
      </c>
      <c r="AI213" s="116" t="e">
        <f>IF(AH213="","",IF($D$14="Weekday",INDEX(Tbl_Wait_Wkday[#All],MATCH('Model 2 - Permutations'!AH213,Tbl_Wait_Wkday[[#All],[Time]],1),MATCH('Model 2 - Permutations'!H213,Tbl_Wait_Wkday[#Headers],0)),INDEX(Tbl_Wait_Wkend[#All],MATCH('Model 2 - Permutations'!AH213,Tbl_Wait_Wkend[[#All],[Time]],1),MATCH('Model 2 - Permutations'!H213,Tbl_Wait_Wkend[#Headers],0))))</f>
        <v>#N/A</v>
      </c>
      <c r="AJ213" s="117" t="e">
        <f>IF(AI213="","",VLOOKUP(H213,Tbl_Ride[#Data],2,FALSE))</f>
        <v>#N/A</v>
      </c>
      <c r="AK213" s="118" t="e">
        <f t="shared" si="57"/>
        <v>#N/A</v>
      </c>
      <c r="AL213" s="119" t="e">
        <f t="shared" si="58"/>
        <v>#N/A</v>
      </c>
      <c r="AM213" s="119" t="str">
        <f t="shared" si="59"/>
        <v>Incomplete</v>
      </c>
      <c r="AN213" s="119" t="str">
        <f t="shared" si="60"/>
        <v>Incomplete</v>
      </c>
      <c r="AR213" s="81"/>
    </row>
    <row r="214" spans="3:44">
      <c r="C214" s="111">
        <v>13</v>
      </c>
      <c r="D214" s="111" t="s">
        <v>66</v>
      </c>
      <c r="E214" s="112" t="str">
        <f t="shared" si="44"/>
        <v/>
      </c>
      <c r="F214" s="112" t="str">
        <f t="shared" si="43"/>
        <v/>
      </c>
      <c r="G214" s="112" t="str">
        <f t="shared" si="43"/>
        <v/>
      </c>
      <c r="H214" s="112" t="str">
        <f t="shared" si="43"/>
        <v/>
      </c>
      <c r="I214" s="79">
        <v>3</v>
      </c>
      <c r="J214" s="79">
        <v>1</v>
      </c>
      <c r="K214" s="79">
        <v>2</v>
      </c>
      <c r="L214" s="79">
        <v>4</v>
      </c>
      <c r="M214" s="113">
        <f t="shared" si="45"/>
        <v>0.5</v>
      </c>
      <c r="N214" s="114">
        <f t="shared" si="46"/>
        <v>0</v>
      </c>
      <c r="O214" s="115" t="e">
        <f>IF($D$5="Average",INDEX(Tbl_Walk_Avg[#All],MATCH('Model 2 - Permutations'!D214,Tbl_Walk_Avg[[#All],[Ride]],0),MATCH('Model 2 - Permutations'!E214,Tbl_Walk_Avg[#Headers],0)),INDEX(Tbl_Walk_Leisure[#All],MATCH('Model 2 - Permutations'!D214,Tbl_Walk_Leisure[[#All],[Ride]],0),MATCH('Model 2 - Permutations'!E214,Tbl_Walk_Leisure[#Headers],0)))</f>
        <v>#N/A</v>
      </c>
      <c r="P214" s="113" t="e">
        <f t="shared" si="47"/>
        <v>#N/A</v>
      </c>
      <c r="Q214" s="116" t="e">
        <f>IF(P214="","",IF($D$14="Weekday",INDEX(Tbl_Wait_Wkday[#All],MATCH('Model 2 - Permutations'!P214,Tbl_Wait_Wkday[[#All],[Time]],1),MATCH('Model 2 - Permutations'!E214,Tbl_Wait_Wkday[#Headers],0)),INDEX(Tbl_Wait_Wkend[#All],MATCH('Model 2 - Permutations'!P214,Tbl_Wait_Wkend[[#All],[Time]],1),MATCH('Model 2 - Permutations'!E214,Tbl_Wait_Wkend[#Headers],0))))</f>
        <v>#N/A</v>
      </c>
      <c r="R214" s="117" t="e">
        <f>IF(Q214="","",VLOOKUP(E214,Tbl_Ride[#Data],2,FALSE))</f>
        <v>#N/A</v>
      </c>
      <c r="S214" s="118" t="e">
        <f t="shared" si="48"/>
        <v>#N/A</v>
      </c>
      <c r="T214" s="114" t="e">
        <f t="shared" si="49"/>
        <v>#N/A</v>
      </c>
      <c r="U214" s="115" t="e">
        <f>IF(T214="","",IF($D$5="Average",INDEX(Tbl_Walk_Avg[#All],MATCH('Model 2 - Permutations'!E214,Tbl_Walk_Avg[[#All],[Ride]],0),MATCH('Model 2 - Permutations'!F214,Tbl_Walk_Avg[#Headers],0)),INDEX(Tbl_Walk_Leisure[#All],MATCH('Model 2 - Permutations'!E214,Tbl_Walk_Leisure[[#All],[Ride]],0),MATCH('Model 2 - Permutations'!F214,Tbl_Walk_Leisure[#Headers],0))))</f>
        <v>#N/A</v>
      </c>
      <c r="V214" s="113" t="e">
        <f t="shared" si="50"/>
        <v>#N/A</v>
      </c>
      <c r="W214" s="116" t="e">
        <f>IF(V214="","",IF($D$14="Weekday",INDEX(Tbl_Wait_Wkday[#All],MATCH('Model 2 - Permutations'!V214,Tbl_Wait_Wkday[[#All],[Time]],1),MATCH('Model 2 - Permutations'!F214,Tbl_Wait_Wkday[#Headers],0)),INDEX(Tbl_Wait_Wkend[#All],MATCH('Model 2 - Permutations'!V214,Tbl_Wait_Wkend[[#All],[Time]],1),MATCH('Model 2 - Permutations'!F214,Tbl_Wait_Wkend[#Headers],0))))</f>
        <v>#N/A</v>
      </c>
      <c r="X214" s="117" t="e">
        <f>IF(W214="","",VLOOKUP(F214,Tbl_Ride[#Data],2,FALSE))</f>
        <v>#N/A</v>
      </c>
      <c r="Y214" s="118" t="e">
        <f t="shared" si="51"/>
        <v>#N/A</v>
      </c>
      <c r="Z214" s="114" t="e">
        <f t="shared" si="52"/>
        <v>#N/A</v>
      </c>
      <c r="AA214" s="115" t="e">
        <f>IF(Z214="","",IF($D$5="Average",INDEX(Tbl_Walk_Avg[#All],MATCH('Model 2 - Permutations'!F214,Tbl_Walk_Avg[[#All],[Ride]],0),MATCH('Model 2 - Permutations'!G214,Tbl_Walk_Avg[#Headers],0)),INDEX(Tbl_Walk_Leisure[#All],MATCH('Model 2 - Permutations'!F214,Tbl_Walk_Leisure[[#All],[Ride]],0),MATCH('Model 2 - Permutations'!G214,Tbl_Walk_Leisure[#Headers],0))))</f>
        <v>#N/A</v>
      </c>
      <c r="AB214" s="113" t="e">
        <f t="shared" si="53"/>
        <v>#N/A</v>
      </c>
      <c r="AC214" s="116" t="e">
        <f>IF(AB214="","",IF($D$14="Weekday",INDEX(Tbl_Wait_Wkday[#All],MATCH('Model 2 - Permutations'!AB214,Tbl_Wait_Wkday[[#All],[Time]],1),MATCH('Model 2 - Permutations'!G214,Tbl_Wait_Wkday[#Headers],0)),INDEX(Tbl_Wait_Wkend[#All],MATCH('Model 2 - Permutations'!AB214,Tbl_Wait_Wkend[[#All],[Time]],1),MATCH('Model 2 - Permutations'!G214,Tbl_Wait_Wkend[#Headers],0))))</f>
        <v>#N/A</v>
      </c>
      <c r="AD214" s="117" t="e">
        <f>IF(AC214="","",VLOOKUP(G214,Tbl_Ride[#Data],2,FALSE))</f>
        <v>#N/A</v>
      </c>
      <c r="AE214" s="118" t="e">
        <f t="shared" si="54"/>
        <v>#N/A</v>
      </c>
      <c r="AF214" s="114" t="e">
        <f t="shared" si="55"/>
        <v>#N/A</v>
      </c>
      <c r="AG214" s="115" t="e">
        <f>IF(AF214="","",IF($D$5="Average",INDEX(Tbl_Walk_Avg[#All],MATCH('Model 2 - Permutations'!G214,Tbl_Walk_Avg[[#All],[Ride]],0),MATCH('Model 2 - Permutations'!H214,Tbl_Walk_Avg[#Headers],0)),INDEX(Tbl_Walk_Leisure[#All],MATCH('Model 2 - Permutations'!G214,Tbl_Walk_Leisure[[#All],[Ride]],0),MATCH('Model 2 - Permutations'!H214,Tbl_Walk_Leisure[#Headers],0))))</f>
        <v>#N/A</v>
      </c>
      <c r="AH214" s="113" t="e">
        <f t="shared" si="56"/>
        <v>#N/A</v>
      </c>
      <c r="AI214" s="116" t="e">
        <f>IF(AH214="","",IF($D$14="Weekday",INDEX(Tbl_Wait_Wkday[#All],MATCH('Model 2 - Permutations'!AH214,Tbl_Wait_Wkday[[#All],[Time]],1),MATCH('Model 2 - Permutations'!H214,Tbl_Wait_Wkday[#Headers],0)),INDEX(Tbl_Wait_Wkend[#All],MATCH('Model 2 - Permutations'!AH214,Tbl_Wait_Wkend[[#All],[Time]],1),MATCH('Model 2 - Permutations'!H214,Tbl_Wait_Wkend[#Headers],0))))</f>
        <v>#N/A</v>
      </c>
      <c r="AJ214" s="117" t="e">
        <f>IF(AI214="","",VLOOKUP(H214,Tbl_Ride[#Data],2,FALSE))</f>
        <v>#N/A</v>
      </c>
      <c r="AK214" s="118" t="e">
        <f t="shared" si="57"/>
        <v>#N/A</v>
      </c>
      <c r="AL214" s="119" t="e">
        <f t="shared" si="58"/>
        <v>#N/A</v>
      </c>
      <c r="AM214" s="119" t="str">
        <f t="shared" si="59"/>
        <v>Incomplete</v>
      </c>
      <c r="AN214" s="119" t="str">
        <f t="shared" si="60"/>
        <v>Incomplete</v>
      </c>
      <c r="AR214" s="81"/>
    </row>
    <row r="215" spans="3:44">
      <c r="C215" s="111">
        <v>14</v>
      </c>
      <c r="D215" s="111" t="s">
        <v>66</v>
      </c>
      <c r="E215" s="112" t="str">
        <f t="shared" si="44"/>
        <v/>
      </c>
      <c r="F215" s="112" t="str">
        <f t="shared" si="43"/>
        <v/>
      </c>
      <c r="G215" s="112" t="str">
        <f t="shared" si="43"/>
        <v/>
      </c>
      <c r="H215" s="112" t="str">
        <f t="shared" si="43"/>
        <v/>
      </c>
      <c r="I215" s="79">
        <v>3</v>
      </c>
      <c r="J215" s="79">
        <v>1</v>
      </c>
      <c r="K215" s="79">
        <v>4</v>
      </c>
      <c r="L215" s="79">
        <v>2</v>
      </c>
      <c r="M215" s="113">
        <f t="shared" si="45"/>
        <v>0.5</v>
      </c>
      <c r="N215" s="114">
        <f t="shared" si="46"/>
        <v>0</v>
      </c>
      <c r="O215" s="115" t="e">
        <f>IF($D$5="Average",INDEX(Tbl_Walk_Avg[#All],MATCH('Model 2 - Permutations'!D215,Tbl_Walk_Avg[[#All],[Ride]],0),MATCH('Model 2 - Permutations'!E215,Tbl_Walk_Avg[#Headers],0)),INDEX(Tbl_Walk_Leisure[#All],MATCH('Model 2 - Permutations'!D215,Tbl_Walk_Leisure[[#All],[Ride]],0),MATCH('Model 2 - Permutations'!E215,Tbl_Walk_Leisure[#Headers],0)))</f>
        <v>#N/A</v>
      </c>
      <c r="P215" s="113" t="e">
        <f t="shared" si="47"/>
        <v>#N/A</v>
      </c>
      <c r="Q215" s="116" t="e">
        <f>IF(P215="","",IF($D$14="Weekday",INDEX(Tbl_Wait_Wkday[#All],MATCH('Model 2 - Permutations'!P215,Tbl_Wait_Wkday[[#All],[Time]],1),MATCH('Model 2 - Permutations'!E215,Tbl_Wait_Wkday[#Headers],0)),INDEX(Tbl_Wait_Wkend[#All],MATCH('Model 2 - Permutations'!P215,Tbl_Wait_Wkend[[#All],[Time]],1),MATCH('Model 2 - Permutations'!E215,Tbl_Wait_Wkend[#Headers],0))))</f>
        <v>#N/A</v>
      </c>
      <c r="R215" s="117" t="e">
        <f>IF(Q215="","",VLOOKUP(E215,Tbl_Ride[#Data],2,FALSE))</f>
        <v>#N/A</v>
      </c>
      <c r="S215" s="118" t="e">
        <f t="shared" si="48"/>
        <v>#N/A</v>
      </c>
      <c r="T215" s="114" t="e">
        <f t="shared" si="49"/>
        <v>#N/A</v>
      </c>
      <c r="U215" s="115" t="e">
        <f>IF(T215="","",IF($D$5="Average",INDEX(Tbl_Walk_Avg[#All],MATCH('Model 2 - Permutations'!E215,Tbl_Walk_Avg[[#All],[Ride]],0),MATCH('Model 2 - Permutations'!F215,Tbl_Walk_Avg[#Headers],0)),INDEX(Tbl_Walk_Leisure[#All],MATCH('Model 2 - Permutations'!E215,Tbl_Walk_Leisure[[#All],[Ride]],0),MATCH('Model 2 - Permutations'!F215,Tbl_Walk_Leisure[#Headers],0))))</f>
        <v>#N/A</v>
      </c>
      <c r="V215" s="113" t="e">
        <f t="shared" si="50"/>
        <v>#N/A</v>
      </c>
      <c r="W215" s="116" t="e">
        <f>IF(V215="","",IF($D$14="Weekday",INDEX(Tbl_Wait_Wkday[#All],MATCH('Model 2 - Permutations'!V215,Tbl_Wait_Wkday[[#All],[Time]],1),MATCH('Model 2 - Permutations'!F215,Tbl_Wait_Wkday[#Headers],0)),INDEX(Tbl_Wait_Wkend[#All],MATCH('Model 2 - Permutations'!V215,Tbl_Wait_Wkend[[#All],[Time]],1),MATCH('Model 2 - Permutations'!F215,Tbl_Wait_Wkend[#Headers],0))))</f>
        <v>#N/A</v>
      </c>
      <c r="X215" s="117" t="e">
        <f>IF(W215="","",VLOOKUP(F215,Tbl_Ride[#Data],2,FALSE))</f>
        <v>#N/A</v>
      </c>
      <c r="Y215" s="118" t="e">
        <f t="shared" si="51"/>
        <v>#N/A</v>
      </c>
      <c r="Z215" s="114" t="e">
        <f t="shared" si="52"/>
        <v>#N/A</v>
      </c>
      <c r="AA215" s="115" t="e">
        <f>IF(Z215="","",IF($D$5="Average",INDEX(Tbl_Walk_Avg[#All],MATCH('Model 2 - Permutations'!F215,Tbl_Walk_Avg[[#All],[Ride]],0),MATCH('Model 2 - Permutations'!G215,Tbl_Walk_Avg[#Headers],0)),INDEX(Tbl_Walk_Leisure[#All],MATCH('Model 2 - Permutations'!F215,Tbl_Walk_Leisure[[#All],[Ride]],0),MATCH('Model 2 - Permutations'!G215,Tbl_Walk_Leisure[#Headers],0))))</f>
        <v>#N/A</v>
      </c>
      <c r="AB215" s="113" t="e">
        <f t="shared" si="53"/>
        <v>#N/A</v>
      </c>
      <c r="AC215" s="116" t="e">
        <f>IF(AB215="","",IF($D$14="Weekday",INDEX(Tbl_Wait_Wkday[#All],MATCH('Model 2 - Permutations'!AB215,Tbl_Wait_Wkday[[#All],[Time]],1),MATCH('Model 2 - Permutations'!G215,Tbl_Wait_Wkday[#Headers],0)),INDEX(Tbl_Wait_Wkend[#All],MATCH('Model 2 - Permutations'!AB215,Tbl_Wait_Wkend[[#All],[Time]],1),MATCH('Model 2 - Permutations'!G215,Tbl_Wait_Wkend[#Headers],0))))</f>
        <v>#N/A</v>
      </c>
      <c r="AD215" s="117" t="e">
        <f>IF(AC215="","",VLOOKUP(G215,Tbl_Ride[#Data],2,FALSE))</f>
        <v>#N/A</v>
      </c>
      <c r="AE215" s="118" t="e">
        <f t="shared" si="54"/>
        <v>#N/A</v>
      </c>
      <c r="AF215" s="114" t="e">
        <f t="shared" si="55"/>
        <v>#N/A</v>
      </c>
      <c r="AG215" s="115" t="e">
        <f>IF(AF215="","",IF($D$5="Average",INDEX(Tbl_Walk_Avg[#All],MATCH('Model 2 - Permutations'!G215,Tbl_Walk_Avg[[#All],[Ride]],0),MATCH('Model 2 - Permutations'!H215,Tbl_Walk_Avg[#Headers],0)),INDEX(Tbl_Walk_Leisure[#All],MATCH('Model 2 - Permutations'!G215,Tbl_Walk_Leisure[[#All],[Ride]],0),MATCH('Model 2 - Permutations'!H215,Tbl_Walk_Leisure[#Headers],0))))</f>
        <v>#N/A</v>
      </c>
      <c r="AH215" s="113" t="e">
        <f t="shared" si="56"/>
        <v>#N/A</v>
      </c>
      <c r="AI215" s="116" t="e">
        <f>IF(AH215="","",IF($D$14="Weekday",INDEX(Tbl_Wait_Wkday[#All],MATCH('Model 2 - Permutations'!AH215,Tbl_Wait_Wkday[[#All],[Time]],1),MATCH('Model 2 - Permutations'!H215,Tbl_Wait_Wkday[#Headers],0)),INDEX(Tbl_Wait_Wkend[#All],MATCH('Model 2 - Permutations'!AH215,Tbl_Wait_Wkend[[#All],[Time]],1),MATCH('Model 2 - Permutations'!H215,Tbl_Wait_Wkend[#Headers],0))))</f>
        <v>#N/A</v>
      </c>
      <c r="AJ215" s="117" t="e">
        <f>IF(AI215="","",VLOOKUP(H215,Tbl_Ride[#Data],2,FALSE))</f>
        <v>#N/A</v>
      </c>
      <c r="AK215" s="118" t="e">
        <f t="shared" si="57"/>
        <v>#N/A</v>
      </c>
      <c r="AL215" s="119" t="e">
        <f t="shared" si="58"/>
        <v>#N/A</v>
      </c>
      <c r="AM215" s="119" t="str">
        <f t="shared" si="59"/>
        <v>Incomplete</v>
      </c>
      <c r="AN215" s="119" t="str">
        <f t="shared" si="60"/>
        <v>Incomplete</v>
      </c>
      <c r="AR215" s="81"/>
    </row>
    <row r="216" spans="3:44">
      <c r="C216" s="111">
        <v>15</v>
      </c>
      <c r="D216" s="111" t="s">
        <v>66</v>
      </c>
      <c r="E216" s="112" t="str">
        <f t="shared" si="44"/>
        <v/>
      </c>
      <c r="F216" s="112" t="str">
        <f t="shared" si="43"/>
        <v/>
      </c>
      <c r="G216" s="112" t="str">
        <f t="shared" si="43"/>
        <v/>
      </c>
      <c r="H216" s="112" t="str">
        <f t="shared" si="43"/>
        <v/>
      </c>
      <c r="I216" s="79">
        <v>3</v>
      </c>
      <c r="J216" s="79">
        <v>2</v>
      </c>
      <c r="K216" s="79">
        <v>1</v>
      </c>
      <c r="L216" s="79">
        <v>4</v>
      </c>
      <c r="M216" s="113">
        <f t="shared" si="45"/>
        <v>0.5</v>
      </c>
      <c r="N216" s="114">
        <f t="shared" si="46"/>
        <v>0</v>
      </c>
      <c r="O216" s="115" t="e">
        <f>IF($D$5="Average",INDEX(Tbl_Walk_Avg[#All],MATCH('Model 2 - Permutations'!D216,Tbl_Walk_Avg[[#All],[Ride]],0),MATCH('Model 2 - Permutations'!E216,Tbl_Walk_Avg[#Headers],0)),INDEX(Tbl_Walk_Leisure[#All],MATCH('Model 2 - Permutations'!D216,Tbl_Walk_Leisure[[#All],[Ride]],0),MATCH('Model 2 - Permutations'!E216,Tbl_Walk_Leisure[#Headers],0)))</f>
        <v>#N/A</v>
      </c>
      <c r="P216" s="113" t="e">
        <f t="shared" si="47"/>
        <v>#N/A</v>
      </c>
      <c r="Q216" s="116" t="e">
        <f>IF(P216="","",IF($D$14="Weekday",INDEX(Tbl_Wait_Wkday[#All],MATCH('Model 2 - Permutations'!P216,Tbl_Wait_Wkday[[#All],[Time]],1),MATCH('Model 2 - Permutations'!E216,Tbl_Wait_Wkday[#Headers],0)),INDEX(Tbl_Wait_Wkend[#All],MATCH('Model 2 - Permutations'!P216,Tbl_Wait_Wkend[[#All],[Time]],1),MATCH('Model 2 - Permutations'!E216,Tbl_Wait_Wkend[#Headers],0))))</f>
        <v>#N/A</v>
      </c>
      <c r="R216" s="117" t="e">
        <f>IF(Q216="","",VLOOKUP(E216,Tbl_Ride[#Data],2,FALSE))</f>
        <v>#N/A</v>
      </c>
      <c r="S216" s="118" t="e">
        <f t="shared" si="48"/>
        <v>#N/A</v>
      </c>
      <c r="T216" s="114" t="e">
        <f t="shared" si="49"/>
        <v>#N/A</v>
      </c>
      <c r="U216" s="115" t="e">
        <f>IF(T216="","",IF($D$5="Average",INDEX(Tbl_Walk_Avg[#All],MATCH('Model 2 - Permutations'!E216,Tbl_Walk_Avg[[#All],[Ride]],0),MATCH('Model 2 - Permutations'!F216,Tbl_Walk_Avg[#Headers],0)),INDEX(Tbl_Walk_Leisure[#All],MATCH('Model 2 - Permutations'!E216,Tbl_Walk_Leisure[[#All],[Ride]],0),MATCH('Model 2 - Permutations'!F216,Tbl_Walk_Leisure[#Headers],0))))</f>
        <v>#N/A</v>
      </c>
      <c r="V216" s="113" t="e">
        <f t="shared" si="50"/>
        <v>#N/A</v>
      </c>
      <c r="W216" s="116" t="e">
        <f>IF(V216="","",IF($D$14="Weekday",INDEX(Tbl_Wait_Wkday[#All],MATCH('Model 2 - Permutations'!V216,Tbl_Wait_Wkday[[#All],[Time]],1),MATCH('Model 2 - Permutations'!F216,Tbl_Wait_Wkday[#Headers],0)),INDEX(Tbl_Wait_Wkend[#All],MATCH('Model 2 - Permutations'!V216,Tbl_Wait_Wkend[[#All],[Time]],1),MATCH('Model 2 - Permutations'!F216,Tbl_Wait_Wkend[#Headers],0))))</f>
        <v>#N/A</v>
      </c>
      <c r="X216" s="117" t="e">
        <f>IF(W216="","",VLOOKUP(F216,Tbl_Ride[#Data],2,FALSE))</f>
        <v>#N/A</v>
      </c>
      <c r="Y216" s="118" t="e">
        <f t="shared" si="51"/>
        <v>#N/A</v>
      </c>
      <c r="Z216" s="114" t="e">
        <f t="shared" si="52"/>
        <v>#N/A</v>
      </c>
      <c r="AA216" s="115" t="e">
        <f>IF(Z216="","",IF($D$5="Average",INDEX(Tbl_Walk_Avg[#All],MATCH('Model 2 - Permutations'!F216,Tbl_Walk_Avg[[#All],[Ride]],0),MATCH('Model 2 - Permutations'!G216,Tbl_Walk_Avg[#Headers],0)),INDEX(Tbl_Walk_Leisure[#All],MATCH('Model 2 - Permutations'!F216,Tbl_Walk_Leisure[[#All],[Ride]],0),MATCH('Model 2 - Permutations'!G216,Tbl_Walk_Leisure[#Headers],0))))</f>
        <v>#N/A</v>
      </c>
      <c r="AB216" s="113" t="e">
        <f t="shared" si="53"/>
        <v>#N/A</v>
      </c>
      <c r="AC216" s="116" t="e">
        <f>IF(AB216="","",IF($D$14="Weekday",INDEX(Tbl_Wait_Wkday[#All],MATCH('Model 2 - Permutations'!AB216,Tbl_Wait_Wkday[[#All],[Time]],1),MATCH('Model 2 - Permutations'!G216,Tbl_Wait_Wkday[#Headers],0)),INDEX(Tbl_Wait_Wkend[#All],MATCH('Model 2 - Permutations'!AB216,Tbl_Wait_Wkend[[#All],[Time]],1),MATCH('Model 2 - Permutations'!G216,Tbl_Wait_Wkend[#Headers],0))))</f>
        <v>#N/A</v>
      </c>
      <c r="AD216" s="117" t="e">
        <f>IF(AC216="","",VLOOKUP(G216,Tbl_Ride[#Data],2,FALSE))</f>
        <v>#N/A</v>
      </c>
      <c r="AE216" s="118" t="e">
        <f t="shared" si="54"/>
        <v>#N/A</v>
      </c>
      <c r="AF216" s="114" t="e">
        <f t="shared" si="55"/>
        <v>#N/A</v>
      </c>
      <c r="AG216" s="115" t="e">
        <f>IF(AF216="","",IF($D$5="Average",INDEX(Tbl_Walk_Avg[#All],MATCH('Model 2 - Permutations'!G216,Tbl_Walk_Avg[[#All],[Ride]],0),MATCH('Model 2 - Permutations'!H216,Tbl_Walk_Avg[#Headers],0)),INDEX(Tbl_Walk_Leisure[#All],MATCH('Model 2 - Permutations'!G216,Tbl_Walk_Leisure[[#All],[Ride]],0),MATCH('Model 2 - Permutations'!H216,Tbl_Walk_Leisure[#Headers],0))))</f>
        <v>#N/A</v>
      </c>
      <c r="AH216" s="113" t="e">
        <f t="shared" si="56"/>
        <v>#N/A</v>
      </c>
      <c r="AI216" s="116" t="e">
        <f>IF(AH216="","",IF($D$14="Weekday",INDEX(Tbl_Wait_Wkday[#All],MATCH('Model 2 - Permutations'!AH216,Tbl_Wait_Wkday[[#All],[Time]],1),MATCH('Model 2 - Permutations'!H216,Tbl_Wait_Wkday[#Headers],0)),INDEX(Tbl_Wait_Wkend[#All],MATCH('Model 2 - Permutations'!AH216,Tbl_Wait_Wkend[[#All],[Time]],1),MATCH('Model 2 - Permutations'!H216,Tbl_Wait_Wkend[#Headers],0))))</f>
        <v>#N/A</v>
      </c>
      <c r="AJ216" s="117" t="e">
        <f>IF(AI216="","",VLOOKUP(H216,Tbl_Ride[#Data],2,FALSE))</f>
        <v>#N/A</v>
      </c>
      <c r="AK216" s="118" t="e">
        <f t="shared" si="57"/>
        <v>#N/A</v>
      </c>
      <c r="AL216" s="119" t="e">
        <f t="shared" si="58"/>
        <v>#N/A</v>
      </c>
      <c r="AM216" s="119" t="str">
        <f t="shared" si="59"/>
        <v>Incomplete</v>
      </c>
      <c r="AN216" s="119" t="str">
        <f t="shared" si="60"/>
        <v>Incomplete</v>
      </c>
      <c r="AQ216" s="81"/>
      <c r="AR216" s="81"/>
    </row>
    <row r="217" spans="3:44">
      <c r="C217" s="111">
        <v>16</v>
      </c>
      <c r="D217" s="111" t="s">
        <v>66</v>
      </c>
      <c r="E217" s="112" t="str">
        <f t="shared" si="44"/>
        <v/>
      </c>
      <c r="F217" s="112" t="str">
        <f t="shared" si="43"/>
        <v/>
      </c>
      <c r="G217" s="112" t="str">
        <f t="shared" si="43"/>
        <v/>
      </c>
      <c r="H217" s="112" t="str">
        <f t="shared" si="43"/>
        <v/>
      </c>
      <c r="I217" s="79">
        <v>3</v>
      </c>
      <c r="J217" s="79">
        <v>2</v>
      </c>
      <c r="K217" s="79">
        <v>4</v>
      </c>
      <c r="L217" s="79">
        <v>1</v>
      </c>
      <c r="M217" s="113">
        <f t="shared" si="45"/>
        <v>0.5</v>
      </c>
      <c r="N217" s="114">
        <f t="shared" si="46"/>
        <v>0</v>
      </c>
      <c r="O217" s="115" t="e">
        <f>IF($D$5="Average",INDEX(Tbl_Walk_Avg[#All],MATCH('Model 2 - Permutations'!D217,Tbl_Walk_Avg[[#All],[Ride]],0),MATCH('Model 2 - Permutations'!E217,Tbl_Walk_Avg[#Headers],0)),INDEX(Tbl_Walk_Leisure[#All],MATCH('Model 2 - Permutations'!D217,Tbl_Walk_Leisure[[#All],[Ride]],0),MATCH('Model 2 - Permutations'!E217,Tbl_Walk_Leisure[#Headers],0)))</f>
        <v>#N/A</v>
      </c>
      <c r="P217" s="113" t="e">
        <f t="shared" si="47"/>
        <v>#N/A</v>
      </c>
      <c r="Q217" s="116" t="e">
        <f>IF(P217="","",IF($D$14="Weekday",INDEX(Tbl_Wait_Wkday[#All],MATCH('Model 2 - Permutations'!P217,Tbl_Wait_Wkday[[#All],[Time]],1),MATCH('Model 2 - Permutations'!E217,Tbl_Wait_Wkday[#Headers],0)),INDEX(Tbl_Wait_Wkend[#All],MATCH('Model 2 - Permutations'!P217,Tbl_Wait_Wkend[[#All],[Time]],1),MATCH('Model 2 - Permutations'!E217,Tbl_Wait_Wkend[#Headers],0))))</f>
        <v>#N/A</v>
      </c>
      <c r="R217" s="117" t="e">
        <f>IF(Q217="","",VLOOKUP(E217,Tbl_Ride[#Data],2,FALSE))</f>
        <v>#N/A</v>
      </c>
      <c r="S217" s="118" t="e">
        <f t="shared" si="48"/>
        <v>#N/A</v>
      </c>
      <c r="T217" s="114" t="e">
        <f t="shared" si="49"/>
        <v>#N/A</v>
      </c>
      <c r="U217" s="115" t="e">
        <f>IF(T217="","",IF($D$5="Average",INDEX(Tbl_Walk_Avg[#All],MATCH('Model 2 - Permutations'!E217,Tbl_Walk_Avg[[#All],[Ride]],0),MATCH('Model 2 - Permutations'!F217,Tbl_Walk_Avg[#Headers],0)),INDEX(Tbl_Walk_Leisure[#All],MATCH('Model 2 - Permutations'!E217,Tbl_Walk_Leisure[[#All],[Ride]],0),MATCH('Model 2 - Permutations'!F217,Tbl_Walk_Leisure[#Headers],0))))</f>
        <v>#N/A</v>
      </c>
      <c r="V217" s="113" t="e">
        <f t="shared" si="50"/>
        <v>#N/A</v>
      </c>
      <c r="W217" s="116" t="e">
        <f>IF(V217="","",IF($D$14="Weekday",INDEX(Tbl_Wait_Wkday[#All],MATCH('Model 2 - Permutations'!V217,Tbl_Wait_Wkday[[#All],[Time]],1),MATCH('Model 2 - Permutations'!F217,Tbl_Wait_Wkday[#Headers],0)),INDEX(Tbl_Wait_Wkend[#All],MATCH('Model 2 - Permutations'!V217,Tbl_Wait_Wkend[[#All],[Time]],1),MATCH('Model 2 - Permutations'!F217,Tbl_Wait_Wkend[#Headers],0))))</f>
        <v>#N/A</v>
      </c>
      <c r="X217" s="117" t="e">
        <f>IF(W217="","",VLOOKUP(F217,Tbl_Ride[#Data],2,FALSE))</f>
        <v>#N/A</v>
      </c>
      <c r="Y217" s="118" t="e">
        <f t="shared" si="51"/>
        <v>#N/A</v>
      </c>
      <c r="Z217" s="114" t="e">
        <f t="shared" si="52"/>
        <v>#N/A</v>
      </c>
      <c r="AA217" s="115" t="e">
        <f>IF(Z217="","",IF($D$5="Average",INDEX(Tbl_Walk_Avg[#All],MATCH('Model 2 - Permutations'!F217,Tbl_Walk_Avg[[#All],[Ride]],0),MATCH('Model 2 - Permutations'!G217,Tbl_Walk_Avg[#Headers],0)),INDEX(Tbl_Walk_Leisure[#All],MATCH('Model 2 - Permutations'!F217,Tbl_Walk_Leisure[[#All],[Ride]],0),MATCH('Model 2 - Permutations'!G217,Tbl_Walk_Leisure[#Headers],0))))</f>
        <v>#N/A</v>
      </c>
      <c r="AB217" s="113" t="e">
        <f t="shared" si="53"/>
        <v>#N/A</v>
      </c>
      <c r="AC217" s="116" t="e">
        <f>IF(AB217="","",IF($D$14="Weekday",INDEX(Tbl_Wait_Wkday[#All],MATCH('Model 2 - Permutations'!AB217,Tbl_Wait_Wkday[[#All],[Time]],1),MATCH('Model 2 - Permutations'!G217,Tbl_Wait_Wkday[#Headers],0)),INDEX(Tbl_Wait_Wkend[#All],MATCH('Model 2 - Permutations'!AB217,Tbl_Wait_Wkend[[#All],[Time]],1),MATCH('Model 2 - Permutations'!G217,Tbl_Wait_Wkend[#Headers],0))))</f>
        <v>#N/A</v>
      </c>
      <c r="AD217" s="117" t="e">
        <f>IF(AC217="","",VLOOKUP(G217,Tbl_Ride[#Data],2,FALSE))</f>
        <v>#N/A</v>
      </c>
      <c r="AE217" s="118" t="e">
        <f t="shared" si="54"/>
        <v>#N/A</v>
      </c>
      <c r="AF217" s="114" t="e">
        <f t="shared" si="55"/>
        <v>#N/A</v>
      </c>
      <c r="AG217" s="115" t="e">
        <f>IF(AF217="","",IF($D$5="Average",INDEX(Tbl_Walk_Avg[#All],MATCH('Model 2 - Permutations'!G217,Tbl_Walk_Avg[[#All],[Ride]],0),MATCH('Model 2 - Permutations'!H217,Tbl_Walk_Avg[#Headers],0)),INDEX(Tbl_Walk_Leisure[#All],MATCH('Model 2 - Permutations'!G217,Tbl_Walk_Leisure[[#All],[Ride]],0),MATCH('Model 2 - Permutations'!H217,Tbl_Walk_Leisure[#Headers],0))))</f>
        <v>#N/A</v>
      </c>
      <c r="AH217" s="113" t="e">
        <f t="shared" si="56"/>
        <v>#N/A</v>
      </c>
      <c r="AI217" s="116" t="e">
        <f>IF(AH217="","",IF($D$14="Weekday",INDEX(Tbl_Wait_Wkday[#All],MATCH('Model 2 - Permutations'!AH217,Tbl_Wait_Wkday[[#All],[Time]],1),MATCH('Model 2 - Permutations'!H217,Tbl_Wait_Wkday[#Headers],0)),INDEX(Tbl_Wait_Wkend[#All],MATCH('Model 2 - Permutations'!AH217,Tbl_Wait_Wkend[[#All],[Time]],1),MATCH('Model 2 - Permutations'!H217,Tbl_Wait_Wkend[#Headers],0))))</f>
        <v>#N/A</v>
      </c>
      <c r="AJ217" s="117" t="e">
        <f>IF(AI217="","",VLOOKUP(H217,Tbl_Ride[#Data],2,FALSE))</f>
        <v>#N/A</v>
      </c>
      <c r="AK217" s="118" t="e">
        <f t="shared" si="57"/>
        <v>#N/A</v>
      </c>
      <c r="AL217" s="119" t="e">
        <f t="shared" si="58"/>
        <v>#N/A</v>
      </c>
      <c r="AM217" s="119" t="str">
        <f t="shared" si="59"/>
        <v>Incomplete</v>
      </c>
      <c r="AN217" s="119" t="str">
        <f t="shared" si="60"/>
        <v>Incomplete</v>
      </c>
      <c r="AR217" s="81"/>
    </row>
    <row r="218" spans="3:44">
      <c r="C218" s="111">
        <v>17</v>
      </c>
      <c r="D218" s="111" t="s">
        <v>66</v>
      </c>
      <c r="E218" s="112" t="str">
        <f t="shared" si="44"/>
        <v/>
      </c>
      <c r="F218" s="112" t="str">
        <f t="shared" si="44"/>
        <v/>
      </c>
      <c r="G218" s="112" t="str">
        <f t="shared" si="44"/>
        <v/>
      </c>
      <c r="H218" s="112" t="str">
        <f t="shared" si="44"/>
        <v/>
      </c>
      <c r="I218" s="79">
        <v>3</v>
      </c>
      <c r="J218" s="79">
        <v>4</v>
      </c>
      <c r="K218" s="79">
        <v>1</v>
      </c>
      <c r="L218" s="79">
        <v>2</v>
      </c>
      <c r="M218" s="113">
        <f t="shared" si="45"/>
        <v>0.5</v>
      </c>
      <c r="N218" s="114">
        <f t="shared" si="46"/>
        <v>0</v>
      </c>
      <c r="O218" s="115" t="e">
        <f>IF($D$5="Average",INDEX(Tbl_Walk_Avg[#All],MATCH('Model 2 - Permutations'!D218,Tbl_Walk_Avg[[#All],[Ride]],0),MATCH('Model 2 - Permutations'!E218,Tbl_Walk_Avg[#Headers],0)),INDEX(Tbl_Walk_Leisure[#All],MATCH('Model 2 - Permutations'!D218,Tbl_Walk_Leisure[[#All],[Ride]],0),MATCH('Model 2 - Permutations'!E218,Tbl_Walk_Leisure[#Headers],0)))</f>
        <v>#N/A</v>
      </c>
      <c r="P218" s="113" t="e">
        <f t="shared" si="47"/>
        <v>#N/A</v>
      </c>
      <c r="Q218" s="116" t="e">
        <f>IF(P218="","",IF($D$14="Weekday",INDEX(Tbl_Wait_Wkday[#All],MATCH('Model 2 - Permutations'!P218,Tbl_Wait_Wkday[[#All],[Time]],1),MATCH('Model 2 - Permutations'!E218,Tbl_Wait_Wkday[#Headers],0)),INDEX(Tbl_Wait_Wkend[#All],MATCH('Model 2 - Permutations'!P218,Tbl_Wait_Wkend[[#All],[Time]],1),MATCH('Model 2 - Permutations'!E218,Tbl_Wait_Wkend[#Headers],0))))</f>
        <v>#N/A</v>
      </c>
      <c r="R218" s="117" t="e">
        <f>IF(Q218="","",VLOOKUP(E218,Tbl_Ride[#Data],2,FALSE))</f>
        <v>#N/A</v>
      </c>
      <c r="S218" s="118" t="e">
        <f t="shared" si="48"/>
        <v>#N/A</v>
      </c>
      <c r="T218" s="114" t="e">
        <f t="shared" si="49"/>
        <v>#N/A</v>
      </c>
      <c r="U218" s="115" t="e">
        <f>IF(T218="","",IF($D$5="Average",INDEX(Tbl_Walk_Avg[#All],MATCH('Model 2 - Permutations'!E218,Tbl_Walk_Avg[[#All],[Ride]],0),MATCH('Model 2 - Permutations'!F218,Tbl_Walk_Avg[#Headers],0)),INDEX(Tbl_Walk_Leisure[#All],MATCH('Model 2 - Permutations'!E218,Tbl_Walk_Leisure[[#All],[Ride]],0),MATCH('Model 2 - Permutations'!F218,Tbl_Walk_Leisure[#Headers],0))))</f>
        <v>#N/A</v>
      </c>
      <c r="V218" s="113" t="e">
        <f t="shared" si="50"/>
        <v>#N/A</v>
      </c>
      <c r="W218" s="116" t="e">
        <f>IF(V218="","",IF($D$14="Weekday",INDEX(Tbl_Wait_Wkday[#All],MATCH('Model 2 - Permutations'!V218,Tbl_Wait_Wkday[[#All],[Time]],1),MATCH('Model 2 - Permutations'!F218,Tbl_Wait_Wkday[#Headers],0)),INDEX(Tbl_Wait_Wkend[#All],MATCH('Model 2 - Permutations'!V218,Tbl_Wait_Wkend[[#All],[Time]],1),MATCH('Model 2 - Permutations'!F218,Tbl_Wait_Wkend[#Headers],0))))</f>
        <v>#N/A</v>
      </c>
      <c r="X218" s="117" t="e">
        <f>IF(W218="","",VLOOKUP(F218,Tbl_Ride[#Data],2,FALSE))</f>
        <v>#N/A</v>
      </c>
      <c r="Y218" s="118" t="e">
        <f t="shared" si="51"/>
        <v>#N/A</v>
      </c>
      <c r="Z218" s="114" t="e">
        <f t="shared" si="52"/>
        <v>#N/A</v>
      </c>
      <c r="AA218" s="115" t="e">
        <f>IF(Z218="","",IF($D$5="Average",INDEX(Tbl_Walk_Avg[#All],MATCH('Model 2 - Permutations'!F218,Tbl_Walk_Avg[[#All],[Ride]],0),MATCH('Model 2 - Permutations'!G218,Tbl_Walk_Avg[#Headers],0)),INDEX(Tbl_Walk_Leisure[#All],MATCH('Model 2 - Permutations'!F218,Tbl_Walk_Leisure[[#All],[Ride]],0),MATCH('Model 2 - Permutations'!G218,Tbl_Walk_Leisure[#Headers],0))))</f>
        <v>#N/A</v>
      </c>
      <c r="AB218" s="113" t="e">
        <f t="shared" si="53"/>
        <v>#N/A</v>
      </c>
      <c r="AC218" s="116" t="e">
        <f>IF(AB218="","",IF($D$14="Weekday",INDEX(Tbl_Wait_Wkday[#All],MATCH('Model 2 - Permutations'!AB218,Tbl_Wait_Wkday[[#All],[Time]],1),MATCH('Model 2 - Permutations'!G218,Tbl_Wait_Wkday[#Headers],0)),INDEX(Tbl_Wait_Wkend[#All],MATCH('Model 2 - Permutations'!AB218,Tbl_Wait_Wkend[[#All],[Time]],1),MATCH('Model 2 - Permutations'!G218,Tbl_Wait_Wkend[#Headers],0))))</f>
        <v>#N/A</v>
      </c>
      <c r="AD218" s="117" t="e">
        <f>IF(AC218="","",VLOOKUP(G218,Tbl_Ride[#Data],2,FALSE))</f>
        <v>#N/A</v>
      </c>
      <c r="AE218" s="118" t="e">
        <f t="shared" si="54"/>
        <v>#N/A</v>
      </c>
      <c r="AF218" s="114" t="e">
        <f t="shared" si="55"/>
        <v>#N/A</v>
      </c>
      <c r="AG218" s="115" t="e">
        <f>IF(AF218="","",IF($D$5="Average",INDEX(Tbl_Walk_Avg[#All],MATCH('Model 2 - Permutations'!G218,Tbl_Walk_Avg[[#All],[Ride]],0),MATCH('Model 2 - Permutations'!H218,Tbl_Walk_Avg[#Headers],0)),INDEX(Tbl_Walk_Leisure[#All],MATCH('Model 2 - Permutations'!G218,Tbl_Walk_Leisure[[#All],[Ride]],0),MATCH('Model 2 - Permutations'!H218,Tbl_Walk_Leisure[#Headers],0))))</f>
        <v>#N/A</v>
      </c>
      <c r="AH218" s="113" t="e">
        <f t="shared" si="56"/>
        <v>#N/A</v>
      </c>
      <c r="AI218" s="116" t="e">
        <f>IF(AH218="","",IF($D$14="Weekday",INDEX(Tbl_Wait_Wkday[#All],MATCH('Model 2 - Permutations'!AH218,Tbl_Wait_Wkday[[#All],[Time]],1),MATCH('Model 2 - Permutations'!H218,Tbl_Wait_Wkday[#Headers],0)),INDEX(Tbl_Wait_Wkend[#All],MATCH('Model 2 - Permutations'!AH218,Tbl_Wait_Wkend[[#All],[Time]],1),MATCH('Model 2 - Permutations'!H218,Tbl_Wait_Wkend[#Headers],0))))</f>
        <v>#N/A</v>
      </c>
      <c r="AJ218" s="117" t="e">
        <f>IF(AI218="","",VLOOKUP(H218,Tbl_Ride[#Data],2,FALSE))</f>
        <v>#N/A</v>
      </c>
      <c r="AK218" s="118" t="e">
        <f t="shared" si="57"/>
        <v>#N/A</v>
      </c>
      <c r="AL218" s="119" t="e">
        <f t="shared" si="58"/>
        <v>#N/A</v>
      </c>
      <c r="AM218" s="119" t="str">
        <f t="shared" si="59"/>
        <v>Incomplete</v>
      </c>
      <c r="AN218" s="119" t="str">
        <f t="shared" si="60"/>
        <v>Incomplete</v>
      </c>
      <c r="AR218" s="81"/>
    </row>
    <row r="219" spans="3:44">
      <c r="C219" s="111">
        <v>18</v>
      </c>
      <c r="D219" s="111" t="s">
        <v>66</v>
      </c>
      <c r="E219" s="112" t="str">
        <f t="shared" si="44"/>
        <v/>
      </c>
      <c r="F219" s="112" t="str">
        <f t="shared" si="44"/>
        <v/>
      </c>
      <c r="G219" s="112" t="str">
        <f t="shared" si="44"/>
        <v/>
      </c>
      <c r="H219" s="112" t="str">
        <f t="shared" si="44"/>
        <v/>
      </c>
      <c r="I219" s="79">
        <v>3</v>
      </c>
      <c r="J219" s="79">
        <v>4</v>
      </c>
      <c r="K219" s="79">
        <v>2</v>
      </c>
      <c r="L219" s="79">
        <v>1</v>
      </c>
      <c r="M219" s="113">
        <f t="shared" si="45"/>
        <v>0.5</v>
      </c>
      <c r="N219" s="114">
        <f t="shared" si="46"/>
        <v>0</v>
      </c>
      <c r="O219" s="115" t="e">
        <f>IF($D$5="Average",INDEX(Tbl_Walk_Avg[#All],MATCH('Model 2 - Permutations'!D219,Tbl_Walk_Avg[[#All],[Ride]],0),MATCH('Model 2 - Permutations'!E219,Tbl_Walk_Avg[#Headers],0)),INDEX(Tbl_Walk_Leisure[#All],MATCH('Model 2 - Permutations'!D219,Tbl_Walk_Leisure[[#All],[Ride]],0),MATCH('Model 2 - Permutations'!E219,Tbl_Walk_Leisure[#Headers],0)))</f>
        <v>#N/A</v>
      </c>
      <c r="P219" s="113" t="e">
        <f t="shared" si="47"/>
        <v>#N/A</v>
      </c>
      <c r="Q219" s="116" t="e">
        <f>IF(P219="","",IF($D$14="Weekday",INDEX(Tbl_Wait_Wkday[#All],MATCH('Model 2 - Permutations'!P219,Tbl_Wait_Wkday[[#All],[Time]],1),MATCH('Model 2 - Permutations'!E219,Tbl_Wait_Wkday[#Headers],0)),INDEX(Tbl_Wait_Wkend[#All],MATCH('Model 2 - Permutations'!P219,Tbl_Wait_Wkend[[#All],[Time]],1),MATCH('Model 2 - Permutations'!E219,Tbl_Wait_Wkend[#Headers],0))))</f>
        <v>#N/A</v>
      </c>
      <c r="R219" s="117" t="e">
        <f>IF(Q219="","",VLOOKUP(E219,Tbl_Ride[#Data],2,FALSE))</f>
        <v>#N/A</v>
      </c>
      <c r="S219" s="118" t="e">
        <f t="shared" si="48"/>
        <v>#N/A</v>
      </c>
      <c r="T219" s="114" t="e">
        <f t="shared" si="49"/>
        <v>#N/A</v>
      </c>
      <c r="U219" s="115" t="e">
        <f>IF(T219="","",IF($D$5="Average",INDEX(Tbl_Walk_Avg[#All],MATCH('Model 2 - Permutations'!E219,Tbl_Walk_Avg[[#All],[Ride]],0),MATCH('Model 2 - Permutations'!F219,Tbl_Walk_Avg[#Headers],0)),INDEX(Tbl_Walk_Leisure[#All],MATCH('Model 2 - Permutations'!E219,Tbl_Walk_Leisure[[#All],[Ride]],0),MATCH('Model 2 - Permutations'!F219,Tbl_Walk_Leisure[#Headers],0))))</f>
        <v>#N/A</v>
      </c>
      <c r="V219" s="113" t="e">
        <f t="shared" si="50"/>
        <v>#N/A</v>
      </c>
      <c r="W219" s="116" t="e">
        <f>IF(V219="","",IF($D$14="Weekday",INDEX(Tbl_Wait_Wkday[#All],MATCH('Model 2 - Permutations'!V219,Tbl_Wait_Wkday[[#All],[Time]],1),MATCH('Model 2 - Permutations'!F219,Tbl_Wait_Wkday[#Headers],0)),INDEX(Tbl_Wait_Wkend[#All],MATCH('Model 2 - Permutations'!V219,Tbl_Wait_Wkend[[#All],[Time]],1),MATCH('Model 2 - Permutations'!F219,Tbl_Wait_Wkend[#Headers],0))))</f>
        <v>#N/A</v>
      </c>
      <c r="X219" s="117" t="e">
        <f>IF(W219="","",VLOOKUP(F219,Tbl_Ride[#Data],2,FALSE))</f>
        <v>#N/A</v>
      </c>
      <c r="Y219" s="118" t="e">
        <f t="shared" si="51"/>
        <v>#N/A</v>
      </c>
      <c r="Z219" s="114" t="e">
        <f t="shared" si="52"/>
        <v>#N/A</v>
      </c>
      <c r="AA219" s="115" t="e">
        <f>IF(Z219="","",IF($D$5="Average",INDEX(Tbl_Walk_Avg[#All],MATCH('Model 2 - Permutations'!F219,Tbl_Walk_Avg[[#All],[Ride]],0),MATCH('Model 2 - Permutations'!G219,Tbl_Walk_Avg[#Headers],0)),INDEX(Tbl_Walk_Leisure[#All],MATCH('Model 2 - Permutations'!F219,Tbl_Walk_Leisure[[#All],[Ride]],0),MATCH('Model 2 - Permutations'!G219,Tbl_Walk_Leisure[#Headers],0))))</f>
        <v>#N/A</v>
      </c>
      <c r="AB219" s="113" t="e">
        <f t="shared" si="53"/>
        <v>#N/A</v>
      </c>
      <c r="AC219" s="116" t="e">
        <f>IF(AB219="","",IF($D$14="Weekday",INDEX(Tbl_Wait_Wkday[#All],MATCH('Model 2 - Permutations'!AB219,Tbl_Wait_Wkday[[#All],[Time]],1),MATCH('Model 2 - Permutations'!G219,Tbl_Wait_Wkday[#Headers],0)),INDEX(Tbl_Wait_Wkend[#All],MATCH('Model 2 - Permutations'!AB219,Tbl_Wait_Wkend[[#All],[Time]],1),MATCH('Model 2 - Permutations'!G219,Tbl_Wait_Wkend[#Headers],0))))</f>
        <v>#N/A</v>
      </c>
      <c r="AD219" s="117" t="e">
        <f>IF(AC219="","",VLOOKUP(G219,Tbl_Ride[#Data],2,FALSE))</f>
        <v>#N/A</v>
      </c>
      <c r="AE219" s="118" t="e">
        <f t="shared" si="54"/>
        <v>#N/A</v>
      </c>
      <c r="AF219" s="114" t="e">
        <f t="shared" si="55"/>
        <v>#N/A</v>
      </c>
      <c r="AG219" s="115" t="e">
        <f>IF(AF219="","",IF($D$5="Average",INDEX(Tbl_Walk_Avg[#All],MATCH('Model 2 - Permutations'!G219,Tbl_Walk_Avg[[#All],[Ride]],0),MATCH('Model 2 - Permutations'!H219,Tbl_Walk_Avg[#Headers],0)),INDEX(Tbl_Walk_Leisure[#All],MATCH('Model 2 - Permutations'!G219,Tbl_Walk_Leisure[[#All],[Ride]],0),MATCH('Model 2 - Permutations'!H219,Tbl_Walk_Leisure[#Headers],0))))</f>
        <v>#N/A</v>
      </c>
      <c r="AH219" s="113" t="e">
        <f t="shared" si="56"/>
        <v>#N/A</v>
      </c>
      <c r="AI219" s="116" t="e">
        <f>IF(AH219="","",IF($D$14="Weekday",INDEX(Tbl_Wait_Wkday[#All],MATCH('Model 2 - Permutations'!AH219,Tbl_Wait_Wkday[[#All],[Time]],1),MATCH('Model 2 - Permutations'!H219,Tbl_Wait_Wkday[#Headers],0)),INDEX(Tbl_Wait_Wkend[#All],MATCH('Model 2 - Permutations'!AH219,Tbl_Wait_Wkend[[#All],[Time]],1),MATCH('Model 2 - Permutations'!H219,Tbl_Wait_Wkend[#Headers],0))))</f>
        <v>#N/A</v>
      </c>
      <c r="AJ219" s="117" t="e">
        <f>IF(AI219="","",VLOOKUP(H219,Tbl_Ride[#Data],2,FALSE))</f>
        <v>#N/A</v>
      </c>
      <c r="AK219" s="118" t="e">
        <f t="shared" si="57"/>
        <v>#N/A</v>
      </c>
      <c r="AL219" s="119" t="e">
        <f t="shared" si="58"/>
        <v>#N/A</v>
      </c>
      <c r="AM219" s="119" t="str">
        <f t="shared" si="59"/>
        <v>Incomplete</v>
      </c>
      <c r="AN219" s="119" t="str">
        <f t="shared" si="60"/>
        <v>Incomplete</v>
      </c>
      <c r="AR219" s="81"/>
    </row>
    <row r="220" spans="3:44">
      <c r="C220" s="111">
        <v>19</v>
      </c>
      <c r="D220" s="111" t="s">
        <v>66</v>
      </c>
      <c r="E220" s="112" t="str">
        <f t="shared" si="44"/>
        <v/>
      </c>
      <c r="F220" s="112" t="str">
        <f t="shared" si="44"/>
        <v/>
      </c>
      <c r="G220" s="112" t="str">
        <f t="shared" si="44"/>
        <v/>
      </c>
      <c r="H220" s="112" t="str">
        <f t="shared" si="44"/>
        <v/>
      </c>
      <c r="I220" s="79">
        <v>4</v>
      </c>
      <c r="J220" s="79">
        <v>1</v>
      </c>
      <c r="K220" s="79">
        <v>2</v>
      </c>
      <c r="L220" s="79">
        <v>3</v>
      </c>
      <c r="M220" s="113">
        <f t="shared" si="45"/>
        <v>0.5</v>
      </c>
      <c r="N220" s="114">
        <f t="shared" si="46"/>
        <v>0</v>
      </c>
      <c r="O220" s="115" t="e">
        <f>IF($D$5="Average",INDEX(Tbl_Walk_Avg[#All],MATCH('Model 2 - Permutations'!D220,Tbl_Walk_Avg[[#All],[Ride]],0),MATCH('Model 2 - Permutations'!E220,Tbl_Walk_Avg[#Headers],0)),INDEX(Tbl_Walk_Leisure[#All],MATCH('Model 2 - Permutations'!D220,Tbl_Walk_Leisure[[#All],[Ride]],0),MATCH('Model 2 - Permutations'!E220,Tbl_Walk_Leisure[#Headers],0)))</f>
        <v>#N/A</v>
      </c>
      <c r="P220" s="113" t="e">
        <f t="shared" si="47"/>
        <v>#N/A</v>
      </c>
      <c r="Q220" s="116" t="e">
        <f>IF(P220="","",IF($D$14="Weekday",INDEX(Tbl_Wait_Wkday[#All],MATCH('Model 2 - Permutations'!P220,Tbl_Wait_Wkday[[#All],[Time]],1),MATCH('Model 2 - Permutations'!E220,Tbl_Wait_Wkday[#Headers],0)),INDEX(Tbl_Wait_Wkend[#All],MATCH('Model 2 - Permutations'!P220,Tbl_Wait_Wkend[[#All],[Time]],1),MATCH('Model 2 - Permutations'!E220,Tbl_Wait_Wkend[#Headers],0))))</f>
        <v>#N/A</v>
      </c>
      <c r="R220" s="117" t="e">
        <f>IF(Q220="","",VLOOKUP(E220,Tbl_Ride[#Data],2,FALSE))</f>
        <v>#N/A</v>
      </c>
      <c r="S220" s="118" t="e">
        <f t="shared" si="48"/>
        <v>#N/A</v>
      </c>
      <c r="T220" s="114" t="e">
        <f t="shared" si="49"/>
        <v>#N/A</v>
      </c>
      <c r="U220" s="115" t="e">
        <f>IF(T220="","",IF($D$5="Average",INDEX(Tbl_Walk_Avg[#All],MATCH('Model 2 - Permutations'!E220,Tbl_Walk_Avg[[#All],[Ride]],0),MATCH('Model 2 - Permutations'!F220,Tbl_Walk_Avg[#Headers],0)),INDEX(Tbl_Walk_Leisure[#All],MATCH('Model 2 - Permutations'!E220,Tbl_Walk_Leisure[[#All],[Ride]],0),MATCH('Model 2 - Permutations'!F220,Tbl_Walk_Leisure[#Headers],0))))</f>
        <v>#N/A</v>
      </c>
      <c r="V220" s="113" t="e">
        <f t="shared" si="50"/>
        <v>#N/A</v>
      </c>
      <c r="W220" s="116" t="e">
        <f>IF(V220="","",IF($D$14="Weekday",INDEX(Tbl_Wait_Wkday[#All],MATCH('Model 2 - Permutations'!V220,Tbl_Wait_Wkday[[#All],[Time]],1),MATCH('Model 2 - Permutations'!F220,Tbl_Wait_Wkday[#Headers],0)),INDEX(Tbl_Wait_Wkend[#All],MATCH('Model 2 - Permutations'!V220,Tbl_Wait_Wkend[[#All],[Time]],1),MATCH('Model 2 - Permutations'!F220,Tbl_Wait_Wkend[#Headers],0))))</f>
        <v>#N/A</v>
      </c>
      <c r="X220" s="117" t="e">
        <f>IF(W220="","",VLOOKUP(F220,Tbl_Ride[#Data],2,FALSE))</f>
        <v>#N/A</v>
      </c>
      <c r="Y220" s="118" t="e">
        <f t="shared" si="51"/>
        <v>#N/A</v>
      </c>
      <c r="Z220" s="114" t="e">
        <f t="shared" si="52"/>
        <v>#N/A</v>
      </c>
      <c r="AA220" s="115" t="e">
        <f>IF(Z220="","",IF($D$5="Average",INDEX(Tbl_Walk_Avg[#All],MATCH('Model 2 - Permutations'!F220,Tbl_Walk_Avg[[#All],[Ride]],0),MATCH('Model 2 - Permutations'!G220,Tbl_Walk_Avg[#Headers],0)),INDEX(Tbl_Walk_Leisure[#All],MATCH('Model 2 - Permutations'!F220,Tbl_Walk_Leisure[[#All],[Ride]],0),MATCH('Model 2 - Permutations'!G220,Tbl_Walk_Leisure[#Headers],0))))</f>
        <v>#N/A</v>
      </c>
      <c r="AB220" s="113" t="e">
        <f t="shared" si="53"/>
        <v>#N/A</v>
      </c>
      <c r="AC220" s="116" t="e">
        <f>IF(AB220="","",IF($D$14="Weekday",INDEX(Tbl_Wait_Wkday[#All],MATCH('Model 2 - Permutations'!AB220,Tbl_Wait_Wkday[[#All],[Time]],1),MATCH('Model 2 - Permutations'!G220,Tbl_Wait_Wkday[#Headers],0)),INDEX(Tbl_Wait_Wkend[#All],MATCH('Model 2 - Permutations'!AB220,Tbl_Wait_Wkend[[#All],[Time]],1),MATCH('Model 2 - Permutations'!G220,Tbl_Wait_Wkend[#Headers],0))))</f>
        <v>#N/A</v>
      </c>
      <c r="AD220" s="117" t="e">
        <f>IF(AC220="","",VLOOKUP(G220,Tbl_Ride[#Data],2,FALSE))</f>
        <v>#N/A</v>
      </c>
      <c r="AE220" s="118" t="e">
        <f t="shared" si="54"/>
        <v>#N/A</v>
      </c>
      <c r="AF220" s="114" t="e">
        <f t="shared" si="55"/>
        <v>#N/A</v>
      </c>
      <c r="AG220" s="115" t="e">
        <f>IF(AF220="","",IF($D$5="Average",INDEX(Tbl_Walk_Avg[#All],MATCH('Model 2 - Permutations'!G220,Tbl_Walk_Avg[[#All],[Ride]],0),MATCH('Model 2 - Permutations'!H220,Tbl_Walk_Avg[#Headers],0)),INDEX(Tbl_Walk_Leisure[#All],MATCH('Model 2 - Permutations'!G220,Tbl_Walk_Leisure[[#All],[Ride]],0),MATCH('Model 2 - Permutations'!H220,Tbl_Walk_Leisure[#Headers],0))))</f>
        <v>#N/A</v>
      </c>
      <c r="AH220" s="113" t="e">
        <f t="shared" si="56"/>
        <v>#N/A</v>
      </c>
      <c r="AI220" s="116" t="e">
        <f>IF(AH220="","",IF($D$14="Weekday",INDEX(Tbl_Wait_Wkday[#All],MATCH('Model 2 - Permutations'!AH220,Tbl_Wait_Wkday[[#All],[Time]],1),MATCH('Model 2 - Permutations'!H220,Tbl_Wait_Wkday[#Headers],0)),INDEX(Tbl_Wait_Wkend[#All],MATCH('Model 2 - Permutations'!AH220,Tbl_Wait_Wkend[[#All],[Time]],1),MATCH('Model 2 - Permutations'!H220,Tbl_Wait_Wkend[#Headers],0))))</f>
        <v>#N/A</v>
      </c>
      <c r="AJ220" s="117" t="e">
        <f>IF(AI220="","",VLOOKUP(H220,Tbl_Ride[#Data],2,FALSE))</f>
        <v>#N/A</v>
      </c>
      <c r="AK220" s="118" t="e">
        <f t="shared" si="57"/>
        <v>#N/A</v>
      </c>
      <c r="AL220" s="119" t="e">
        <f t="shared" si="58"/>
        <v>#N/A</v>
      </c>
      <c r="AM220" s="119" t="str">
        <f t="shared" si="59"/>
        <v>Incomplete</v>
      </c>
      <c r="AN220" s="119" t="str">
        <f t="shared" si="60"/>
        <v>Incomplete</v>
      </c>
      <c r="AP220" s="81"/>
      <c r="AR220" s="81"/>
    </row>
    <row r="221" spans="3:44">
      <c r="C221" s="111">
        <v>20</v>
      </c>
      <c r="D221" s="111" t="s">
        <v>66</v>
      </c>
      <c r="E221" s="112" t="str">
        <f t="shared" si="44"/>
        <v/>
      </c>
      <c r="F221" s="112" t="str">
        <f t="shared" si="44"/>
        <v/>
      </c>
      <c r="G221" s="112" t="str">
        <f t="shared" si="44"/>
        <v/>
      </c>
      <c r="H221" s="112" t="str">
        <f t="shared" si="44"/>
        <v/>
      </c>
      <c r="I221" s="79">
        <v>4</v>
      </c>
      <c r="J221" s="79">
        <v>1</v>
      </c>
      <c r="K221" s="79">
        <v>3</v>
      </c>
      <c r="L221" s="79">
        <v>2</v>
      </c>
      <c r="M221" s="113">
        <f t="shared" si="45"/>
        <v>0.5</v>
      </c>
      <c r="N221" s="114">
        <f t="shared" si="46"/>
        <v>0</v>
      </c>
      <c r="O221" s="115" t="e">
        <f>IF($D$5="Average",INDEX(Tbl_Walk_Avg[#All],MATCH('Model 2 - Permutations'!D221,Tbl_Walk_Avg[[#All],[Ride]],0),MATCH('Model 2 - Permutations'!E221,Tbl_Walk_Avg[#Headers],0)),INDEX(Tbl_Walk_Leisure[#All],MATCH('Model 2 - Permutations'!D221,Tbl_Walk_Leisure[[#All],[Ride]],0),MATCH('Model 2 - Permutations'!E221,Tbl_Walk_Leisure[#Headers],0)))</f>
        <v>#N/A</v>
      </c>
      <c r="P221" s="113" t="e">
        <f t="shared" si="47"/>
        <v>#N/A</v>
      </c>
      <c r="Q221" s="116" t="e">
        <f>IF(P221="","",IF($D$14="Weekday",INDEX(Tbl_Wait_Wkday[#All],MATCH('Model 2 - Permutations'!P221,Tbl_Wait_Wkday[[#All],[Time]],1),MATCH('Model 2 - Permutations'!E221,Tbl_Wait_Wkday[#Headers],0)),INDEX(Tbl_Wait_Wkend[#All],MATCH('Model 2 - Permutations'!P221,Tbl_Wait_Wkend[[#All],[Time]],1),MATCH('Model 2 - Permutations'!E221,Tbl_Wait_Wkend[#Headers],0))))</f>
        <v>#N/A</v>
      </c>
      <c r="R221" s="117" t="e">
        <f>IF(Q221="","",VLOOKUP(E221,Tbl_Ride[#Data],2,FALSE))</f>
        <v>#N/A</v>
      </c>
      <c r="S221" s="118" t="e">
        <f t="shared" si="48"/>
        <v>#N/A</v>
      </c>
      <c r="T221" s="114" t="e">
        <f t="shared" si="49"/>
        <v>#N/A</v>
      </c>
      <c r="U221" s="115" t="e">
        <f>IF(T221="","",IF($D$5="Average",INDEX(Tbl_Walk_Avg[#All],MATCH('Model 2 - Permutations'!E221,Tbl_Walk_Avg[[#All],[Ride]],0),MATCH('Model 2 - Permutations'!F221,Tbl_Walk_Avg[#Headers],0)),INDEX(Tbl_Walk_Leisure[#All],MATCH('Model 2 - Permutations'!E221,Tbl_Walk_Leisure[[#All],[Ride]],0),MATCH('Model 2 - Permutations'!F221,Tbl_Walk_Leisure[#Headers],0))))</f>
        <v>#N/A</v>
      </c>
      <c r="V221" s="113" t="e">
        <f t="shared" si="50"/>
        <v>#N/A</v>
      </c>
      <c r="W221" s="116" t="e">
        <f>IF(V221="","",IF($D$14="Weekday",INDEX(Tbl_Wait_Wkday[#All],MATCH('Model 2 - Permutations'!V221,Tbl_Wait_Wkday[[#All],[Time]],1),MATCH('Model 2 - Permutations'!F221,Tbl_Wait_Wkday[#Headers],0)),INDEX(Tbl_Wait_Wkend[#All],MATCH('Model 2 - Permutations'!V221,Tbl_Wait_Wkend[[#All],[Time]],1),MATCH('Model 2 - Permutations'!F221,Tbl_Wait_Wkend[#Headers],0))))</f>
        <v>#N/A</v>
      </c>
      <c r="X221" s="117" t="e">
        <f>IF(W221="","",VLOOKUP(F221,Tbl_Ride[#Data],2,FALSE))</f>
        <v>#N/A</v>
      </c>
      <c r="Y221" s="118" t="e">
        <f t="shared" si="51"/>
        <v>#N/A</v>
      </c>
      <c r="Z221" s="114" t="e">
        <f t="shared" si="52"/>
        <v>#N/A</v>
      </c>
      <c r="AA221" s="115" t="e">
        <f>IF(Z221="","",IF($D$5="Average",INDEX(Tbl_Walk_Avg[#All],MATCH('Model 2 - Permutations'!F221,Tbl_Walk_Avg[[#All],[Ride]],0),MATCH('Model 2 - Permutations'!G221,Tbl_Walk_Avg[#Headers],0)),INDEX(Tbl_Walk_Leisure[#All],MATCH('Model 2 - Permutations'!F221,Tbl_Walk_Leisure[[#All],[Ride]],0),MATCH('Model 2 - Permutations'!G221,Tbl_Walk_Leisure[#Headers],0))))</f>
        <v>#N/A</v>
      </c>
      <c r="AB221" s="113" t="e">
        <f t="shared" si="53"/>
        <v>#N/A</v>
      </c>
      <c r="AC221" s="116" t="e">
        <f>IF(AB221="","",IF($D$14="Weekday",INDEX(Tbl_Wait_Wkday[#All],MATCH('Model 2 - Permutations'!AB221,Tbl_Wait_Wkday[[#All],[Time]],1),MATCH('Model 2 - Permutations'!G221,Tbl_Wait_Wkday[#Headers],0)),INDEX(Tbl_Wait_Wkend[#All],MATCH('Model 2 - Permutations'!AB221,Tbl_Wait_Wkend[[#All],[Time]],1),MATCH('Model 2 - Permutations'!G221,Tbl_Wait_Wkend[#Headers],0))))</f>
        <v>#N/A</v>
      </c>
      <c r="AD221" s="117" t="e">
        <f>IF(AC221="","",VLOOKUP(G221,Tbl_Ride[#Data],2,FALSE))</f>
        <v>#N/A</v>
      </c>
      <c r="AE221" s="118" t="e">
        <f t="shared" si="54"/>
        <v>#N/A</v>
      </c>
      <c r="AF221" s="114" t="e">
        <f t="shared" si="55"/>
        <v>#N/A</v>
      </c>
      <c r="AG221" s="115" t="e">
        <f>IF(AF221="","",IF($D$5="Average",INDEX(Tbl_Walk_Avg[#All],MATCH('Model 2 - Permutations'!G221,Tbl_Walk_Avg[[#All],[Ride]],0),MATCH('Model 2 - Permutations'!H221,Tbl_Walk_Avg[#Headers],0)),INDEX(Tbl_Walk_Leisure[#All],MATCH('Model 2 - Permutations'!G221,Tbl_Walk_Leisure[[#All],[Ride]],0),MATCH('Model 2 - Permutations'!H221,Tbl_Walk_Leisure[#Headers],0))))</f>
        <v>#N/A</v>
      </c>
      <c r="AH221" s="113" t="e">
        <f t="shared" si="56"/>
        <v>#N/A</v>
      </c>
      <c r="AI221" s="116" t="e">
        <f>IF(AH221="","",IF($D$14="Weekday",INDEX(Tbl_Wait_Wkday[#All],MATCH('Model 2 - Permutations'!AH221,Tbl_Wait_Wkday[[#All],[Time]],1),MATCH('Model 2 - Permutations'!H221,Tbl_Wait_Wkday[#Headers],0)),INDEX(Tbl_Wait_Wkend[#All],MATCH('Model 2 - Permutations'!AH221,Tbl_Wait_Wkend[[#All],[Time]],1),MATCH('Model 2 - Permutations'!H221,Tbl_Wait_Wkend[#Headers],0))))</f>
        <v>#N/A</v>
      </c>
      <c r="AJ221" s="117" t="e">
        <f>IF(AI221="","",VLOOKUP(H221,Tbl_Ride[#Data],2,FALSE))</f>
        <v>#N/A</v>
      </c>
      <c r="AK221" s="118" t="e">
        <f t="shared" si="57"/>
        <v>#N/A</v>
      </c>
      <c r="AL221" s="119" t="e">
        <f t="shared" si="58"/>
        <v>#N/A</v>
      </c>
      <c r="AM221" s="119" t="str">
        <f t="shared" si="59"/>
        <v>Incomplete</v>
      </c>
      <c r="AN221" s="119" t="str">
        <f t="shared" si="60"/>
        <v>Incomplete</v>
      </c>
      <c r="AR221" s="81"/>
    </row>
    <row r="222" spans="3:44">
      <c r="C222" s="111">
        <v>21</v>
      </c>
      <c r="D222" s="111" t="s">
        <v>66</v>
      </c>
      <c r="E222" s="112" t="str">
        <f t="shared" si="44"/>
        <v/>
      </c>
      <c r="F222" s="112" t="str">
        <f t="shared" si="44"/>
        <v/>
      </c>
      <c r="G222" s="112" t="str">
        <f t="shared" si="44"/>
        <v/>
      </c>
      <c r="H222" s="112" t="str">
        <f t="shared" si="44"/>
        <v/>
      </c>
      <c r="I222" s="79">
        <v>4</v>
      </c>
      <c r="J222" s="79">
        <v>2</v>
      </c>
      <c r="K222" s="79">
        <v>1</v>
      </c>
      <c r="L222" s="79">
        <v>3</v>
      </c>
      <c r="M222" s="113">
        <f t="shared" si="45"/>
        <v>0.5</v>
      </c>
      <c r="N222" s="114">
        <f t="shared" si="46"/>
        <v>0</v>
      </c>
      <c r="O222" s="115" t="e">
        <f>IF($D$5="Average",INDEX(Tbl_Walk_Avg[#All],MATCH('Model 2 - Permutations'!D222,Tbl_Walk_Avg[[#All],[Ride]],0),MATCH('Model 2 - Permutations'!E222,Tbl_Walk_Avg[#Headers],0)),INDEX(Tbl_Walk_Leisure[#All],MATCH('Model 2 - Permutations'!D222,Tbl_Walk_Leisure[[#All],[Ride]],0),MATCH('Model 2 - Permutations'!E222,Tbl_Walk_Leisure[#Headers],0)))</f>
        <v>#N/A</v>
      </c>
      <c r="P222" s="113" t="e">
        <f t="shared" si="47"/>
        <v>#N/A</v>
      </c>
      <c r="Q222" s="116" t="e">
        <f>IF(P222="","",IF($D$14="Weekday",INDEX(Tbl_Wait_Wkday[#All],MATCH('Model 2 - Permutations'!P222,Tbl_Wait_Wkday[[#All],[Time]],1),MATCH('Model 2 - Permutations'!E222,Tbl_Wait_Wkday[#Headers],0)),INDEX(Tbl_Wait_Wkend[#All],MATCH('Model 2 - Permutations'!P222,Tbl_Wait_Wkend[[#All],[Time]],1),MATCH('Model 2 - Permutations'!E222,Tbl_Wait_Wkend[#Headers],0))))</f>
        <v>#N/A</v>
      </c>
      <c r="R222" s="117" t="e">
        <f>IF(Q222="","",VLOOKUP(E222,Tbl_Ride[#Data],2,FALSE))</f>
        <v>#N/A</v>
      </c>
      <c r="S222" s="118" t="e">
        <f t="shared" si="48"/>
        <v>#N/A</v>
      </c>
      <c r="T222" s="114" t="e">
        <f t="shared" si="49"/>
        <v>#N/A</v>
      </c>
      <c r="U222" s="115" t="e">
        <f>IF(T222="","",IF($D$5="Average",INDEX(Tbl_Walk_Avg[#All],MATCH('Model 2 - Permutations'!E222,Tbl_Walk_Avg[[#All],[Ride]],0),MATCH('Model 2 - Permutations'!F222,Tbl_Walk_Avg[#Headers],0)),INDEX(Tbl_Walk_Leisure[#All],MATCH('Model 2 - Permutations'!E222,Tbl_Walk_Leisure[[#All],[Ride]],0),MATCH('Model 2 - Permutations'!F222,Tbl_Walk_Leisure[#Headers],0))))</f>
        <v>#N/A</v>
      </c>
      <c r="V222" s="113" t="e">
        <f t="shared" si="50"/>
        <v>#N/A</v>
      </c>
      <c r="W222" s="116" t="e">
        <f>IF(V222="","",IF($D$14="Weekday",INDEX(Tbl_Wait_Wkday[#All],MATCH('Model 2 - Permutations'!V222,Tbl_Wait_Wkday[[#All],[Time]],1),MATCH('Model 2 - Permutations'!F222,Tbl_Wait_Wkday[#Headers],0)),INDEX(Tbl_Wait_Wkend[#All],MATCH('Model 2 - Permutations'!V222,Tbl_Wait_Wkend[[#All],[Time]],1),MATCH('Model 2 - Permutations'!F222,Tbl_Wait_Wkend[#Headers],0))))</f>
        <v>#N/A</v>
      </c>
      <c r="X222" s="117" t="e">
        <f>IF(W222="","",VLOOKUP(F222,Tbl_Ride[#Data],2,FALSE))</f>
        <v>#N/A</v>
      </c>
      <c r="Y222" s="118" t="e">
        <f t="shared" si="51"/>
        <v>#N/A</v>
      </c>
      <c r="Z222" s="114" t="e">
        <f t="shared" si="52"/>
        <v>#N/A</v>
      </c>
      <c r="AA222" s="115" t="e">
        <f>IF(Z222="","",IF($D$5="Average",INDEX(Tbl_Walk_Avg[#All],MATCH('Model 2 - Permutations'!F222,Tbl_Walk_Avg[[#All],[Ride]],0),MATCH('Model 2 - Permutations'!G222,Tbl_Walk_Avg[#Headers],0)),INDEX(Tbl_Walk_Leisure[#All],MATCH('Model 2 - Permutations'!F222,Tbl_Walk_Leisure[[#All],[Ride]],0),MATCH('Model 2 - Permutations'!G222,Tbl_Walk_Leisure[#Headers],0))))</f>
        <v>#N/A</v>
      </c>
      <c r="AB222" s="113" t="e">
        <f t="shared" si="53"/>
        <v>#N/A</v>
      </c>
      <c r="AC222" s="116" t="e">
        <f>IF(AB222="","",IF($D$14="Weekday",INDEX(Tbl_Wait_Wkday[#All],MATCH('Model 2 - Permutations'!AB222,Tbl_Wait_Wkday[[#All],[Time]],1),MATCH('Model 2 - Permutations'!G222,Tbl_Wait_Wkday[#Headers],0)),INDEX(Tbl_Wait_Wkend[#All],MATCH('Model 2 - Permutations'!AB222,Tbl_Wait_Wkend[[#All],[Time]],1),MATCH('Model 2 - Permutations'!G222,Tbl_Wait_Wkend[#Headers],0))))</f>
        <v>#N/A</v>
      </c>
      <c r="AD222" s="117" t="e">
        <f>IF(AC222="","",VLOOKUP(G222,Tbl_Ride[#Data],2,FALSE))</f>
        <v>#N/A</v>
      </c>
      <c r="AE222" s="118" t="e">
        <f t="shared" si="54"/>
        <v>#N/A</v>
      </c>
      <c r="AF222" s="114" t="e">
        <f t="shared" si="55"/>
        <v>#N/A</v>
      </c>
      <c r="AG222" s="115" t="e">
        <f>IF(AF222="","",IF($D$5="Average",INDEX(Tbl_Walk_Avg[#All],MATCH('Model 2 - Permutations'!G222,Tbl_Walk_Avg[[#All],[Ride]],0),MATCH('Model 2 - Permutations'!H222,Tbl_Walk_Avg[#Headers],0)),INDEX(Tbl_Walk_Leisure[#All],MATCH('Model 2 - Permutations'!G222,Tbl_Walk_Leisure[[#All],[Ride]],0),MATCH('Model 2 - Permutations'!H222,Tbl_Walk_Leisure[#Headers],0))))</f>
        <v>#N/A</v>
      </c>
      <c r="AH222" s="113" t="e">
        <f t="shared" si="56"/>
        <v>#N/A</v>
      </c>
      <c r="AI222" s="116" t="e">
        <f>IF(AH222="","",IF($D$14="Weekday",INDEX(Tbl_Wait_Wkday[#All],MATCH('Model 2 - Permutations'!AH222,Tbl_Wait_Wkday[[#All],[Time]],1),MATCH('Model 2 - Permutations'!H222,Tbl_Wait_Wkday[#Headers],0)),INDEX(Tbl_Wait_Wkend[#All],MATCH('Model 2 - Permutations'!AH222,Tbl_Wait_Wkend[[#All],[Time]],1),MATCH('Model 2 - Permutations'!H222,Tbl_Wait_Wkend[#Headers],0))))</f>
        <v>#N/A</v>
      </c>
      <c r="AJ222" s="117" t="e">
        <f>IF(AI222="","",VLOOKUP(H222,Tbl_Ride[#Data],2,FALSE))</f>
        <v>#N/A</v>
      </c>
      <c r="AK222" s="118" t="e">
        <f t="shared" si="57"/>
        <v>#N/A</v>
      </c>
      <c r="AL222" s="119" t="e">
        <f t="shared" si="58"/>
        <v>#N/A</v>
      </c>
      <c r="AM222" s="119" t="str">
        <f t="shared" si="59"/>
        <v>Incomplete</v>
      </c>
      <c r="AN222" s="119" t="str">
        <f t="shared" si="60"/>
        <v>Incomplete</v>
      </c>
      <c r="AP222" s="81"/>
      <c r="AR222" s="81"/>
    </row>
    <row r="223" spans="3:44">
      <c r="C223" s="111">
        <v>22</v>
      </c>
      <c r="D223" s="111" t="s">
        <v>66</v>
      </c>
      <c r="E223" s="112" t="str">
        <f t="shared" si="44"/>
        <v/>
      </c>
      <c r="F223" s="112" t="str">
        <f t="shared" si="44"/>
        <v/>
      </c>
      <c r="G223" s="112" t="str">
        <f t="shared" si="44"/>
        <v/>
      </c>
      <c r="H223" s="112" t="str">
        <f t="shared" si="44"/>
        <v/>
      </c>
      <c r="I223" s="79">
        <v>4</v>
      </c>
      <c r="J223" s="79">
        <v>2</v>
      </c>
      <c r="K223" s="79">
        <v>3</v>
      </c>
      <c r="L223" s="79">
        <v>1</v>
      </c>
      <c r="M223" s="113">
        <f t="shared" si="45"/>
        <v>0.5</v>
      </c>
      <c r="N223" s="114">
        <f t="shared" si="46"/>
        <v>0</v>
      </c>
      <c r="O223" s="115" t="e">
        <f>IF($D$5="Average",INDEX(Tbl_Walk_Avg[#All],MATCH('Model 2 - Permutations'!D223,Tbl_Walk_Avg[[#All],[Ride]],0),MATCH('Model 2 - Permutations'!E223,Tbl_Walk_Avg[#Headers],0)),INDEX(Tbl_Walk_Leisure[#All],MATCH('Model 2 - Permutations'!D223,Tbl_Walk_Leisure[[#All],[Ride]],0),MATCH('Model 2 - Permutations'!E223,Tbl_Walk_Leisure[#Headers],0)))</f>
        <v>#N/A</v>
      </c>
      <c r="P223" s="113" t="e">
        <f t="shared" si="47"/>
        <v>#N/A</v>
      </c>
      <c r="Q223" s="116" t="e">
        <f>IF(P223="","",IF($D$14="Weekday",INDEX(Tbl_Wait_Wkday[#All],MATCH('Model 2 - Permutations'!P223,Tbl_Wait_Wkday[[#All],[Time]],1),MATCH('Model 2 - Permutations'!E223,Tbl_Wait_Wkday[#Headers],0)),INDEX(Tbl_Wait_Wkend[#All],MATCH('Model 2 - Permutations'!P223,Tbl_Wait_Wkend[[#All],[Time]],1),MATCH('Model 2 - Permutations'!E223,Tbl_Wait_Wkend[#Headers],0))))</f>
        <v>#N/A</v>
      </c>
      <c r="R223" s="117" t="e">
        <f>IF(Q223="","",VLOOKUP(E223,Tbl_Ride[#Data],2,FALSE))</f>
        <v>#N/A</v>
      </c>
      <c r="S223" s="118" t="e">
        <f t="shared" si="48"/>
        <v>#N/A</v>
      </c>
      <c r="T223" s="114" t="e">
        <f t="shared" si="49"/>
        <v>#N/A</v>
      </c>
      <c r="U223" s="115" t="e">
        <f>IF(T223="","",IF($D$5="Average",INDEX(Tbl_Walk_Avg[#All],MATCH('Model 2 - Permutations'!E223,Tbl_Walk_Avg[[#All],[Ride]],0),MATCH('Model 2 - Permutations'!F223,Tbl_Walk_Avg[#Headers],0)),INDEX(Tbl_Walk_Leisure[#All],MATCH('Model 2 - Permutations'!E223,Tbl_Walk_Leisure[[#All],[Ride]],0),MATCH('Model 2 - Permutations'!F223,Tbl_Walk_Leisure[#Headers],0))))</f>
        <v>#N/A</v>
      </c>
      <c r="V223" s="113" t="e">
        <f t="shared" si="50"/>
        <v>#N/A</v>
      </c>
      <c r="W223" s="116" t="e">
        <f>IF(V223="","",IF($D$14="Weekday",INDEX(Tbl_Wait_Wkday[#All],MATCH('Model 2 - Permutations'!V223,Tbl_Wait_Wkday[[#All],[Time]],1),MATCH('Model 2 - Permutations'!F223,Tbl_Wait_Wkday[#Headers],0)),INDEX(Tbl_Wait_Wkend[#All],MATCH('Model 2 - Permutations'!V223,Tbl_Wait_Wkend[[#All],[Time]],1),MATCH('Model 2 - Permutations'!F223,Tbl_Wait_Wkend[#Headers],0))))</f>
        <v>#N/A</v>
      </c>
      <c r="X223" s="117" t="e">
        <f>IF(W223="","",VLOOKUP(F223,Tbl_Ride[#Data],2,FALSE))</f>
        <v>#N/A</v>
      </c>
      <c r="Y223" s="118" t="e">
        <f t="shared" si="51"/>
        <v>#N/A</v>
      </c>
      <c r="Z223" s="114" t="e">
        <f t="shared" si="52"/>
        <v>#N/A</v>
      </c>
      <c r="AA223" s="115" t="e">
        <f>IF(Z223="","",IF($D$5="Average",INDEX(Tbl_Walk_Avg[#All],MATCH('Model 2 - Permutations'!F223,Tbl_Walk_Avg[[#All],[Ride]],0),MATCH('Model 2 - Permutations'!G223,Tbl_Walk_Avg[#Headers],0)),INDEX(Tbl_Walk_Leisure[#All],MATCH('Model 2 - Permutations'!F223,Tbl_Walk_Leisure[[#All],[Ride]],0),MATCH('Model 2 - Permutations'!G223,Tbl_Walk_Leisure[#Headers],0))))</f>
        <v>#N/A</v>
      </c>
      <c r="AB223" s="113" t="e">
        <f t="shared" si="53"/>
        <v>#N/A</v>
      </c>
      <c r="AC223" s="116" t="e">
        <f>IF(AB223="","",IF($D$14="Weekday",INDEX(Tbl_Wait_Wkday[#All],MATCH('Model 2 - Permutations'!AB223,Tbl_Wait_Wkday[[#All],[Time]],1),MATCH('Model 2 - Permutations'!G223,Tbl_Wait_Wkday[#Headers],0)),INDEX(Tbl_Wait_Wkend[#All],MATCH('Model 2 - Permutations'!AB223,Tbl_Wait_Wkend[[#All],[Time]],1),MATCH('Model 2 - Permutations'!G223,Tbl_Wait_Wkend[#Headers],0))))</f>
        <v>#N/A</v>
      </c>
      <c r="AD223" s="117" t="e">
        <f>IF(AC223="","",VLOOKUP(G223,Tbl_Ride[#Data],2,FALSE))</f>
        <v>#N/A</v>
      </c>
      <c r="AE223" s="118" t="e">
        <f t="shared" si="54"/>
        <v>#N/A</v>
      </c>
      <c r="AF223" s="114" t="e">
        <f t="shared" si="55"/>
        <v>#N/A</v>
      </c>
      <c r="AG223" s="115" t="e">
        <f>IF(AF223="","",IF($D$5="Average",INDEX(Tbl_Walk_Avg[#All],MATCH('Model 2 - Permutations'!G223,Tbl_Walk_Avg[[#All],[Ride]],0),MATCH('Model 2 - Permutations'!H223,Tbl_Walk_Avg[#Headers],0)),INDEX(Tbl_Walk_Leisure[#All],MATCH('Model 2 - Permutations'!G223,Tbl_Walk_Leisure[[#All],[Ride]],0),MATCH('Model 2 - Permutations'!H223,Tbl_Walk_Leisure[#Headers],0))))</f>
        <v>#N/A</v>
      </c>
      <c r="AH223" s="113" t="e">
        <f t="shared" si="56"/>
        <v>#N/A</v>
      </c>
      <c r="AI223" s="116" t="e">
        <f>IF(AH223="","",IF($D$14="Weekday",INDEX(Tbl_Wait_Wkday[#All],MATCH('Model 2 - Permutations'!AH223,Tbl_Wait_Wkday[[#All],[Time]],1),MATCH('Model 2 - Permutations'!H223,Tbl_Wait_Wkday[#Headers],0)),INDEX(Tbl_Wait_Wkend[#All],MATCH('Model 2 - Permutations'!AH223,Tbl_Wait_Wkend[[#All],[Time]],1),MATCH('Model 2 - Permutations'!H223,Tbl_Wait_Wkend[#Headers],0))))</f>
        <v>#N/A</v>
      </c>
      <c r="AJ223" s="117" t="e">
        <f>IF(AI223="","",VLOOKUP(H223,Tbl_Ride[#Data],2,FALSE))</f>
        <v>#N/A</v>
      </c>
      <c r="AK223" s="118" t="e">
        <f t="shared" si="57"/>
        <v>#N/A</v>
      </c>
      <c r="AL223" s="119" t="e">
        <f t="shared" si="58"/>
        <v>#N/A</v>
      </c>
      <c r="AM223" s="119" t="str">
        <f t="shared" si="59"/>
        <v>Incomplete</v>
      </c>
      <c r="AN223" s="119" t="str">
        <f t="shared" si="60"/>
        <v>Incomplete</v>
      </c>
      <c r="AR223" s="81"/>
    </row>
    <row r="224" spans="3:44">
      <c r="C224" s="111">
        <v>23</v>
      </c>
      <c r="D224" s="111" t="s">
        <v>66</v>
      </c>
      <c r="E224" s="112" t="str">
        <f t="shared" si="44"/>
        <v/>
      </c>
      <c r="F224" s="112" t="str">
        <f t="shared" si="44"/>
        <v/>
      </c>
      <c r="G224" s="112" t="str">
        <f t="shared" si="44"/>
        <v/>
      </c>
      <c r="H224" s="112" t="str">
        <f t="shared" si="44"/>
        <v/>
      </c>
      <c r="I224" s="79">
        <v>4</v>
      </c>
      <c r="J224" s="79">
        <v>3</v>
      </c>
      <c r="K224" s="79">
        <v>1</v>
      </c>
      <c r="L224" s="79">
        <v>2</v>
      </c>
      <c r="M224" s="113">
        <f t="shared" si="45"/>
        <v>0.5</v>
      </c>
      <c r="N224" s="114">
        <f t="shared" si="46"/>
        <v>0</v>
      </c>
      <c r="O224" s="115" t="e">
        <f>IF($D$5="Average",INDEX(Tbl_Walk_Avg[#All],MATCH('Model 2 - Permutations'!D224,Tbl_Walk_Avg[[#All],[Ride]],0),MATCH('Model 2 - Permutations'!E224,Tbl_Walk_Avg[#Headers],0)),INDEX(Tbl_Walk_Leisure[#All],MATCH('Model 2 - Permutations'!D224,Tbl_Walk_Leisure[[#All],[Ride]],0),MATCH('Model 2 - Permutations'!E224,Tbl_Walk_Leisure[#Headers],0)))</f>
        <v>#N/A</v>
      </c>
      <c r="P224" s="113" t="e">
        <f t="shared" si="47"/>
        <v>#N/A</v>
      </c>
      <c r="Q224" s="116" t="e">
        <f>IF(P224="","",IF($D$14="Weekday",INDEX(Tbl_Wait_Wkday[#All],MATCH('Model 2 - Permutations'!P224,Tbl_Wait_Wkday[[#All],[Time]],1),MATCH('Model 2 - Permutations'!E224,Tbl_Wait_Wkday[#Headers],0)),INDEX(Tbl_Wait_Wkend[#All],MATCH('Model 2 - Permutations'!P224,Tbl_Wait_Wkend[[#All],[Time]],1),MATCH('Model 2 - Permutations'!E224,Tbl_Wait_Wkend[#Headers],0))))</f>
        <v>#N/A</v>
      </c>
      <c r="R224" s="117" t="e">
        <f>IF(Q224="","",VLOOKUP(E224,Tbl_Ride[#Data],2,FALSE))</f>
        <v>#N/A</v>
      </c>
      <c r="S224" s="118" t="e">
        <f t="shared" si="48"/>
        <v>#N/A</v>
      </c>
      <c r="T224" s="114" t="e">
        <f t="shared" si="49"/>
        <v>#N/A</v>
      </c>
      <c r="U224" s="115" t="e">
        <f>IF(T224="","",IF($D$5="Average",INDEX(Tbl_Walk_Avg[#All],MATCH('Model 2 - Permutations'!E224,Tbl_Walk_Avg[[#All],[Ride]],0),MATCH('Model 2 - Permutations'!F224,Tbl_Walk_Avg[#Headers],0)),INDEX(Tbl_Walk_Leisure[#All],MATCH('Model 2 - Permutations'!E224,Tbl_Walk_Leisure[[#All],[Ride]],0),MATCH('Model 2 - Permutations'!F224,Tbl_Walk_Leisure[#Headers],0))))</f>
        <v>#N/A</v>
      </c>
      <c r="V224" s="113" t="e">
        <f t="shared" si="50"/>
        <v>#N/A</v>
      </c>
      <c r="W224" s="116" t="e">
        <f>IF(V224="","",IF($D$14="Weekday",INDEX(Tbl_Wait_Wkday[#All],MATCH('Model 2 - Permutations'!V224,Tbl_Wait_Wkday[[#All],[Time]],1),MATCH('Model 2 - Permutations'!F224,Tbl_Wait_Wkday[#Headers],0)),INDEX(Tbl_Wait_Wkend[#All],MATCH('Model 2 - Permutations'!V224,Tbl_Wait_Wkend[[#All],[Time]],1),MATCH('Model 2 - Permutations'!F224,Tbl_Wait_Wkend[#Headers],0))))</f>
        <v>#N/A</v>
      </c>
      <c r="X224" s="117" t="e">
        <f>IF(W224="","",VLOOKUP(F224,Tbl_Ride[#Data],2,FALSE))</f>
        <v>#N/A</v>
      </c>
      <c r="Y224" s="118" t="e">
        <f t="shared" si="51"/>
        <v>#N/A</v>
      </c>
      <c r="Z224" s="114" t="e">
        <f t="shared" si="52"/>
        <v>#N/A</v>
      </c>
      <c r="AA224" s="115" t="e">
        <f>IF(Z224="","",IF($D$5="Average",INDEX(Tbl_Walk_Avg[#All],MATCH('Model 2 - Permutations'!F224,Tbl_Walk_Avg[[#All],[Ride]],0),MATCH('Model 2 - Permutations'!G224,Tbl_Walk_Avg[#Headers],0)),INDEX(Tbl_Walk_Leisure[#All],MATCH('Model 2 - Permutations'!F224,Tbl_Walk_Leisure[[#All],[Ride]],0),MATCH('Model 2 - Permutations'!G224,Tbl_Walk_Leisure[#Headers],0))))</f>
        <v>#N/A</v>
      </c>
      <c r="AB224" s="113" t="e">
        <f t="shared" si="53"/>
        <v>#N/A</v>
      </c>
      <c r="AC224" s="116" t="e">
        <f>IF(AB224="","",IF($D$14="Weekday",INDEX(Tbl_Wait_Wkday[#All],MATCH('Model 2 - Permutations'!AB224,Tbl_Wait_Wkday[[#All],[Time]],1),MATCH('Model 2 - Permutations'!G224,Tbl_Wait_Wkday[#Headers],0)),INDEX(Tbl_Wait_Wkend[#All],MATCH('Model 2 - Permutations'!AB224,Tbl_Wait_Wkend[[#All],[Time]],1),MATCH('Model 2 - Permutations'!G224,Tbl_Wait_Wkend[#Headers],0))))</f>
        <v>#N/A</v>
      </c>
      <c r="AD224" s="117" t="e">
        <f>IF(AC224="","",VLOOKUP(G224,Tbl_Ride[#Data],2,FALSE))</f>
        <v>#N/A</v>
      </c>
      <c r="AE224" s="118" t="e">
        <f t="shared" si="54"/>
        <v>#N/A</v>
      </c>
      <c r="AF224" s="114" t="e">
        <f t="shared" si="55"/>
        <v>#N/A</v>
      </c>
      <c r="AG224" s="115" t="e">
        <f>IF(AF224="","",IF($D$5="Average",INDEX(Tbl_Walk_Avg[#All],MATCH('Model 2 - Permutations'!G224,Tbl_Walk_Avg[[#All],[Ride]],0),MATCH('Model 2 - Permutations'!H224,Tbl_Walk_Avg[#Headers],0)),INDEX(Tbl_Walk_Leisure[#All],MATCH('Model 2 - Permutations'!G224,Tbl_Walk_Leisure[[#All],[Ride]],0),MATCH('Model 2 - Permutations'!H224,Tbl_Walk_Leisure[#Headers],0))))</f>
        <v>#N/A</v>
      </c>
      <c r="AH224" s="113" t="e">
        <f t="shared" si="56"/>
        <v>#N/A</v>
      </c>
      <c r="AI224" s="116" t="e">
        <f>IF(AH224="","",IF($D$14="Weekday",INDEX(Tbl_Wait_Wkday[#All],MATCH('Model 2 - Permutations'!AH224,Tbl_Wait_Wkday[[#All],[Time]],1),MATCH('Model 2 - Permutations'!H224,Tbl_Wait_Wkday[#Headers],0)),INDEX(Tbl_Wait_Wkend[#All],MATCH('Model 2 - Permutations'!AH224,Tbl_Wait_Wkend[[#All],[Time]],1),MATCH('Model 2 - Permutations'!H224,Tbl_Wait_Wkend[#Headers],0))))</f>
        <v>#N/A</v>
      </c>
      <c r="AJ224" s="117" t="e">
        <f>IF(AI224="","",VLOOKUP(H224,Tbl_Ride[#Data],2,FALSE))</f>
        <v>#N/A</v>
      </c>
      <c r="AK224" s="118" t="e">
        <f t="shared" si="57"/>
        <v>#N/A</v>
      </c>
      <c r="AL224" s="119" t="e">
        <f t="shared" si="58"/>
        <v>#N/A</v>
      </c>
      <c r="AM224" s="119" t="str">
        <f t="shared" si="59"/>
        <v>Incomplete</v>
      </c>
      <c r="AN224" s="119" t="str">
        <f t="shared" si="60"/>
        <v>Incomplete</v>
      </c>
      <c r="AP224" s="81"/>
      <c r="AR224" s="81"/>
    </row>
    <row r="225" spans="3:44">
      <c r="C225" s="111">
        <v>24</v>
      </c>
      <c r="D225" s="111" t="s">
        <v>66</v>
      </c>
      <c r="E225" s="112" t="str">
        <f t="shared" si="44"/>
        <v/>
      </c>
      <c r="F225" s="112" t="str">
        <f t="shared" si="44"/>
        <v/>
      </c>
      <c r="G225" s="112" t="str">
        <f t="shared" si="44"/>
        <v/>
      </c>
      <c r="H225" s="112" t="str">
        <f t="shared" si="44"/>
        <v/>
      </c>
      <c r="I225" s="79">
        <v>4</v>
      </c>
      <c r="J225" s="79">
        <v>3</v>
      </c>
      <c r="K225" s="79">
        <v>2</v>
      </c>
      <c r="L225" s="79">
        <v>1</v>
      </c>
      <c r="M225" s="113">
        <f t="shared" si="45"/>
        <v>0.5</v>
      </c>
      <c r="N225" s="114">
        <f t="shared" si="46"/>
        <v>0</v>
      </c>
      <c r="O225" s="115" t="e">
        <f>IF($D$5="Average",INDEX(Tbl_Walk_Avg[#All],MATCH('Model 2 - Permutations'!D225,Tbl_Walk_Avg[[#All],[Ride]],0),MATCH('Model 2 - Permutations'!E225,Tbl_Walk_Avg[#Headers],0)),INDEX(Tbl_Walk_Leisure[#All],MATCH('Model 2 - Permutations'!D225,Tbl_Walk_Leisure[[#All],[Ride]],0),MATCH('Model 2 - Permutations'!E225,Tbl_Walk_Leisure[#Headers],0)))</f>
        <v>#N/A</v>
      </c>
      <c r="P225" s="113" t="e">
        <f t="shared" si="47"/>
        <v>#N/A</v>
      </c>
      <c r="Q225" s="116" t="e">
        <f>IF(P225="","",IF($D$14="Weekday",INDEX(Tbl_Wait_Wkday[#All],MATCH('Model 2 - Permutations'!P225,Tbl_Wait_Wkday[[#All],[Time]],1),MATCH('Model 2 - Permutations'!E225,Tbl_Wait_Wkday[#Headers],0)),INDEX(Tbl_Wait_Wkend[#All],MATCH('Model 2 - Permutations'!P225,Tbl_Wait_Wkend[[#All],[Time]],1),MATCH('Model 2 - Permutations'!E225,Tbl_Wait_Wkend[#Headers],0))))</f>
        <v>#N/A</v>
      </c>
      <c r="R225" s="117" t="e">
        <f>IF(Q225="","",VLOOKUP(E225,Tbl_Ride[#Data],2,FALSE))</f>
        <v>#N/A</v>
      </c>
      <c r="S225" s="118" t="e">
        <f t="shared" si="48"/>
        <v>#N/A</v>
      </c>
      <c r="T225" s="114" t="e">
        <f t="shared" si="49"/>
        <v>#N/A</v>
      </c>
      <c r="U225" s="115" t="e">
        <f>IF(T225="","",IF($D$5="Average",INDEX(Tbl_Walk_Avg[#All],MATCH('Model 2 - Permutations'!E225,Tbl_Walk_Avg[[#All],[Ride]],0),MATCH('Model 2 - Permutations'!F225,Tbl_Walk_Avg[#Headers],0)),INDEX(Tbl_Walk_Leisure[#All],MATCH('Model 2 - Permutations'!E225,Tbl_Walk_Leisure[[#All],[Ride]],0),MATCH('Model 2 - Permutations'!F225,Tbl_Walk_Leisure[#Headers],0))))</f>
        <v>#N/A</v>
      </c>
      <c r="V225" s="113" t="e">
        <f t="shared" si="50"/>
        <v>#N/A</v>
      </c>
      <c r="W225" s="116" t="e">
        <f>IF(V225="","",IF($D$14="Weekday",INDEX(Tbl_Wait_Wkday[#All],MATCH('Model 2 - Permutations'!V225,Tbl_Wait_Wkday[[#All],[Time]],1),MATCH('Model 2 - Permutations'!F225,Tbl_Wait_Wkday[#Headers],0)),INDEX(Tbl_Wait_Wkend[#All],MATCH('Model 2 - Permutations'!V225,Tbl_Wait_Wkend[[#All],[Time]],1),MATCH('Model 2 - Permutations'!F225,Tbl_Wait_Wkend[#Headers],0))))</f>
        <v>#N/A</v>
      </c>
      <c r="X225" s="117" t="e">
        <f>IF(W225="","",VLOOKUP(F225,Tbl_Ride[#Data],2,FALSE))</f>
        <v>#N/A</v>
      </c>
      <c r="Y225" s="118" t="e">
        <f t="shared" si="51"/>
        <v>#N/A</v>
      </c>
      <c r="Z225" s="114" t="e">
        <f t="shared" si="52"/>
        <v>#N/A</v>
      </c>
      <c r="AA225" s="115" t="e">
        <f>IF(Z225="","",IF($D$5="Average",INDEX(Tbl_Walk_Avg[#All],MATCH('Model 2 - Permutations'!F225,Tbl_Walk_Avg[[#All],[Ride]],0),MATCH('Model 2 - Permutations'!G225,Tbl_Walk_Avg[#Headers],0)),INDEX(Tbl_Walk_Leisure[#All],MATCH('Model 2 - Permutations'!F225,Tbl_Walk_Leisure[[#All],[Ride]],0),MATCH('Model 2 - Permutations'!G225,Tbl_Walk_Leisure[#Headers],0))))</f>
        <v>#N/A</v>
      </c>
      <c r="AB225" s="113" t="e">
        <f t="shared" si="53"/>
        <v>#N/A</v>
      </c>
      <c r="AC225" s="116" t="e">
        <f>IF(AB225="","",IF($D$14="Weekday",INDEX(Tbl_Wait_Wkday[#All],MATCH('Model 2 - Permutations'!AB225,Tbl_Wait_Wkday[[#All],[Time]],1),MATCH('Model 2 - Permutations'!G225,Tbl_Wait_Wkday[#Headers],0)),INDEX(Tbl_Wait_Wkend[#All],MATCH('Model 2 - Permutations'!AB225,Tbl_Wait_Wkend[[#All],[Time]],1),MATCH('Model 2 - Permutations'!G225,Tbl_Wait_Wkend[#Headers],0))))</f>
        <v>#N/A</v>
      </c>
      <c r="AD225" s="117" t="e">
        <f>IF(AC225="","",VLOOKUP(G225,Tbl_Ride[#Data],2,FALSE))</f>
        <v>#N/A</v>
      </c>
      <c r="AE225" s="118" t="e">
        <f t="shared" si="54"/>
        <v>#N/A</v>
      </c>
      <c r="AF225" s="114" t="e">
        <f t="shared" si="55"/>
        <v>#N/A</v>
      </c>
      <c r="AG225" s="115" t="e">
        <f>IF(AF225="","",IF($D$5="Average",INDEX(Tbl_Walk_Avg[#All],MATCH('Model 2 - Permutations'!G225,Tbl_Walk_Avg[[#All],[Ride]],0),MATCH('Model 2 - Permutations'!H225,Tbl_Walk_Avg[#Headers],0)),INDEX(Tbl_Walk_Leisure[#All],MATCH('Model 2 - Permutations'!G225,Tbl_Walk_Leisure[[#All],[Ride]],0),MATCH('Model 2 - Permutations'!H225,Tbl_Walk_Leisure[#Headers],0))))</f>
        <v>#N/A</v>
      </c>
      <c r="AH225" s="113" t="e">
        <f t="shared" si="56"/>
        <v>#N/A</v>
      </c>
      <c r="AI225" s="116" t="e">
        <f>IF(AH225="","",IF($D$14="Weekday",INDEX(Tbl_Wait_Wkday[#All],MATCH('Model 2 - Permutations'!AH225,Tbl_Wait_Wkday[[#All],[Time]],1),MATCH('Model 2 - Permutations'!H225,Tbl_Wait_Wkday[#Headers],0)),INDEX(Tbl_Wait_Wkend[#All],MATCH('Model 2 - Permutations'!AH225,Tbl_Wait_Wkend[[#All],[Time]],1),MATCH('Model 2 - Permutations'!H225,Tbl_Wait_Wkend[#Headers],0))))</f>
        <v>#N/A</v>
      </c>
      <c r="AJ225" s="117" t="e">
        <f>IF(AI225="","",VLOOKUP(H225,Tbl_Ride[#Data],2,FALSE))</f>
        <v>#N/A</v>
      </c>
      <c r="AK225" s="118" t="e">
        <f t="shared" si="57"/>
        <v>#N/A</v>
      </c>
      <c r="AL225" s="119" t="e">
        <f t="shared" si="58"/>
        <v>#N/A</v>
      </c>
      <c r="AM225" s="119" t="str">
        <f t="shared" si="59"/>
        <v>Incomplete</v>
      </c>
      <c r="AN225" s="119" t="str">
        <f t="shared" si="60"/>
        <v>Incomplete</v>
      </c>
      <c r="AP225" s="81"/>
      <c r="AR225" s="81"/>
    </row>
    <row r="226" spans="3:44">
      <c r="AP226" s="81"/>
    </row>
    <row r="231" spans="3:44">
      <c r="D231" s="86" t="s">
        <v>127</v>
      </c>
      <c r="E231" s="87" t="s">
        <v>128</v>
      </c>
    </row>
    <row r="232" spans="3:44">
      <c r="D232" s="91" t="str">
        <f>IF(MIN($AG$253:$AG$258)=0,$R$5,MIN($AG$253:$AG$258))</f>
        <v>Incomplete</v>
      </c>
      <c r="E232" s="92">
        <f>COUNTIF($AG$253:$AG$258,"="&amp;D232)</f>
        <v>6</v>
      </c>
    </row>
    <row r="233" spans="3:44">
      <c r="D233" s="91" t="str">
        <f>IFERROR(SMALL($AG$253:$AG$258,SUM($E$232:E232)+1),$R$5)</f>
        <v>Incomplete</v>
      </c>
      <c r="E233" s="92">
        <f>COUNTIF($AG$253:$AG$258,"="&amp;D233)</f>
        <v>6</v>
      </c>
    </row>
    <row r="234" spans="3:44">
      <c r="D234" s="91" t="str">
        <f>IFERROR(SMALL($AG$253:$AG$258,SUM($E$232:E233)+1),$R$5)</f>
        <v>Incomplete</v>
      </c>
      <c r="E234" s="92">
        <f>COUNTIF($AG$253:$AG$258,"="&amp;D234)</f>
        <v>6</v>
      </c>
    </row>
    <row r="235" spans="3:44">
      <c r="D235" s="91"/>
      <c r="E235" s="92"/>
    </row>
    <row r="236" spans="3:44">
      <c r="D236" s="86" t="s">
        <v>129</v>
      </c>
      <c r="E236" s="87" t="s">
        <v>128</v>
      </c>
    </row>
    <row r="237" spans="3:44">
      <c r="D237" s="91" t="str">
        <f>IF(MIN($AF$253:$AF$258)=0,$R$5,MIN($AF$253:$AF$258))</f>
        <v>Incomplete</v>
      </c>
      <c r="E237" s="92">
        <f>COUNTIF($AF$253:$AF$258,"="&amp;D237)</f>
        <v>6</v>
      </c>
    </row>
    <row r="238" spans="3:44">
      <c r="D238" s="91"/>
      <c r="E238" s="92"/>
    </row>
    <row r="239" spans="3:44">
      <c r="D239" s="86" t="s">
        <v>130</v>
      </c>
      <c r="E239" s="87" t="s">
        <v>128</v>
      </c>
    </row>
    <row r="240" spans="3:44">
      <c r="D240" s="91" t="e">
        <f>IF(MIN($AE$253:$AE$258)=0,$R$5,MIN($AE$253:$AE$258))</f>
        <v>#N/A</v>
      </c>
      <c r="E240" s="92">
        <f>COUNTIF($AE$253:$AE$258,"="&amp;D240)</f>
        <v>6</v>
      </c>
    </row>
    <row r="243" spans="4:35">
      <c r="D243" s="61" t="s">
        <v>168</v>
      </c>
      <c r="N243" s="35"/>
      <c r="O243" s="35" t="s">
        <v>83</v>
      </c>
      <c r="P243" s="35" t="s">
        <v>132</v>
      </c>
      <c r="Q243" s="35" t="s">
        <v>83</v>
      </c>
      <c r="R243" s="35" t="s">
        <v>83</v>
      </c>
      <c r="S243" s="35" t="s">
        <v>83</v>
      </c>
      <c r="T243" s="35" t="s">
        <v>83</v>
      </c>
      <c r="U243" s="35" t="s">
        <v>83</v>
      </c>
      <c r="V243" s="35" t="s">
        <v>132</v>
      </c>
      <c r="W243" s="35" t="s">
        <v>83</v>
      </c>
      <c r="X243" s="35" t="s">
        <v>83</v>
      </c>
      <c r="Y243" s="35" t="s">
        <v>83</v>
      </c>
      <c r="Z243" s="35" t="s">
        <v>83</v>
      </c>
      <c r="AA243" s="35" t="s">
        <v>83</v>
      </c>
      <c r="AB243" s="35" t="s">
        <v>132</v>
      </c>
      <c r="AC243" s="35" t="s">
        <v>83</v>
      </c>
      <c r="AD243" s="35" t="s">
        <v>83</v>
      </c>
      <c r="AE243" s="35" t="s">
        <v>83</v>
      </c>
      <c r="AF243" s="35" t="s">
        <v>83</v>
      </c>
      <c r="AG243" s="35" t="s">
        <v>83</v>
      </c>
      <c r="AH243" s="35"/>
      <c r="AI243" s="35"/>
    </row>
    <row r="244" spans="4:35" ht="30">
      <c r="D244" s="99" t="s">
        <v>133</v>
      </c>
      <c r="E244" s="99" t="s">
        <v>66</v>
      </c>
      <c r="F244" s="100" t="s">
        <v>85</v>
      </c>
      <c r="G244" s="100" t="s">
        <v>86</v>
      </c>
      <c r="H244" s="100" t="s">
        <v>87</v>
      </c>
      <c r="I244" s="101">
        <v>1</v>
      </c>
      <c r="J244" s="101">
        <v>2</v>
      </c>
      <c r="K244" s="101">
        <v>3</v>
      </c>
      <c r="L244" s="102" t="s">
        <v>134</v>
      </c>
      <c r="M244" s="103" t="s">
        <v>135</v>
      </c>
      <c r="N244" s="104" t="s">
        <v>136</v>
      </c>
      <c r="O244" s="102" t="s">
        <v>137</v>
      </c>
      <c r="P244" s="105" t="s">
        <v>138</v>
      </c>
      <c r="Q244" s="106" t="s">
        <v>139</v>
      </c>
      <c r="R244" s="107" t="s">
        <v>140</v>
      </c>
      <c r="S244" s="103" t="s">
        <v>135</v>
      </c>
      <c r="T244" s="104" t="s">
        <v>141</v>
      </c>
      <c r="U244" s="102" t="s">
        <v>142</v>
      </c>
      <c r="V244" s="105" t="s">
        <v>143</v>
      </c>
      <c r="W244" s="106" t="s">
        <v>144</v>
      </c>
      <c r="X244" s="107" t="s">
        <v>145</v>
      </c>
      <c r="Y244" s="103" t="s">
        <v>135</v>
      </c>
      <c r="Z244" s="104" t="s">
        <v>146</v>
      </c>
      <c r="AA244" s="102" t="s">
        <v>147</v>
      </c>
      <c r="AB244" s="105" t="s">
        <v>148</v>
      </c>
      <c r="AC244" s="106" t="s">
        <v>149</v>
      </c>
      <c r="AD244" s="107" t="s">
        <v>150</v>
      </c>
      <c r="AE244" s="108" t="s">
        <v>161</v>
      </c>
      <c r="AF244" s="109" t="s">
        <v>94</v>
      </c>
      <c r="AG244" s="110" t="s">
        <v>162</v>
      </c>
    </row>
    <row r="245" spans="4:35">
      <c r="D245" s="19" t="e" cm="1" vm="3">
        <f t="array" aca="1" ref="D245" ca="1">_xlfn._xlws.FILTER($D$253:$D$258,($AG$253:$AG$258&lt;=$D$232))</f>
        <v>#VALUE!</v>
      </c>
      <c r="E245" s="111" t="e" vm="1">
        <f t="array" aca="1" ref="E245:AG245" ca="1">IF(D245="","",INDEX($E$253:$AG$258,MATCH(D245,$D$253:$D$258,0),0))</f>
        <v>#VALUE!</v>
      </c>
      <c r="F245" s="112" t="e" vm="1">
        <f ca="1"/>
        <v>#VALUE!</v>
      </c>
      <c r="G245" s="112" t="e" vm="1">
        <f ca="1"/>
        <v>#VALUE!</v>
      </c>
      <c r="H245" s="112" t="e" vm="1">
        <f ca="1"/>
        <v>#VALUE!</v>
      </c>
      <c r="I245" s="79" t="e" vm="1">
        <f ca="1"/>
        <v>#VALUE!</v>
      </c>
      <c r="J245" s="79" t="e" vm="1">
        <f ca="1"/>
        <v>#VALUE!</v>
      </c>
      <c r="K245" s="79" t="e" vm="1">
        <f ca="1"/>
        <v>#VALUE!</v>
      </c>
      <c r="L245" s="113" t="e" vm="1">
        <f ca="1"/>
        <v>#VALUE!</v>
      </c>
      <c r="M245" s="114" t="e" vm="1">
        <f ca="1"/>
        <v>#VALUE!</v>
      </c>
      <c r="N245" s="115" t="e" vm="1">
        <f ca="1"/>
        <v>#VALUE!</v>
      </c>
      <c r="O245" s="113" t="e" vm="1">
        <f ca="1"/>
        <v>#VALUE!</v>
      </c>
      <c r="P245" s="116" t="e" vm="1">
        <f ca="1"/>
        <v>#VALUE!</v>
      </c>
      <c r="Q245" s="117" t="e" vm="1">
        <f ca="1"/>
        <v>#VALUE!</v>
      </c>
      <c r="R245" s="118" t="e" vm="1">
        <f ca="1"/>
        <v>#VALUE!</v>
      </c>
      <c r="S245" s="114" t="e" vm="1">
        <f ca="1"/>
        <v>#VALUE!</v>
      </c>
      <c r="T245" s="115" t="e" vm="1">
        <f ca="1"/>
        <v>#VALUE!</v>
      </c>
      <c r="U245" s="113" t="e" vm="1">
        <f ca="1"/>
        <v>#VALUE!</v>
      </c>
      <c r="V245" s="116" t="e" vm="1">
        <f ca="1"/>
        <v>#VALUE!</v>
      </c>
      <c r="W245" s="117" t="e" vm="1">
        <f ca="1"/>
        <v>#VALUE!</v>
      </c>
      <c r="X245" s="118" t="e" vm="1">
        <f ca="1"/>
        <v>#VALUE!</v>
      </c>
      <c r="Y245" s="114" t="e" vm="1">
        <f ca="1"/>
        <v>#VALUE!</v>
      </c>
      <c r="Z245" s="115" t="e" vm="1">
        <f ca="1"/>
        <v>#VALUE!</v>
      </c>
      <c r="AA245" s="113" t="e" vm="1">
        <f ca="1"/>
        <v>#VALUE!</v>
      </c>
      <c r="AB245" s="116" t="e" vm="1">
        <f ca="1"/>
        <v>#VALUE!</v>
      </c>
      <c r="AC245" s="117" t="e" vm="1">
        <f ca="1"/>
        <v>#VALUE!</v>
      </c>
      <c r="AD245" s="118" t="e" vm="1">
        <f ca="1"/>
        <v>#VALUE!</v>
      </c>
      <c r="AE245" s="119" t="e" vm="1">
        <f ca="1"/>
        <v>#VALUE!</v>
      </c>
      <c r="AF245" s="119" t="e" vm="1">
        <f ca="1"/>
        <v>#VALUE!</v>
      </c>
      <c r="AG245" s="119" t="e" vm="1">
        <f ca="1"/>
        <v>#VALUE!</v>
      </c>
    </row>
    <row r="246" spans="4:35">
      <c r="D246" s="19"/>
      <c r="E246" s="111" t="str">
        <f t="array" ref="E246:AG246">IF(D246="","",INDEX($E$253:$AG$258,MATCH(D246,$D$253:$D$258,0),0))</f>
        <v/>
      </c>
      <c r="F246" s="112" t="str">
        <v/>
      </c>
      <c r="G246" s="112" t="str">
        <v/>
      </c>
      <c r="H246" s="112" t="str">
        <v/>
      </c>
      <c r="I246" s="79" t="str">
        <v/>
      </c>
      <c r="J246" s="79" t="str">
        <v/>
      </c>
      <c r="K246" s="79" t="str">
        <v/>
      </c>
      <c r="L246" s="113" t="str">
        <v/>
      </c>
      <c r="M246" s="114" t="str">
        <v/>
      </c>
      <c r="N246" s="115" t="str">
        <v/>
      </c>
      <c r="O246" s="113" t="str">
        <v/>
      </c>
      <c r="P246" s="116" t="str">
        <v/>
      </c>
      <c r="Q246" s="117" t="str">
        <v/>
      </c>
      <c r="R246" s="118" t="str">
        <v/>
      </c>
      <c r="S246" s="114" t="str">
        <v/>
      </c>
      <c r="T246" s="115" t="str">
        <v/>
      </c>
      <c r="U246" s="113" t="str">
        <v/>
      </c>
      <c r="V246" s="116" t="str">
        <v/>
      </c>
      <c r="W246" s="117" t="str">
        <v/>
      </c>
      <c r="X246" s="118" t="str">
        <v/>
      </c>
      <c r="Y246" s="114" t="str">
        <v/>
      </c>
      <c r="Z246" s="115" t="str">
        <v/>
      </c>
      <c r="AA246" s="113" t="str">
        <v/>
      </c>
      <c r="AB246" s="116" t="str">
        <v/>
      </c>
      <c r="AC246" s="117" t="str">
        <v/>
      </c>
      <c r="AD246" s="118" t="str">
        <v/>
      </c>
      <c r="AE246" s="119" t="str">
        <v/>
      </c>
      <c r="AF246" s="119" t="str">
        <v/>
      </c>
      <c r="AG246" s="119" t="str">
        <v/>
      </c>
    </row>
    <row r="247" spans="4:35">
      <c r="D247" s="19"/>
      <c r="E247" s="111" t="str">
        <f t="array" ref="E247:AG247">IF(D247="","",INDEX($E$253:$AG$258,MATCH(D247,$D$253:$D$258,0),0))</f>
        <v/>
      </c>
      <c r="F247" s="112" t="str">
        <v/>
      </c>
      <c r="G247" s="112" t="str">
        <v/>
      </c>
      <c r="H247" s="112" t="str">
        <v/>
      </c>
      <c r="I247" s="79" t="str">
        <v/>
      </c>
      <c r="J247" s="79" t="str">
        <v/>
      </c>
      <c r="K247" s="79" t="str">
        <v/>
      </c>
      <c r="L247" s="113" t="str">
        <v/>
      </c>
      <c r="M247" s="114" t="str">
        <v/>
      </c>
      <c r="N247" s="115" t="str">
        <v/>
      </c>
      <c r="O247" s="113" t="str">
        <v/>
      </c>
      <c r="P247" s="116" t="str">
        <v/>
      </c>
      <c r="Q247" s="117" t="str">
        <v/>
      </c>
      <c r="R247" s="118" t="str">
        <v/>
      </c>
      <c r="S247" s="114" t="str">
        <v/>
      </c>
      <c r="T247" s="115" t="str">
        <v/>
      </c>
      <c r="U247" s="113" t="str">
        <v/>
      </c>
      <c r="V247" s="116" t="str">
        <v/>
      </c>
      <c r="W247" s="117" t="str">
        <v/>
      </c>
      <c r="X247" s="118" t="str">
        <v/>
      </c>
      <c r="Y247" s="114" t="str">
        <v/>
      </c>
      <c r="Z247" s="115" t="str">
        <v/>
      </c>
      <c r="AA247" s="113" t="str">
        <v/>
      </c>
      <c r="AB247" s="116" t="str">
        <v/>
      </c>
      <c r="AC247" s="117" t="str">
        <v/>
      </c>
      <c r="AD247" s="118" t="str">
        <v/>
      </c>
      <c r="AE247" s="119" t="str">
        <v/>
      </c>
      <c r="AF247" s="119" t="str">
        <v/>
      </c>
      <c r="AG247" s="119" t="str">
        <v/>
      </c>
    </row>
    <row r="248" spans="4:35">
      <c r="D248" s="19"/>
      <c r="E248" s="111" t="str">
        <f t="array" ref="E248:AG248">IF(D248="","",INDEX($E$253:$AG$258,MATCH(D248,$D$253:$D$258,0),0))</f>
        <v/>
      </c>
      <c r="F248" s="112" t="str">
        <v/>
      </c>
      <c r="G248" s="112" t="str">
        <v/>
      </c>
      <c r="H248" s="112" t="str">
        <v/>
      </c>
      <c r="I248" s="79" t="str">
        <v/>
      </c>
      <c r="J248" s="79" t="str">
        <v/>
      </c>
      <c r="K248" s="79" t="str">
        <v/>
      </c>
      <c r="L248" s="113" t="str">
        <v/>
      </c>
      <c r="M248" s="114" t="str">
        <v/>
      </c>
      <c r="N248" s="115" t="str">
        <v/>
      </c>
      <c r="O248" s="113" t="str">
        <v/>
      </c>
      <c r="P248" s="116" t="str">
        <v/>
      </c>
      <c r="Q248" s="117" t="str">
        <v/>
      </c>
      <c r="R248" s="118" t="str">
        <v/>
      </c>
      <c r="S248" s="114" t="str">
        <v/>
      </c>
      <c r="T248" s="115" t="str">
        <v/>
      </c>
      <c r="U248" s="113" t="str">
        <v/>
      </c>
      <c r="V248" s="116" t="str">
        <v/>
      </c>
      <c r="W248" s="117" t="str">
        <v/>
      </c>
      <c r="X248" s="118" t="str">
        <v/>
      </c>
      <c r="Y248" s="114" t="str">
        <v/>
      </c>
      <c r="Z248" s="115" t="str">
        <v/>
      </c>
      <c r="AA248" s="113" t="str">
        <v/>
      </c>
      <c r="AB248" s="116" t="str">
        <v/>
      </c>
      <c r="AC248" s="117" t="str">
        <v/>
      </c>
      <c r="AD248" s="118" t="str">
        <v/>
      </c>
      <c r="AE248" s="119" t="str">
        <v/>
      </c>
      <c r="AF248" s="119" t="str">
        <v/>
      </c>
      <c r="AG248" s="119" t="str">
        <v/>
      </c>
    </row>
    <row r="250" spans="4:35">
      <c r="D250" s="8" t="s">
        <v>169</v>
      </c>
    </row>
    <row r="251" spans="4:35">
      <c r="D251" s="35" t="s">
        <v>164</v>
      </c>
      <c r="E251" s="35">
        <v>3</v>
      </c>
      <c r="F251" s="35"/>
      <c r="G251" s="35"/>
      <c r="H251" s="35"/>
      <c r="I251" s="35"/>
      <c r="J251" s="35"/>
      <c r="K251" s="35"/>
      <c r="L251" s="35"/>
      <c r="M251" s="35" t="s">
        <v>83</v>
      </c>
      <c r="N251" s="35" t="s">
        <v>132</v>
      </c>
      <c r="O251" s="35" t="s">
        <v>83</v>
      </c>
      <c r="P251" s="35" t="s">
        <v>83</v>
      </c>
      <c r="Q251" s="35" t="s">
        <v>83</v>
      </c>
      <c r="R251" s="35" t="s">
        <v>83</v>
      </c>
      <c r="S251" s="35" t="s">
        <v>83</v>
      </c>
      <c r="T251" s="35" t="s">
        <v>132</v>
      </c>
      <c r="U251" s="35" t="s">
        <v>83</v>
      </c>
      <c r="V251" s="35" t="s">
        <v>83</v>
      </c>
      <c r="W251" s="35" t="s">
        <v>83</v>
      </c>
      <c r="X251" s="35" t="s">
        <v>83</v>
      </c>
      <c r="Y251" s="35" t="s">
        <v>83</v>
      </c>
      <c r="Z251" s="35" t="s">
        <v>132</v>
      </c>
      <c r="AA251" s="35" t="s">
        <v>83</v>
      </c>
      <c r="AB251" s="35" t="s">
        <v>83</v>
      </c>
      <c r="AC251" s="35" t="s">
        <v>83</v>
      </c>
      <c r="AD251" s="35" t="s">
        <v>83</v>
      </c>
      <c r="AE251" s="35" t="s">
        <v>83</v>
      </c>
      <c r="AF251" s="35" t="s">
        <v>83</v>
      </c>
      <c r="AG251" s="35" t="s">
        <v>83</v>
      </c>
    </row>
    <row r="252" spans="4:35" ht="30">
      <c r="D252" s="99" t="s">
        <v>133</v>
      </c>
      <c r="E252" s="99" t="s">
        <v>66</v>
      </c>
      <c r="F252" s="100" t="s">
        <v>85</v>
      </c>
      <c r="G252" s="100" t="s">
        <v>86</v>
      </c>
      <c r="H252" s="100" t="s">
        <v>87</v>
      </c>
      <c r="I252" s="101">
        <v>1</v>
      </c>
      <c r="J252" s="101">
        <v>2</v>
      </c>
      <c r="K252" s="101">
        <v>3</v>
      </c>
      <c r="L252" s="102" t="s">
        <v>134</v>
      </c>
      <c r="M252" s="103" t="s">
        <v>135</v>
      </c>
      <c r="N252" s="104" t="s">
        <v>136</v>
      </c>
      <c r="O252" s="102" t="s">
        <v>137</v>
      </c>
      <c r="P252" s="105" t="s">
        <v>138</v>
      </c>
      <c r="Q252" s="106" t="s">
        <v>139</v>
      </c>
      <c r="R252" s="107" t="s">
        <v>140</v>
      </c>
      <c r="S252" s="103" t="s">
        <v>135</v>
      </c>
      <c r="T252" s="104" t="s">
        <v>141</v>
      </c>
      <c r="U252" s="102" t="s">
        <v>142</v>
      </c>
      <c r="V252" s="105" t="s">
        <v>143</v>
      </c>
      <c r="W252" s="106" t="s">
        <v>144</v>
      </c>
      <c r="X252" s="107" t="s">
        <v>145</v>
      </c>
      <c r="Y252" s="103" t="s">
        <v>135</v>
      </c>
      <c r="Z252" s="104" t="s">
        <v>146</v>
      </c>
      <c r="AA252" s="102" t="s">
        <v>147</v>
      </c>
      <c r="AB252" s="105" t="s">
        <v>148</v>
      </c>
      <c r="AC252" s="106" t="s">
        <v>149</v>
      </c>
      <c r="AD252" s="107" t="s">
        <v>150</v>
      </c>
      <c r="AE252" s="108" t="s">
        <v>161</v>
      </c>
      <c r="AF252" s="109" t="s">
        <v>94</v>
      </c>
      <c r="AG252" s="110" t="s">
        <v>162</v>
      </c>
    </row>
    <row r="253" spans="4:35">
      <c r="D253" s="111">
        <v>1</v>
      </c>
      <c r="E253" s="111" t="s">
        <v>66</v>
      </c>
      <c r="F253" s="112" t="str">
        <f t="shared" ref="F253:H258" si="61">IF($D$12=$E$251,HLOOKUP(I253,$D$9:$H$10,2,FALSE),"")</f>
        <v/>
      </c>
      <c r="G253" s="112" t="str">
        <f t="shared" si="61"/>
        <v/>
      </c>
      <c r="H253" s="112" t="str">
        <f t="shared" si="61"/>
        <v/>
      </c>
      <c r="I253" s="79">
        <v>1</v>
      </c>
      <c r="J253" s="79">
        <v>2</v>
      </c>
      <c r="K253" s="79">
        <v>3</v>
      </c>
      <c r="L253" s="113">
        <f>$D$6</f>
        <v>0.5</v>
      </c>
      <c r="M253" s="114">
        <f>IF($G$4="No",0,IF(L253&gt;=$G$5,1,0))</f>
        <v>0</v>
      </c>
      <c r="N253" s="115" t="e">
        <f>IF($D$5="Average",INDEX(Tbl_Walk_Avg[#All],MATCH('Model 2 - Permutations'!E253,Tbl_Walk_Avg[[#All],[Ride]],0),MATCH('Model 2 - Permutations'!F253,Tbl_Walk_Avg[#Headers],0)),INDEX(Tbl_Walk_Leisure[#All],MATCH('Model 2 - Permutations'!E253,Tbl_Walk_Leisure[[#All],[Ride]],0),MATCH('Model 2 - Permutations'!F253,Tbl_Walk_Leisure[#Headers],0)))</f>
        <v>#N/A</v>
      </c>
      <c r="O253" s="113" t="e">
        <f>IF((L253+M253*$G$6+N253)&gt;$D$7,"",L253+M253*$G$6+N253)</f>
        <v>#N/A</v>
      </c>
      <c r="P253" s="116" t="e">
        <f>IF(O253="","",IF($D$14="Weekday",INDEX(Tbl_Wait_Wkday[#All],MATCH('Model 2 - Permutations'!O253,Tbl_Wait_Wkday[[#All],[Time]],1),MATCH('Model 2 - Permutations'!F253,Tbl_Wait_Wkday[#Headers],0)),INDEX(Tbl_Wait_Wkend[#All],MATCH('Model 2 - Permutations'!O253,Tbl_Wait_Wkend[[#All],[Time]],1),MATCH('Model 2 - Permutations'!F253,Tbl_Wait_Wkend[#Headers],0))))</f>
        <v>#N/A</v>
      </c>
      <c r="Q253" s="117" t="e">
        <f>IF(P253="","",VLOOKUP(F253,Tbl_Ride[#Data],2,FALSE))</f>
        <v>#N/A</v>
      </c>
      <c r="R253" s="118" t="e">
        <f>IF(Q253="","",O253+P253+Q253)</f>
        <v>#N/A</v>
      </c>
      <c r="S253" s="114" t="e">
        <f>IF(R253="","",IF($G$4="No",0,IF(M253=1,0,IF(R253&gt;=$G$5,1,0))))</f>
        <v>#N/A</v>
      </c>
      <c r="T253" s="115" t="e">
        <f>IF(S253="","",IF($D$5="Average",INDEX(Tbl_Walk_Avg[#All],MATCH('Model 2 - Permutations'!F253,Tbl_Walk_Avg[[#All],[Ride]],0),MATCH('Model 2 - Permutations'!G253,Tbl_Walk_Avg[#Headers],0)),INDEX(Tbl_Walk_Leisure[#All],MATCH('Model 2 - Permutations'!F253,Tbl_Walk_Leisure[[#All],[Ride]],0),MATCH('Model 2 - Permutations'!G253,Tbl_Walk_Leisure[#Headers],0))))</f>
        <v>#N/A</v>
      </c>
      <c r="U253" s="113" t="e">
        <f>IF(T253="","",IF((R253+S253*$G$6+T253)&gt;$D$7,"",R253+S253*$G$6+T253))</f>
        <v>#N/A</v>
      </c>
      <c r="V253" s="116" t="e">
        <f>IF(U253="","",IF($D$14="Weekday",INDEX(Tbl_Wait_Wkday[#All],MATCH('Model 2 - Permutations'!U253,Tbl_Wait_Wkday[[#All],[Time]],1),MATCH('Model 2 - Permutations'!G253,Tbl_Wait_Wkday[#Headers],0)),INDEX(Tbl_Wait_Wkend[#All],MATCH('Model 2 - Permutations'!U253,Tbl_Wait_Wkend[[#All],[Time]],1),MATCH('Model 2 - Permutations'!G253,Tbl_Wait_Wkend[#Headers],0))))</f>
        <v>#N/A</v>
      </c>
      <c r="W253" s="117" t="e">
        <f>IF(V253="","",VLOOKUP(G253,Tbl_Ride[#Data],2,FALSE))</f>
        <v>#N/A</v>
      </c>
      <c r="X253" s="118" t="e">
        <f>IF(W253="","",U253+V253+W253)</f>
        <v>#N/A</v>
      </c>
      <c r="Y253" s="114" t="e">
        <f>IF(X253="","",IF($G$4="No",0,IF((M253+S253)=1,0,IF(X253&gt;=$G$5,1,0))))</f>
        <v>#N/A</v>
      </c>
      <c r="Z253" s="115" t="e">
        <f>IF(Y253="","",IF($D$5="Average",INDEX(Tbl_Walk_Avg[#All],MATCH('Model 2 - Permutations'!G253,Tbl_Walk_Avg[[#All],[Ride]],0),MATCH('Model 2 - Permutations'!H253,Tbl_Walk_Avg[#Headers],0)),INDEX(Tbl_Walk_Leisure[#All],MATCH('Model 2 - Permutations'!G253,Tbl_Walk_Leisure[[#All],[Ride]],0),MATCH('Model 2 - Permutations'!H253,Tbl_Walk_Leisure[#Headers],0))))</f>
        <v>#N/A</v>
      </c>
      <c r="AA253" s="113" t="e">
        <f>IF(Z253="","",IF((X253+Y253*$G$6+Z253)&gt;$D$7,"",X253+Y253*$G$6+Z253))</f>
        <v>#N/A</v>
      </c>
      <c r="AB253" s="116" t="e">
        <f>IF(AA253="","",IF($D$14="Weekday",INDEX(Tbl_Wait_Wkday[#All],MATCH('Model 2 - Permutations'!AA253,Tbl_Wait_Wkday[[#All],[Time]],1),MATCH('Model 2 - Permutations'!H253,Tbl_Wait_Wkday[#Headers],0)),INDEX(Tbl_Wait_Wkend[#All],MATCH('Model 2 - Permutations'!AA253,Tbl_Wait_Wkend[[#All],[Time]],1),MATCH('Model 2 - Permutations'!H253,Tbl_Wait_Wkend[#Headers],0))))</f>
        <v>#N/A</v>
      </c>
      <c r="AC253" s="117" t="e">
        <f>IF(AB253="","",VLOOKUP(H253,Tbl_Ride[#Data],2,FALSE))</f>
        <v>#N/A</v>
      </c>
      <c r="AD253" s="118" t="e">
        <f>IF(AC253="","",AA253+AB253+AC253)</f>
        <v>#N/A</v>
      </c>
      <c r="AE253" s="119" t="e">
        <f>IF(AD253="",$R$5,IFERROR(N253+T253+Z253,$R$5))</f>
        <v>#N/A</v>
      </c>
      <c r="AF253" s="119" t="str">
        <f>IFERROR(P253+V253+AB253,$R$5)</f>
        <v>Incomplete</v>
      </c>
      <c r="AG253" s="119" t="str">
        <f>IFERROR(SUM(AE253+AF253),$R$5)</f>
        <v>Incomplete</v>
      </c>
    </row>
    <row r="254" spans="4:35">
      <c r="D254" s="111">
        <v>2</v>
      </c>
      <c r="E254" s="111" t="s">
        <v>66</v>
      </c>
      <c r="F254" s="112" t="str">
        <f t="shared" si="61"/>
        <v/>
      </c>
      <c r="G254" s="112" t="str">
        <f t="shared" si="61"/>
        <v/>
      </c>
      <c r="H254" s="112" t="str">
        <f t="shared" si="61"/>
        <v/>
      </c>
      <c r="I254" s="79">
        <v>1</v>
      </c>
      <c r="J254" s="79">
        <v>3</v>
      </c>
      <c r="K254" s="79">
        <v>2</v>
      </c>
      <c r="L254" s="113">
        <f t="shared" ref="L254:L258" si="62">$D$6</f>
        <v>0.5</v>
      </c>
      <c r="M254" s="114">
        <f t="shared" ref="M254:M258" si="63">IF($G$4="No",0,IF(L254&gt;=$G$5,1,0))</f>
        <v>0</v>
      </c>
      <c r="N254" s="115" t="e">
        <f>IF($D$5="Average",INDEX(Tbl_Walk_Avg[#All],MATCH('Model 2 - Permutations'!E254,Tbl_Walk_Avg[[#All],[Ride]],0),MATCH('Model 2 - Permutations'!F254,Tbl_Walk_Avg[#Headers],0)),INDEX(Tbl_Walk_Leisure[#All],MATCH('Model 2 - Permutations'!E254,Tbl_Walk_Leisure[[#All],[Ride]],0),MATCH('Model 2 - Permutations'!F254,Tbl_Walk_Leisure[#Headers],0)))</f>
        <v>#N/A</v>
      </c>
      <c r="O254" s="113" t="e">
        <f t="shared" ref="O254:O258" si="64">IF((L254+M254*$G$6+N254)&gt;$D$7,"",L254+M254*$G$6+N254)</f>
        <v>#N/A</v>
      </c>
      <c r="P254" s="116" t="e">
        <f>IF(O254="","",IF($D$14="Weekday",INDEX(Tbl_Wait_Wkday[#All],MATCH('Model 2 - Permutations'!O254,Tbl_Wait_Wkday[[#All],[Time]],1),MATCH('Model 2 - Permutations'!F254,Tbl_Wait_Wkday[#Headers],0)),INDEX(Tbl_Wait_Wkend[#All],MATCH('Model 2 - Permutations'!O254,Tbl_Wait_Wkend[[#All],[Time]],1),MATCH('Model 2 - Permutations'!F254,Tbl_Wait_Wkend[#Headers],0))))</f>
        <v>#N/A</v>
      </c>
      <c r="Q254" s="117" t="e">
        <f>IF(P254="","",VLOOKUP(F254,Tbl_Ride[#Data],2,FALSE))</f>
        <v>#N/A</v>
      </c>
      <c r="R254" s="118" t="e">
        <f t="shared" ref="R254:R258" si="65">IF(Q254="","",O254+P254+Q254)</f>
        <v>#N/A</v>
      </c>
      <c r="S254" s="114" t="e">
        <f t="shared" ref="S254:S258" si="66">IF(R254="","",IF($G$4="No",0,IF(M254=1,0,IF(R254&gt;=$G$5,1,0))))</f>
        <v>#N/A</v>
      </c>
      <c r="T254" s="115" t="e">
        <f>IF(S254="","",IF($D$5="Average",INDEX(Tbl_Walk_Avg[#All],MATCH('Model 2 - Permutations'!F254,Tbl_Walk_Avg[[#All],[Ride]],0),MATCH('Model 2 - Permutations'!G254,Tbl_Walk_Avg[#Headers],0)),INDEX(Tbl_Walk_Leisure[#All],MATCH('Model 2 - Permutations'!F254,Tbl_Walk_Leisure[[#All],[Ride]],0),MATCH('Model 2 - Permutations'!G254,Tbl_Walk_Leisure[#Headers],0))))</f>
        <v>#N/A</v>
      </c>
      <c r="U254" s="113" t="e">
        <f t="shared" ref="U254:U258" si="67">IF(T254="","",IF((R254+S254*$G$6+T254)&gt;$D$7,"",R254+S254*$G$6+T254))</f>
        <v>#N/A</v>
      </c>
      <c r="V254" s="116" t="e">
        <f>IF(U254="","",IF($D$14="Weekday",INDEX(Tbl_Wait_Wkday[#All],MATCH('Model 2 - Permutations'!U254,Tbl_Wait_Wkday[[#All],[Time]],1),MATCH('Model 2 - Permutations'!G254,Tbl_Wait_Wkday[#Headers],0)),INDEX(Tbl_Wait_Wkend[#All],MATCH('Model 2 - Permutations'!U254,Tbl_Wait_Wkend[[#All],[Time]],1),MATCH('Model 2 - Permutations'!G254,Tbl_Wait_Wkend[#Headers],0))))</f>
        <v>#N/A</v>
      </c>
      <c r="W254" s="117" t="e">
        <f>IF(V254="","",VLOOKUP(G254,Tbl_Ride[#Data],2,FALSE))</f>
        <v>#N/A</v>
      </c>
      <c r="X254" s="118" t="e">
        <f t="shared" ref="X254:X258" si="68">IF(W254="","",U254+V254+W254)</f>
        <v>#N/A</v>
      </c>
      <c r="Y254" s="114" t="e">
        <f t="shared" ref="Y254:Y258" si="69">IF(X254="","",IF($G$4="No",0,IF((M254+S254)=1,0,IF(X254&gt;=$G$5,1,0))))</f>
        <v>#N/A</v>
      </c>
      <c r="Z254" s="115" t="e">
        <f>IF(Y254="","",IF($D$5="Average",INDEX(Tbl_Walk_Avg[#All],MATCH('Model 2 - Permutations'!G254,Tbl_Walk_Avg[[#All],[Ride]],0),MATCH('Model 2 - Permutations'!H254,Tbl_Walk_Avg[#Headers],0)),INDEX(Tbl_Walk_Leisure[#All],MATCH('Model 2 - Permutations'!G254,Tbl_Walk_Leisure[[#All],[Ride]],0),MATCH('Model 2 - Permutations'!H254,Tbl_Walk_Leisure[#Headers],0))))</f>
        <v>#N/A</v>
      </c>
      <c r="AA254" s="113" t="e">
        <f t="shared" ref="AA254:AA258" si="70">IF(Z254="","",IF((X254+Y254*$G$6+Z254)&gt;$D$7,"",X254+Y254*$G$6+Z254))</f>
        <v>#N/A</v>
      </c>
      <c r="AB254" s="116" t="e">
        <f>IF(AA254="","",IF($D$14="Weekday",INDEX(Tbl_Wait_Wkday[#All],MATCH('Model 2 - Permutations'!AA254,Tbl_Wait_Wkday[[#All],[Time]],1),MATCH('Model 2 - Permutations'!H254,Tbl_Wait_Wkday[#Headers],0)),INDEX(Tbl_Wait_Wkend[#All],MATCH('Model 2 - Permutations'!AA254,Tbl_Wait_Wkend[[#All],[Time]],1),MATCH('Model 2 - Permutations'!H254,Tbl_Wait_Wkend[#Headers],0))))</f>
        <v>#N/A</v>
      </c>
      <c r="AC254" s="117" t="e">
        <f>IF(AB254="","",VLOOKUP(H254,Tbl_Ride[#Data],2,FALSE))</f>
        <v>#N/A</v>
      </c>
      <c r="AD254" s="118" t="e">
        <f t="shared" ref="AD254:AD258" si="71">IF(AC254="","",AA254+AB254+AC254)</f>
        <v>#N/A</v>
      </c>
      <c r="AE254" s="119" t="e">
        <f t="shared" ref="AE254:AE258" si="72">IF(AD254="",$R$5,IFERROR(N254+T254+Z254,$R$5))</f>
        <v>#N/A</v>
      </c>
      <c r="AF254" s="119" t="str">
        <f t="shared" ref="AF254:AF258" si="73">IFERROR(P254+V254+AB254,$R$5)</f>
        <v>Incomplete</v>
      </c>
      <c r="AG254" s="119" t="str">
        <f t="shared" ref="AG254:AG258" si="74">IFERROR(SUM(AE254+AF254),$R$5)</f>
        <v>Incomplete</v>
      </c>
    </row>
    <row r="255" spans="4:35">
      <c r="D255" s="111">
        <v>3</v>
      </c>
      <c r="E255" s="111" t="s">
        <v>66</v>
      </c>
      <c r="F255" s="112" t="str">
        <f t="shared" si="61"/>
        <v/>
      </c>
      <c r="G255" s="112" t="str">
        <f t="shared" si="61"/>
        <v/>
      </c>
      <c r="H255" s="112" t="str">
        <f t="shared" si="61"/>
        <v/>
      </c>
      <c r="I255" s="79">
        <v>2</v>
      </c>
      <c r="J255" s="79">
        <v>1</v>
      </c>
      <c r="K255" s="79">
        <v>3</v>
      </c>
      <c r="L255" s="113">
        <f t="shared" si="62"/>
        <v>0.5</v>
      </c>
      <c r="M255" s="114">
        <f t="shared" si="63"/>
        <v>0</v>
      </c>
      <c r="N255" s="115" t="e">
        <f>IF($D$5="Average",INDEX(Tbl_Walk_Avg[#All],MATCH('Model 2 - Permutations'!E255,Tbl_Walk_Avg[[#All],[Ride]],0),MATCH('Model 2 - Permutations'!F255,Tbl_Walk_Avg[#Headers],0)),INDEX(Tbl_Walk_Leisure[#All],MATCH('Model 2 - Permutations'!E255,Tbl_Walk_Leisure[[#All],[Ride]],0),MATCH('Model 2 - Permutations'!F255,Tbl_Walk_Leisure[#Headers],0)))</f>
        <v>#N/A</v>
      </c>
      <c r="O255" s="113" t="e">
        <f t="shared" si="64"/>
        <v>#N/A</v>
      </c>
      <c r="P255" s="116" t="e">
        <f>IF(O255="","",IF($D$14="Weekday",INDEX(Tbl_Wait_Wkday[#All],MATCH('Model 2 - Permutations'!O255,Tbl_Wait_Wkday[[#All],[Time]],1),MATCH('Model 2 - Permutations'!F255,Tbl_Wait_Wkday[#Headers],0)),INDEX(Tbl_Wait_Wkend[#All],MATCH('Model 2 - Permutations'!O255,Tbl_Wait_Wkend[[#All],[Time]],1),MATCH('Model 2 - Permutations'!F255,Tbl_Wait_Wkend[#Headers],0))))</f>
        <v>#N/A</v>
      </c>
      <c r="Q255" s="117" t="e">
        <f>IF(P255="","",VLOOKUP(F255,Tbl_Ride[#Data],2,FALSE))</f>
        <v>#N/A</v>
      </c>
      <c r="R255" s="118" t="e">
        <f t="shared" si="65"/>
        <v>#N/A</v>
      </c>
      <c r="S255" s="114" t="e">
        <f t="shared" si="66"/>
        <v>#N/A</v>
      </c>
      <c r="T255" s="115" t="e">
        <f>IF(S255="","",IF($D$5="Average",INDEX(Tbl_Walk_Avg[#All],MATCH('Model 2 - Permutations'!F255,Tbl_Walk_Avg[[#All],[Ride]],0),MATCH('Model 2 - Permutations'!G255,Tbl_Walk_Avg[#Headers],0)),INDEX(Tbl_Walk_Leisure[#All],MATCH('Model 2 - Permutations'!F255,Tbl_Walk_Leisure[[#All],[Ride]],0),MATCH('Model 2 - Permutations'!G255,Tbl_Walk_Leisure[#Headers],0))))</f>
        <v>#N/A</v>
      </c>
      <c r="U255" s="113" t="e">
        <f t="shared" si="67"/>
        <v>#N/A</v>
      </c>
      <c r="V255" s="116" t="e">
        <f>IF(U255="","",IF($D$14="Weekday",INDEX(Tbl_Wait_Wkday[#All],MATCH('Model 2 - Permutations'!U255,Tbl_Wait_Wkday[[#All],[Time]],1),MATCH('Model 2 - Permutations'!G255,Tbl_Wait_Wkday[#Headers],0)),INDEX(Tbl_Wait_Wkend[#All],MATCH('Model 2 - Permutations'!U255,Tbl_Wait_Wkend[[#All],[Time]],1),MATCH('Model 2 - Permutations'!G255,Tbl_Wait_Wkend[#Headers],0))))</f>
        <v>#N/A</v>
      </c>
      <c r="W255" s="117" t="e">
        <f>IF(V255="","",VLOOKUP(G255,Tbl_Ride[#Data],2,FALSE))</f>
        <v>#N/A</v>
      </c>
      <c r="X255" s="118" t="e">
        <f t="shared" si="68"/>
        <v>#N/A</v>
      </c>
      <c r="Y255" s="114" t="e">
        <f t="shared" si="69"/>
        <v>#N/A</v>
      </c>
      <c r="Z255" s="115" t="e">
        <f>IF(Y255="","",IF($D$5="Average",INDEX(Tbl_Walk_Avg[#All],MATCH('Model 2 - Permutations'!G255,Tbl_Walk_Avg[[#All],[Ride]],0),MATCH('Model 2 - Permutations'!H255,Tbl_Walk_Avg[#Headers],0)),INDEX(Tbl_Walk_Leisure[#All],MATCH('Model 2 - Permutations'!G255,Tbl_Walk_Leisure[[#All],[Ride]],0),MATCH('Model 2 - Permutations'!H255,Tbl_Walk_Leisure[#Headers],0))))</f>
        <v>#N/A</v>
      </c>
      <c r="AA255" s="113" t="e">
        <f t="shared" si="70"/>
        <v>#N/A</v>
      </c>
      <c r="AB255" s="116" t="e">
        <f>IF(AA255="","",IF($D$14="Weekday",INDEX(Tbl_Wait_Wkday[#All],MATCH('Model 2 - Permutations'!AA255,Tbl_Wait_Wkday[[#All],[Time]],1),MATCH('Model 2 - Permutations'!H255,Tbl_Wait_Wkday[#Headers],0)),INDEX(Tbl_Wait_Wkend[#All],MATCH('Model 2 - Permutations'!AA255,Tbl_Wait_Wkend[[#All],[Time]],1),MATCH('Model 2 - Permutations'!H255,Tbl_Wait_Wkend[#Headers],0))))</f>
        <v>#N/A</v>
      </c>
      <c r="AC255" s="117" t="e">
        <f>IF(AB255="","",VLOOKUP(H255,Tbl_Ride[#Data],2,FALSE))</f>
        <v>#N/A</v>
      </c>
      <c r="AD255" s="118" t="e">
        <f t="shared" si="71"/>
        <v>#N/A</v>
      </c>
      <c r="AE255" s="119" t="e">
        <f t="shared" si="72"/>
        <v>#N/A</v>
      </c>
      <c r="AF255" s="119" t="str">
        <f t="shared" si="73"/>
        <v>Incomplete</v>
      </c>
      <c r="AG255" s="119" t="str">
        <f t="shared" si="74"/>
        <v>Incomplete</v>
      </c>
    </row>
    <row r="256" spans="4:35">
      <c r="D256" s="111">
        <v>4</v>
      </c>
      <c r="E256" s="111" t="s">
        <v>66</v>
      </c>
      <c r="F256" s="112" t="str">
        <f t="shared" si="61"/>
        <v/>
      </c>
      <c r="G256" s="112" t="str">
        <f t="shared" si="61"/>
        <v/>
      </c>
      <c r="H256" s="112" t="str">
        <f t="shared" si="61"/>
        <v/>
      </c>
      <c r="I256" s="79">
        <v>2</v>
      </c>
      <c r="J256" s="79">
        <v>3</v>
      </c>
      <c r="K256" s="79">
        <v>1</v>
      </c>
      <c r="L256" s="113">
        <f t="shared" si="62"/>
        <v>0.5</v>
      </c>
      <c r="M256" s="114">
        <f t="shared" si="63"/>
        <v>0</v>
      </c>
      <c r="N256" s="115" t="e">
        <f>IF($D$5="Average",INDEX(Tbl_Walk_Avg[#All],MATCH('Model 2 - Permutations'!E256,Tbl_Walk_Avg[[#All],[Ride]],0),MATCH('Model 2 - Permutations'!F256,Tbl_Walk_Avg[#Headers],0)),INDEX(Tbl_Walk_Leisure[#All],MATCH('Model 2 - Permutations'!E256,Tbl_Walk_Leisure[[#All],[Ride]],0),MATCH('Model 2 - Permutations'!F256,Tbl_Walk_Leisure[#Headers],0)))</f>
        <v>#N/A</v>
      </c>
      <c r="O256" s="113" t="e">
        <f t="shared" si="64"/>
        <v>#N/A</v>
      </c>
      <c r="P256" s="116" t="e">
        <f>IF(O256="","",IF($D$14="Weekday",INDEX(Tbl_Wait_Wkday[#All],MATCH('Model 2 - Permutations'!O256,Tbl_Wait_Wkday[[#All],[Time]],1),MATCH('Model 2 - Permutations'!F256,Tbl_Wait_Wkday[#Headers],0)),INDEX(Tbl_Wait_Wkend[#All],MATCH('Model 2 - Permutations'!O256,Tbl_Wait_Wkend[[#All],[Time]],1),MATCH('Model 2 - Permutations'!F256,Tbl_Wait_Wkend[#Headers],0))))</f>
        <v>#N/A</v>
      </c>
      <c r="Q256" s="117" t="e">
        <f>IF(P256="","",VLOOKUP(F256,Tbl_Ride[#Data],2,FALSE))</f>
        <v>#N/A</v>
      </c>
      <c r="R256" s="118" t="e">
        <f t="shared" si="65"/>
        <v>#N/A</v>
      </c>
      <c r="S256" s="114" t="e">
        <f t="shared" si="66"/>
        <v>#N/A</v>
      </c>
      <c r="T256" s="115" t="e">
        <f>IF(S256="","",IF($D$5="Average",INDEX(Tbl_Walk_Avg[#All],MATCH('Model 2 - Permutations'!F256,Tbl_Walk_Avg[[#All],[Ride]],0),MATCH('Model 2 - Permutations'!G256,Tbl_Walk_Avg[#Headers],0)),INDEX(Tbl_Walk_Leisure[#All],MATCH('Model 2 - Permutations'!F256,Tbl_Walk_Leisure[[#All],[Ride]],0),MATCH('Model 2 - Permutations'!G256,Tbl_Walk_Leisure[#Headers],0))))</f>
        <v>#N/A</v>
      </c>
      <c r="U256" s="113" t="e">
        <f t="shared" si="67"/>
        <v>#N/A</v>
      </c>
      <c r="V256" s="116" t="e">
        <f>IF(U256="","",IF($D$14="Weekday",INDEX(Tbl_Wait_Wkday[#All],MATCH('Model 2 - Permutations'!U256,Tbl_Wait_Wkday[[#All],[Time]],1),MATCH('Model 2 - Permutations'!G256,Tbl_Wait_Wkday[#Headers],0)),INDEX(Tbl_Wait_Wkend[#All],MATCH('Model 2 - Permutations'!U256,Tbl_Wait_Wkend[[#All],[Time]],1),MATCH('Model 2 - Permutations'!G256,Tbl_Wait_Wkend[#Headers],0))))</f>
        <v>#N/A</v>
      </c>
      <c r="W256" s="117" t="e">
        <f>IF(V256="","",VLOOKUP(G256,Tbl_Ride[#Data],2,FALSE))</f>
        <v>#N/A</v>
      </c>
      <c r="X256" s="118" t="e">
        <f t="shared" si="68"/>
        <v>#N/A</v>
      </c>
      <c r="Y256" s="114" t="e">
        <f t="shared" si="69"/>
        <v>#N/A</v>
      </c>
      <c r="Z256" s="115" t="e">
        <f>IF(Y256="","",IF($D$5="Average",INDEX(Tbl_Walk_Avg[#All],MATCH('Model 2 - Permutations'!G256,Tbl_Walk_Avg[[#All],[Ride]],0),MATCH('Model 2 - Permutations'!H256,Tbl_Walk_Avg[#Headers],0)),INDEX(Tbl_Walk_Leisure[#All],MATCH('Model 2 - Permutations'!G256,Tbl_Walk_Leisure[[#All],[Ride]],0),MATCH('Model 2 - Permutations'!H256,Tbl_Walk_Leisure[#Headers],0))))</f>
        <v>#N/A</v>
      </c>
      <c r="AA256" s="113" t="e">
        <f t="shared" si="70"/>
        <v>#N/A</v>
      </c>
      <c r="AB256" s="116" t="e">
        <f>IF(AA256="","",IF($D$14="Weekday",INDEX(Tbl_Wait_Wkday[#All],MATCH('Model 2 - Permutations'!AA256,Tbl_Wait_Wkday[[#All],[Time]],1),MATCH('Model 2 - Permutations'!H256,Tbl_Wait_Wkday[#Headers],0)),INDEX(Tbl_Wait_Wkend[#All],MATCH('Model 2 - Permutations'!AA256,Tbl_Wait_Wkend[[#All],[Time]],1),MATCH('Model 2 - Permutations'!H256,Tbl_Wait_Wkend[#Headers],0))))</f>
        <v>#N/A</v>
      </c>
      <c r="AC256" s="117" t="e">
        <f>IF(AB256="","",VLOOKUP(H256,Tbl_Ride[#Data],2,FALSE))</f>
        <v>#N/A</v>
      </c>
      <c r="AD256" s="118" t="e">
        <f t="shared" si="71"/>
        <v>#N/A</v>
      </c>
      <c r="AE256" s="119" t="e">
        <f t="shared" si="72"/>
        <v>#N/A</v>
      </c>
      <c r="AF256" s="119" t="str">
        <f t="shared" si="73"/>
        <v>Incomplete</v>
      </c>
      <c r="AG256" s="119" t="str">
        <f t="shared" si="74"/>
        <v>Incomplete</v>
      </c>
    </row>
    <row r="257" spans="4:33">
      <c r="D257" s="111">
        <v>5</v>
      </c>
      <c r="E257" s="111" t="s">
        <v>66</v>
      </c>
      <c r="F257" s="112" t="str">
        <f t="shared" si="61"/>
        <v/>
      </c>
      <c r="G257" s="112" t="str">
        <f t="shared" si="61"/>
        <v/>
      </c>
      <c r="H257" s="112" t="str">
        <f t="shared" si="61"/>
        <v/>
      </c>
      <c r="I257" s="79">
        <v>3</v>
      </c>
      <c r="J257" s="79">
        <v>1</v>
      </c>
      <c r="K257" s="79">
        <v>2</v>
      </c>
      <c r="L257" s="113">
        <f t="shared" si="62"/>
        <v>0.5</v>
      </c>
      <c r="M257" s="114">
        <f t="shared" si="63"/>
        <v>0</v>
      </c>
      <c r="N257" s="115" t="e">
        <f>IF($D$5="Average",INDEX(Tbl_Walk_Avg[#All],MATCH('Model 2 - Permutations'!E257,Tbl_Walk_Avg[[#All],[Ride]],0),MATCH('Model 2 - Permutations'!F257,Tbl_Walk_Avg[#Headers],0)),INDEX(Tbl_Walk_Leisure[#All],MATCH('Model 2 - Permutations'!E257,Tbl_Walk_Leisure[[#All],[Ride]],0),MATCH('Model 2 - Permutations'!F257,Tbl_Walk_Leisure[#Headers],0)))</f>
        <v>#N/A</v>
      </c>
      <c r="O257" s="113" t="e">
        <f t="shared" si="64"/>
        <v>#N/A</v>
      </c>
      <c r="P257" s="116" t="e">
        <f>IF(O257="","",IF($D$14="Weekday",INDEX(Tbl_Wait_Wkday[#All],MATCH('Model 2 - Permutations'!O257,Tbl_Wait_Wkday[[#All],[Time]],1),MATCH('Model 2 - Permutations'!F257,Tbl_Wait_Wkday[#Headers],0)),INDEX(Tbl_Wait_Wkend[#All],MATCH('Model 2 - Permutations'!O257,Tbl_Wait_Wkend[[#All],[Time]],1),MATCH('Model 2 - Permutations'!F257,Tbl_Wait_Wkend[#Headers],0))))</f>
        <v>#N/A</v>
      </c>
      <c r="Q257" s="117" t="e">
        <f>IF(P257="","",VLOOKUP(F257,Tbl_Ride[#Data],2,FALSE))</f>
        <v>#N/A</v>
      </c>
      <c r="R257" s="118" t="e">
        <f t="shared" si="65"/>
        <v>#N/A</v>
      </c>
      <c r="S257" s="114" t="e">
        <f t="shared" si="66"/>
        <v>#N/A</v>
      </c>
      <c r="T257" s="115" t="e">
        <f>IF(S257="","",IF($D$5="Average",INDEX(Tbl_Walk_Avg[#All],MATCH('Model 2 - Permutations'!F257,Tbl_Walk_Avg[[#All],[Ride]],0),MATCH('Model 2 - Permutations'!G257,Tbl_Walk_Avg[#Headers],0)),INDEX(Tbl_Walk_Leisure[#All],MATCH('Model 2 - Permutations'!F257,Tbl_Walk_Leisure[[#All],[Ride]],0),MATCH('Model 2 - Permutations'!G257,Tbl_Walk_Leisure[#Headers],0))))</f>
        <v>#N/A</v>
      </c>
      <c r="U257" s="113" t="e">
        <f t="shared" si="67"/>
        <v>#N/A</v>
      </c>
      <c r="V257" s="116" t="e">
        <f>IF(U257="","",IF($D$14="Weekday",INDEX(Tbl_Wait_Wkday[#All],MATCH('Model 2 - Permutations'!U257,Tbl_Wait_Wkday[[#All],[Time]],1),MATCH('Model 2 - Permutations'!G257,Tbl_Wait_Wkday[#Headers],0)),INDEX(Tbl_Wait_Wkend[#All],MATCH('Model 2 - Permutations'!U257,Tbl_Wait_Wkend[[#All],[Time]],1),MATCH('Model 2 - Permutations'!G257,Tbl_Wait_Wkend[#Headers],0))))</f>
        <v>#N/A</v>
      </c>
      <c r="W257" s="117" t="e">
        <f>IF(V257="","",VLOOKUP(G257,Tbl_Ride[#Data],2,FALSE))</f>
        <v>#N/A</v>
      </c>
      <c r="X257" s="118" t="e">
        <f t="shared" si="68"/>
        <v>#N/A</v>
      </c>
      <c r="Y257" s="114" t="e">
        <f t="shared" si="69"/>
        <v>#N/A</v>
      </c>
      <c r="Z257" s="115" t="e">
        <f>IF(Y257="","",IF($D$5="Average",INDEX(Tbl_Walk_Avg[#All],MATCH('Model 2 - Permutations'!G257,Tbl_Walk_Avg[[#All],[Ride]],0),MATCH('Model 2 - Permutations'!H257,Tbl_Walk_Avg[#Headers],0)),INDEX(Tbl_Walk_Leisure[#All],MATCH('Model 2 - Permutations'!G257,Tbl_Walk_Leisure[[#All],[Ride]],0),MATCH('Model 2 - Permutations'!H257,Tbl_Walk_Leisure[#Headers],0))))</f>
        <v>#N/A</v>
      </c>
      <c r="AA257" s="113" t="e">
        <f t="shared" si="70"/>
        <v>#N/A</v>
      </c>
      <c r="AB257" s="116" t="e">
        <f>IF(AA257="","",IF($D$14="Weekday",INDEX(Tbl_Wait_Wkday[#All],MATCH('Model 2 - Permutations'!AA257,Tbl_Wait_Wkday[[#All],[Time]],1),MATCH('Model 2 - Permutations'!H257,Tbl_Wait_Wkday[#Headers],0)),INDEX(Tbl_Wait_Wkend[#All],MATCH('Model 2 - Permutations'!AA257,Tbl_Wait_Wkend[[#All],[Time]],1),MATCH('Model 2 - Permutations'!H257,Tbl_Wait_Wkend[#Headers],0))))</f>
        <v>#N/A</v>
      </c>
      <c r="AC257" s="117" t="e">
        <f>IF(AB257="","",VLOOKUP(H257,Tbl_Ride[#Data],2,FALSE))</f>
        <v>#N/A</v>
      </c>
      <c r="AD257" s="118" t="e">
        <f t="shared" si="71"/>
        <v>#N/A</v>
      </c>
      <c r="AE257" s="119" t="e">
        <f t="shared" si="72"/>
        <v>#N/A</v>
      </c>
      <c r="AF257" s="119" t="str">
        <f t="shared" si="73"/>
        <v>Incomplete</v>
      </c>
      <c r="AG257" s="119" t="str">
        <f t="shared" si="74"/>
        <v>Incomplete</v>
      </c>
    </row>
    <row r="258" spans="4:33">
      <c r="D258" s="111">
        <v>6</v>
      </c>
      <c r="E258" s="111" t="s">
        <v>66</v>
      </c>
      <c r="F258" s="112" t="str">
        <f t="shared" si="61"/>
        <v/>
      </c>
      <c r="G258" s="112" t="str">
        <f t="shared" si="61"/>
        <v/>
      </c>
      <c r="H258" s="112" t="str">
        <f t="shared" si="61"/>
        <v/>
      </c>
      <c r="I258" s="79">
        <v>3</v>
      </c>
      <c r="J258" s="79">
        <v>2</v>
      </c>
      <c r="K258" s="79">
        <v>1</v>
      </c>
      <c r="L258" s="113">
        <f t="shared" si="62"/>
        <v>0.5</v>
      </c>
      <c r="M258" s="114">
        <f t="shared" si="63"/>
        <v>0</v>
      </c>
      <c r="N258" s="115" t="e">
        <f>IF($D$5="Average",INDEX(Tbl_Walk_Avg[#All],MATCH('Model 2 - Permutations'!E258,Tbl_Walk_Avg[[#All],[Ride]],0),MATCH('Model 2 - Permutations'!F258,Tbl_Walk_Avg[#Headers],0)),INDEX(Tbl_Walk_Leisure[#All],MATCH('Model 2 - Permutations'!E258,Tbl_Walk_Leisure[[#All],[Ride]],0),MATCH('Model 2 - Permutations'!F258,Tbl_Walk_Leisure[#Headers],0)))</f>
        <v>#N/A</v>
      </c>
      <c r="O258" s="113" t="e">
        <f t="shared" si="64"/>
        <v>#N/A</v>
      </c>
      <c r="P258" s="116" t="e">
        <f>IF(O258="","",IF($D$14="Weekday",INDEX(Tbl_Wait_Wkday[#All],MATCH('Model 2 - Permutations'!O258,Tbl_Wait_Wkday[[#All],[Time]],1),MATCH('Model 2 - Permutations'!F258,Tbl_Wait_Wkday[#Headers],0)),INDEX(Tbl_Wait_Wkend[#All],MATCH('Model 2 - Permutations'!O258,Tbl_Wait_Wkend[[#All],[Time]],1),MATCH('Model 2 - Permutations'!F258,Tbl_Wait_Wkend[#Headers],0))))</f>
        <v>#N/A</v>
      </c>
      <c r="Q258" s="117" t="e">
        <f>IF(P258="","",VLOOKUP(F258,Tbl_Ride[#Data],2,FALSE))</f>
        <v>#N/A</v>
      </c>
      <c r="R258" s="118" t="e">
        <f t="shared" si="65"/>
        <v>#N/A</v>
      </c>
      <c r="S258" s="114" t="e">
        <f t="shared" si="66"/>
        <v>#N/A</v>
      </c>
      <c r="T258" s="115" t="e">
        <f>IF(S258="","",IF($D$5="Average",INDEX(Tbl_Walk_Avg[#All],MATCH('Model 2 - Permutations'!F258,Tbl_Walk_Avg[[#All],[Ride]],0),MATCH('Model 2 - Permutations'!G258,Tbl_Walk_Avg[#Headers],0)),INDEX(Tbl_Walk_Leisure[#All],MATCH('Model 2 - Permutations'!F258,Tbl_Walk_Leisure[[#All],[Ride]],0),MATCH('Model 2 - Permutations'!G258,Tbl_Walk_Leisure[#Headers],0))))</f>
        <v>#N/A</v>
      </c>
      <c r="U258" s="113" t="e">
        <f t="shared" si="67"/>
        <v>#N/A</v>
      </c>
      <c r="V258" s="116" t="e">
        <f>IF(U258="","",IF($D$14="Weekday",INDEX(Tbl_Wait_Wkday[#All],MATCH('Model 2 - Permutations'!U258,Tbl_Wait_Wkday[[#All],[Time]],1),MATCH('Model 2 - Permutations'!G258,Tbl_Wait_Wkday[#Headers],0)),INDEX(Tbl_Wait_Wkend[#All],MATCH('Model 2 - Permutations'!U258,Tbl_Wait_Wkend[[#All],[Time]],1),MATCH('Model 2 - Permutations'!G258,Tbl_Wait_Wkend[#Headers],0))))</f>
        <v>#N/A</v>
      </c>
      <c r="W258" s="117" t="e">
        <f>IF(V258="","",VLOOKUP(G258,Tbl_Ride[#Data],2,FALSE))</f>
        <v>#N/A</v>
      </c>
      <c r="X258" s="118" t="e">
        <f t="shared" si="68"/>
        <v>#N/A</v>
      </c>
      <c r="Y258" s="114" t="e">
        <f t="shared" si="69"/>
        <v>#N/A</v>
      </c>
      <c r="Z258" s="115" t="e">
        <f>IF(Y258="","",IF($D$5="Average",INDEX(Tbl_Walk_Avg[#All],MATCH('Model 2 - Permutations'!G258,Tbl_Walk_Avg[[#All],[Ride]],0),MATCH('Model 2 - Permutations'!H258,Tbl_Walk_Avg[#Headers],0)),INDEX(Tbl_Walk_Leisure[#All],MATCH('Model 2 - Permutations'!G258,Tbl_Walk_Leisure[[#All],[Ride]],0),MATCH('Model 2 - Permutations'!H258,Tbl_Walk_Leisure[#Headers],0))))</f>
        <v>#N/A</v>
      </c>
      <c r="AA258" s="113" t="e">
        <f t="shared" si="70"/>
        <v>#N/A</v>
      </c>
      <c r="AB258" s="116" t="e">
        <f>IF(AA258="","",IF($D$14="Weekday",INDEX(Tbl_Wait_Wkday[#All],MATCH('Model 2 - Permutations'!AA258,Tbl_Wait_Wkday[[#All],[Time]],1),MATCH('Model 2 - Permutations'!H258,Tbl_Wait_Wkday[#Headers],0)),INDEX(Tbl_Wait_Wkend[#All],MATCH('Model 2 - Permutations'!AA258,Tbl_Wait_Wkend[[#All],[Time]],1),MATCH('Model 2 - Permutations'!H258,Tbl_Wait_Wkend[#Headers],0))))</f>
        <v>#N/A</v>
      </c>
      <c r="AC258" s="117" t="e">
        <f>IF(AB258="","",VLOOKUP(H258,Tbl_Ride[#Data],2,FALSE))</f>
        <v>#N/A</v>
      </c>
      <c r="AD258" s="118" t="e">
        <f t="shared" si="71"/>
        <v>#N/A</v>
      </c>
      <c r="AE258" s="119" t="e">
        <f t="shared" si="72"/>
        <v>#N/A</v>
      </c>
      <c r="AF258" s="119" t="str">
        <f t="shared" si="73"/>
        <v>Incomplete</v>
      </c>
      <c r="AG258" s="119" t="str">
        <f t="shared" si="74"/>
        <v>Incomplete</v>
      </c>
    </row>
  </sheetData>
  <sortState xmlns:xlrd2="http://schemas.microsoft.com/office/spreadsheetml/2017/richdata2" ref="AC18:AF23">
    <sortCondition ref="AD18:AD23"/>
  </sortState>
  <conditionalFormatting sqref="AS46:AS165">
    <cfRule type="top10" dxfId="114" priority="12" bottom="1" rank="1"/>
  </conditionalFormatting>
  <conditionalFormatting sqref="AT46:AT165">
    <cfRule type="top10" dxfId="113" priority="11" bottom="1" rank="1"/>
  </conditionalFormatting>
  <conditionalFormatting sqref="AU31:AU40">
    <cfRule type="top10" dxfId="112" priority="13" bottom="1" rank="3"/>
    <cfRule type="top10" dxfId="111" priority="14" bottom="1" rank="3"/>
  </conditionalFormatting>
  <conditionalFormatting sqref="AS31:AS40">
    <cfRule type="top10" dxfId="110" priority="15" bottom="1" rank="1"/>
  </conditionalFormatting>
  <conditionalFormatting sqref="AT31:AT40">
    <cfRule type="top10" dxfId="109" priority="16" bottom="1" rank="1"/>
  </conditionalFormatting>
  <conditionalFormatting sqref="AN202:AN225">
    <cfRule type="top10" dxfId="108" priority="7" bottom="1" rank="3"/>
    <cfRule type="top10" dxfId="107" priority="10" bottom="1" rank="3"/>
  </conditionalFormatting>
  <conditionalFormatting sqref="AL202:AL225">
    <cfRule type="top10" dxfId="106" priority="9" bottom="1" rank="1"/>
  </conditionalFormatting>
  <conditionalFormatting sqref="AM202:AM225">
    <cfRule type="top10" dxfId="105" priority="8" bottom="1" rank="1"/>
  </conditionalFormatting>
  <conditionalFormatting sqref="AN186:AN195">
    <cfRule type="top10" dxfId="104" priority="3" bottom="1" rank="3"/>
    <cfRule type="top10" dxfId="103" priority="6" bottom="1" rank="3"/>
  </conditionalFormatting>
  <conditionalFormatting sqref="AL186:AL195">
    <cfRule type="top10" dxfId="102" priority="5" bottom="1" rank="1"/>
  </conditionalFormatting>
  <conditionalFormatting sqref="AM186:AM195">
    <cfRule type="top10" dxfId="101" priority="4" bottom="1" rank="1"/>
  </conditionalFormatting>
  <conditionalFormatting sqref="AU46:AU165">
    <cfRule type="top10" dxfId="100" priority="1" bottom="1" rank="4"/>
    <cfRule type="top10" dxfId="99" priority="2" bottom="1" rank="2"/>
  </conditionalFormatting>
  <conditionalFormatting sqref="AG253:AG258">
    <cfRule type="top10" dxfId="98" priority="17" bottom="1" rank="3"/>
  </conditionalFormatting>
  <conditionalFormatting sqref="AE253:AE258">
    <cfRule type="top10" dxfId="97" priority="18" bottom="1" rank="1"/>
  </conditionalFormatting>
  <conditionalFormatting sqref="AF253:AF258">
    <cfRule type="top10" dxfId="96" priority="19" bottom="1" rank="1"/>
  </conditionalFormatting>
  <conditionalFormatting sqref="AG245:AG248">
    <cfRule type="top10" dxfId="95" priority="24" bottom="1" rank="3"/>
    <cfRule type="top10" dxfId="94" priority="25" bottom="1" rank="3"/>
  </conditionalFormatting>
  <conditionalFormatting sqref="AE245:AE248">
    <cfRule type="top10" dxfId="93" priority="26" bottom="1" rank="1"/>
  </conditionalFormatting>
  <conditionalFormatting sqref="AF245:AF248">
    <cfRule type="top10" dxfId="92" priority="27" bottom="1" rank="1"/>
  </conditionalFormatting>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3C07D9-52EF-4E82-84B0-FFEB6612A04A}">
  <sheetPr codeName="Sheet1">
    <tabColor theme="9" tint="0.59999389629810485"/>
  </sheetPr>
  <dimension ref="B1:O52"/>
  <sheetViews>
    <sheetView showGridLines="0" workbookViewId="0"/>
  </sheetViews>
  <sheetFormatPr defaultColWidth="8.875" defaultRowHeight="15.75"/>
  <cols>
    <col min="1" max="1" width="4.5" customWidth="1"/>
    <col min="2" max="4" width="12" customWidth="1"/>
    <col min="11" max="11" width="8.5" customWidth="1"/>
    <col min="13" max="15" width="11.875" customWidth="1"/>
  </cols>
  <sheetData>
    <row r="1" spans="2:15">
      <c r="B1" s="36" t="s">
        <v>170</v>
      </c>
    </row>
    <row r="2" spans="2:15">
      <c r="L2" t="s">
        <v>171</v>
      </c>
      <c r="M2" t="s">
        <v>172</v>
      </c>
    </row>
    <row r="3" spans="2:15">
      <c r="B3" t="s">
        <v>173</v>
      </c>
      <c r="C3" s="85">
        <v>0</v>
      </c>
      <c r="L3" t="s">
        <v>174</v>
      </c>
      <c r="M3" t="s">
        <v>175</v>
      </c>
      <c r="N3" t="s">
        <v>176</v>
      </c>
    </row>
    <row r="5" spans="2:15">
      <c r="B5" s="36" t="s">
        <v>75</v>
      </c>
      <c r="M5" s="36" t="s">
        <v>111</v>
      </c>
    </row>
    <row r="6" spans="2:15">
      <c r="B6" s="156" t="s">
        <v>177</v>
      </c>
      <c r="C6" s="155" t="s">
        <v>82</v>
      </c>
      <c r="D6" s="156" t="s">
        <v>84</v>
      </c>
      <c r="M6" s="156" t="s">
        <v>177</v>
      </c>
      <c r="N6" s="153" t="s">
        <v>82</v>
      </c>
      <c r="O6" s="154" t="s">
        <v>84</v>
      </c>
    </row>
    <row r="7" spans="2:15">
      <c r="B7" s="157">
        <v>-0.3</v>
      </c>
      <c r="C7" s="64">
        <v>9.2013888888888881E-2</v>
      </c>
      <c r="D7" s="64">
        <v>8.715277777777776E-2</v>
      </c>
      <c r="M7" s="159">
        <v>-0.3</v>
      </c>
      <c r="N7" s="161">
        <v>9.2013888888888881E-2</v>
      </c>
      <c r="O7" s="161">
        <v>7.013888888888889E-2</v>
      </c>
    </row>
    <row r="8" spans="2:15">
      <c r="B8" s="157">
        <v>-0.2</v>
      </c>
      <c r="C8" s="64">
        <v>0.10347222222222223</v>
      </c>
      <c r="D8" s="64">
        <v>9.7916666666666666E-2</v>
      </c>
      <c r="M8" s="159">
        <v>-0.2</v>
      </c>
      <c r="N8" s="161">
        <v>9.583333333333334E-2</v>
      </c>
      <c r="O8" s="161">
        <v>7.9166666666666677E-2</v>
      </c>
    </row>
    <row r="9" spans="2:15">
      <c r="B9" s="157">
        <v>-0.1</v>
      </c>
      <c r="C9" s="64">
        <v>0.11493055555555555</v>
      </c>
      <c r="D9" s="64">
        <v>0.10868055555555554</v>
      </c>
      <c r="M9" s="159">
        <v>-0.1</v>
      </c>
      <c r="N9" s="161">
        <v>9.9652777777777785E-2</v>
      </c>
      <c r="O9" s="161">
        <v>9.4444444444444442E-2</v>
      </c>
    </row>
    <row r="10" spans="2:15">
      <c r="B10" s="157">
        <v>0</v>
      </c>
      <c r="C10" s="64">
        <v>0.12638888888888888</v>
      </c>
      <c r="D10" s="64">
        <v>0.11944444444444444</v>
      </c>
      <c r="M10" s="159">
        <v>0</v>
      </c>
      <c r="N10" s="161">
        <v>0.10972222222222221</v>
      </c>
      <c r="O10" s="161">
        <v>0.10416666666666667</v>
      </c>
    </row>
    <row r="11" spans="2:15">
      <c r="B11" s="158">
        <v>0.1</v>
      </c>
      <c r="C11" s="64">
        <v>0.13784722222222223</v>
      </c>
      <c r="D11" s="64">
        <v>0.13020833333333334</v>
      </c>
      <c r="M11" s="160">
        <v>0.1</v>
      </c>
      <c r="N11" s="161">
        <v>0.11979166666666667</v>
      </c>
      <c r="O11" s="161">
        <v>0.11979166666666667</v>
      </c>
    </row>
    <row r="12" spans="2:15">
      <c r="B12" s="158">
        <v>0.2</v>
      </c>
      <c r="C12" s="64">
        <v>0.14930555555555552</v>
      </c>
      <c r="D12" s="64">
        <v>0.14097222222222222</v>
      </c>
      <c r="M12" s="160">
        <v>0.2</v>
      </c>
      <c r="N12" s="161">
        <v>0.1444444444444444</v>
      </c>
      <c r="O12" s="161">
        <v>0.12986111111111109</v>
      </c>
    </row>
    <row r="13" spans="2:15">
      <c r="B13" s="158">
        <v>0.3</v>
      </c>
      <c r="C13" s="64">
        <v>0.16076388888888887</v>
      </c>
      <c r="D13" s="64">
        <v>0.15173611111111113</v>
      </c>
      <c r="M13" s="160">
        <v>0.3</v>
      </c>
      <c r="N13" s="161">
        <v>0.1534722222222222</v>
      </c>
      <c r="O13" s="161">
        <v>0.13993055555555556</v>
      </c>
    </row>
    <row r="38" spans="2:4">
      <c r="B38" s="165" t="s">
        <v>178</v>
      </c>
      <c r="C38" s="166"/>
      <c r="D38" s="166"/>
    </row>
    <row r="39" spans="2:4">
      <c r="B39" s="175" t="s">
        <v>179</v>
      </c>
      <c r="C39" s="175"/>
      <c r="D39" s="175"/>
    </row>
    <row r="40" spans="2:4">
      <c r="B40" s="167"/>
      <c r="C40" s="167"/>
      <c r="D40" s="167"/>
    </row>
    <row r="41" spans="2:4">
      <c r="B41" s="165" t="s">
        <v>180</v>
      </c>
      <c r="C41" s="166"/>
      <c r="D41" s="166"/>
    </row>
    <row r="42" spans="2:4">
      <c r="B42" s="168" t="s">
        <v>75</v>
      </c>
      <c r="C42" s="166"/>
      <c r="D42" s="166"/>
    </row>
    <row r="43" spans="2:4">
      <c r="B43" s="170" t="s">
        <v>177</v>
      </c>
      <c r="C43" s="169" t="s">
        <v>181</v>
      </c>
      <c r="D43" s="169" t="s">
        <v>182</v>
      </c>
    </row>
    <row r="45" spans="2:4">
      <c r="B45" s="170"/>
    </row>
    <row r="46" spans="2:4">
      <c r="B46" s="171"/>
      <c r="C46" s="169"/>
      <c r="D46" s="169"/>
    </row>
    <row r="47" spans="2:4">
      <c r="B47" s="168" t="s">
        <v>111</v>
      </c>
      <c r="C47" s="169"/>
      <c r="D47" s="166"/>
    </row>
    <row r="48" spans="2:4">
      <c r="B48" s="170" t="s">
        <v>177</v>
      </c>
      <c r="C48" s="169" t="s">
        <v>183</v>
      </c>
      <c r="D48" s="169" t="s">
        <v>182</v>
      </c>
    </row>
    <row r="49" spans="2:4">
      <c r="B49" s="162"/>
      <c r="C49" s="94"/>
      <c r="D49" s="94"/>
    </row>
    <row r="50" spans="2:4">
      <c r="B50" s="162"/>
      <c r="C50" s="94"/>
      <c r="D50" s="94"/>
    </row>
    <row r="51" spans="2:4">
      <c r="B51" s="162"/>
      <c r="C51" s="94"/>
      <c r="D51" s="164"/>
    </row>
    <row r="52" spans="2:4">
      <c r="B52" s="162"/>
      <c r="C52" s="94"/>
      <c r="D52" s="163"/>
    </row>
  </sheetData>
  <mergeCells count="1">
    <mergeCell ref="B39:D39"/>
  </mergeCell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2C1C1-E01F-4863-B14E-8104EEFBA496}">
  <sheetPr codeName="Sheet6">
    <tabColor theme="8" tint="0.79998168889431442"/>
  </sheetPr>
  <dimension ref="B1:Q31"/>
  <sheetViews>
    <sheetView showGridLines="0" zoomScale="90" zoomScaleNormal="90" workbookViewId="0"/>
  </sheetViews>
  <sheetFormatPr defaultColWidth="8.875" defaultRowHeight="15.75"/>
  <cols>
    <col min="1" max="1" width="5" customWidth="1"/>
    <col min="2" max="2" width="15.125" customWidth="1"/>
    <col min="3" max="3" width="22.125" customWidth="1"/>
    <col min="4" max="4" width="28.625" bestFit="1" customWidth="1"/>
    <col min="5" max="5" width="31.125" bestFit="1" customWidth="1"/>
    <col min="6" max="6" width="16.875" bestFit="1" customWidth="1"/>
    <col min="7" max="7" width="16" bestFit="1" customWidth="1"/>
    <col min="8" max="8" width="22.625" bestFit="1" customWidth="1"/>
    <col min="9" max="9" width="37" bestFit="1" customWidth="1"/>
    <col min="10" max="10" width="26" bestFit="1" customWidth="1"/>
    <col min="11" max="11" width="21.5" bestFit="1" customWidth="1"/>
    <col min="12" max="12" width="31" bestFit="1" customWidth="1"/>
    <col min="13" max="13" width="26.875" bestFit="1" customWidth="1"/>
    <col min="14" max="14" width="38.625" bestFit="1" customWidth="1"/>
    <col min="15" max="15" width="23.5" bestFit="1" customWidth="1"/>
    <col min="16" max="16" width="25.625" bestFit="1" customWidth="1"/>
    <col min="17" max="17" width="21" bestFit="1" customWidth="1"/>
  </cols>
  <sheetData>
    <row r="1" spans="2:17">
      <c r="B1" s="36" t="s">
        <v>184</v>
      </c>
    </row>
    <row r="2" spans="2:17">
      <c r="B2" s="36"/>
    </row>
    <row r="3" spans="2:17">
      <c r="B3" s="8" t="s">
        <v>185</v>
      </c>
    </row>
    <row r="4" spans="2:17">
      <c r="B4" s="9" t="s">
        <v>81</v>
      </c>
      <c r="C4" s="9" t="s">
        <v>83</v>
      </c>
    </row>
    <row r="5" spans="2:17">
      <c r="B5" s="1" t="s">
        <v>186</v>
      </c>
      <c r="C5" s="10" t="s">
        <v>49</v>
      </c>
      <c r="D5" s="10" t="s">
        <v>12</v>
      </c>
      <c r="E5" s="10" t="s">
        <v>14</v>
      </c>
      <c r="F5" s="10" t="s">
        <v>50</v>
      </c>
      <c r="G5" s="10" t="s">
        <v>51</v>
      </c>
      <c r="H5" s="10" t="s">
        <v>52</v>
      </c>
      <c r="I5" s="10" t="s">
        <v>53</v>
      </c>
      <c r="J5" s="10" t="s">
        <v>16</v>
      </c>
      <c r="K5" s="10" t="s">
        <v>54</v>
      </c>
      <c r="L5" s="10" t="s">
        <v>55</v>
      </c>
      <c r="M5" s="10" t="s">
        <v>20</v>
      </c>
      <c r="N5" s="10" t="s">
        <v>56</v>
      </c>
      <c r="O5" s="10" t="s">
        <v>18</v>
      </c>
      <c r="P5" s="10" t="s">
        <v>57</v>
      </c>
      <c r="Q5" s="11" t="s">
        <v>58</v>
      </c>
    </row>
    <row r="6" spans="2:17">
      <c r="B6" s="2">
        <v>0.45833333333333331</v>
      </c>
      <c r="C6" s="3">
        <v>3.472222222222222E-3</v>
      </c>
      <c r="D6" s="3">
        <v>3.472222222222222E-3</v>
      </c>
      <c r="E6" s="3">
        <v>3.472222222222222E-3</v>
      </c>
      <c r="F6" s="3">
        <v>3.472222222222222E-3</v>
      </c>
      <c r="G6" s="3">
        <v>3.472222222222222E-3</v>
      </c>
      <c r="H6" s="3">
        <v>3.472222222222222E-3</v>
      </c>
      <c r="I6" s="3">
        <v>3.472222222222222E-3</v>
      </c>
      <c r="J6" s="3">
        <v>1.3888888888888888E-2</v>
      </c>
      <c r="K6" s="3">
        <v>3.472222222222222E-3</v>
      </c>
      <c r="L6" s="3">
        <v>3.472222222222222E-3</v>
      </c>
      <c r="M6" s="3">
        <v>3.472222222222222E-3</v>
      </c>
      <c r="N6" s="3">
        <v>6.9444444444444441E-3</v>
      </c>
      <c r="O6" s="3">
        <v>1.3888888888888888E-2</v>
      </c>
      <c r="P6" s="3">
        <v>6.9444444444444441E-3</v>
      </c>
      <c r="Q6" s="4">
        <v>3.472222222222222E-3</v>
      </c>
    </row>
    <row r="7" spans="2:17">
      <c r="B7" s="2">
        <v>0.5</v>
      </c>
      <c r="C7" s="3">
        <v>1.0416666666666666E-2</v>
      </c>
      <c r="D7" s="3">
        <v>1.7361111111111112E-2</v>
      </c>
      <c r="E7" s="3">
        <v>2.4305555555555552E-2</v>
      </c>
      <c r="F7" s="3">
        <v>2.0833333333333332E-2</v>
      </c>
      <c r="G7" s="3">
        <v>1.0416666666666666E-2</v>
      </c>
      <c r="H7" s="3">
        <v>1.3888888888888888E-2</v>
      </c>
      <c r="I7" s="3">
        <v>3.472222222222222E-3</v>
      </c>
      <c r="J7" s="3">
        <v>1.3888888888888888E-2</v>
      </c>
      <c r="K7" s="3">
        <v>3.472222222222222E-3</v>
      </c>
      <c r="L7" s="3">
        <v>6.9444444444444441E-3</v>
      </c>
      <c r="M7" s="3">
        <v>1.0416666666666666E-2</v>
      </c>
      <c r="N7" s="3">
        <v>4.1666666666666664E-2</v>
      </c>
      <c r="O7" s="3">
        <v>1.3888888888888888E-2</v>
      </c>
      <c r="P7" s="3">
        <v>6.5972222222222224E-2</v>
      </c>
      <c r="Q7" s="4">
        <v>2.4305555555555552E-2</v>
      </c>
    </row>
    <row r="8" spans="2:17">
      <c r="B8" s="2">
        <v>0.54166666666666696</v>
      </c>
      <c r="C8" s="3">
        <v>1.3888888888888888E-2</v>
      </c>
      <c r="D8" s="3">
        <v>4.1666666666666664E-2</v>
      </c>
      <c r="E8" s="3">
        <v>4.5138888888888888E-2</v>
      </c>
      <c r="F8" s="3">
        <v>2.7777777777777776E-2</v>
      </c>
      <c r="G8" s="3">
        <v>2.4305555555555552E-2</v>
      </c>
      <c r="H8" s="3">
        <v>1.3888888888888888E-2</v>
      </c>
      <c r="I8" s="3">
        <v>6.9444444444444441E-3</v>
      </c>
      <c r="J8" s="3">
        <v>1.3888888888888888E-2</v>
      </c>
      <c r="K8" s="3">
        <v>3.472222222222222E-3</v>
      </c>
      <c r="L8" s="3">
        <v>2.0833333333333332E-2</v>
      </c>
      <c r="M8" s="3">
        <v>1.7361111111111112E-2</v>
      </c>
      <c r="N8" s="3">
        <v>3.8194444444444441E-2</v>
      </c>
      <c r="O8" s="3">
        <v>1.3888888888888888E-2</v>
      </c>
      <c r="P8" s="3">
        <v>6.9444444444444448E-2</v>
      </c>
      <c r="Q8" s="4">
        <v>2.4305555555555552E-2</v>
      </c>
    </row>
    <row r="9" spans="2:17">
      <c r="B9" s="2">
        <v>0.58333333333333304</v>
      </c>
      <c r="C9" s="3">
        <v>1.7361111111111112E-2</v>
      </c>
      <c r="D9" s="3">
        <v>4.8611111111111105E-2</v>
      </c>
      <c r="E9" s="3">
        <v>4.8611111111111105E-2</v>
      </c>
      <c r="F9" s="3">
        <v>3.4722222222222224E-2</v>
      </c>
      <c r="G9" s="3">
        <v>3.4722222222222224E-2</v>
      </c>
      <c r="H9" s="3">
        <v>1.3888888888888888E-2</v>
      </c>
      <c r="I9" s="3">
        <v>6.9444444444444441E-3</v>
      </c>
      <c r="J9" s="3">
        <v>1.3888888888888888E-2</v>
      </c>
      <c r="K9" s="3">
        <v>6.9444444444444441E-3</v>
      </c>
      <c r="L9" s="3">
        <v>2.7777777777777776E-2</v>
      </c>
      <c r="M9" s="3">
        <v>2.0833333333333332E-2</v>
      </c>
      <c r="N9" s="3">
        <v>1.7361111111111112E-2</v>
      </c>
      <c r="O9" s="3">
        <v>1.3888888888888888E-2</v>
      </c>
      <c r="P9" s="3">
        <v>4.5138888888888888E-2</v>
      </c>
      <c r="Q9" s="4">
        <v>2.4305555555555552E-2</v>
      </c>
    </row>
    <row r="10" spans="2:17">
      <c r="B10" s="2">
        <v>0.625</v>
      </c>
      <c r="C10" s="3">
        <v>1.3888888888888888E-2</v>
      </c>
      <c r="D10" s="3">
        <v>5.2083333333333329E-2</v>
      </c>
      <c r="E10" s="3">
        <v>5.5555555555555552E-2</v>
      </c>
      <c r="F10" s="3">
        <v>3.4722222222222224E-2</v>
      </c>
      <c r="G10" s="3">
        <v>3.4722222222222224E-2</v>
      </c>
      <c r="H10" s="3">
        <v>1.3888888888888888E-2</v>
      </c>
      <c r="I10" s="3">
        <v>3.472222222222222E-3</v>
      </c>
      <c r="J10" s="3">
        <v>1.3888888888888888E-2</v>
      </c>
      <c r="K10" s="3">
        <v>6.9444444444444441E-3</v>
      </c>
      <c r="L10" s="3">
        <v>3.8194444444444441E-2</v>
      </c>
      <c r="M10" s="3">
        <v>3.125E-2</v>
      </c>
      <c r="N10" s="3">
        <v>1.7361111111111112E-2</v>
      </c>
      <c r="O10" s="3">
        <v>1.3888888888888888E-2</v>
      </c>
      <c r="P10" s="3">
        <v>2.4305555555555552E-2</v>
      </c>
      <c r="Q10" s="4">
        <v>2.7777777777777776E-2</v>
      </c>
    </row>
    <row r="11" spans="2:17">
      <c r="B11" s="2">
        <v>0.66666666666666596</v>
      </c>
      <c r="C11" s="3">
        <v>1.0416666666666666E-2</v>
      </c>
      <c r="D11" s="3">
        <v>3.4722222222222224E-2</v>
      </c>
      <c r="E11" s="3">
        <v>4.1666666666666664E-2</v>
      </c>
      <c r="F11" s="3">
        <v>3.4722222222222224E-2</v>
      </c>
      <c r="G11" s="3">
        <v>2.7777777777777776E-2</v>
      </c>
      <c r="H11" s="3">
        <v>1.7361111111111112E-2</v>
      </c>
      <c r="I11" s="3">
        <v>3.472222222222222E-3</v>
      </c>
      <c r="J11" s="3">
        <v>1.3888888888888888E-2</v>
      </c>
      <c r="K11" s="3">
        <v>6.9444444444444441E-3</v>
      </c>
      <c r="L11" s="3">
        <v>3.4722222222222224E-2</v>
      </c>
      <c r="M11" s="3">
        <v>2.7777777777777776E-2</v>
      </c>
      <c r="N11" s="3">
        <v>1.3888888888888888E-2</v>
      </c>
      <c r="O11" s="3">
        <v>1.3888888888888888E-2</v>
      </c>
      <c r="P11" s="3">
        <v>2.4305555555555552E-2</v>
      </c>
      <c r="Q11" s="4">
        <v>2.4305555555555552E-2</v>
      </c>
    </row>
    <row r="12" spans="2:17">
      <c r="B12" s="2">
        <v>0.70833333333333304</v>
      </c>
      <c r="C12" s="5">
        <v>1.0416666666666666E-2</v>
      </c>
      <c r="D12" s="5">
        <v>3.8194444444444441E-2</v>
      </c>
      <c r="E12" s="5">
        <v>2.4305555555555552E-2</v>
      </c>
      <c r="F12" s="5">
        <v>3.125E-2</v>
      </c>
      <c r="G12" s="5">
        <v>2.0833333333333332E-2</v>
      </c>
      <c r="H12" s="5">
        <v>1.7361111111111112E-2</v>
      </c>
      <c r="I12" s="5">
        <v>3.472222222222222E-3</v>
      </c>
      <c r="J12" s="5">
        <v>1.0416666666666666E-2</v>
      </c>
      <c r="K12" s="5">
        <v>6.9444444444444441E-3</v>
      </c>
      <c r="L12" s="5">
        <v>3.125E-2</v>
      </c>
      <c r="M12" s="5">
        <v>2.4305555555555552E-2</v>
      </c>
      <c r="N12" s="5">
        <v>1.3888888888888888E-2</v>
      </c>
      <c r="O12" s="5">
        <v>1.3888888888888888E-2</v>
      </c>
      <c r="P12" s="5">
        <v>3.125E-2</v>
      </c>
      <c r="Q12" s="6">
        <v>2.4305555555555552E-2</v>
      </c>
    </row>
    <row r="14" spans="2:17">
      <c r="B14" s="8" t="s">
        <v>187</v>
      </c>
    </row>
    <row r="15" spans="2:17">
      <c r="B15" s="9" t="s">
        <v>81</v>
      </c>
      <c r="C15" s="9" t="s">
        <v>83</v>
      </c>
    </row>
    <row r="16" spans="2:17">
      <c r="B16" s="1" t="s">
        <v>186</v>
      </c>
      <c r="C16" s="12" t="s">
        <v>49</v>
      </c>
      <c r="D16" s="12" t="s">
        <v>12</v>
      </c>
      <c r="E16" s="12" t="s">
        <v>14</v>
      </c>
      <c r="F16" s="12" t="s">
        <v>50</v>
      </c>
      <c r="G16" s="12" t="s">
        <v>51</v>
      </c>
      <c r="H16" s="12" t="s">
        <v>52</v>
      </c>
      <c r="I16" s="12" t="s">
        <v>53</v>
      </c>
      <c r="J16" s="12" t="s">
        <v>16</v>
      </c>
      <c r="K16" s="12" t="s">
        <v>54</v>
      </c>
      <c r="L16" s="12" t="s">
        <v>55</v>
      </c>
      <c r="M16" s="12" t="s">
        <v>20</v>
      </c>
      <c r="N16" s="12" t="s">
        <v>56</v>
      </c>
      <c r="O16" s="12" t="s">
        <v>18</v>
      </c>
      <c r="P16" s="12" t="s">
        <v>57</v>
      </c>
      <c r="Q16" s="13" t="s">
        <v>58</v>
      </c>
    </row>
    <row r="17" spans="2:17">
      <c r="B17" s="2">
        <v>0.45833333333333331</v>
      </c>
      <c r="C17" s="3">
        <v>3.472222222222222E-3</v>
      </c>
      <c r="D17" s="3">
        <v>6.9444444444444441E-3</v>
      </c>
      <c r="E17" s="3">
        <v>6.9444444444444441E-3</v>
      </c>
      <c r="F17" s="3">
        <v>6.9444444444444441E-3</v>
      </c>
      <c r="G17" s="3">
        <v>3.472222222222222E-3</v>
      </c>
      <c r="H17" s="3">
        <v>3.472222222222222E-3</v>
      </c>
      <c r="I17" s="3">
        <v>3.472222222222222E-3</v>
      </c>
      <c r="J17" s="3">
        <v>1.3888888888888888E-2</v>
      </c>
      <c r="K17" s="3">
        <v>3.472222222222222E-3</v>
      </c>
      <c r="L17" s="3">
        <v>3.472222222222222E-3</v>
      </c>
      <c r="M17" s="3">
        <v>3.472222222222222E-3</v>
      </c>
      <c r="N17" s="3">
        <v>1.3888888888888888E-2</v>
      </c>
      <c r="O17" s="3">
        <v>1.3888888888888888E-2</v>
      </c>
      <c r="P17" s="3">
        <v>1.0416666666666666E-2</v>
      </c>
      <c r="Q17" s="4">
        <v>3.472222222222222E-3</v>
      </c>
    </row>
    <row r="18" spans="2:17">
      <c r="B18" s="2">
        <v>0.5</v>
      </c>
      <c r="C18" s="3">
        <v>1.3888888888888888E-2</v>
      </c>
      <c r="D18" s="3">
        <v>1.3888888888888888E-2</v>
      </c>
      <c r="E18" s="3">
        <v>1.7361111111111112E-2</v>
      </c>
      <c r="F18" s="3">
        <v>1.7361111111111112E-2</v>
      </c>
      <c r="G18" s="3">
        <v>1.0416666666666666E-2</v>
      </c>
      <c r="H18" s="3">
        <v>3.472222222222222E-3</v>
      </c>
      <c r="I18" s="3">
        <v>3.472222222222222E-3</v>
      </c>
      <c r="J18" s="3">
        <v>1.3888888888888888E-2</v>
      </c>
      <c r="K18" s="3">
        <v>3.472222222222222E-3</v>
      </c>
      <c r="L18" s="3">
        <v>6.9444444444444441E-3</v>
      </c>
      <c r="M18" s="3">
        <v>6.9444444444444441E-3</v>
      </c>
      <c r="N18" s="3">
        <v>3.4722222222222224E-2</v>
      </c>
      <c r="O18" s="3">
        <v>1.3888888888888888E-2</v>
      </c>
      <c r="P18" s="3">
        <v>5.9027777777777776E-2</v>
      </c>
      <c r="Q18" s="4">
        <v>1.7361111111111112E-2</v>
      </c>
    </row>
    <row r="19" spans="2:17">
      <c r="B19" s="2">
        <v>0.54166666666666696</v>
      </c>
      <c r="C19" s="3">
        <v>1.7361111111111112E-2</v>
      </c>
      <c r="D19" s="3">
        <v>2.7777777777777776E-2</v>
      </c>
      <c r="E19" s="3">
        <v>3.4722222222222224E-2</v>
      </c>
      <c r="F19" s="3">
        <v>2.7777777777777776E-2</v>
      </c>
      <c r="G19" s="3">
        <v>1.7361111111111112E-2</v>
      </c>
      <c r="H19" s="3">
        <v>6.9444444444444441E-3</v>
      </c>
      <c r="I19" s="3">
        <v>3.472222222222222E-3</v>
      </c>
      <c r="J19" s="3">
        <v>1.3888888888888888E-2</v>
      </c>
      <c r="K19" s="3">
        <v>6.9444444444444441E-3</v>
      </c>
      <c r="L19" s="3">
        <v>1.0416666666666666E-2</v>
      </c>
      <c r="M19" s="3">
        <v>1.7361111111111112E-2</v>
      </c>
      <c r="N19" s="3">
        <v>2.7777777777777776E-2</v>
      </c>
      <c r="O19" s="3">
        <v>1.3888888888888888E-2</v>
      </c>
      <c r="P19" s="3">
        <v>6.25E-2</v>
      </c>
      <c r="Q19" s="4">
        <v>1.7361111111111112E-2</v>
      </c>
    </row>
    <row r="20" spans="2:17">
      <c r="B20" s="2">
        <v>0.58333333333333304</v>
      </c>
      <c r="C20" s="3">
        <v>1.3888888888888888E-2</v>
      </c>
      <c r="D20" s="3">
        <v>3.125E-2</v>
      </c>
      <c r="E20" s="3">
        <v>3.4722222222222224E-2</v>
      </c>
      <c r="F20" s="3">
        <v>3.125E-2</v>
      </c>
      <c r="G20" s="3">
        <v>2.0833333333333332E-2</v>
      </c>
      <c r="H20" s="3">
        <v>1.0416666666666666E-2</v>
      </c>
      <c r="I20" s="3">
        <v>3.472222222222222E-3</v>
      </c>
      <c r="J20" s="3">
        <v>1.3888888888888888E-2</v>
      </c>
      <c r="K20" s="3">
        <v>6.9444444444444441E-3</v>
      </c>
      <c r="L20" s="3">
        <v>2.7777777777777776E-2</v>
      </c>
      <c r="M20" s="3">
        <v>2.0833333333333332E-2</v>
      </c>
      <c r="N20" s="3">
        <v>1.7361111111111112E-2</v>
      </c>
      <c r="O20" s="3">
        <v>1.3888888888888888E-2</v>
      </c>
      <c r="P20" s="3">
        <v>3.4722222222222224E-2</v>
      </c>
      <c r="Q20" s="4">
        <v>2.4305555555555552E-2</v>
      </c>
    </row>
    <row r="21" spans="2:17">
      <c r="B21" s="2">
        <v>0.625</v>
      </c>
      <c r="C21" s="3">
        <v>1.3888888888888888E-2</v>
      </c>
      <c r="D21" s="3">
        <v>3.4722222222222224E-2</v>
      </c>
      <c r="E21" s="3">
        <v>3.8194444444444441E-2</v>
      </c>
      <c r="F21" s="3">
        <v>3.125E-2</v>
      </c>
      <c r="G21" s="3">
        <v>2.4305555555555552E-2</v>
      </c>
      <c r="H21" s="3">
        <v>1.0416666666666666E-2</v>
      </c>
      <c r="I21" s="3">
        <v>3.472222222222222E-3</v>
      </c>
      <c r="J21" s="3">
        <v>1.3888888888888888E-2</v>
      </c>
      <c r="K21" s="3">
        <v>6.9444444444444441E-3</v>
      </c>
      <c r="L21" s="3">
        <v>3.125E-2</v>
      </c>
      <c r="M21" s="3">
        <v>2.7777777777777776E-2</v>
      </c>
      <c r="N21" s="3">
        <v>1.7361111111111112E-2</v>
      </c>
      <c r="O21" s="3">
        <v>1.3888888888888888E-2</v>
      </c>
      <c r="P21" s="3">
        <v>3.8194444444444441E-2</v>
      </c>
      <c r="Q21" s="4">
        <v>2.7777777777777776E-2</v>
      </c>
    </row>
    <row r="22" spans="2:17">
      <c r="B22" s="2">
        <v>0.66666666666666596</v>
      </c>
      <c r="C22" s="3">
        <v>1.0416666666666666E-2</v>
      </c>
      <c r="D22" s="3">
        <v>2.7777777777777776E-2</v>
      </c>
      <c r="E22" s="3">
        <v>3.4722222222222224E-2</v>
      </c>
      <c r="F22" s="3">
        <v>2.7777777777777776E-2</v>
      </c>
      <c r="G22" s="3">
        <v>2.4305555555555552E-2</v>
      </c>
      <c r="H22" s="3">
        <v>1.0416666666666666E-2</v>
      </c>
      <c r="I22" s="3">
        <v>3.472222222222222E-3</v>
      </c>
      <c r="J22" s="3">
        <v>1.3888888888888888E-2</v>
      </c>
      <c r="K22" s="3">
        <v>6.9444444444444441E-3</v>
      </c>
      <c r="L22" s="3">
        <v>3.4722222222222224E-2</v>
      </c>
      <c r="M22" s="3">
        <v>2.7777777777777776E-2</v>
      </c>
      <c r="N22" s="3">
        <v>1.0416666666666666E-2</v>
      </c>
      <c r="O22" s="3">
        <v>1.3888888888888888E-2</v>
      </c>
      <c r="P22" s="3">
        <v>2.0833333333333332E-2</v>
      </c>
      <c r="Q22" s="4">
        <v>2.7777777777777776E-2</v>
      </c>
    </row>
    <row r="23" spans="2:17">
      <c r="B23" s="2">
        <v>0.70833333333333304</v>
      </c>
      <c r="C23" s="5">
        <v>1.0416666666666666E-2</v>
      </c>
      <c r="D23" s="5">
        <v>2.4305555555555552E-2</v>
      </c>
      <c r="E23" s="5">
        <v>2.4305555555555552E-2</v>
      </c>
      <c r="F23" s="5">
        <v>2.7777777777777776E-2</v>
      </c>
      <c r="G23" s="5">
        <v>2.4305555555555552E-2</v>
      </c>
      <c r="H23" s="5">
        <v>1.0416666666666666E-2</v>
      </c>
      <c r="I23" s="5">
        <v>3.472222222222222E-3</v>
      </c>
      <c r="J23" s="5">
        <v>1.3888888888888888E-2</v>
      </c>
      <c r="K23" s="5">
        <v>3.472222222222222E-3</v>
      </c>
      <c r="L23" s="5">
        <v>2.0833333333333332E-2</v>
      </c>
      <c r="M23" s="5">
        <v>2.0833333333333332E-2</v>
      </c>
      <c r="N23" s="5">
        <v>6.9444444444444441E-3</v>
      </c>
      <c r="O23" s="5">
        <v>1.3888888888888888E-2</v>
      </c>
      <c r="P23" s="5">
        <v>1.3888888888888888E-2</v>
      </c>
      <c r="Q23" s="6">
        <v>2.4305555555555552E-2</v>
      </c>
    </row>
    <row r="25" spans="2:17">
      <c r="B25" s="8" t="s">
        <v>180</v>
      </c>
    </row>
    <row r="26" spans="2:17">
      <c r="B26" s="7" t="s">
        <v>188</v>
      </c>
    </row>
    <row r="27" spans="2:17">
      <c r="B27" s="7" t="s">
        <v>189</v>
      </c>
    </row>
    <row r="28" spans="2:17">
      <c r="B28" t="s">
        <v>190</v>
      </c>
    </row>
    <row r="29" spans="2:17">
      <c r="B29" s="7" t="s">
        <v>191</v>
      </c>
    </row>
    <row r="30" spans="2:17">
      <c r="B30" s="7" t="s">
        <v>192</v>
      </c>
    </row>
    <row r="31" spans="2:17">
      <c r="B31" s="7" t="s">
        <v>193</v>
      </c>
    </row>
  </sheetData>
  <sortState xmlns:xlrd2="http://schemas.microsoft.com/office/spreadsheetml/2017/richdata2" ref="E5:E20">
    <sortCondition ref="E5:E20"/>
  </sortState>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FE1A3-6DCE-4923-B71E-FBF1C72027A7}">
  <sheetPr codeName="Sheet7">
    <tabColor theme="8" tint="0.79998168889431442"/>
  </sheetPr>
  <dimension ref="B1:C24"/>
  <sheetViews>
    <sheetView showGridLines="0" zoomScale="90" zoomScaleNormal="90" workbookViewId="0"/>
  </sheetViews>
  <sheetFormatPr defaultColWidth="8.875" defaultRowHeight="15.75"/>
  <cols>
    <col min="1" max="1" width="4.625" customWidth="1"/>
    <col min="2" max="2" width="28.125" customWidth="1"/>
    <col min="3" max="3" width="21.875" customWidth="1"/>
    <col min="4" max="4" width="18.125" customWidth="1"/>
  </cols>
  <sheetData>
    <row r="1" spans="2:3">
      <c r="B1" s="36" t="s">
        <v>194</v>
      </c>
    </row>
    <row r="2" spans="2:3">
      <c r="B2" s="36"/>
    </row>
    <row r="3" spans="2:3">
      <c r="B3" s="8" t="s">
        <v>195</v>
      </c>
      <c r="C3" s="9" t="s">
        <v>83</v>
      </c>
    </row>
    <row r="4" spans="2:3">
      <c r="B4" s="15" t="s">
        <v>46</v>
      </c>
      <c r="C4" s="13" t="s">
        <v>196</v>
      </c>
    </row>
    <row r="5" spans="2:3">
      <c r="B5" s="14" t="s">
        <v>49</v>
      </c>
      <c r="C5" s="4">
        <v>1.3888888888888889E-3</v>
      </c>
    </row>
    <row r="6" spans="2:3" ht="17.25" customHeight="1">
      <c r="B6" s="14" t="s">
        <v>12</v>
      </c>
      <c r="C6" s="4">
        <v>1.3888888888888889E-3</v>
      </c>
    </row>
    <row r="7" spans="2:3">
      <c r="B7" s="14" t="s">
        <v>14</v>
      </c>
      <c r="C7" s="4">
        <v>1.3888888888888889E-3</v>
      </c>
    </row>
    <row r="8" spans="2:3">
      <c r="B8" s="14" t="s">
        <v>50</v>
      </c>
      <c r="C8" s="4">
        <v>6.9444444444444447E-4</v>
      </c>
    </row>
    <row r="9" spans="2:3">
      <c r="B9" s="14" t="s">
        <v>51</v>
      </c>
      <c r="C9" s="4">
        <v>1.3888888888888889E-3</v>
      </c>
    </row>
    <row r="10" spans="2:3">
      <c r="B10" s="14" t="s">
        <v>52</v>
      </c>
      <c r="C10" s="4">
        <v>6.9444444444444447E-4</v>
      </c>
    </row>
    <row r="11" spans="2:3">
      <c r="B11" s="14" t="s">
        <v>53</v>
      </c>
      <c r="C11" s="4">
        <v>1.3888888888888889E-3</v>
      </c>
    </row>
    <row r="12" spans="2:3">
      <c r="B12" s="14" t="s">
        <v>16</v>
      </c>
      <c r="C12" s="4">
        <v>4.8611111111111112E-3</v>
      </c>
    </row>
    <row r="13" spans="2:3">
      <c r="B13" s="14" t="s">
        <v>54</v>
      </c>
      <c r="C13" s="4">
        <v>3.4722222222222225E-3</v>
      </c>
    </row>
    <row r="14" spans="2:3">
      <c r="B14" s="14" t="s">
        <v>55</v>
      </c>
      <c r="C14" s="4">
        <v>1.3888888888888889E-3</v>
      </c>
    </row>
    <row r="15" spans="2:3">
      <c r="B15" s="14" t="s">
        <v>20</v>
      </c>
      <c r="C15" s="4">
        <v>2.0833333333333333E-3</v>
      </c>
    </row>
    <row r="16" spans="2:3">
      <c r="B16" s="14" t="s">
        <v>56</v>
      </c>
      <c r="C16" s="4">
        <v>2.0833333333333333E-3</v>
      </c>
    </row>
    <row r="17" spans="2:3">
      <c r="B17" s="14" t="s">
        <v>18</v>
      </c>
      <c r="C17" s="4">
        <v>1.0416666666666668E-2</v>
      </c>
    </row>
    <row r="18" spans="2:3">
      <c r="B18" s="14" t="s">
        <v>57</v>
      </c>
      <c r="C18" s="4">
        <v>3.4722222222222225E-3</v>
      </c>
    </row>
    <row r="19" spans="2:3">
      <c r="B19" s="16" t="s">
        <v>58</v>
      </c>
      <c r="C19" s="6">
        <v>2.7777777777777779E-3</v>
      </c>
    </row>
    <row r="21" spans="2:3">
      <c r="B21" s="8" t="s">
        <v>180</v>
      </c>
    </row>
    <row r="22" spans="2:3">
      <c r="B22" s="7" t="s">
        <v>197</v>
      </c>
    </row>
    <row r="23" spans="2:3">
      <c r="B23" s="7" t="s">
        <v>198</v>
      </c>
    </row>
    <row r="24" spans="2:3">
      <c r="B24" s="7" t="s">
        <v>199</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B4FBE-EE0B-4D58-9853-431126C7E9BD}">
  <sheetPr codeName="Sheet8">
    <tabColor theme="8" tint="0.79998168889431442"/>
  </sheetPr>
  <dimension ref="B1:W74"/>
  <sheetViews>
    <sheetView showGridLines="0" topLeftCell="A34" zoomScale="90" zoomScaleNormal="90" workbookViewId="0">
      <selection activeCell="C48" sqref="C48"/>
    </sheetView>
  </sheetViews>
  <sheetFormatPr defaultColWidth="8.875" defaultRowHeight="15.75"/>
  <cols>
    <col min="1" max="1" width="4.5" customWidth="1"/>
    <col min="2" max="2" width="31.125" customWidth="1"/>
    <col min="3" max="3" width="19.875" style="18" customWidth="1"/>
    <col min="4" max="4" width="19.125" style="18" customWidth="1"/>
    <col min="5" max="5" width="18.625" style="18" customWidth="1"/>
    <col min="6" max="6" width="24.5" style="18" bestFit="1" customWidth="1"/>
    <col min="7" max="7" width="26.375" style="18" bestFit="1" customWidth="1"/>
    <col min="8" max="8" width="13.375" style="18" customWidth="1"/>
    <col min="9" max="9" width="12.5" style="18" customWidth="1"/>
    <col min="10" max="10" width="18.5" style="18" customWidth="1"/>
    <col min="11" max="11" width="31.625" style="18" bestFit="1" customWidth="1"/>
    <col min="12" max="12" width="21.625" style="18" customWidth="1"/>
    <col min="13" max="13" width="17.5" style="18" customWidth="1"/>
    <col min="14" max="14" width="26.125" style="18" customWidth="1"/>
    <col min="15" max="15" width="22.375" style="18" customWidth="1"/>
    <col min="16" max="16" width="33.375" style="18" customWidth="1"/>
    <col min="17" max="17" width="19.125" style="18" customWidth="1"/>
    <col min="18" max="18" width="21.125" style="18" customWidth="1"/>
    <col min="19" max="19" width="17.125" style="18" customWidth="1"/>
  </cols>
  <sheetData>
    <row r="1" spans="2:23">
      <c r="B1" s="36" t="s">
        <v>200</v>
      </c>
    </row>
    <row r="3" spans="2:23">
      <c r="B3" s="8" t="s">
        <v>201</v>
      </c>
      <c r="T3" s="18"/>
      <c r="U3" s="18"/>
      <c r="V3" s="18"/>
      <c r="W3" s="18"/>
    </row>
    <row r="4" spans="2:23">
      <c r="B4" s="8"/>
      <c r="C4" s="9" t="s">
        <v>202</v>
      </c>
      <c r="D4" s="23"/>
    </row>
    <row r="5" spans="2:23" s="18" customFormat="1">
      <c r="B5" s="20" t="s">
        <v>46</v>
      </c>
      <c r="C5" s="34" t="s">
        <v>66</v>
      </c>
      <c r="D5" s="34" t="s">
        <v>69</v>
      </c>
      <c r="E5" s="34" t="s">
        <v>49</v>
      </c>
      <c r="F5" s="34" t="s">
        <v>12</v>
      </c>
      <c r="G5" s="34" t="s">
        <v>14</v>
      </c>
      <c r="H5" s="34" t="s">
        <v>50</v>
      </c>
      <c r="I5" s="34" t="s">
        <v>51</v>
      </c>
      <c r="J5" s="34" t="s">
        <v>52</v>
      </c>
      <c r="K5" s="34" t="s">
        <v>53</v>
      </c>
      <c r="L5" s="34" t="s">
        <v>16</v>
      </c>
      <c r="M5" s="34" t="s">
        <v>54</v>
      </c>
      <c r="N5" s="34" t="s">
        <v>55</v>
      </c>
      <c r="O5" s="34" t="s">
        <v>20</v>
      </c>
      <c r="P5" s="34" t="s">
        <v>56</v>
      </c>
      <c r="Q5" s="34" t="s">
        <v>18</v>
      </c>
      <c r="R5" s="34" t="s">
        <v>57</v>
      </c>
      <c r="S5" s="34" t="s">
        <v>58</v>
      </c>
    </row>
    <row r="6" spans="2:23">
      <c r="B6" s="21" t="s">
        <v>66</v>
      </c>
      <c r="C6" s="19">
        <v>0</v>
      </c>
      <c r="D6" s="19">
        <v>0</v>
      </c>
      <c r="E6" s="22">
        <v>350</v>
      </c>
      <c r="F6" s="22">
        <v>400</v>
      </c>
      <c r="G6" s="22">
        <v>400</v>
      </c>
      <c r="H6" s="22">
        <v>450</v>
      </c>
      <c r="I6" s="22">
        <v>450</v>
      </c>
      <c r="J6" s="22">
        <v>280</v>
      </c>
      <c r="K6" s="22">
        <v>210</v>
      </c>
      <c r="L6" s="22">
        <v>230</v>
      </c>
      <c r="M6" s="22">
        <v>300</v>
      </c>
      <c r="N6" s="22">
        <v>400</v>
      </c>
      <c r="O6" s="22">
        <v>500</v>
      </c>
      <c r="P6" s="22">
        <v>210</v>
      </c>
      <c r="Q6" s="22">
        <v>300</v>
      </c>
      <c r="R6" s="22">
        <v>280</v>
      </c>
      <c r="S6" s="22">
        <v>500</v>
      </c>
    </row>
    <row r="7" spans="2:23">
      <c r="B7" s="21" t="s">
        <v>69</v>
      </c>
      <c r="C7" s="19">
        <v>0</v>
      </c>
      <c r="D7" s="19">
        <v>0</v>
      </c>
      <c r="E7" s="22">
        <v>350</v>
      </c>
      <c r="F7" s="22">
        <v>400</v>
      </c>
      <c r="G7" s="22">
        <v>400</v>
      </c>
      <c r="H7" s="22">
        <v>450</v>
      </c>
      <c r="I7" s="22">
        <v>450</v>
      </c>
      <c r="J7" s="22">
        <v>280</v>
      </c>
      <c r="K7" s="22">
        <v>210</v>
      </c>
      <c r="L7" s="22">
        <v>230</v>
      </c>
      <c r="M7" s="22">
        <v>300</v>
      </c>
      <c r="N7" s="22">
        <v>400</v>
      </c>
      <c r="O7" s="22">
        <v>500</v>
      </c>
      <c r="P7" s="22">
        <v>210</v>
      </c>
      <c r="Q7" s="22">
        <v>300</v>
      </c>
      <c r="R7" s="22">
        <v>280</v>
      </c>
      <c r="S7" s="22">
        <v>500</v>
      </c>
    </row>
    <row r="8" spans="2:23">
      <c r="B8" s="21" t="s">
        <v>49</v>
      </c>
      <c r="C8" s="22">
        <v>350</v>
      </c>
      <c r="D8" s="22">
        <v>350</v>
      </c>
      <c r="E8" s="19">
        <v>0</v>
      </c>
      <c r="F8" s="19">
        <v>60</v>
      </c>
      <c r="G8" s="19">
        <v>60</v>
      </c>
      <c r="H8" s="19">
        <v>300</v>
      </c>
      <c r="I8" s="19">
        <v>300</v>
      </c>
      <c r="J8" s="19">
        <v>350</v>
      </c>
      <c r="K8" s="19">
        <v>290</v>
      </c>
      <c r="L8" s="19">
        <v>160</v>
      </c>
      <c r="M8" s="19">
        <v>400</v>
      </c>
      <c r="N8" s="19">
        <v>350</v>
      </c>
      <c r="O8" s="19">
        <v>150</v>
      </c>
      <c r="P8" s="19">
        <v>180</v>
      </c>
      <c r="Q8" s="19">
        <v>400</v>
      </c>
      <c r="R8" s="19">
        <v>100</v>
      </c>
      <c r="S8" s="19">
        <v>150</v>
      </c>
    </row>
    <row r="9" spans="2:23">
      <c r="B9" s="21" t="s">
        <v>12</v>
      </c>
      <c r="C9" s="22">
        <v>400</v>
      </c>
      <c r="D9" s="22">
        <v>400</v>
      </c>
      <c r="E9" s="19">
        <v>60</v>
      </c>
      <c r="F9" s="19">
        <v>0</v>
      </c>
      <c r="G9" s="19">
        <v>0</v>
      </c>
      <c r="H9" s="19">
        <v>280</v>
      </c>
      <c r="I9" s="19">
        <v>280</v>
      </c>
      <c r="J9" s="19">
        <v>350</v>
      </c>
      <c r="K9" s="19">
        <v>350</v>
      </c>
      <c r="L9" s="19">
        <v>200</v>
      </c>
      <c r="M9" s="19">
        <v>350</v>
      </c>
      <c r="N9" s="19">
        <v>350</v>
      </c>
      <c r="O9" s="19">
        <v>130</v>
      </c>
      <c r="P9" s="19">
        <v>220</v>
      </c>
      <c r="Q9" s="19">
        <v>350</v>
      </c>
      <c r="R9" s="19">
        <v>150</v>
      </c>
      <c r="S9" s="19">
        <v>130</v>
      </c>
    </row>
    <row r="10" spans="2:23">
      <c r="B10" s="21" t="s">
        <v>14</v>
      </c>
      <c r="C10" s="22">
        <v>400</v>
      </c>
      <c r="D10" s="22">
        <v>400</v>
      </c>
      <c r="E10" s="19">
        <v>60</v>
      </c>
      <c r="F10" s="19">
        <v>0</v>
      </c>
      <c r="G10" s="19">
        <v>0</v>
      </c>
      <c r="H10" s="19">
        <v>280</v>
      </c>
      <c r="I10" s="19">
        <v>280</v>
      </c>
      <c r="J10" s="19">
        <v>350</v>
      </c>
      <c r="K10" s="19">
        <v>350</v>
      </c>
      <c r="L10" s="19">
        <v>200</v>
      </c>
      <c r="M10" s="19">
        <v>350</v>
      </c>
      <c r="N10" s="19">
        <v>350</v>
      </c>
      <c r="O10" s="19">
        <v>130</v>
      </c>
      <c r="P10" s="19">
        <v>220</v>
      </c>
      <c r="Q10" s="19">
        <v>350</v>
      </c>
      <c r="R10" s="19">
        <v>150</v>
      </c>
      <c r="S10" s="19">
        <v>130</v>
      </c>
    </row>
    <row r="11" spans="2:23">
      <c r="B11" s="21" t="s">
        <v>50</v>
      </c>
      <c r="C11" s="22">
        <v>450</v>
      </c>
      <c r="D11" s="22">
        <v>450</v>
      </c>
      <c r="E11" s="19">
        <v>300</v>
      </c>
      <c r="F11" s="19">
        <v>280</v>
      </c>
      <c r="G11" s="19">
        <v>280</v>
      </c>
      <c r="H11" s="19">
        <v>0</v>
      </c>
      <c r="I11" s="19">
        <v>0</v>
      </c>
      <c r="J11" s="19">
        <v>160</v>
      </c>
      <c r="K11" s="19">
        <v>260</v>
      </c>
      <c r="L11" s="19">
        <v>450</v>
      </c>
      <c r="M11" s="19">
        <v>170</v>
      </c>
      <c r="N11" s="19">
        <v>90</v>
      </c>
      <c r="O11" s="19">
        <v>190</v>
      </c>
      <c r="P11" s="19">
        <v>450</v>
      </c>
      <c r="Q11" s="19">
        <v>170</v>
      </c>
      <c r="R11" s="19">
        <v>400</v>
      </c>
      <c r="S11" s="19">
        <v>190</v>
      </c>
    </row>
    <row r="12" spans="2:23">
      <c r="B12" s="21" t="s">
        <v>51</v>
      </c>
      <c r="C12" s="22">
        <v>450</v>
      </c>
      <c r="D12" s="22">
        <v>450</v>
      </c>
      <c r="E12" s="19">
        <v>300</v>
      </c>
      <c r="F12" s="19">
        <v>280</v>
      </c>
      <c r="G12" s="19">
        <v>280</v>
      </c>
      <c r="H12" s="19">
        <v>0</v>
      </c>
      <c r="I12" s="19">
        <v>0</v>
      </c>
      <c r="J12" s="19">
        <v>160</v>
      </c>
      <c r="K12" s="19">
        <v>260</v>
      </c>
      <c r="L12" s="19">
        <v>450</v>
      </c>
      <c r="M12" s="19">
        <v>170</v>
      </c>
      <c r="N12" s="19">
        <v>90</v>
      </c>
      <c r="O12" s="19">
        <v>190</v>
      </c>
      <c r="P12" s="19">
        <v>450</v>
      </c>
      <c r="Q12" s="19">
        <v>170</v>
      </c>
      <c r="R12" s="19">
        <v>400</v>
      </c>
      <c r="S12" s="19">
        <v>190</v>
      </c>
    </row>
    <row r="13" spans="2:23">
      <c r="B13" s="21" t="s">
        <v>52</v>
      </c>
      <c r="C13" s="22">
        <v>280</v>
      </c>
      <c r="D13" s="22">
        <v>280</v>
      </c>
      <c r="E13" s="19">
        <v>350</v>
      </c>
      <c r="F13" s="19">
        <v>350</v>
      </c>
      <c r="G13" s="19">
        <v>350</v>
      </c>
      <c r="H13" s="19">
        <v>160</v>
      </c>
      <c r="I13" s="19">
        <v>160</v>
      </c>
      <c r="J13" s="19">
        <v>0</v>
      </c>
      <c r="K13" s="19">
        <v>100</v>
      </c>
      <c r="L13" s="19">
        <v>290</v>
      </c>
      <c r="M13" s="19">
        <v>40</v>
      </c>
      <c r="N13" s="19">
        <v>140</v>
      </c>
      <c r="O13" s="19">
        <v>270</v>
      </c>
      <c r="P13" s="19">
        <v>270</v>
      </c>
      <c r="Q13" s="19">
        <v>40</v>
      </c>
      <c r="R13" s="19">
        <v>350</v>
      </c>
      <c r="S13" s="19">
        <v>270</v>
      </c>
    </row>
    <row r="14" spans="2:23">
      <c r="B14" s="21" t="s">
        <v>53</v>
      </c>
      <c r="C14" s="22">
        <v>210</v>
      </c>
      <c r="D14" s="22">
        <v>210</v>
      </c>
      <c r="E14" s="19">
        <v>290</v>
      </c>
      <c r="F14" s="19">
        <v>350</v>
      </c>
      <c r="G14" s="19">
        <v>350</v>
      </c>
      <c r="H14" s="19">
        <v>260</v>
      </c>
      <c r="I14" s="19">
        <v>260</v>
      </c>
      <c r="J14" s="19">
        <v>100</v>
      </c>
      <c r="K14" s="19">
        <v>0</v>
      </c>
      <c r="L14" s="19">
        <v>190</v>
      </c>
      <c r="M14" s="19">
        <v>130</v>
      </c>
      <c r="N14" s="19">
        <v>230</v>
      </c>
      <c r="O14" s="19">
        <v>350</v>
      </c>
      <c r="P14" s="19">
        <v>160</v>
      </c>
      <c r="Q14" s="19">
        <v>130</v>
      </c>
      <c r="R14" s="19">
        <v>270</v>
      </c>
      <c r="S14" s="19">
        <v>350</v>
      </c>
    </row>
    <row r="15" spans="2:23">
      <c r="B15" s="21" t="s">
        <v>16</v>
      </c>
      <c r="C15" s="22">
        <v>230</v>
      </c>
      <c r="D15" s="22">
        <v>230</v>
      </c>
      <c r="E15" s="19">
        <v>160</v>
      </c>
      <c r="F15" s="19">
        <v>200</v>
      </c>
      <c r="G15" s="19">
        <v>200</v>
      </c>
      <c r="H15" s="19">
        <v>450</v>
      </c>
      <c r="I15" s="19">
        <v>450</v>
      </c>
      <c r="J15" s="19">
        <v>290</v>
      </c>
      <c r="K15" s="19">
        <v>190</v>
      </c>
      <c r="L15" s="19">
        <v>0</v>
      </c>
      <c r="M15" s="19">
        <v>350</v>
      </c>
      <c r="N15" s="19">
        <v>400</v>
      </c>
      <c r="O15" s="19">
        <v>300</v>
      </c>
      <c r="P15" s="19">
        <v>20</v>
      </c>
      <c r="Q15" s="19">
        <v>350</v>
      </c>
      <c r="R15" s="19">
        <v>90</v>
      </c>
      <c r="S15" s="19">
        <v>300</v>
      </c>
    </row>
    <row r="16" spans="2:23">
      <c r="B16" s="21" t="s">
        <v>54</v>
      </c>
      <c r="C16" s="22">
        <v>300</v>
      </c>
      <c r="D16" s="22">
        <v>300</v>
      </c>
      <c r="E16" s="19">
        <v>400</v>
      </c>
      <c r="F16" s="19">
        <v>350</v>
      </c>
      <c r="G16" s="19">
        <v>350</v>
      </c>
      <c r="H16" s="19">
        <v>170</v>
      </c>
      <c r="I16" s="19">
        <v>170</v>
      </c>
      <c r="J16" s="19">
        <v>40</v>
      </c>
      <c r="K16" s="19">
        <v>130</v>
      </c>
      <c r="L16" s="19">
        <v>350</v>
      </c>
      <c r="M16" s="19">
        <v>0</v>
      </c>
      <c r="N16" s="19">
        <v>150</v>
      </c>
      <c r="O16" s="19">
        <v>280</v>
      </c>
      <c r="P16" s="19">
        <v>350</v>
      </c>
      <c r="Q16" s="19">
        <v>0</v>
      </c>
      <c r="R16" s="19">
        <v>400</v>
      </c>
      <c r="S16" s="19">
        <v>280</v>
      </c>
    </row>
    <row r="17" spans="2:19">
      <c r="B17" s="21" t="s">
        <v>55</v>
      </c>
      <c r="C17" s="22">
        <v>400</v>
      </c>
      <c r="D17" s="22">
        <v>400</v>
      </c>
      <c r="E17" s="19">
        <v>350</v>
      </c>
      <c r="F17" s="19">
        <v>350</v>
      </c>
      <c r="G17" s="19">
        <v>350</v>
      </c>
      <c r="H17" s="19">
        <v>90</v>
      </c>
      <c r="I17" s="19">
        <v>90</v>
      </c>
      <c r="J17" s="19">
        <v>140</v>
      </c>
      <c r="K17" s="19">
        <v>230</v>
      </c>
      <c r="L17" s="19">
        <v>400</v>
      </c>
      <c r="M17" s="19">
        <v>150</v>
      </c>
      <c r="N17" s="19">
        <v>0</v>
      </c>
      <c r="O17" s="19">
        <v>240</v>
      </c>
      <c r="P17" s="19">
        <v>400</v>
      </c>
      <c r="Q17" s="19">
        <v>150</v>
      </c>
      <c r="R17" s="19">
        <v>450</v>
      </c>
      <c r="S17" s="19">
        <v>240</v>
      </c>
    </row>
    <row r="18" spans="2:19">
      <c r="B18" s="21" t="s">
        <v>20</v>
      </c>
      <c r="C18" s="22">
        <v>500</v>
      </c>
      <c r="D18" s="22">
        <v>500</v>
      </c>
      <c r="E18" s="19">
        <v>150</v>
      </c>
      <c r="F18" s="19">
        <v>130</v>
      </c>
      <c r="G18" s="19">
        <v>130</v>
      </c>
      <c r="H18" s="19">
        <v>190</v>
      </c>
      <c r="I18" s="19">
        <v>190</v>
      </c>
      <c r="J18" s="19">
        <v>270</v>
      </c>
      <c r="K18" s="19">
        <v>350</v>
      </c>
      <c r="L18" s="19">
        <v>300</v>
      </c>
      <c r="M18" s="19">
        <v>280</v>
      </c>
      <c r="N18" s="19">
        <v>240</v>
      </c>
      <c r="O18" s="19">
        <v>0</v>
      </c>
      <c r="P18" s="19">
        <v>350</v>
      </c>
      <c r="Q18" s="19">
        <v>280</v>
      </c>
      <c r="R18" s="19">
        <v>250</v>
      </c>
      <c r="S18" s="19">
        <v>0</v>
      </c>
    </row>
    <row r="19" spans="2:19">
      <c r="B19" s="21" t="s">
        <v>56</v>
      </c>
      <c r="C19" s="22">
        <v>210</v>
      </c>
      <c r="D19" s="22">
        <v>210</v>
      </c>
      <c r="E19" s="19">
        <v>180</v>
      </c>
      <c r="F19" s="19">
        <v>220</v>
      </c>
      <c r="G19" s="19">
        <v>220</v>
      </c>
      <c r="H19" s="19">
        <v>450</v>
      </c>
      <c r="I19" s="19">
        <v>450</v>
      </c>
      <c r="J19" s="19">
        <v>270</v>
      </c>
      <c r="K19" s="19">
        <v>160</v>
      </c>
      <c r="L19" s="19">
        <v>20</v>
      </c>
      <c r="M19" s="19">
        <v>350</v>
      </c>
      <c r="N19" s="19">
        <v>400</v>
      </c>
      <c r="O19" s="19">
        <v>350</v>
      </c>
      <c r="P19" s="19">
        <v>0</v>
      </c>
      <c r="Q19" s="19">
        <v>350</v>
      </c>
      <c r="R19" s="19">
        <v>110</v>
      </c>
      <c r="S19" s="19">
        <v>350</v>
      </c>
    </row>
    <row r="20" spans="2:19">
      <c r="B20" s="21" t="s">
        <v>18</v>
      </c>
      <c r="C20" s="22">
        <v>300</v>
      </c>
      <c r="D20" s="22">
        <v>300</v>
      </c>
      <c r="E20" s="19">
        <v>400</v>
      </c>
      <c r="F20" s="19">
        <v>350</v>
      </c>
      <c r="G20" s="19">
        <v>350</v>
      </c>
      <c r="H20" s="19">
        <v>170</v>
      </c>
      <c r="I20" s="19">
        <v>170</v>
      </c>
      <c r="J20" s="19">
        <v>40</v>
      </c>
      <c r="K20" s="19">
        <v>130</v>
      </c>
      <c r="L20" s="19">
        <v>350</v>
      </c>
      <c r="M20" s="19">
        <v>0</v>
      </c>
      <c r="N20" s="19">
        <v>150</v>
      </c>
      <c r="O20" s="19">
        <v>280</v>
      </c>
      <c r="P20" s="19">
        <v>350</v>
      </c>
      <c r="Q20" s="19">
        <v>0</v>
      </c>
      <c r="R20" s="19">
        <v>400</v>
      </c>
      <c r="S20" s="19">
        <v>280</v>
      </c>
    </row>
    <row r="21" spans="2:19">
      <c r="B21" s="21" t="s">
        <v>57</v>
      </c>
      <c r="C21" s="22">
        <v>280</v>
      </c>
      <c r="D21" s="22">
        <v>280</v>
      </c>
      <c r="E21" s="19">
        <v>100</v>
      </c>
      <c r="F21" s="19">
        <v>150</v>
      </c>
      <c r="G21" s="19">
        <v>150</v>
      </c>
      <c r="H21" s="19">
        <v>400</v>
      </c>
      <c r="I21" s="19">
        <v>400</v>
      </c>
      <c r="J21" s="19">
        <v>350</v>
      </c>
      <c r="K21" s="19">
        <v>270</v>
      </c>
      <c r="L21" s="19">
        <v>90</v>
      </c>
      <c r="M21" s="19">
        <v>400</v>
      </c>
      <c r="N21" s="19">
        <v>450</v>
      </c>
      <c r="O21" s="19">
        <v>250</v>
      </c>
      <c r="P21" s="19">
        <v>110</v>
      </c>
      <c r="Q21" s="19">
        <v>400</v>
      </c>
      <c r="R21" s="19">
        <v>0</v>
      </c>
      <c r="S21" s="19">
        <v>250</v>
      </c>
    </row>
    <row r="22" spans="2:19">
      <c r="B22" s="21" t="s">
        <v>58</v>
      </c>
      <c r="C22" s="22">
        <v>500</v>
      </c>
      <c r="D22" s="22">
        <v>500</v>
      </c>
      <c r="E22" s="19">
        <v>150</v>
      </c>
      <c r="F22" s="19">
        <v>130</v>
      </c>
      <c r="G22" s="19">
        <v>130</v>
      </c>
      <c r="H22" s="19">
        <v>190</v>
      </c>
      <c r="I22" s="19">
        <v>190</v>
      </c>
      <c r="J22" s="19">
        <v>270</v>
      </c>
      <c r="K22" s="19">
        <v>350</v>
      </c>
      <c r="L22" s="19">
        <v>300</v>
      </c>
      <c r="M22" s="19">
        <v>280</v>
      </c>
      <c r="N22" s="19">
        <v>240</v>
      </c>
      <c r="O22" s="19">
        <v>0</v>
      </c>
      <c r="P22" s="19">
        <v>350</v>
      </c>
      <c r="Q22" s="19">
        <v>280</v>
      </c>
      <c r="R22" s="19">
        <v>250</v>
      </c>
      <c r="S22" s="19">
        <v>0</v>
      </c>
    </row>
    <row r="24" spans="2:19">
      <c r="B24" s="8" t="s">
        <v>203</v>
      </c>
    </row>
    <row r="25" spans="2:19">
      <c r="B25" s="26" t="s">
        <v>204</v>
      </c>
      <c r="C25" s="70">
        <v>1.4</v>
      </c>
      <c r="D25" s="25" t="s">
        <v>205</v>
      </c>
    </row>
    <row r="26" spans="2:19">
      <c r="B26" s="24"/>
      <c r="D26" s="25"/>
    </row>
    <row r="27" spans="2:19">
      <c r="B27" s="8"/>
      <c r="C27" s="9" t="s">
        <v>83</v>
      </c>
      <c r="D27" s="23"/>
    </row>
    <row r="28" spans="2:19">
      <c r="B28" s="28" t="s">
        <v>46</v>
      </c>
      <c r="C28" s="30" t="s">
        <v>66</v>
      </c>
      <c r="D28" s="30" t="s">
        <v>69</v>
      </c>
      <c r="E28" s="30" t="s">
        <v>49</v>
      </c>
      <c r="F28" s="30" t="s">
        <v>12</v>
      </c>
      <c r="G28" s="30" t="s">
        <v>14</v>
      </c>
      <c r="H28" s="30" t="s">
        <v>50</v>
      </c>
      <c r="I28" s="30" t="s">
        <v>51</v>
      </c>
      <c r="J28" s="30" t="s">
        <v>52</v>
      </c>
      <c r="K28" s="30" t="s">
        <v>53</v>
      </c>
      <c r="L28" s="30" t="s">
        <v>16</v>
      </c>
      <c r="M28" s="30" t="s">
        <v>54</v>
      </c>
      <c r="N28" s="30" t="s">
        <v>55</v>
      </c>
      <c r="O28" s="30" t="s">
        <v>20</v>
      </c>
      <c r="P28" s="30" t="s">
        <v>56</v>
      </c>
      <c r="Q28" s="30" t="s">
        <v>18</v>
      </c>
      <c r="R28" s="30" t="s">
        <v>57</v>
      </c>
      <c r="S28" s="31" t="s">
        <v>58</v>
      </c>
    </row>
    <row r="29" spans="2:19">
      <c r="B29" s="27" t="s">
        <v>66</v>
      </c>
      <c r="C29" s="3">
        <f t="shared" ref="C29:S29" si="0">CEILING(TIME(0,0,C6/$C$25),TIME(0,1,0))</f>
        <v>0</v>
      </c>
      <c r="D29" s="3">
        <f t="shared" si="0"/>
        <v>0</v>
      </c>
      <c r="E29" s="3">
        <f t="shared" si="0"/>
        <v>3.4722222222222225E-3</v>
      </c>
      <c r="F29" s="3">
        <f t="shared" si="0"/>
        <v>3.4722222222222225E-3</v>
      </c>
      <c r="G29" s="3">
        <f t="shared" si="0"/>
        <v>3.4722222222222225E-3</v>
      </c>
      <c r="H29" s="3">
        <f t="shared" si="0"/>
        <v>4.1666666666666666E-3</v>
      </c>
      <c r="I29" s="3">
        <f t="shared" si="0"/>
        <v>4.1666666666666666E-3</v>
      </c>
      <c r="J29" s="3">
        <f t="shared" si="0"/>
        <v>2.7777777777777779E-3</v>
      </c>
      <c r="K29" s="3">
        <f t="shared" si="0"/>
        <v>2.0833333333333333E-3</v>
      </c>
      <c r="L29" s="3">
        <f t="shared" si="0"/>
        <v>2.0833333333333333E-3</v>
      </c>
      <c r="M29" s="3">
        <f t="shared" si="0"/>
        <v>2.7777777777777779E-3</v>
      </c>
      <c r="N29" s="3">
        <f t="shared" si="0"/>
        <v>3.4722222222222225E-3</v>
      </c>
      <c r="O29" s="3">
        <f t="shared" si="0"/>
        <v>4.1666666666666666E-3</v>
      </c>
      <c r="P29" s="3">
        <f t="shared" si="0"/>
        <v>2.0833333333333333E-3</v>
      </c>
      <c r="Q29" s="3">
        <f t="shared" si="0"/>
        <v>2.7777777777777779E-3</v>
      </c>
      <c r="R29" s="3">
        <f t="shared" si="0"/>
        <v>2.7777777777777779E-3</v>
      </c>
      <c r="S29" s="3">
        <f t="shared" si="0"/>
        <v>4.1666666666666666E-3</v>
      </c>
    </row>
    <row r="30" spans="2:19">
      <c r="B30" s="27" t="s">
        <v>69</v>
      </c>
      <c r="C30" s="3">
        <f t="shared" ref="C30:S30" si="1">CEILING(TIME(0,0,C7/$C$25),TIME(0,1,0))</f>
        <v>0</v>
      </c>
      <c r="D30" s="3">
        <f t="shared" si="1"/>
        <v>0</v>
      </c>
      <c r="E30" s="3">
        <f t="shared" si="1"/>
        <v>3.4722222222222225E-3</v>
      </c>
      <c r="F30" s="3">
        <f t="shared" si="1"/>
        <v>3.4722222222222225E-3</v>
      </c>
      <c r="G30" s="3">
        <f t="shared" si="1"/>
        <v>3.4722222222222225E-3</v>
      </c>
      <c r="H30" s="3">
        <f t="shared" si="1"/>
        <v>4.1666666666666666E-3</v>
      </c>
      <c r="I30" s="3">
        <f t="shared" si="1"/>
        <v>4.1666666666666666E-3</v>
      </c>
      <c r="J30" s="3">
        <f t="shared" si="1"/>
        <v>2.7777777777777779E-3</v>
      </c>
      <c r="K30" s="3">
        <f t="shared" si="1"/>
        <v>2.0833333333333333E-3</v>
      </c>
      <c r="L30" s="3">
        <f t="shared" si="1"/>
        <v>2.0833333333333333E-3</v>
      </c>
      <c r="M30" s="3">
        <f t="shared" si="1"/>
        <v>2.7777777777777779E-3</v>
      </c>
      <c r="N30" s="3">
        <f t="shared" si="1"/>
        <v>3.4722222222222225E-3</v>
      </c>
      <c r="O30" s="3">
        <f t="shared" si="1"/>
        <v>4.1666666666666666E-3</v>
      </c>
      <c r="P30" s="3">
        <f t="shared" si="1"/>
        <v>2.0833333333333333E-3</v>
      </c>
      <c r="Q30" s="3">
        <f t="shared" si="1"/>
        <v>2.7777777777777779E-3</v>
      </c>
      <c r="R30" s="3">
        <f t="shared" si="1"/>
        <v>2.7777777777777779E-3</v>
      </c>
      <c r="S30" s="3">
        <f t="shared" si="1"/>
        <v>4.1666666666666666E-3</v>
      </c>
    </row>
    <row r="31" spans="2:19">
      <c r="B31" s="27" t="s">
        <v>49</v>
      </c>
      <c r="C31" s="3">
        <f t="shared" ref="C31:S31" si="2">CEILING(TIME(0,0,C8/$C$25),TIME(0,1,0))</f>
        <v>3.4722222222222225E-3</v>
      </c>
      <c r="D31" s="3">
        <f t="shared" si="2"/>
        <v>3.4722222222222225E-3</v>
      </c>
      <c r="E31" s="3">
        <f t="shared" si="2"/>
        <v>0</v>
      </c>
      <c r="F31" s="3">
        <f t="shared" si="2"/>
        <v>6.9444444444444447E-4</v>
      </c>
      <c r="G31" s="3">
        <f t="shared" si="2"/>
        <v>6.9444444444444447E-4</v>
      </c>
      <c r="H31" s="3">
        <f t="shared" si="2"/>
        <v>2.7777777777777779E-3</v>
      </c>
      <c r="I31" s="3">
        <f t="shared" si="2"/>
        <v>2.7777777777777779E-3</v>
      </c>
      <c r="J31" s="3">
        <f t="shared" si="2"/>
        <v>3.4722222222222225E-3</v>
      </c>
      <c r="K31" s="3">
        <f t="shared" si="2"/>
        <v>2.7777777777777779E-3</v>
      </c>
      <c r="L31" s="3">
        <f t="shared" si="2"/>
        <v>1.3888888888888889E-3</v>
      </c>
      <c r="M31" s="3">
        <f t="shared" si="2"/>
        <v>3.4722222222222225E-3</v>
      </c>
      <c r="N31" s="3">
        <f t="shared" si="2"/>
        <v>3.4722222222222225E-3</v>
      </c>
      <c r="O31" s="3">
        <f t="shared" si="2"/>
        <v>1.3888888888888889E-3</v>
      </c>
      <c r="P31" s="3">
        <f t="shared" si="2"/>
        <v>2.0833333333333333E-3</v>
      </c>
      <c r="Q31" s="3">
        <f t="shared" si="2"/>
        <v>3.4722222222222225E-3</v>
      </c>
      <c r="R31" s="3">
        <f t="shared" si="2"/>
        <v>1.3888888888888889E-3</v>
      </c>
      <c r="S31" s="3">
        <f t="shared" si="2"/>
        <v>1.3888888888888889E-3</v>
      </c>
    </row>
    <row r="32" spans="2:19">
      <c r="B32" s="27" t="s">
        <v>12</v>
      </c>
      <c r="C32" s="3">
        <f t="shared" ref="C32:S32" si="3">CEILING(TIME(0,0,C9/$C$25),TIME(0,1,0))</f>
        <v>3.4722222222222225E-3</v>
      </c>
      <c r="D32" s="3">
        <f t="shared" si="3"/>
        <v>3.4722222222222225E-3</v>
      </c>
      <c r="E32" s="3">
        <f t="shared" si="3"/>
        <v>6.9444444444444447E-4</v>
      </c>
      <c r="F32" s="3">
        <f t="shared" si="3"/>
        <v>0</v>
      </c>
      <c r="G32" s="3">
        <f t="shared" si="3"/>
        <v>0</v>
      </c>
      <c r="H32" s="3">
        <f t="shared" si="3"/>
        <v>2.7777777777777779E-3</v>
      </c>
      <c r="I32" s="3">
        <f t="shared" si="3"/>
        <v>2.7777777777777779E-3</v>
      </c>
      <c r="J32" s="3">
        <f t="shared" si="3"/>
        <v>3.4722222222222225E-3</v>
      </c>
      <c r="K32" s="3">
        <f t="shared" si="3"/>
        <v>3.4722222222222225E-3</v>
      </c>
      <c r="L32" s="3">
        <f t="shared" si="3"/>
        <v>2.0833333333333333E-3</v>
      </c>
      <c r="M32" s="3">
        <f t="shared" si="3"/>
        <v>3.4722222222222225E-3</v>
      </c>
      <c r="N32" s="3">
        <f t="shared" si="3"/>
        <v>3.4722222222222225E-3</v>
      </c>
      <c r="O32" s="3">
        <f t="shared" si="3"/>
        <v>1.3888888888888889E-3</v>
      </c>
      <c r="P32" s="3">
        <f t="shared" si="3"/>
        <v>2.0833333333333333E-3</v>
      </c>
      <c r="Q32" s="3">
        <f t="shared" si="3"/>
        <v>3.4722222222222225E-3</v>
      </c>
      <c r="R32" s="3">
        <f t="shared" si="3"/>
        <v>1.3888888888888889E-3</v>
      </c>
      <c r="S32" s="3">
        <f t="shared" si="3"/>
        <v>1.3888888888888889E-3</v>
      </c>
    </row>
    <row r="33" spans="2:19">
      <c r="B33" s="27" t="s">
        <v>14</v>
      </c>
      <c r="C33" s="3">
        <f t="shared" ref="C33:S33" si="4">CEILING(TIME(0,0,C10/$C$25),TIME(0,1,0))</f>
        <v>3.4722222222222225E-3</v>
      </c>
      <c r="D33" s="3">
        <f t="shared" si="4"/>
        <v>3.4722222222222225E-3</v>
      </c>
      <c r="E33" s="3">
        <f t="shared" si="4"/>
        <v>6.9444444444444447E-4</v>
      </c>
      <c r="F33" s="3">
        <f t="shared" si="4"/>
        <v>0</v>
      </c>
      <c r="G33" s="3">
        <f t="shared" si="4"/>
        <v>0</v>
      </c>
      <c r="H33" s="3">
        <f t="shared" si="4"/>
        <v>2.7777777777777779E-3</v>
      </c>
      <c r="I33" s="3">
        <f t="shared" si="4"/>
        <v>2.7777777777777779E-3</v>
      </c>
      <c r="J33" s="3">
        <f t="shared" si="4"/>
        <v>3.4722222222222225E-3</v>
      </c>
      <c r="K33" s="3">
        <f t="shared" si="4"/>
        <v>3.4722222222222225E-3</v>
      </c>
      <c r="L33" s="3">
        <f t="shared" si="4"/>
        <v>2.0833333333333333E-3</v>
      </c>
      <c r="M33" s="3">
        <f t="shared" si="4"/>
        <v>3.4722222222222225E-3</v>
      </c>
      <c r="N33" s="3">
        <f t="shared" si="4"/>
        <v>3.4722222222222225E-3</v>
      </c>
      <c r="O33" s="3">
        <f t="shared" si="4"/>
        <v>1.3888888888888889E-3</v>
      </c>
      <c r="P33" s="3">
        <f t="shared" si="4"/>
        <v>2.0833333333333333E-3</v>
      </c>
      <c r="Q33" s="3">
        <f t="shared" si="4"/>
        <v>3.4722222222222225E-3</v>
      </c>
      <c r="R33" s="3">
        <f t="shared" si="4"/>
        <v>1.3888888888888889E-3</v>
      </c>
      <c r="S33" s="3">
        <f t="shared" si="4"/>
        <v>1.3888888888888889E-3</v>
      </c>
    </row>
    <row r="34" spans="2:19">
      <c r="B34" s="27" t="s">
        <v>50</v>
      </c>
      <c r="C34" s="3">
        <f t="shared" ref="C34:S34" si="5">CEILING(TIME(0,0,C11/$C$25),TIME(0,1,0))</f>
        <v>4.1666666666666666E-3</v>
      </c>
      <c r="D34" s="3">
        <f t="shared" si="5"/>
        <v>4.1666666666666666E-3</v>
      </c>
      <c r="E34" s="3">
        <f t="shared" si="5"/>
        <v>2.7777777777777779E-3</v>
      </c>
      <c r="F34" s="3">
        <f t="shared" si="5"/>
        <v>2.7777777777777779E-3</v>
      </c>
      <c r="G34" s="3">
        <f t="shared" si="5"/>
        <v>2.7777777777777779E-3</v>
      </c>
      <c r="H34" s="3">
        <f t="shared" si="5"/>
        <v>0</v>
      </c>
      <c r="I34" s="3">
        <f t="shared" si="5"/>
        <v>0</v>
      </c>
      <c r="J34" s="3">
        <f t="shared" si="5"/>
        <v>1.3888888888888889E-3</v>
      </c>
      <c r="K34" s="3">
        <f t="shared" si="5"/>
        <v>2.7777777777777779E-3</v>
      </c>
      <c r="L34" s="3">
        <f t="shared" si="5"/>
        <v>4.1666666666666666E-3</v>
      </c>
      <c r="M34" s="3">
        <f t="shared" si="5"/>
        <v>2.0833333333333333E-3</v>
      </c>
      <c r="N34" s="3">
        <f t="shared" si="5"/>
        <v>1.3888888888888889E-3</v>
      </c>
      <c r="O34" s="3">
        <f t="shared" si="5"/>
        <v>2.0833333333333333E-3</v>
      </c>
      <c r="P34" s="3">
        <f t="shared" si="5"/>
        <v>4.1666666666666666E-3</v>
      </c>
      <c r="Q34" s="3">
        <f t="shared" si="5"/>
        <v>2.0833333333333333E-3</v>
      </c>
      <c r="R34" s="3">
        <f t="shared" si="5"/>
        <v>3.4722222222222225E-3</v>
      </c>
      <c r="S34" s="3">
        <f t="shared" si="5"/>
        <v>2.0833333333333333E-3</v>
      </c>
    </row>
    <row r="35" spans="2:19">
      <c r="B35" s="27" t="s">
        <v>51</v>
      </c>
      <c r="C35" s="3">
        <f t="shared" ref="C35:S35" si="6">CEILING(TIME(0,0,C12/$C$25),TIME(0,1,0))</f>
        <v>4.1666666666666666E-3</v>
      </c>
      <c r="D35" s="3">
        <f t="shared" si="6"/>
        <v>4.1666666666666666E-3</v>
      </c>
      <c r="E35" s="3">
        <f t="shared" si="6"/>
        <v>2.7777777777777779E-3</v>
      </c>
      <c r="F35" s="3">
        <f t="shared" si="6"/>
        <v>2.7777777777777779E-3</v>
      </c>
      <c r="G35" s="3">
        <f t="shared" si="6"/>
        <v>2.7777777777777779E-3</v>
      </c>
      <c r="H35" s="3">
        <f t="shared" si="6"/>
        <v>0</v>
      </c>
      <c r="I35" s="3">
        <f t="shared" si="6"/>
        <v>0</v>
      </c>
      <c r="J35" s="3">
        <f t="shared" si="6"/>
        <v>1.3888888888888889E-3</v>
      </c>
      <c r="K35" s="3">
        <f t="shared" si="6"/>
        <v>2.7777777777777779E-3</v>
      </c>
      <c r="L35" s="3">
        <f t="shared" si="6"/>
        <v>4.1666666666666666E-3</v>
      </c>
      <c r="M35" s="3">
        <f t="shared" si="6"/>
        <v>2.0833333333333333E-3</v>
      </c>
      <c r="N35" s="3">
        <f t="shared" si="6"/>
        <v>1.3888888888888889E-3</v>
      </c>
      <c r="O35" s="3">
        <f t="shared" si="6"/>
        <v>2.0833333333333333E-3</v>
      </c>
      <c r="P35" s="3">
        <f t="shared" si="6"/>
        <v>4.1666666666666666E-3</v>
      </c>
      <c r="Q35" s="3">
        <f t="shared" si="6"/>
        <v>2.0833333333333333E-3</v>
      </c>
      <c r="R35" s="3">
        <f t="shared" si="6"/>
        <v>3.4722222222222225E-3</v>
      </c>
      <c r="S35" s="3">
        <f t="shared" si="6"/>
        <v>2.0833333333333333E-3</v>
      </c>
    </row>
    <row r="36" spans="2:19">
      <c r="B36" s="27" t="s">
        <v>52</v>
      </c>
      <c r="C36" s="3">
        <f t="shared" ref="C36:S36" si="7">CEILING(TIME(0,0,C13/$C$25),TIME(0,1,0))</f>
        <v>2.7777777777777779E-3</v>
      </c>
      <c r="D36" s="3">
        <f t="shared" si="7"/>
        <v>2.7777777777777779E-3</v>
      </c>
      <c r="E36" s="3">
        <f t="shared" si="7"/>
        <v>3.4722222222222225E-3</v>
      </c>
      <c r="F36" s="3">
        <f t="shared" si="7"/>
        <v>3.4722222222222225E-3</v>
      </c>
      <c r="G36" s="3">
        <f t="shared" si="7"/>
        <v>3.4722222222222225E-3</v>
      </c>
      <c r="H36" s="3">
        <f t="shared" si="7"/>
        <v>1.3888888888888889E-3</v>
      </c>
      <c r="I36" s="3">
        <f t="shared" si="7"/>
        <v>1.3888888888888889E-3</v>
      </c>
      <c r="J36" s="3">
        <f t="shared" si="7"/>
        <v>0</v>
      </c>
      <c r="K36" s="3">
        <f t="shared" si="7"/>
        <v>1.3888888888888889E-3</v>
      </c>
      <c r="L36" s="3">
        <f t="shared" si="7"/>
        <v>2.7777777777777779E-3</v>
      </c>
      <c r="M36" s="3">
        <f t="shared" si="7"/>
        <v>6.9444444444444447E-4</v>
      </c>
      <c r="N36" s="3">
        <f t="shared" si="7"/>
        <v>1.3888888888888889E-3</v>
      </c>
      <c r="O36" s="3">
        <f t="shared" si="7"/>
        <v>2.7777777777777779E-3</v>
      </c>
      <c r="P36" s="3">
        <f t="shared" si="7"/>
        <v>2.7777777777777779E-3</v>
      </c>
      <c r="Q36" s="3">
        <f t="shared" si="7"/>
        <v>6.9444444444444447E-4</v>
      </c>
      <c r="R36" s="3">
        <f t="shared" si="7"/>
        <v>3.4722222222222225E-3</v>
      </c>
      <c r="S36" s="3">
        <f t="shared" si="7"/>
        <v>2.7777777777777779E-3</v>
      </c>
    </row>
    <row r="37" spans="2:19">
      <c r="B37" s="27" t="s">
        <v>53</v>
      </c>
      <c r="C37" s="3">
        <f t="shared" ref="C37:S37" si="8">CEILING(TIME(0,0,C14/$C$25),TIME(0,1,0))</f>
        <v>2.0833333333333333E-3</v>
      </c>
      <c r="D37" s="3">
        <f t="shared" si="8"/>
        <v>2.0833333333333333E-3</v>
      </c>
      <c r="E37" s="3">
        <f t="shared" si="8"/>
        <v>2.7777777777777779E-3</v>
      </c>
      <c r="F37" s="3">
        <f t="shared" si="8"/>
        <v>3.4722222222222225E-3</v>
      </c>
      <c r="G37" s="3">
        <f t="shared" si="8"/>
        <v>3.4722222222222225E-3</v>
      </c>
      <c r="H37" s="3">
        <f t="shared" si="8"/>
        <v>2.7777777777777779E-3</v>
      </c>
      <c r="I37" s="3">
        <f t="shared" si="8"/>
        <v>2.7777777777777779E-3</v>
      </c>
      <c r="J37" s="3">
        <f t="shared" si="8"/>
        <v>1.3888888888888889E-3</v>
      </c>
      <c r="K37" s="3">
        <f t="shared" si="8"/>
        <v>0</v>
      </c>
      <c r="L37" s="3">
        <f t="shared" si="8"/>
        <v>2.0833333333333333E-3</v>
      </c>
      <c r="M37" s="3">
        <f t="shared" si="8"/>
        <v>1.3888888888888889E-3</v>
      </c>
      <c r="N37" s="3">
        <f t="shared" si="8"/>
        <v>2.0833333333333333E-3</v>
      </c>
      <c r="O37" s="3">
        <f t="shared" si="8"/>
        <v>3.4722222222222225E-3</v>
      </c>
      <c r="P37" s="3">
        <f t="shared" si="8"/>
        <v>1.3888888888888889E-3</v>
      </c>
      <c r="Q37" s="3">
        <f t="shared" si="8"/>
        <v>1.3888888888888889E-3</v>
      </c>
      <c r="R37" s="3">
        <f t="shared" si="8"/>
        <v>2.7777777777777779E-3</v>
      </c>
      <c r="S37" s="3">
        <f t="shared" si="8"/>
        <v>3.4722222222222225E-3</v>
      </c>
    </row>
    <row r="38" spans="2:19">
      <c r="B38" s="27" t="s">
        <v>16</v>
      </c>
      <c r="C38" s="3">
        <f t="shared" ref="C38:S38" si="9">CEILING(TIME(0,0,C15/$C$25),TIME(0,1,0))</f>
        <v>2.0833333333333333E-3</v>
      </c>
      <c r="D38" s="3">
        <f t="shared" si="9"/>
        <v>2.0833333333333333E-3</v>
      </c>
      <c r="E38" s="3">
        <f t="shared" si="9"/>
        <v>1.3888888888888889E-3</v>
      </c>
      <c r="F38" s="3">
        <f t="shared" si="9"/>
        <v>2.0833333333333333E-3</v>
      </c>
      <c r="G38" s="3">
        <f t="shared" si="9"/>
        <v>2.0833333333333333E-3</v>
      </c>
      <c r="H38" s="3">
        <f t="shared" si="9"/>
        <v>4.1666666666666666E-3</v>
      </c>
      <c r="I38" s="3">
        <f t="shared" si="9"/>
        <v>4.1666666666666666E-3</v>
      </c>
      <c r="J38" s="3">
        <f t="shared" si="9"/>
        <v>2.7777777777777779E-3</v>
      </c>
      <c r="K38" s="3">
        <f t="shared" si="9"/>
        <v>2.0833333333333333E-3</v>
      </c>
      <c r="L38" s="3">
        <f t="shared" si="9"/>
        <v>0</v>
      </c>
      <c r="M38" s="3">
        <f t="shared" si="9"/>
        <v>3.4722222222222225E-3</v>
      </c>
      <c r="N38" s="3">
        <f t="shared" si="9"/>
        <v>3.4722222222222225E-3</v>
      </c>
      <c r="O38" s="3">
        <f t="shared" si="9"/>
        <v>2.7777777777777779E-3</v>
      </c>
      <c r="P38" s="3">
        <f t="shared" si="9"/>
        <v>6.9444444444444447E-4</v>
      </c>
      <c r="Q38" s="3">
        <f t="shared" si="9"/>
        <v>3.4722222222222225E-3</v>
      </c>
      <c r="R38" s="3">
        <f t="shared" si="9"/>
        <v>1.3888888888888889E-3</v>
      </c>
      <c r="S38" s="3">
        <f t="shared" si="9"/>
        <v>2.7777777777777779E-3</v>
      </c>
    </row>
    <row r="39" spans="2:19">
      <c r="B39" s="27" t="s">
        <v>54</v>
      </c>
      <c r="C39" s="3">
        <f t="shared" ref="C39:S39" si="10">CEILING(TIME(0,0,C16/$C$25),TIME(0,1,0))</f>
        <v>2.7777777777777779E-3</v>
      </c>
      <c r="D39" s="3">
        <f t="shared" si="10"/>
        <v>2.7777777777777779E-3</v>
      </c>
      <c r="E39" s="3">
        <f t="shared" si="10"/>
        <v>3.4722222222222225E-3</v>
      </c>
      <c r="F39" s="3">
        <f t="shared" si="10"/>
        <v>3.4722222222222225E-3</v>
      </c>
      <c r="G39" s="3">
        <f t="shared" si="10"/>
        <v>3.4722222222222225E-3</v>
      </c>
      <c r="H39" s="3">
        <f t="shared" si="10"/>
        <v>2.0833333333333333E-3</v>
      </c>
      <c r="I39" s="3">
        <f t="shared" si="10"/>
        <v>2.0833333333333333E-3</v>
      </c>
      <c r="J39" s="3">
        <f t="shared" si="10"/>
        <v>6.9444444444444447E-4</v>
      </c>
      <c r="K39" s="3">
        <f t="shared" si="10"/>
        <v>1.3888888888888889E-3</v>
      </c>
      <c r="L39" s="3">
        <f t="shared" si="10"/>
        <v>3.4722222222222225E-3</v>
      </c>
      <c r="M39" s="3">
        <f t="shared" si="10"/>
        <v>0</v>
      </c>
      <c r="N39" s="3">
        <f t="shared" si="10"/>
        <v>1.3888888888888889E-3</v>
      </c>
      <c r="O39" s="3">
        <f t="shared" si="10"/>
        <v>2.7777777777777779E-3</v>
      </c>
      <c r="P39" s="3">
        <f t="shared" si="10"/>
        <v>3.4722222222222225E-3</v>
      </c>
      <c r="Q39" s="3">
        <f t="shared" si="10"/>
        <v>0</v>
      </c>
      <c r="R39" s="3">
        <f t="shared" si="10"/>
        <v>3.4722222222222225E-3</v>
      </c>
      <c r="S39" s="3">
        <f t="shared" si="10"/>
        <v>2.7777777777777779E-3</v>
      </c>
    </row>
    <row r="40" spans="2:19">
      <c r="B40" s="27" t="s">
        <v>55</v>
      </c>
      <c r="C40" s="3">
        <f t="shared" ref="C40:S40" si="11">CEILING(TIME(0,0,C17/$C$25),TIME(0,1,0))</f>
        <v>3.4722222222222225E-3</v>
      </c>
      <c r="D40" s="3">
        <f t="shared" si="11"/>
        <v>3.4722222222222225E-3</v>
      </c>
      <c r="E40" s="3">
        <f t="shared" si="11"/>
        <v>3.4722222222222225E-3</v>
      </c>
      <c r="F40" s="3">
        <f t="shared" si="11"/>
        <v>3.4722222222222225E-3</v>
      </c>
      <c r="G40" s="3">
        <f t="shared" si="11"/>
        <v>3.4722222222222225E-3</v>
      </c>
      <c r="H40" s="3">
        <f t="shared" si="11"/>
        <v>1.3888888888888889E-3</v>
      </c>
      <c r="I40" s="3">
        <f t="shared" si="11"/>
        <v>1.3888888888888889E-3</v>
      </c>
      <c r="J40" s="3">
        <f t="shared" si="11"/>
        <v>1.3888888888888889E-3</v>
      </c>
      <c r="K40" s="3">
        <f t="shared" si="11"/>
        <v>2.0833333333333333E-3</v>
      </c>
      <c r="L40" s="3">
        <f t="shared" si="11"/>
        <v>3.4722222222222225E-3</v>
      </c>
      <c r="M40" s="3">
        <f t="shared" si="11"/>
        <v>1.3888888888888889E-3</v>
      </c>
      <c r="N40" s="3">
        <f t="shared" si="11"/>
        <v>0</v>
      </c>
      <c r="O40" s="3">
        <f t="shared" si="11"/>
        <v>2.0833333333333333E-3</v>
      </c>
      <c r="P40" s="3">
        <f t="shared" si="11"/>
        <v>3.4722222222222225E-3</v>
      </c>
      <c r="Q40" s="3">
        <f t="shared" si="11"/>
        <v>1.3888888888888889E-3</v>
      </c>
      <c r="R40" s="3">
        <f t="shared" si="11"/>
        <v>4.1666666666666666E-3</v>
      </c>
      <c r="S40" s="3">
        <f t="shared" si="11"/>
        <v>2.0833333333333333E-3</v>
      </c>
    </row>
    <row r="41" spans="2:19">
      <c r="B41" s="27" t="s">
        <v>20</v>
      </c>
      <c r="C41" s="3">
        <f t="shared" ref="C41:S41" si="12">CEILING(TIME(0,0,C18/$C$25),TIME(0,1,0))</f>
        <v>4.1666666666666666E-3</v>
      </c>
      <c r="D41" s="3">
        <f t="shared" si="12"/>
        <v>4.1666666666666666E-3</v>
      </c>
      <c r="E41" s="3">
        <f t="shared" si="12"/>
        <v>1.3888888888888889E-3</v>
      </c>
      <c r="F41" s="3">
        <f t="shared" si="12"/>
        <v>1.3888888888888889E-3</v>
      </c>
      <c r="G41" s="3">
        <f t="shared" si="12"/>
        <v>1.3888888888888889E-3</v>
      </c>
      <c r="H41" s="3">
        <f t="shared" si="12"/>
        <v>2.0833333333333333E-3</v>
      </c>
      <c r="I41" s="3">
        <f t="shared" si="12"/>
        <v>2.0833333333333333E-3</v>
      </c>
      <c r="J41" s="3">
        <f t="shared" si="12"/>
        <v>2.7777777777777779E-3</v>
      </c>
      <c r="K41" s="3">
        <f t="shared" si="12"/>
        <v>3.4722222222222225E-3</v>
      </c>
      <c r="L41" s="3">
        <f t="shared" si="12"/>
        <v>2.7777777777777779E-3</v>
      </c>
      <c r="M41" s="3">
        <f t="shared" si="12"/>
        <v>2.7777777777777779E-3</v>
      </c>
      <c r="N41" s="3">
        <f t="shared" si="12"/>
        <v>2.0833333333333333E-3</v>
      </c>
      <c r="O41" s="3">
        <f t="shared" si="12"/>
        <v>0</v>
      </c>
      <c r="P41" s="3">
        <f t="shared" si="12"/>
        <v>3.4722222222222225E-3</v>
      </c>
      <c r="Q41" s="3">
        <f t="shared" si="12"/>
        <v>2.7777777777777779E-3</v>
      </c>
      <c r="R41" s="3">
        <f t="shared" si="12"/>
        <v>2.0833333333333333E-3</v>
      </c>
      <c r="S41" s="3">
        <f t="shared" si="12"/>
        <v>0</v>
      </c>
    </row>
    <row r="42" spans="2:19">
      <c r="B42" s="27" t="s">
        <v>56</v>
      </c>
      <c r="C42" s="3">
        <f t="shared" ref="C42:S42" si="13">CEILING(TIME(0,0,C19/$C$25),TIME(0,1,0))</f>
        <v>2.0833333333333333E-3</v>
      </c>
      <c r="D42" s="3">
        <f t="shared" si="13"/>
        <v>2.0833333333333333E-3</v>
      </c>
      <c r="E42" s="3">
        <f t="shared" si="13"/>
        <v>2.0833333333333333E-3</v>
      </c>
      <c r="F42" s="3">
        <f t="shared" si="13"/>
        <v>2.0833333333333333E-3</v>
      </c>
      <c r="G42" s="3">
        <f t="shared" si="13"/>
        <v>2.0833333333333333E-3</v>
      </c>
      <c r="H42" s="3">
        <f t="shared" si="13"/>
        <v>4.1666666666666666E-3</v>
      </c>
      <c r="I42" s="3">
        <f t="shared" si="13"/>
        <v>4.1666666666666666E-3</v>
      </c>
      <c r="J42" s="3">
        <f t="shared" si="13"/>
        <v>2.7777777777777779E-3</v>
      </c>
      <c r="K42" s="3">
        <f t="shared" si="13"/>
        <v>1.3888888888888889E-3</v>
      </c>
      <c r="L42" s="3">
        <f t="shared" si="13"/>
        <v>6.9444444444444447E-4</v>
      </c>
      <c r="M42" s="3">
        <f t="shared" si="13"/>
        <v>3.4722222222222225E-3</v>
      </c>
      <c r="N42" s="3">
        <f t="shared" si="13"/>
        <v>3.4722222222222225E-3</v>
      </c>
      <c r="O42" s="3">
        <f t="shared" si="13"/>
        <v>3.4722222222222225E-3</v>
      </c>
      <c r="P42" s="3">
        <f t="shared" si="13"/>
        <v>0</v>
      </c>
      <c r="Q42" s="3">
        <f t="shared" si="13"/>
        <v>3.4722222222222225E-3</v>
      </c>
      <c r="R42" s="3">
        <f t="shared" si="13"/>
        <v>1.3888888888888889E-3</v>
      </c>
      <c r="S42" s="3">
        <f t="shared" si="13"/>
        <v>3.4722222222222225E-3</v>
      </c>
    </row>
    <row r="43" spans="2:19">
      <c r="B43" s="27" t="s">
        <v>18</v>
      </c>
      <c r="C43" s="3">
        <f t="shared" ref="C43:S43" si="14">CEILING(TIME(0,0,C20/$C$25),TIME(0,1,0))</f>
        <v>2.7777777777777779E-3</v>
      </c>
      <c r="D43" s="3">
        <f t="shared" si="14"/>
        <v>2.7777777777777779E-3</v>
      </c>
      <c r="E43" s="3">
        <f t="shared" si="14"/>
        <v>3.4722222222222225E-3</v>
      </c>
      <c r="F43" s="3">
        <f t="shared" si="14"/>
        <v>3.4722222222222225E-3</v>
      </c>
      <c r="G43" s="3">
        <f t="shared" si="14"/>
        <v>3.4722222222222225E-3</v>
      </c>
      <c r="H43" s="3">
        <f t="shared" si="14"/>
        <v>2.0833333333333333E-3</v>
      </c>
      <c r="I43" s="3">
        <f t="shared" si="14"/>
        <v>2.0833333333333333E-3</v>
      </c>
      <c r="J43" s="3">
        <f t="shared" si="14"/>
        <v>6.9444444444444447E-4</v>
      </c>
      <c r="K43" s="3">
        <f t="shared" si="14"/>
        <v>1.3888888888888889E-3</v>
      </c>
      <c r="L43" s="3">
        <f t="shared" si="14"/>
        <v>3.4722222222222225E-3</v>
      </c>
      <c r="M43" s="3">
        <f t="shared" si="14"/>
        <v>0</v>
      </c>
      <c r="N43" s="3">
        <f t="shared" si="14"/>
        <v>1.3888888888888889E-3</v>
      </c>
      <c r="O43" s="3">
        <f t="shared" si="14"/>
        <v>2.7777777777777779E-3</v>
      </c>
      <c r="P43" s="3">
        <f t="shared" si="14"/>
        <v>3.4722222222222225E-3</v>
      </c>
      <c r="Q43" s="3">
        <f t="shared" si="14"/>
        <v>0</v>
      </c>
      <c r="R43" s="3">
        <f t="shared" si="14"/>
        <v>3.4722222222222225E-3</v>
      </c>
      <c r="S43" s="3">
        <f t="shared" si="14"/>
        <v>2.7777777777777779E-3</v>
      </c>
    </row>
    <row r="44" spans="2:19">
      <c r="B44" s="27" t="s">
        <v>57</v>
      </c>
      <c r="C44" s="3">
        <f t="shared" ref="C44:S44" si="15">CEILING(TIME(0,0,C21/$C$25),TIME(0,1,0))</f>
        <v>2.7777777777777779E-3</v>
      </c>
      <c r="D44" s="3">
        <f t="shared" si="15"/>
        <v>2.7777777777777779E-3</v>
      </c>
      <c r="E44" s="3">
        <f t="shared" si="15"/>
        <v>1.3888888888888889E-3</v>
      </c>
      <c r="F44" s="3">
        <f t="shared" si="15"/>
        <v>1.3888888888888889E-3</v>
      </c>
      <c r="G44" s="3">
        <f t="shared" si="15"/>
        <v>1.3888888888888889E-3</v>
      </c>
      <c r="H44" s="3">
        <f t="shared" si="15"/>
        <v>3.4722222222222225E-3</v>
      </c>
      <c r="I44" s="3">
        <f t="shared" si="15"/>
        <v>3.4722222222222225E-3</v>
      </c>
      <c r="J44" s="3">
        <f t="shared" si="15"/>
        <v>3.4722222222222225E-3</v>
      </c>
      <c r="K44" s="3">
        <f t="shared" si="15"/>
        <v>2.7777777777777779E-3</v>
      </c>
      <c r="L44" s="3">
        <f t="shared" si="15"/>
        <v>1.3888888888888889E-3</v>
      </c>
      <c r="M44" s="3">
        <f t="shared" si="15"/>
        <v>3.4722222222222225E-3</v>
      </c>
      <c r="N44" s="3">
        <f t="shared" si="15"/>
        <v>4.1666666666666666E-3</v>
      </c>
      <c r="O44" s="3">
        <f t="shared" si="15"/>
        <v>2.0833333333333333E-3</v>
      </c>
      <c r="P44" s="3">
        <f t="shared" si="15"/>
        <v>1.3888888888888889E-3</v>
      </c>
      <c r="Q44" s="3">
        <f t="shared" si="15"/>
        <v>3.4722222222222225E-3</v>
      </c>
      <c r="R44" s="3">
        <f t="shared" si="15"/>
        <v>0</v>
      </c>
      <c r="S44" s="3">
        <f t="shared" si="15"/>
        <v>2.0833333333333333E-3</v>
      </c>
    </row>
    <row r="45" spans="2:19">
      <c r="B45" s="29" t="s">
        <v>58</v>
      </c>
      <c r="C45" s="3">
        <f t="shared" ref="C45:S45" si="16">CEILING(TIME(0,0,C22/$C$25),TIME(0,1,0))</f>
        <v>4.1666666666666666E-3</v>
      </c>
      <c r="D45" s="3">
        <f t="shared" si="16"/>
        <v>4.1666666666666666E-3</v>
      </c>
      <c r="E45" s="3">
        <f t="shared" si="16"/>
        <v>1.3888888888888889E-3</v>
      </c>
      <c r="F45" s="3">
        <f t="shared" si="16"/>
        <v>1.3888888888888889E-3</v>
      </c>
      <c r="G45" s="3">
        <f t="shared" si="16"/>
        <v>1.3888888888888889E-3</v>
      </c>
      <c r="H45" s="3">
        <f t="shared" si="16"/>
        <v>2.0833333333333333E-3</v>
      </c>
      <c r="I45" s="3">
        <f t="shared" si="16"/>
        <v>2.0833333333333333E-3</v>
      </c>
      <c r="J45" s="3">
        <f t="shared" si="16"/>
        <v>2.7777777777777779E-3</v>
      </c>
      <c r="K45" s="3">
        <f t="shared" si="16"/>
        <v>3.4722222222222225E-3</v>
      </c>
      <c r="L45" s="3">
        <f t="shared" si="16"/>
        <v>2.7777777777777779E-3</v>
      </c>
      <c r="M45" s="3">
        <f t="shared" si="16"/>
        <v>2.7777777777777779E-3</v>
      </c>
      <c r="N45" s="3">
        <f t="shared" si="16"/>
        <v>2.0833333333333333E-3</v>
      </c>
      <c r="O45" s="3">
        <f t="shared" si="16"/>
        <v>0</v>
      </c>
      <c r="P45" s="3">
        <f t="shared" si="16"/>
        <v>3.4722222222222225E-3</v>
      </c>
      <c r="Q45" s="3">
        <f t="shared" si="16"/>
        <v>2.7777777777777779E-3</v>
      </c>
      <c r="R45" s="3">
        <f t="shared" si="16"/>
        <v>2.0833333333333333E-3</v>
      </c>
      <c r="S45" s="3">
        <f t="shared" si="16"/>
        <v>0</v>
      </c>
    </row>
    <row r="47" spans="2:19">
      <c r="B47" s="8" t="s">
        <v>206</v>
      </c>
    </row>
    <row r="48" spans="2:19">
      <c r="B48" s="26" t="s">
        <v>207</v>
      </c>
      <c r="C48" s="45">
        <v>0.5</v>
      </c>
    </row>
    <row r="49" spans="2:19">
      <c r="B49" s="26" t="s">
        <v>204</v>
      </c>
      <c r="C49" s="70">
        <f>C48*C25</f>
        <v>0.7</v>
      </c>
      <c r="D49" s="25" t="s">
        <v>205</v>
      </c>
    </row>
    <row r="50" spans="2:19">
      <c r="B50" s="24"/>
    </row>
    <row r="51" spans="2:19">
      <c r="B51" s="8"/>
      <c r="C51" s="9" t="s">
        <v>83</v>
      </c>
      <c r="D51" s="23"/>
    </row>
    <row r="52" spans="2:19">
      <c r="B52" s="28" t="s">
        <v>46</v>
      </c>
      <c r="C52" s="32" t="s">
        <v>66</v>
      </c>
      <c r="D52" s="32" t="s">
        <v>69</v>
      </c>
      <c r="E52" s="32" t="s">
        <v>49</v>
      </c>
      <c r="F52" s="32" t="s">
        <v>12</v>
      </c>
      <c r="G52" s="32" t="s">
        <v>14</v>
      </c>
      <c r="H52" s="32" t="s">
        <v>50</v>
      </c>
      <c r="I52" s="32" t="s">
        <v>51</v>
      </c>
      <c r="J52" s="32" t="s">
        <v>52</v>
      </c>
      <c r="K52" s="32" t="s">
        <v>53</v>
      </c>
      <c r="L52" s="32" t="s">
        <v>16</v>
      </c>
      <c r="M52" s="32" t="s">
        <v>54</v>
      </c>
      <c r="N52" s="32" t="s">
        <v>55</v>
      </c>
      <c r="O52" s="32" t="s">
        <v>20</v>
      </c>
      <c r="P52" s="32" t="s">
        <v>56</v>
      </c>
      <c r="Q52" s="32" t="s">
        <v>18</v>
      </c>
      <c r="R52" s="32" t="s">
        <v>57</v>
      </c>
      <c r="S52" s="33" t="s">
        <v>58</v>
      </c>
    </row>
    <row r="53" spans="2:19">
      <c r="B53" s="27" t="s">
        <v>66</v>
      </c>
      <c r="C53" s="3">
        <f t="shared" ref="C53:S53" si="17">CEILING(TIME(0,0,C6/$C$49),TIME(0,1,0))</f>
        <v>0</v>
      </c>
      <c r="D53" s="3">
        <f t="shared" si="17"/>
        <v>0</v>
      </c>
      <c r="E53" s="3">
        <f t="shared" si="17"/>
        <v>6.2500000000000003E-3</v>
      </c>
      <c r="F53" s="3">
        <f t="shared" si="17"/>
        <v>6.9444444444444449E-3</v>
      </c>
      <c r="G53" s="3">
        <f t="shared" si="17"/>
        <v>6.9444444444444449E-3</v>
      </c>
      <c r="H53" s="3">
        <f t="shared" si="17"/>
        <v>7.6388888888888895E-3</v>
      </c>
      <c r="I53" s="3">
        <f t="shared" si="17"/>
        <v>7.6388888888888895E-3</v>
      </c>
      <c r="J53" s="3">
        <f t="shared" si="17"/>
        <v>4.8611111111111112E-3</v>
      </c>
      <c r="K53" s="3">
        <f t="shared" si="17"/>
        <v>3.4722222222222225E-3</v>
      </c>
      <c r="L53" s="3">
        <f t="shared" si="17"/>
        <v>4.1666666666666666E-3</v>
      </c>
      <c r="M53" s="3">
        <f t="shared" si="17"/>
        <v>5.5555555555555558E-3</v>
      </c>
      <c r="N53" s="3">
        <f t="shared" si="17"/>
        <v>6.9444444444444449E-3</v>
      </c>
      <c r="O53" s="3">
        <f t="shared" si="17"/>
        <v>8.3333333333333332E-3</v>
      </c>
      <c r="P53" s="3">
        <f t="shared" si="17"/>
        <v>3.4722222222222225E-3</v>
      </c>
      <c r="Q53" s="3">
        <f t="shared" si="17"/>
        <v>5.5555555555555558E-3</v>
      </c>
      <c r="R53" s="3">
        <f t="shared" si="17"/>
        <v>4.8611111111111112E-3</v>
      </c>
      <c r="S53" s="3">
        <f t="shared" si="17"/>
        <v>8.3333333333333332E-3</v>
      </c>
    </row>
    <row r="54" spans="2:19">
      <c r="B54" s="27" t="s">
        <v>69</v>
      </c>
      <c r="C54" s="3">
        <f t="shared" ref="C54:S54" si="18">CEILING(TIME(0,0,C7/$C$49),TIME(0,1,0))</f>
        <v>0</v>
      </c>
      <c r="D54" s="3">
        <f t="shared" si="18"/>
        <v>0</v>
      </c>
      <c r="E54" s="3">
        <f t="shared" si="18"/>
        <v>6.2500000000000003E-3</v>
      </c>
      <c r="F54" s="3">
        <f t="shared" si="18"/>
        <v>6.9444444444444449E-3</v>
      </c>
      <c r="G54" s="3">
        <f t="shared" si="18"/>
        <v>6.9444444444444449E-3</v>
      </c>
      <c r="H54" s="3">
        <f t="shared" si="18"/>
        <v>7.6388888888888895E-3</v>
      </c>
      <c r="I54" s="3">
        <f t="shared" si="18"/>
        <v>7.6388888888888895E-3</v>
      </c>
      <c r="J54" s="3">
        <f t="shared" si="18"/>
        <v>4.8611111111111112E-3</v>
      </c>
      <c r="K54" s="3">
        <f t="shared" si="18"/>
        <v>3.4722222222222225E-3</v>
      </c>
      <c r="L54" s="3">
        <f t="shared" si="18"/>
        <v>4.1666666666666666E-3</v>
      </c>
      <c r="M54" s="3">
        <f t="shared" si="18"/>
        <v>5.5555555555555558E-3</v>
      </c>
      <c r="N54" s="3">
        <f t="shared" si="18"/>
        <v>6.9444444444444449E-3</v>
      </c>
      <c r="O54" s="3">
        <f t="shared" si="18"/>
        <v>8.3333333333333332E-3</v>
      </c>
      <c r="P54" s="3">
        <f t="shared" si="18"/>
        <v>3.4722222222222225E-3</v>
      </c>
      <c r="Q54" s="3">
        <f t="shared" si="18"/>
        <v>5.5555555555555558E-3</v>
      </c>
      <c r="R54" s="3">
        <f t="shared" si="18"/>
        <v>4.8611111111111112E-3</v>
      </c>
      <c r="S54" s="3">
        <f t="shared" si="18"/>
        <v>8.3333333333333332E-3</v>
      </c>
    </row>
    <row r="55" spans="2:19">
      <c r="B55" s="27" t="s">
        <v>49</v>
      </c>
      <c r="C55" s="3">
        <f t="shared" ref="C55:S55" si="19">CEILING(TIME(0,0,C8/$C$49),TIME(0,1,0))</f>
        <v>6.2500000000000003E-3</v>
      </c>
      <c r="D55" s="3">
        <f t="shared" si="19"/>
        <v>6.2500000000000003E-3</v>
      </c>
      <c r="E55" s="3">
        <f t="shared" si="19"/>
        <v>0</v>
      </c>
      <c r="F55" s="3">
        <f t="shared" si="19"/>
        <v>1.3888888888888889E-3</v>
      </c>
      <c r="G55" s="3">
        <f t="shared" si="19"/>
        <v>1.3888888888888889E-3</v>
      </c>
      <c r="H55" s="3">
        <f t="shared" si="19"/>
        <v>5.5555555555555558E-3</v>
      </c>
      <c r="I55" s="3">
        <f t="shared" si="19"/>
        <v>5.5555555555555558E-3</v>
      </c>
      <c r="J55" s="3">
        <f t="shared" si="19"/>
        <v>6.2500000000000003E-3</v>
      </c>
      <c r="K55" s="3">
        <f t="shared" si="19"/>
        <v>4.8611111111111112E-3</v>
      </c>
      <c r="L55" s="3">
        <f t="shared" si="19"/>
        <v>2.7777777777777779E-3</v>
      </c>
      <c r="M55" s="3">
        <f t="shared" si="19"/>
        <v>6.9444444444444449E-3</v>
      </c>
      <c r="N55" s="3">
        <f t="shared" si="19"/>
        <v>6.2500000000000003E-3</v>
      </c>
      <c r="O55" s="3">
        <f t="shared" si="19"/>
        <v>2.7777777777777779E-3</v>
      </c>
      <c r="P55" s="3">
        <f t="shared" si="19"/>
        <v>3.4722222222222225E-3</v>
      </c>
      <c r="Q55" s="3">
        <f t="shared" si="19"/>
        <v>6.9444444444444449E-3</v>
      </c>
      <c r="R55" s="3">
        <f t="shared" si="19"/>
        <v>2.0833333333333333E-3</v>
      </c>
      <c r="S55" s="3">
        <f t="shared" si="19"/>
        <v>2.7777777777777779E-3</v>
      </c>
    </row>
    <row r="56" spans="2:19">
      <c r="B56" s="27" t="s">
        <v>12</v>
      </c>
      <c r="C56" s="3">
        <f t="shared" ref="C56:S56" si="20">CEILING(TIME(0,0,C9/$C$49),TIME(0,1,0))</f>
        <v>6.9444444444444449E-3</v>
      </c>
      <c r="D56" s="3">
        <f t="shared" si="20"/>
        <v>6.9444444444444449E-3</v>
      </c>
      <c r="E56" s="3">
        <f t="shared" si="20"/>
        <v>1.3888888888888889E-3</v>
      </c>
      <c r="F56" s="3">
        <f t="shared" si="20"/>
        <v>0</v>
      </c>
      <c r="G56" s="3">
        <f t="shared" si="20"/>
        <v>0</v>
      </c>
      <c r="H56" s="3">
        <f t="shared" si="20"/>
        <v>4.8611111111111112E-3</v>
      </c>
      <c r="I56" s="3">
        <f t="shared" si="20"/>
        <v>4.8611111111111112E-3</v>
      </c>
      <c r="J56" s="3">
        <f t="shared" si="20"/>
        <v>6.2500000000000003E-3</v>
      </c>
      <c r="K56" s="3">
        <f t="shared" si="20"/>
        <v>6.2500000000000003E-3</v>
      </c>
      <c r="L56" s="3">
        <f t="shared" si="20"/>
        <v>3.4722222222222225E-3</v>
      </c>
      <c r="M56" s="3">
        <f t="shared" si="20"/>
        <v>6.2500000000000003E-3</v>
      </c>
      <c r="N56" s="3">
        <f t="shared" si="20"/>
        <v>6.2500000000000003E-3</v>
      </c>
      <c r="O56" s="3">
        <f t="shared" si="20"/>
        <v>2.7777777777777779E-3</v>
      </c>
      <c r="P56" s="3">
        <f t="shared" si="20"/>
        <v>4.1666666666666666E-3</v>
      </c>
      <c r="Q56" s="3">
        <f t="shared" si="20"/>
        <v>6.2500000000000003E-3</v>
      </c>
      <c r="R56" s="3">
        <f t="shared" si="20"/>
        <v>2.7777777777777779E-3</v>
      </c>
      <c r="S56" s="3">
        <f t="shared" si="20"/>
        <v>2.7777777777777779E-3</v>
      </c>
    </row>
    <row r="57" spans="2:19">
      <c r="B57" s="27" t="s">
        <v>14</v>
      </c>
      <c r="C57" s="3">
        <f t="shared" ref="C57:S57" si="21">CEILING(TIME(0,0,C10/$C$49),TIME(0,1,0))</f>
        <v>6.9444444444444449E-3</v>
      </c>
      <c r="D57" s="3">
        <f t="shared" si="21"/>
        <v>6.9444444444444449E-3</v>
      </c>
      <c r="E57" s="3">
        <f t="shared" si="21"/>
        <v>1.3888888888888889E-3</v>
      </c>
      <c r="F57" s="3">
        <f t="shared" si="21"/>
        <v>0</v>
      </c>
      <c r="G57" s="3">
        <f t="shared" si="21"/>
        <v>0</v>
      </c>
      <c r="H57" s="3">
        <f t="shared" si="21"/>
        <v>4.8611111111111112E-3</v>
      </c>
      <c r="I57" s="3">
        <f t="shared" si="21"/>
        <v>4.8611111111111112E-3</v>
      </c>
      <c r="J57" s="3">
        <f t="shared" si="21"/>
        <v>6.2500000000000003E-3</v>
      </c>
      <c r="K57" s="3">
        <f t="shared" si="21"/>
        <v>6.2500000000000003E-3</v>
      </c>
      <c r="L57" s="3">
        <f t="shared" si="21"/>
        <v>3.4722222222222225E-3</v>
      </c>
      <c r="M57" s="3">
        <f t="shared" si="21"/>
        <v>6.2500000000000003E-3</v>
      </c>
      <c r="N57" s="3">
        <f t="shared" si="21"/>
        <v>6.2500000000000003E-3</v>
      </c>
      <c r="O57" s="3">
        <f t="shared" si="21"/>
        <v>2.7777777777777779E-3</v>
      </c>
      <c r="P57" s="3">
        <f t="shared" si="21"/>
        <v>4.1666666666666666E-3</v>
      </c>
      <c r="Q57" s="3">
        <f t="shared" si="21"/>
        <v>6.2500000000000003E-3</v>
      </c>
      <c r="R57" s="3">
        <f t="shared" si="21"/>
        <v>2.7777777777777779E-3</v>
      </c>
      <c r="S57" s="3">
        <f t="shared" si="21"/>
        <v>2.7777777777777779E-3</v>
      </c>
    </row>
    <row r="58" spans="2:19">
      <c r="B58" s="27" t="s">
        <v>50</v>
      </c>
      <c r="C58" s="3">
        <f t="shared" ref="C58:S58" si="22">CEILING(TIME(0,0,C11/$C$49),TIME(0,1,0))</f>
        <v>7.6388888888888895E-3</v>
      </c>
      <c r="D58" s="3">
        <f t="shared" si="22"/>
        <v>7.6388888888888895E-3</v>
      </c>
      <c r="E58" s="3">
        <f t="shared" si="22"/>
        <v>5.5555555555555558E-3</v>
      </c>
      <c r="F58" s="3">
        <f t="shared" si="22"/>
        <v>4.8611111111111112E-3</v>
      </c>
      <c r="G58" s="3">
        <f t="shared" si="22"/>
        <v>4.8611111111111112E-3</v>
      </c>
      <c r="H58" s="3">
        <f t="shared" si="22"/>
        <v>0</v>
      </c>
      <c r="I58" s="3">
        <f t="shared" si="22"/>
        <v>0</v>
      </c>
      <c r="J58" s="3">
        <f t="shared" si="22"/>
        <v>2.7777777777777779E-3</v>
      </c>
      <c r="K58" s="3">
        <f t="shared" si="22"/>
        <v>4.8611111111111112E-3</v>
      </c>
      <c r="L58" s="3">
        <f t="shared" si="22"/>
        <v>7.6388888888888895E-3</v>
      </c>
      <c r="M58" s="3">
        <f t="shared" si="22"/>
        <v>3.4722222222222225E-3</v>
      </c>
      <c r="N58" s="3">
        <f t="shared" si="22"/>
        <v>2.0833333333333333E-3</v>
      </c>
      <c r="O58" s="3">
        <f t="shared" si="22"/>
        <v>3.4722222222222225E-3</v>
      </c>
      <c r="P58" s="3">
        <f t="shared" si="22"/>
        <v>7.6388888888888895E-3</v>
      </c>
      <c r="Q58" s="3">
        <f t="shared" si="22"/>
        <v>3.4722222222222225E-3</v>
      </c>
      <c r="R58" s="3">
        <f t="shared" si="22"/>
        <v>6.9444444444444449E-3</v>
      </c>
      <c r="S58" s="3">
        <f t="shared" si="22"/>
        <v>3.4722222222222225E-3</v>
      </c>
    </row>
    <row r="59" spans="2:19">
      <c r="B59" s="27" t="s">
        <v>51</v>
      </c>
      <c r="C59" s="3">
        <f t="shared" ref="C59:S59" si="23">CEILING(TIME(0,0,C12/$C$49),TIME(0,1,0))</f>
        <v>7.6388888888888895E-3</v>
      </c>
      <c r="D59" s="3">
        <f t="shared" si="23"/>
        <v>7.6388888888888895E-3</v>
      </c>
      <c r="E59" s="3">
        <f t="shared" si="23"/>
        <v>5.5555555555555558E-3</v>
      </c>
      <c r="F59" s="3">
        <f t="shared" si="23"/>
        <v>4.8611111111111112E-3</v>
      </c>
      <c r="G59" s="3">
        <f t="shared" si="23"/>
        <v>4.8611111111111112E-3</v>
      </c>
      <c r="H59" s="3">
        <f t="shared" si="23"/>
        <v>0</v>
      </c>
      <c r="I59" s="3">
        <f t="shared" si="23"/>
        <v>0</v>
      </c>
      <c r="J59" s="3">
        <f t="shared" si="23"/>
        <v>2.7777777777777779E-3</v>
      </c>
      <c r="K59" s="3">
        <f t="shared" si="23"/>
        <v>4.8611111111111112E-3</v>
      </c>
      <c r="L59" s="3">
        <f t="shared" si="23"/>
        <v>7.6388888888888895E-3</v>
      </c>
      <c r="M59" s="3">
        <f t="shared" si="23"/>
        <v>3.4722222222222225E-3</v>
      </c>
      <c r="N59" s="3">
        <f t="shared" si="23"/>
        <v>2.0833333333333333E-3</v>
      </c>
      <c r="O59" s="3">
        <f t="shared" si="23"/>
        <v>3.4722222222222225E-3</v>
      </c>
      <c r="P59" s="3">
        <f t="shared" si="23"/>
        <v>7.6388888888888895E-3</v>
      </c>
      <c r="Q59" s="3">
        <f t="shared" si="23"/>
        <v>3.4722222222222225E-3</v>
      </c>
      <c r="R59" s="3">
        <f t="shared" si="23"/>
        <v>6.9444444444444449E-3</v>
      </c>
      <c r="S59" s="3">
        <f t="shared" si="23"/>
        <v>3.4722222222222225E-3</v>
      </c>
    </row>
    <row r="60" spans="2:19">
      <c r="B60" s="27" t="s">
        <v>52</v>
      </c>
      <c r="C60" s="3">
        <f t="shared" ref="C60:S60" si="24">CEILING(TIME(0,0,C13/$C$49),TIME(0,1,0))</f>
        <v>4.8611111111111112E-3</v>
      </c>
      <c r="D60" s="3">
        <f t="shared" si="24"/>
        <v>4.8611111111111112E-3</v>
      </c>
      <c r="E60" s="3">
        <f t="shared" si="24"/>
        <v>6.2500000000000003E-3</v>
      </c>
      <c r="F60" s="3">
        <f t="shared" si="24"/>
        <v>6.2500000000000003E-3</v>
      </c>
      <c r="G60" s="3">
        <f t="shared" si="24"/>
        <v>6.2500000000000003E-3</v>
      </c>
      <c r="H60" s="3">
        <f t="shared" si="24"/>
        <v>2.7777777777777779E-3</v>
      </c>
      <c r="I60" s="3">
        <f t="shared" si="24"/>
        <v>2.7777777777777779E-3</v>
      </c>
      <c r="J60" s="3">
        <f t="shared" si="24"/>
        <v>0</v>
      </c>
      <c r="K60" s="3">
        <f t="shared" si="24"/>
        <v>2.0833333333333333E-3</v>
      </c>
      <c r="L60" s="3">
        <f t="shared" si="24"/>
        <v>4.8611111111111112E-3</v>
      </c>
      <c r="M60" s="3">
        <f t="shared" si="24"/>
        <v>6.9444444444444447E-4</v>
      </c>
      <c r="N60" s="3">
        <f t="shared" si="24"/>
        <v>2.7777777777777779E-3</v>
      </c>
      <c r="O60" s="3">
        <f t="shared" si="24"/>
        <v>4.8611111111111112E-3</v>
      </c>
      <c r="P60" s="3">
        <f t="shared" si="24"/>
        <v>4.8611111111111112E-3</v>
      </c>
      <c r="Q60" s="3">
        <f t="shared" si="24"/>
        <v>6.9444444444444447E-4</v>
      </c>
      <c r="R60" s="3">
        <f t="shared" si="24"/>
        <v>6.2500000000000003E-3</v>
      </c>
      <c r="S60" s="3">
        <f t="shared" si="24"/>
        <v>4.8611111111111112E-3</v>
      </c>
    </row>
    <row r="61" spans="2:19">
      <c r="B61" s="27" t="s">
        <v>53</v>
      </c>
      <c r="C61" s="3">
        <f t="shared" ref="C61:S61" si="25">CEILING(TIME(0,0,C14/$C$49),TIME(0,1,0))</f>
        <v>3.4722222222222225E-3</v>
      </c>
      <c r="D61" s="3">
        <f t="shared" si="25"/>
        <v>3.4722222222222225E-3</v>
      </c>
      <c r="E61" s="3">
        <f t="shared" si="25"/>
        <v>4.8611111111111112E-3</v>
      </c>
      <c r="F61" s="3">
        <f t="shared" si="25"/>
        <v>6.2500000000000003E-3</v>
      </c>
      <c r="G61" s="3">
        <f t="shared" si="25"/>
        <v>6.2500000000000003E-3</v>
      </c>
      <c r="H61" s="3">
        <f t="shared" si="25"/>
        <v>4.8611111111111112E-3</v>
      </c>
      <c r="I61" s="3">
        <f t="shared" si="25"/>
        <v>4.8611111111111112E-3</v>
      </c>
      <c r="J61" s="3">
        <f t="shared" si="25"/>
        <v>2.0833333333333333E-3</v>
      </c>
      <c r="K61" s="3">
        <f t="shared" si="25"/>
        <v>0</v>
      </c>
      <c r="L61" s="3">
        <f t="shared" si="25"/>
        <v>3.4722222222222225E-3</v>
      </c>
      <c r="M61" s="3">
        <f t="shared" si="25"/>
        <v>2.7777777777777779E-3</v>
      </c>
      <c r="N61" s="3">
        <f t="shared" si="25"/>
        <v>4.1666666666666666E-3</v>
      </c>
      <c r="O61" s="3">
        <f t="shared" si="25"/>
        <v>6.2500000000000003E-3</v>
      </c>
      <c r="P61" s="3">
        <f t="shared" si="25"/>
        <v>2.7777777777777779E-3</v>
      </c>
      <c r="Q61" s="3">
        <f t="shared" si="25"/>
        <v>2.7777777777777779E-3</v>
      </c>
      <c r="R61" s="3">
        <f t="shared" si="25"/>
        <v>4.8611111111111112E-3</v>
      </c>
      <c r="S61" s="3">
        <f t="shared" si="25"/>
        <v>6.2500000000000003E-3</v>
      </c>
    </row>
    <row r="62" spans="2:19">
      <c r="B62" s="27" t="s">
        <v>16</v>
      </c>
      <c r="C62" s="3">
        <f t="shared" ref="C62:S62" si="26">CEILING(TIME(0,0,C15/$C$49),TIME(0,1,0))</f>
        <v>4.1666666666666666E-3</v>
      </c>
      <c r="D62" s="3">
        <f t="shared" si="26"/>
        <v>4.1666666666666666E-3</v>
      </c>
      <c r="E62" s="3">
        <f t="shared" si="26"/>
        <v>2.7777777777777779E-3</v>
      </c>
      <c r="F62" s="3">
        <f t="shared" si="26"/>
        <v>3.4722222222222225E-3</v>
      </c>
      <c r="G62" s="3">
        <f t="shared" si="26"/>
        <v>3.4722222222222225E-3</v>
      </c>
      <c r="H62" s="3">
        <f t="shared" si="26"/>
        <v>7.6388888888888895E-3</v>
      </c>
      <c r="I62" s="3">
        <f t="shared" si="26"/>
        <v>7.6388888888888895E-3</v>
      </c>
      <c r="J62" s="3">
        <f t="shared" si="26"/>
        <v>4.8611111111111112E-3</v>
      </c>
      <c r="K62" s="3">
        <f t="shared" si="26"/>
        <v>3.4722222222222225E-3</v>
      </c>
      <c r="L62" s="3">
        <f t="shared" si="26"/>
        <v>0</v>
      </c>
      <c r="M62" s="3">
        <f t="shared" si="26"/>
        <v>6.2500000000000003E-3</v>
      </c>
      <c r="N62" s="3">
        <f t="shared" si="26"/>
        <v>6.9444444444444449E-3</v>
      </c>
      <c r="O62" s="3">
        <f t="shared" si="26"/>
        <v>5.5555555555555558E-3</v>
      </c>
      <c r="P62" s="3">
        <f t="shared" si="26"/>
        <v>6.9444444444444447E-4</v>
      </c>
      <c r="Q62" s="3">
        <f t="shared" si="26"/>
        <v>6.2500000000000003E-3</v>
      </c>
      <c r="R62" s="3">
        <f t="shared" si="26"/>
        <v>2.0833333333333333E-3</v>
      </c>
      <c r="S62" s="3">
        <f t="shared" si="26"/>
        <v>5.5555555555555558E-3</v>
      </c>
    </row>
    <row r="63" spans="2:19">
      <c r="B63" s="27" t="s">
        <v>54</v>
      </c>
      <c r="C63" s="3">
        <f t="shared" ref="C63:S63" si="27">CEILING(TIME(0,0,C16/$C$49),TIME(0,1,0))</f>
        <v>5.5555555555555558E-3</v>
      </c>
      <c r="D63" s="3">
        <f t="shared" si="27"/>
        <v>5.5555555555555558E-3</v>
      </c>
      <c r="E63" s="3">
        <f t="shared" si="27"/>
        <v>6.9444444444444449E-3</v>
      </c>
      <c r="F63" s="3">
        <f t="shared" si="27"/>
        <v>6.2500000000000003E-3</v>
      </c>
      <c r="G63" s="3">
        <f t="shared" si="27"/>
        <v>6.2500000000000003E-3</v>
      </c>
      <c r="H63" s="3">
        <f t="shared" si="27"/>
        <v>3.4722222222222225E-3</v>
      </c>
      <c r="I63" s="3">
        <f t="shared" si="27"/>
        <v>3.4722222222222225E-3</v>
      </c>
      <c r="J63" s="3">
        <f t="shared" si="27"/>
        <v>6.9444444444444447E-4</v>
      </c>
      <c r="K63" s="3">
        <f t="shared" si="27"/>
        <v>2.7777777777777779E-3</v>
      </c>
      <c r="L63" s="3">
        <f t="shared" si="27"/>
        <v>6.2500000000000003E-3</v>
      </c>
      <c r="M63" s="3">
        <f t="shared" si="27"/>
        <v>0</v>
      </c>
      <c r="N63" s="3">
        <f t="shared" si="27"/>
        <v>2.7777777777777779E-3</v>
      </c>
      <c r="O63" s="3">
        <f t="shared" si="27"/>
        <v>4.8611111111111112E-3</v>
      </c>
      <c r="P63" s="3">
        <f t="shared" si="27"/>
        <v>6.2500000000000003E-3</v>
      </c>
      <c r="Q63" s="3">
        <f t="shared" si="27"/>
        <v>0</v>
      </c>
      <c r="R63" s="3">
        <f t="shared" si="27"/>
        <v>6.9444444444444449E-3</v>
      </c>
      <c r="S63" s="3">
        <f t="shared" si="27"/>
        <v>4.8611111111111112E-3</v>
      </c>
    </row>
    <row r="64" spans="2:19">
      <c r="B64" s="27" t="s">
        <v>55</v>
      </c>
      <c r="C64" s="3">
        <f t="shared" ref="C64:S64" si="28">CEILING(TIME(0,0,C17/$C$49),TIME(0,1,0))</f>
        <v>6.9444444444444449E-3</v>
      </c>
      <c r="D64" s="3">
        <f t="shared" si="28"/>
        <v>6.9444444444444449E-3</v>
      </c>
      <c r="E64" s="3">
        <f t="shared" si="28"/>
        <v>6.2500000000000003E-3</v>
      </c>
      <c r="F64" s="3">
        <f t="shared" si="28"/>
        <v>6.2500000000000003E-3</v>
      </c>
      <c r="G64" s="3">
        <f t="shared" si="28"/>
        <v>6.2500000000000003E-3</v>
      </c>
      <c r="H64" s="3">
        <f t="shared" si="28"/>
        <v>2.0833333333333333E-3</v>
      </c>
      <c r="I64" s="3">
        <f t="shared" si="28"/>
        <v>2.0833333333333333E-3</v>
      </c>
      <c r="J64" s="3">
        <f t="shared" si="28"/>
        <v>2.7777777777777779E-3</v>
      </c>
      <c r="K64" s="3">
        <f t="shared" si="28"/>
        <v>4.1666666666666666E-3</v>
      </c>
      <c r="L64" s="3">
        <f t="shared" si="28"/>
        <v>6.9444444444444449E-3</v>
      </c>
      <c r="M64" s="3">
        <f t="shared" si="28"/>
        <v>2.7777777777777779E-3</v>
      </c>
      <c r="N64" s="3">
        <f t="shared" si="28"/>
        <v>0</v>
      </c>
      <c r="O64" s="3">
        <f t="shared" si="28"/>
        <v>4.1666666666666666E-3</v>
      </c>
      <c r="P64" s="3">
        <f t="shared" si="28"/>
        <v>6.9444444444444449E-3</v>
      </c>
      <c r="Q64" s="3">
        <f t="shared" si="28"/>
        <v>2.7777777777777779E-3</v>
      </c>
      <c r="R64" s="3">
        <f t="shared" si="28"/>
        <v>7.6388888888888895E-3</v>
      </c>
      <c r="S64" s="3">
        <f t="shared" si="28"/>
        <v>4.1666666666666666E-3</v>
      </c>
    </row>
    <row r="65" spans="2:19">
      <c r="B65" s="27" t="s">
        <v>20</v>
      </c>
      <c r="C65" s="3">
        <f t="shared" ref="C65:S65" si="29">CEILING(TIME(0,0,C18/$C$49),TIME(0,1,0))</f>
        <v>8.3333333333333332E-3</v>
      </c>
      <c r="D65" s="3">
        <f t="shared" si="29"/>
        <v>8.3333333333333332E-3</v>
      </c>
      <c r="E65" s="3">
        <f t="shared" si="29"/>
        <v>2.7777777777777779E-3</v>
      </c>
      <c r="F65" s="3">
        <f t="shared" si="29"/>
        <v>2.7777777777777779E-3</v>
      </c>
      <c r="G65" s="3">
        <f t="shared" si="29"/>
        <v>2.7777777777777779E-3</v>
      </c>
      <c r="H65" s="3">
        <f t="shared" si="29"/>
        <v>3.4722222222222225E-3</v>
      </c>
      <c r="I65" s="3">
        <f t="shared" si="29"/>
        <v>3.4722222222222225E-3</v>
      </c>
      <c r="J65" s="3">
        <f t="shared" si="29"/>
        <v>4.8611111111111112E-3</v>
      </c>
      <c r="K65" s="3">
        <f t="shared" si="29"/>
        <v>6.2500000000000003E-3</v>
      </c>
      <c r="L65" s="3">
        <f t="shared" si="29"/>
        <v>5.5555555555555558E-3</v>
      </c>
      <c r="M65" s="3">
        <f t="shared" si="29"/>
        <v>4.8611111111111112E-3</v>
      </c>
      <c r="N65" s="3">
        <f t="shared" si="29"/>
        <v>4.1666666666666666E-3</v>
      </c>
      <c r="O65" s="3">
        <f t="shared" si="29"/>
        <v>0</v>
      </c>
      <c r="P65" s="3">
        <f t="shared" si="29"/>
        <v>6.2500000000000003E-3</v>
      </c>
      <c r="Q65" s="3">
        <f t="shared" si="29"/>
        <v>4.8611111111111112E-3</v>
      </c>
      <c r="R65" s="3">
        <f t="shared" si="29"/>
        <v>4.1666666666666666E-3</v>
      </c>
      <c r="S65" s="3">
        <f t="shared" si="29"/>
        <v>0</v>
      </c>
    </row>
    <row r="66" spans="2:19">
      <c r="B66" s="27" t="s">
        <v>56</v>
      </c>
      <c r="C66" s="3">
        <f t="shared" ref="C66:S66" si="30">CEILING(TIME(0,0,C19/$C$49),TIME(0,1,0))</f>
        <v>3.4722222222222225E-3</v>
      </c>
      <c r="D66" s="3">
        <f t="shared" si="30"/>
        <v>3.4722222222222225E-3</v>
      </c>
      <c r="E66" s="3">
        <f t="shared" si="30"/>
        <v>3.4722222222222225E-3</v>
      </c>
      <c r="F66" s="3">
        <f t="shared" si="30"/>
        <v>4.1666666666666666E-3</v>
      </c>
      <c r="G66" s="3">
        <f t="shared" si="30"/>
        <v>4.1666666666666666E-3</v>
      </c>
      <c r="H66" s="3">
        <f t="shared" si="30"/>
        <v>7.6388888888888895E-3</v>
      </c>
      <c r="I66" s="3">
        <f t="shared" si="30"/>
        <v>7.6388888888888895E-3</v>
      </c>
      <c r="J66" s="3">
        <f t="shared" si="30"/>
        <v>4.8611111111111112E-3</v>
      </c>
      <c r="K66" s="3">
        <f t="shared" si="30"/>
        <v>2.7777777777777779E-3</v>
      </c>
      <c r="L66" s="3">
        <f t="shared" si="30"/>
        <v>6.9444444444444447E-4</v>
      </c>
      <c r="M66" s="3">
        <f t="shared" si="30"/>
        <v>6.2500000000000003E-3</v>
      </c>
      <c r="N66" s="3">
        <f t="shared" si="30"/>
        <v>6.9444444444444449E-3</v>
      </c>
      <c r="O66" s="3">
        <f t="shared" si="30"/>
        <v>6.2500000000000003E-3</v>
      </c>
      <c r="P66" s="3">
        <f t="shared" si="30"/>
        <v>0</v>
      </c>
      <c r="Q66" s="3">
        <f t="shared" si="30"/>
        <v>6.2500000000000003E-3</v>
      </c>
      <c r="R66" s="3">
        <f t="shared" si="30"/>
        <v>2.0833333333333333E-3</v>
      </c>
      <c r="S66" s="3">
        <f t="shared" si="30"/>
        <v>6.2500000000000003E-3</v>
      </c>
    </row>
    <row r="67" spans="2:19">
      <c r="B67" s="27" t="s">
        <v>18</v>
      </c>
      <c r="C67" s="3">
        <f t="shared" ref="C67:S67" si="31">CEILING(TIME(0,0,C20/$C$49),TIME(0,1,0))</f>
        <v>5.5555555555555558E-3</v>
      </c>
      <c r="D67" s="3">
        <f t="shared" si="31"/>
        <v>5.5555555555555558E-3</v>
      </c>
      <c r="E67" s="3">
        <f t="shared" si="31"/>
        <v>6.9444444444444449E-3</v>
      </c>
      <c r="F67" s="3">
        <f t="shared" si="31"/>
        <v>6.2500000000000003E-3</v>
      </c>
      <c r="G67" s="3">
        <f t="shared" si="31"/>
        <v>6.2500000000000003E-3</v>
      </c>
      <c r="H67" s="3">
        <f t="shared" si="31"/>
        <v>3.4722222222222225E-3</v>
      </c>
      <c r="I67" s="3">
        <f t="shared" si="31"/>
        <v>3.4722222222222225E-3</v>
      </c>
      <c r="J67" s="3">
        <f t="shared" si="31"/>
        <v>6.9444444444444447E-4</v>
      </c>
      <c r="K67" s="3">
        <f t="shared" si="31"/>
        <v>2.7777777777777779E-3</v>
      </c>
      <c r="L67" s="3">
        <f t="shared" si="31"/>
        <v>6.2500000000000003E-3</v>
      </c>
      <c r="M67" s="3">
        <f t="shared" si="31"/>
        <v>0</v>
      </c>
      <c r="N67" s="3">
        <f t="shared" si="31"/>
        <v>2.7777777777777779E-3</v>
      </c>
      <c r="O67" s="3">
        <f t="shared" si="31"/>
        <v>4.8611111111111112E-3</v>
      </c>
      <c r="P67" s="3">
        <f t="shared" si="31"/>
        <v>6.2500000000000003E-3</v>
      </c>
      <c r="Q67" s="3">
        <f t="shared" si="31"/>
        <v>0</v>
      </c>
      <c r="R67" s="3">
        <f t="shared" si="31"/>
        <v>6.9444444444444449E-3</v>
      </c>
      <c r="S67" s="3">
        <f t="shared" si="31"/>
        <v>4.8611111111111112E-3</v>
      </c>
    </row>
    <row r="68" spans="2:19">
      <c r="B68" s="27" t="s">
        <v>57</v>
      </c>
      <c r="C68" s="3">
        <f t="shared" ref="C68:S68" si="32">CEILING(TIME(0,0,C21/$C$49),TIME(0,1,0))</f>
        <v>4.8611111111111112E-3</v>
      </c>
      <c r="D68" s="3">
        <f t="shared" si="32"/>
        <v>4.8611111111111112E-3</v>
      </c>
      <c r="E68" s="3">
        <f t="shared" si="32"/>
        <v>2.0833333333333333E-3</v>
      </c>
      <c r="F68" s="3">
        <f t="shared" si="32"/>
        <v>2.7777777777777779E-3</v>
      </c>
      <c r="G68" s="3">
        <f t="shared" si="32"/>
        <v>2.7777777777777779E-3</v>
      </c>
      <c r="H68" s="3">
        <f t="shared" si="32"/>
        <v>6.9444444444444449E-3</v>
      </c>
      <c r="I68" s="3">
        <f t="shared" si="32"/>
        <v>6.9444444444444449E-3</v>
      </c>
      <c r="J68" s="3">
        <f t="shared" si="32"/>
        <v>6.2500000000000003E-3</v>
      </c>
      <c r="K68" s="3">
        <f t="shared" si="32"/>
        <v>4.8611111111111112E-3</v>
      </c>
      <c r="L68" s="3">
        <f t="shared" si="32"/>
        <v>2.0833333333333333E-3</v>
      </c>
      <c r="M68" s="3">
        <f t="shared" si="32"/>
        <v>6.9444444444444449E-3</v>
      </c>
      <c r="N68" s="3">
        <f t="shared" si="32"/>
        <v>7.6388888888888895E-3</v>
      </c>
      <c r="O68" s="3">
        <f t="shared" si="32"/>
        <v>4.1666666666666666E-3</v>
      </c>
      <c r="P68" s="3">
        <f t="shared" si="32"/>
        <v>2.0833333333333333E-3</v>
      </c>
      <c r="Q68" s="3">
        <f t="shared" si="32"/>
        <v>6.9444444444444449E-3</v>
      </c>
      <c r="R68" s="3">
        <f t="shared" si="32"/>
        <v>0</v>
      </c>
      <c r="S68" s="3">
        <f t="shared" si="32"/>
        <v>4.1666666666666666E-3</v>
      </c>
    </row>
    <row r="69" spans="2:19">
      <c r="B69" s="29" t="s">
        <v>58</v>
      </c>
      <c r="C69" s="3">
        <f t="shared" ref="C69:S69" si="33">CEILING(TIME(0,0,C22/$C$49),TIME(0,1,0))</f>
        <v>8.3333333333333332E-3</v>
      </c>
      <c r="D69" s="3">
        <f t="shared" si="33"/>
        <v>8.3333333333333332E-3</v>
      </c>
      <c r="E69" s="3">
        <f t="shared" si="33"/>
        <v>2.7777777777777779E-3</v>
      </c>
      <c r="F69" s="3">
        <f t="shared" si="33"/>
        <v>2.7777777777777779E-3</v>
      </c>
      <c r="G69" s="3">
        <f t="shared" si="33"/>
        <v>2.7777777777777779E-3</v>
      </c>
      <c r="H69" s="3">
        <f t="shared" si="33"/>
        <v>3.4722222222222225E-3</v>
      </c>
      <c r="I69" s="3">
        <f t="shared" si="33"/>
        <v>3.4722222222222225E-3</v>
      </c>
      <c r="J69" s="3">
        <f t="shared" si="33"/>
        <v>4.8611111111111112E-3</v>
      </c>
      <c r="K69" s="3">
        <f t="shared" si="33"/>
        <v>6.2500000000000003E-3</v>
      </c>
      <c r="L69" s="3">
        <f t="shared" si="33"/>
        <v>5.5555555555555558E-3</v>
      </c>
      <c r="M69" s="3">
        <f t="shared" si="33"/>
        <v>4.8611111111111112E-3</v>
      </c>
      <c r="N69" s="3">
        <f t="shared" si="33"/>
        <v>4.1666666666666666E-3</v>
      </c>
      <c r="O69" s="3">
        <f t="shared" si="33"/>
        <v>0</v>
      </c>
      <c r="P69" s="3">
        <f t="shared" si="33"/>
        <v>6.2500000000000003E-3</v>
      </c>
      <c r="Q69" s="3">
        <f t="shared" si="33"/>
        <v>4.8611111111111112E-3</v>
      </c>
      <c r="R69" s="3">
        <f t="shared" si="33"/>
        <v>4.1666666666666666E-3</v>
      </c>
      <c r="S69" s="3">
        <f t="shared" si="33"/>
        <v>0</v>
      </c>
    </row>
    <row r="71" spans="2:19">
      <c r="B71" s="8" t="s">
        <v>180</v>
      </c>
    </row>
    <row r="72" spans="2:19">
      <c r="B72" s="7" t="s">
        <v>208</v>
      </c>
    </row>
    <row r="73" spans="2:19">
      <c r="B73" s="7" t="s">
        <v>209</v>
      </c>
    </row>
    <row r="74" spans="2:19">
      <c r="B74" s="7" t="s">
        <v>210</v>
      </c>
    </row>
  </sheetData>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F8505459A0FE241A1F83FC1F853E57D" ma:contentTypeVersion="8" ma:contentTypeDescription="Create a new document." ma:contentTypeScope="" ma:versionID="397e115772a895676a15455f0d0c4271">
  <xsd:schema xmlns:xsd="http://www.w3.org/2001/XMLSchema" xmlns:xs="http://www.w3.org/2001/XMLSchema" xmlns:p="http://schemas.microsoft.com/office/2006/metadata/properties" xmlns:ns2="e8a9f7b8-4420-4e72-a2dd-075257488e16" xmlns:ns3="d84baf9c-f99c-4e0e-8dee-956d99416ba7" targetNamespace="http://schemas.microsoft.com/office/2006/metadata/properties" ma:root="true" ma:fieldsID="a4e0766bf113e31586cbe76e3a1bfc9e" ns2:_="" ns3:_="">
    <xsd:import namespace="e8a9f7b8-4420-4e72-a2dd-075257488e16"/>
    <xsd:import namespace="d84baf9c-f99c-4e0e-8dee-956d99416ba7"/>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GenerationTime" minOccurs="0"/>
                <xsd:element ref="ns2:MediaServiceEventHashCode"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8a9f7b8-4420-4e72-a2dd-075257488e1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Image Tags" ma:readOnly="false" ma:fieldId="{5cf76f15-5ced-4ddc-b409-7134ff3c332f}" ma:taxonomyMulti="true" ma:sspId="deec61d7-21c4-46ea-8069-5c692c33a4c8" ma:termSetId="09814cd3-568e-fe90-9814-8d621ff8fb84" ma:anchorId="fba54fb3-c3e1-fe81-a776-ca4b69148c4d" ma:open="true" ma:isKeyword="false">
      <xsd:complexType>
        <xsd:sequence>
          <xsd:element ref="pc:Terms" minOccurs="0" maxOccurs="1"/>
        </xsd:sequence>
      </xsd:complex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d84baf9c-f99c-4e0e-8dee-956d99416ba7"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ad228b4f-f9db-4bbd-82dc-f67e635d5152}" ma:internalName="TaxCatchAll" ma:showField="CatchAllData" ma:web="d84baf9c-f99c-4e0e-8dee-956d99416ba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e8a9f7b8-4420-4e72-a2dd-075257488e16">
      <Terms xmlns="http://schemas.microsoft.com/office/infopath/2007/PartnerControls"/>
    </lcf76f155ced4ddcb4097134ff3c332f>
    <TaxCatchAll xmlns="d84baf9c-f99c-4e0e-8dee-956d99416ba7" xsi:nil="true"/>
  </documentManagement>
</p:properties>
</file>

<file path=customXml/item4.xml>�� 
</file>

<file path=customXml/itemProps1.xml><?xml version="1.0" encoding="utf-8"?>
<ds:datastoreItem xmlns:ds="http://schemas.openxmlformats.org/officeDocument/2006/customXml" ds:itemID="{99CDBE84-1229-4C68-9FD9-D4B1EBF0D92F}">
  <ds:schemaRefs>
    <ds:schemaRef ds:uri="http://schemas.microsoft.com/sharepoint/v3/contenttype/forms"/>
  </ds:schemaRefs>
</ds:datastoreItem>
</file>

<file path=customXml/itemProps2.xml><?xml version="1.0" encoding="utf-8"?>
<ds:datastoreItem xmlns:ds="http://schemas.openxmlformats.org/officeDocument/2006/customXml" ds:itemID="{94F1A778-E14B-4830-859A-0766392347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8a9f7b8-4420-4e72-a2dd-075257488e16"/>
    <ds:schemaRef ds:uri="d84baf9c-f99c-4e0e-8dee-956d99416ba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54BDD53-3ECE-4F9F-BBB9-DDEA60ECD6B8}">
  <ds:schemaRefs>
    <ds:schemaRef ds:uri="http://schemas.microsoft.com/office/2006/metadata/properties"/>
    <ds:schemaRef ds:uri="http://schemas.microsoft.com/office/infopath/2007/PartnerControls"/>
    <ds:schemaRef ds:uri="e8a9f7b8-4420-4e72-a2dd-075257488e16"/>
    <ds:schemaRef ds:uri="d84baf9c-f99c-4e0e-8dee-956d99416ba7"/>
  </ds:schemaRefs>
</ds:datastoreItem>
</file>

<file path=customXml/itemProps4.xml><?xml version="1.0" encoding="utf-8"?>
<ds:datastoreItem xmlns:ds="http://schemas.openxmlformats.org/officeDocument/2006/customXml" ds:itemID="{7A98358B-D687-419B-9416-9954F000517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Welcome</vt:lpstr>
      <vt:lpstr>UI (High-Lvl)</vt:lpstr>
      <vt:lpstr>UI Validation (High-Lvl)</vt:lpstr>
      <vt:lpstr>Schedule (High-Lvl)</vt:lpstr>
      <vt:lpstr>UI (Detailed)</vt:lpstr>
      <vt:lpstr>UI Validation (Detailed)</vt:lpstr>
      <vt:lpstr>Schedule (Detailed)</vt:lpstr>
      <vt:lpstr>Model 1 - Double Solver</vt:lpstr>
      <vt:lpstr>Model 2 - Permutations</vt:lpstr>
      <vt:lpstr>Sensitivity Analysis</vt:lpstr>
      <vt:lpstr>Master Wait Times</vt:lpstr>
      <vt:lpstr>Master Ride Times</vt:lpstr>
      <vt:lpstr>Master Walk Times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Bao Xian Fong</cp:lastModifiedBy>
  <cp:revision/>
  <dcterms:created xsi:type="dcterms:W3CDTF">2022-09-30T00:25:27Z</dcterms:created>
  <dcterms:modified xsi:type="dcterms:W3CDTF">2022-10-30T06:32:41Z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0x010100DF8505459A0FE241A1F83FC1F853E57D</vt:lpwstr>
  </property>
  <property fmtid="{D5CDD505-2E9C-101B-9397-08002B2CF9AE}" pid="3" name="MediaServiceImageTags">
    <vt:lpwstr/>
  </property>
</Properties>
</file>