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8_{8F49E176-6261-4DCD-A323-46457EF4179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" sheetId="6" state="hidden" r:id="rId1"/>
    <sheet name="Distributor wise order booking " sheetId="8" r:id="rId2"/>
    <sheet name="25-26 ( Half yearly)" sheetId="10" state="hidden" r:id="rId3"/>
    <sheet name="Attendance" sheetId="13" state="hidden" r:id="rId4"/>
    <sheet name="25-26(Q1)" sheetId="14" state="hidden" r:id="rId5"/>
    <sheet name="25-26 (Q4)" sheetId="16" state="hidden" r:id="rId6"/>
    <sheet name="25-26 (Q3)" sheetId="17" state="hidden" r:id="rId7"/>
    <sheet name="Sample Sheet" sheetId="18" state="hidden" r:id="rId8"/>
    <sheet name="Jul Month" sheetId="20" state="hidden" r:id="rId9"/>
    <sheet name="Summary Jul" sheetId="21" state="hidden" r:id="rId10"/>
    <sheet name="kerala target 25-26" sheetId="22" state="hidden" r:id="rId11"/>
    <sheet name="25-26 (Q2)" sheetId="23" state="hidden" r:id="rId12"/>
  </sheets>
  <definedNames>
    <definedName name="Z_01CA77FA_292F_41FF_84D5_68D4695CAC6C_.wvu.FilterData" localSheetId="0" hidden="1">Data!$A$2:$CF$243</definedName>
    <definedName name="Z_77513249_E480_461D_BF4F_964A556FE2E7_.wvu.FilterData" localSheetId="0" hidden="1">Data!$A$2:$BM$243</definedName>
    <definedName name="Z_92CD37AD_D298_4713_A064_9CDD9BB2086C_.wvu.FilterData" localSheetId="0" hidden="1">Data!$A$1:$CF$243</definedName>
    <definedName name="Z_B8BEF3FC_0223_4067_AB1E_2440D7EDAF72_.wvu.FilterData" localSheetId="0" hidden="1">Data!$A$2:$CF$243</definedName>
    <definedName name="Z_ED5EF540_630D_443D_A338_F098B1CA87AA_.wvu.FilterData" localSheetId="0" hidden="1">Data!$A$2:$CF$243</definedName>
  </definedNames>
  <calcPr calcId="191029" iterateDelta="1E-4"/>
  <customWorkbookViews>
    <customWorkbookView name="Filter 1" guid="{77513249-E480-461D-BF4F-964A556FE2E7}" maximized="1" windowWidth="0" windowHeight="0" activeSheetId="0"/>
    <customWorkbookView name="Filter 2" guid="{92CD37AD-D298-4713-A064-9CDD9BB2086C}" maximized="1" windowWidth="0" windowHeight="0" activeSheetId="0"/>
    <customWorkbookView name="Filter 4" guid="{01CA77FA-292F-41FF-84D5-68D4695CAC6C}" maximized="1" windowWidth="0" windowHeight="0" activeSheetId="0"/>
    <customWorkbookView name="Filter 3" guid="{ED5EF540-630D-443D-A338-F098B1CA87AA}" maximized="1" windowWidth="0" windowHeight="0" activeSheetId="0"/>
    <customWorkbookView name="Filter 5" guid="{B8BEF3FC-0223-4067-AB1E-2440D7EDAF72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4" i="23" l="1"/>
  <c r="D263" i="23"/>
  <c r="D262" i="23"/>
  <c r="D261" i="23"/>
  <c r="B249" i="23" a="1"/>
  <c r="B249" i="23" s="1"/>
  <c r="B220" i="23" a="1"/>
  <c r="B221" i="23" s="1"/>
  <c r="D221" i="23" s="1"/>
  <c r="L217" i="23"/>
  <c r="L216" i="23"/>
  <c r="L215" i="23"/>
  <c r="L214" i="23"/>
  <c r="L213" i="23"/>
  <c r="L212" i="23"/>
  <c r="L211" i="23"/>
  <c r="L210" i="23"/>
  <c r="L209" i="23"/>
  <c r="L208" i="23"/>
  <c r="L207" i="23"/>
  <c r="L206" i="23"/>
  <c r="L205" i="23"/>
  <c r="L204" i="23"/>
  <c r="L203" i="23"/>
  <c r="L202" i="23"/>
  <c r="L201" i="23"/>
  <c r="L200" i="23"/>
  <c r="L199" i="23"/>
  <c r="L198" i="23"/>
  <c r="L197" i="23"/>
  <c r="L196" i="23"/>
  <c r="L195" i="23"/>
  <c r="L194" i="23"/>
  <c r="L193" i="23"/>
  <c r="L192" i="23"/>
  <c r="L191" i="23"/>
  <c r="L190" i="23"/>
  <c r="L189" i="23"/>
  <c r="L188" i="23"/>
  <c r="L187" i="23"/>
  <c r="L186" i="23"/>
  <c r="L185" i="23"/>
  <c r="L184" i="23"/>
  <c r="L183" i="23"/>
  <c r="L182" i="23"/>
  <c r="L181" i="23"/>
  <c r="L180" i="23"/>
  <c r="L179" i="23"/>
  <c r="L178" i="23"/>
  <c r="L177" i="23"/>
  <c r="L176" i="23"/>
  <c r="L175" i="23"/>
  <c r="L174" i="23"/>
  <c r="L173" i="23"/>
  <c r="L172" i="23"/>
  <c r="L171" i="23"/>
  <c r="L170" i="23"/>
  <c r="L169" i="23"/>
  <c r="L168" i="23"/>
  <c r="L167" i="23"/>
  <c r="L166" i="23"/>
  <c r="L165" i="23"/>
  <c r="L164" i="23"/>
  <c r="L163" i="23"/>
  <c r="L162" i="23"/>
  <c r="L161" i="23"/>
  <c r="L160" i="23"/>
  <c r="L159" i="23"/>
  <c r="L158" i="23"/>
  <c r="L157" i="23"/>
  <c r="L156" i="23"/>
  <c r="L155" i="23"/>
  <c r="L154" i="23"/>
  <c r="L153" i="23"/>
  <c r="L152" i="23"/>
  <c r="L151" i="23"/>
  <c r="L150" i="23"/>
  <c r="L149" i="23"/>
  <c r="L148" i="23"/>
  <c r="L147" i="23"/>
  <c r="L146" i="23"/>
  <c r="L145" i="23"/>
  <c r="L144" i="23"/>
  <c r="D268" i="23" s="1"/>
  <c r="L143" i="23"/>
  <c r="L142" i="23"/>
  <c r="L141" i="23"/>
  <c r="L140" i="23"/>
  <c r="L139" i="23"/>
  <c r="L138" i="23"/>
  <c r="L137" i="23"/>
  <c r="L136" i="23"/>
  <c r="L135" i="23"/>
  <c r="L134" i="23"/>
  <c r="L133" i="23"/>
  <c r="L132" i="23"/>
  <c r="L131" i="23"/>
  <c r="L130" i="23"/>
  <c r="L129" i="23"/>
  <c r="L128" i="23"/>
  <c r="D267" i="23" s="1"/>
  <c r="L127" i="23"/>
  <c r="L126" i="23"/>
  <c r="L125" i="23"/>
  <c r="L124" i="23"/>
  <c r="L123" i="23"/>
  <c r="L122" i="23"/>
  <c r="L121" i="23"/>
  <c r="L120" i="23"/>
  <c r="L119" i="23"/>
  <c r="L118" i="23"/>
  <c r="L117" i="23"/>
  <c r="L116" i="23"/>
  <c r="L115" i="23"/>
  <c r="D266" i="23" s="1"/>
  <c r="L114" i="23"/>
  <c r="L113" i="23"/>
  <c r="L112" i="23"/>
  <c r="L111" i="23"/>
  <c r="L110" i="23"/>
  <c r="L109" i="23"/>
  <c r="L108" i="23"/>
  <c r="L107" i="23"/>
  <c r="L106" i="23"/>
  <c r="L105" i="23"/>
  <c r="L104" i="23"/>
  <c r="L103" i="23"/>
  <c r="L102" i="23"/>
  <c r="L101" i="23"/>
  <c r="L100" i="23"/>
  <c r="L99" i="23"/>
  <c r="L98" i="23"/>
  <c r="L97" i="23"/>
  <c r="L96" i="23"/>
  <c r="L95" i="23"/>
  <c r="L94" i="23"/>
  <c r="L93" i="23"/>
  <c r="L92" i="23"/>
  <c r="L91" i="23"/>
  <c r="L90" i="23"/>
  <c r="L89" i="23"/>
  <c r="L88" i="23"/>
  <c r="L87" i="23"/>
  <c r="L86" i="23"/>
  <c r="L85" i="23"/>
  <c r="L84" i="23"/>
  <c r="L83" i="23"/>
  <c r="L82" i="23"/>
  <c r="L81" i="23"/>
  <c r="L80" i="23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D265" i="23" s="1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D20" i="22"/>
  <c r="G19" i="22"/>
  <c r="F19" i="22"/>
  <c r="E19" i="22"/>
  <c r="D19" i="22"/>
  <c r="O17" i="22"/>
  <c r="O13" i="22"/>
  <c r="O12" i="22"/>
  <c r="O11" i="22"/>
  <c r="O10" i="22"/>
  <c r="O9" i="22"/>
  <c r="O8" i="22"/>
  <c r="O7" i="22"/>
  <c r="O6" i="22"/>
  <c r="O5" i="22"/>
  <c r="O4" i="22"/>
  <c r="O3" i="22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I5" i="21"/>
  <c r="AH5" i="21"/>
  <c r="AV205" i="20"/>
  <c r="AN205" i="20"/>
  <c r="AI205" i="20"/>
  <c r="AH205" i="20"/>
  <c r="AV204" i="20"/>
  <c r="AN204" i="20"/>
  <c r="AI204" i="20"/>
  <c r="AH204" i="20"/>
  <c r="AV203" i="20"/>
  <c r="AN203" i="20"/>
  <c r="AI203" i="20"/>
  <c r="AH203" i="20"/>
  <c r="AV202" i="20"/>
  <c r="AN202" i="20"/>
  <c r="AI202" i="20"/>
  <c r="AH202" i="20"/>
  <c r="AV201" i="20"/>
  <c r="AN201" i="20"/>
  <c r="AI201" i="20"/>
  <c r="AH201" i="20"/>
  <c r="AV200" i="20"/>
  <c r="AN200" i="20"/>
  <c r="AI200" i="20"/>
  <c r="AH200" i="20"/>
  <c r="AV199" i="20"/>
  <c r="AN199" i="20"/>
  <c r="AI199" i="20"/>
  <c r="AH199" i="20"/>
  <c r="AV198" i="20"/>
  <c r="AN198" i="20"/>
  <c r="AI198" i="20"/>
  <c r="AH198" i="20"/>
  <c r="AV197" i="20"/>
  <c r="AN197" i="20"/>
  <c r="AI197" i="20"/>
  <c r="AH197" i="20"/>
  <c r="AV196" i="20"/>
  <c r="AN196" i="20"/>
  <c r="AI196" i="20"/>
  <c r="AH196" i="20"/>
  <c r="AV195" i="20"/>
  <c r="AN195" i="20"/>
  <c r="AI195" i="20"/>
  <c r="AH195" i="20"/>
  <c r="AV194" i="20"/>
  <c r="AN194" i="20"/>
  <c r="AI194" i="20"/>
  <c r="AH194" i="20"/>
  <c r="AV193" i="20"/>
  <c r="AN193" i="20"/>
  <c r="AI193" i="20"/>
  <c r="AH193" i="20"/>
  <c r="AV192" i="20"/>
  <c r="AN192" i="20"/>
  <c r="AI192" i="20"/>
  <c r="AH192" i="20"/>
  <c r="AV191" i="20"/>
  <c r="AN191" i="20"/>
  <c r="AI191" i="20"/>
  <c r="AH191" i="20"/>
  <c r="AV190" i="20"/>
  <c r="AN190" i="20"/>
  <c r="AI190" i="20"/>
  <c r="AH190" i="20"/>
  <c r="AV189" i="20"/>
  <c r="AN189" i="20"/>
  <c r="AI189" i="20"/>
  <c r="AH189" i="20"/>
  <c r="AV188" i="20"/>
  <c r="AN188" i="20"/>
  <c r="AI188" i="20"/>
  <c r="AH188" i="20"/>
  <c r="AV187" i="20"/>
  <c r="AN187" i="20"/>
  <c r="AI187" i="20"/>
  <c r="AH187" i="20"/>
  <c r="AV186" i="20"/>
  <c r="AN186" i="20"/>
  <c r="AI186" i="20"/>
  <c r="AH186" i="20"/>
  <c r="AV185" i="20"/>
  <c r="AN185" i="20"/>
  <c r="AI185" i="20"/>
  <c r="AH185" i="20"/>
  <c r="AV184" i="20"/>
  <c r="AN184" i="20"/>
  <c r="AI184" i="20"/>
  <c r="AH184" i="20"/>
  <c r="AV183" i="20"/>
  <c r="AN183" i="20"/>
  <c r="AI183" i="20"/>
  <c r="AH183" i="20"/>
  <c r="AV182" i="20"/>
  <c r="AN182" i="20"/>
  <c r="AI182" i="20"/>
  <c r="AH182" i="20"/>
  <c r="AV181" i="20"/>
  <c r="AN181" i="20"/>
  <c r="AI181" i="20"/>
  <c r="AH181" i="20"/>
  <c r="AV180" i="20"/>
  <c r="AN180" i="20"/>
  <c r="AI180" i="20"/>
  <c r="AH180" i="20"/>
  <c r="AV179" i="20"/>
  <c r="AN179" i="20"/>
  <c r="AI179" i="20"/>
  <c r="AH179" i="20"/>
  <c r="AV178" i="20"/>
  <c r="AN178" i="20"/>
  <c r="AI178" i="20"/>
  <c r="AH178" i="20"/>
  <c r="AV177" i="20"/>
  <c r="AN177" i="20"/>
  <c r="AI177" i="20"/>
  <c r="AH177" i="20"/>
  <c r="AV176" i="20"/>
  <c r="AN176" i="20"/>
  <c r="AI176" i="20"/>
  <c r="AH176" i="20"/>
  <c r="AV175" i="20"/>
  <c r="AN175" i="20"/>
  <c r="AI175" i="20"/>
  <c r="AH175" i="20"/>
  <c r="AV174" i="20"/>
  <c r="AN174" i="20"/>
  <c r="AI174" i="20"/>
  <c r="AH174" i="20"/>
  <c r="AV173" i="20"/>
  <c r="AN173" i="20"/>
  <c r="AI173" i="20"/>
  <c r="AH173" i="20"/>
  <c r="AV172" i="20"/>
  <c r="AN172" i="20"/>
  <c r="AI172" i="20"/>
  <c r="AH172" i="20"/>
  <c r="AV171" i="20"/>
  <c r="AN171" i="20"/>
  <c r="AI171" i="20"/>
  <c r="AH171" i="20"/>
  <c r="AV170" i="20"/>
  <c r="AN170" i="20"/>
  <c r="AI170" i="20"/>
  <c r="AH170" i="20"/>
  <c r="AV169" i="20"/>
  <c r="AN169" i="20"/>
  <c r="AI169" i="20"/>
  <c r="AH169" i="20"/>
  <c r="AV168" i="20"/>
  <c r="AN168" i="20"/>
  <c r="AI168" i="20"/>
  <c r="AH168" i="20"/>
  <c r="AV167" i="20"/>
  <c r="AN167" i="20"/>
  <c r="AI167" i="20"/>
  <c r="AH167" i="20"/>
  <c r="AV166" i="20"/>
  <c r="AN166" i="20"/>
  <c r="AI166" i="20"/>
  <c r="AH166" i="20"/>
  <c r="AV165" i="20"/>
  <c r="AN165" i="20"/>
  <c r="AI165" i="20"/>
  <c r="AH165" i="20"/>
  <c r="AV164" i="20"/>
  <c r="AN164" i="20"/>
  <c r="AI164" i="20"/>
  <c r="AH164" i="20"/>
  <c r="AV163" i="20"/>
  <c r="AN163" i="20"/>
  <c r="AI163" i="20"/>
  <c r="AH163" i="20"/>
  <c r="AV162" i="20"/>
  <c r="AN162" i="20"/>
  <c r="AI162" i="20"/>
  <c r="AH162" i="20"/>
  <c r="AV161" i="20"/>
  <c r="AN161" i="20"/>
  <c r="AI161" i="20"/>
  <c r="AH161" i="20"/>
  <c r="AV160" i="20"/>
  <c r="AN160" i="20"/>
  <c r="AI160" i="20"/>
  <c r="AH160" i="20"/>
  <c r="AV159" i="20"/>
  <c r="AN159" i="20"/>
  <c r="AI159" i="20"/>
  <c r="AH159" i="20"/>
  <c r="AV158" i="20"/>
  <c r="AN158" i="20"/>
  <c r="AI158" i="20"/>
  <c r="AH158" i="20"/>
  <c r="AV157" i="20"/>
  <c r="AN157" i="20"/>
  <c r="AI157" i="20"/>
  <c r="AH157" i="20"/>
  <c r="AV156" i="20"/>
  <c r="AN156" i="20"/>
  <c r="AI156" i="20"/>
  <c r="AH156" i="20"/>
  <c r="AV155" i="20"/>
  <c r="AN155" i="20"/>
  <c r="AI155" i="20"/>
  <c r="AH155" i="20"/>
  <c r="AV154" i="20"/>
  <c r="AN154" i="20"/>
  <c r="AI154" i="20"/>
  <c r="AH154" i="20"/>
  <c r="AV153" i="20"/>
  <c r="AN153" i="20"/>
  <c r="AI153" i="20"/>
  <c r="AH153" i="20"/>
  <c r="AV152" i="20"/>
  <c r="AN152" i="20"/>
  <c r="AI152" i="20"/>
  <c r="AH152" i="20"/>
  <c r="AV151" i="20"/>
  <c r="AN151" i="20"/>
  <c r="AI151" i="20"/>
  <c r="AH151" i="20"/>
  <c r="AV150" i="20"/>
  <c r="AN150" i="20"/>
  <c r="AI150" i="20"/>
  <c r="AH150" i="20"/>
  <c r="AV149" i="20"/>
  <c r="AN149" i="20"/>
  <c r="AI149" i="20"/>
  <c r="AH149" i="20"/>
  <c r="AV148" i="20"/>
  <c r="AN148" i="20"/>
  <c r="AI148" i="20"/>
  <c r="AH148" i="20"/>
  <c r="AV147" i="20"/>
  <c r="AN147" i="20"/>
  <c r="AI147" i="20"/>
  <c r="AH147" i="20"/>
  <c r="AV146" i="20"/>
  <c r="AN146" i="20"/>
  <c r="AI146" i="20"/>
  <c r="AH146" i="20"/>
  <c r="AV145" i="20"/>
  <c r="AN145" i="20"/>
  <c r="AI145" i="20"/>
  <c r="AH145" i="20"/>
  <c r="AV144" i="20"/>
  <c r="AN144" i="20"/>
  <c r="AI144" i="20"/>
  <c r="AH144" i="20"/>
  <c r="AV143" i="20"/>
  <c r="AN143" i="20"/>
  <c r="AI143" i="20"/>
  <c r="AH143" i="20"/>
  <c r="AV142" i="20"/>
  <c r="AN142" i="20"/>
  <c r="AI142" i="20"/>
  <c r="AH142" i="20"/>
  <c r="AV141" i="20"/>
  <c r="AN141" i="20"/>
  <c r="AI141" i="20"/>
  <c r="AH141" i="20"/>
  <c r="AV140" i="20"/>
  <c r="AN140" i="20"/>
  <c r="AI140" i="20"/>
  <c r="AH140" i="20"/>
  <c r="AV139" i="20"/>
  <c r="AN139" i="20"/>
  <c r="AI139" i="20"/>
  <c r="AH139" i="20"/>
  <c r="AV138" i="20"/>
  <c r="AN138" i="20"/>
  <c r="AI138" i="20"/>
  <c r="AH138" i="20"/>
  <c r="AV137" i="20"/>
  <c r="AN137" i="20"/>
  <c r="AI137" i="20"/>
  <c r="AH137" i="20"/>
  <c r="AV136" i="20"/>
  <c r="AN136" i="20"/>
  <c r="AI136" i="20"/>
  <c r="AH136" i="20"/>
  <c r="AV135" i="20"/>
  <c r="AN135" i="20"/>
  <c r="AI135" i="20"/>
  <c r="AH135" i="20"/>
  <c r="AV134" i="20"/>
  <c r="AN134" i="20"/>
  <c r="AI134" i="20"/>
  <c r="AH134" i="20"/>
  <c r="AV133" i="20"/>
  <c r="AN133" i="20"/>
  <c r="AI133" i="20"/>
  <c r="AH133" i="20"/>
  <c r="AV132" i="20"/>
  <c r="AN132" i="20"/>
  <c r="AI132" i="20"/>
  <c r="AH132" i="20"/>
  <c r="AV131" i="20"/>
  <c r="AN131" i="20"/>
  <c r="AI131" i="20"/>
  <c r="AH131" i="20"/>
  <c r="AV130" i="20"/>
  <c r="AN130" i="20"/>
  <c r="AI130" i="20"/>
  <c r="AH130" i="20"/>
  <c r="AV129" i="20"/>
  <c r="AN129" i="20"/>
  <c r="AI129" i="20"/>
  <c r="AH129" i="20"/>
  <c r="AV128" i="20"/>
  <c r="AN128" i="20"/>
  <c r="AI128" i="20"/>
  <c r="AH128" i="20"/>
  <c r="AV127" i="20"/>
  <c r="AN127" i="20"/>
  <c r="AI127" i="20"/>
  <c r="AH127" i="20"/>
  <c r="AV126" i="20"/>
  <c r="AN126" i="20"/>
  <c r="AI126" i="20"/>
  <c r="AH126" i="20"/>
  <c r="AV125" i="20"/>
  <c r="AN125" i="20"/>
  <c r="AI125" i="20"/>
  <c r="AH125" i="20"/>
  <c r="AV124" i="20"/>
  <c r="AN124" i="20"/>
  <c r="AI124" i="20"/>
  <c r="AH124" i="20"/>
  <c r="AV123" i="20"/>
  <c r="AN123" i="20"/>
  <c r="AI123" i="20"/>
  <c r="AH123" i="20"/>
  <c r="AV122" i="20"/>
  <c r="AN122" i="20"/>
  <c r="AI122" i="20"/>
  <c r="AH122" i="20"/>
  <c r="AV121" i="20"/>
  <c r="AN121" i="20"/>
  <c r="AI121" i="20"/>
  <c r="AH121" i="20"/>
  <c r="AV120" i="20"/>
  <c r="AN120" i="20"/>
  <c r="AI120" i="20"/>
  <c r="AH120" i="20"/>
  <c r="AV119" i="20"/>
  <c r="AN119" i="20"/>
  <c r="AI119" i="20"/>
  <c r="AH119" i="20"/>
  <c r="AV118" i="20"/>
  <c r="AN118" i="20"/>
  <c r="AI118" i="20"/>
  <c r="AH118" i="20"/>
  <c r="AV117" i="20"/>
  <c r="AN117" i="20"/>
  <c r="AI117" i="20"/>
  <c r="AH117" i="20"/>
  <c r="AV116" i="20"/>
  <c r="AN116" i="20"/>
  <c r="AI116" i="20"/>
  <c r="AH116" i="20"/>
  <c r="AV115" i="20"/>
  <c r="AN115" i="20"/>
  <c r="AI115" i="20"/>
  <c r="AH115" i="20"/>
  <c r="AV114" i="20"/>
  <c r="AN114" i="20"/>
  <c r="AI114" i="20"/>
  <c r="AH114" i="20"/>
  <c r="AV113" i="20"/>
  <c r="AN113" i="20"/>
  <c r="AI113" i="20"/>
  <c r="AH113" i="20"/>
  <c r="AV112" i="20"/>
  <c r="AN112" i="20"/>
  <c r="AI112" i="20"/>
  <c r="AH112" i="20"/>
  <c r="AV111" i="20"/>
  <c r="AN111" i="20"/>
  <c r="AI111" i="20"/>
  <c r="AH111" i="20"/>
  <c r="AV110" i="20"/>
  <c r="AN110" i="20"/>
  <c r="AI110" i="20"/>
  <c r="AH110" i="20"/>
  <c r="AV109" i="20"/>
  <c r="AN109" i="20"/>
  <c r="AI109" i="20"/>
  <c r="AH109" i="20"/>
  <c r="AV108" i="20"/>
  <c r="AN108" i="20"/>
  <c r="AI108" i="20"/>
  <c r="AH108" i="20"/>
  <c r="AV107" i="20"/>
  <c r="AN107" i="20"/>
  <c r="AI107" i="20"/>
  <c r="AH107" i="20"/>
  <c r="AV106" i="20"/>
  <c r="AN106" i="20"/>
  <c r="AI106" i="20"/>
  <c r="AH106" i="20"/>
  <c r="AV105" i="20"/>
  <c r="AN105" i="20"/>
  <c r="AI105" i="20"/>
  <c r="AH105" i="20"/>
  <c r="AV104" i="20"/>
  <c r="AN104" i="20"/>
  <c r="AI104" i="20"/>
  <c r="AH104" i="20"/>
  <c r="AV103" i="20"/>
  <c r="AN103" i="20"/>
  <c r="AI103" i="20"/>
  <c r="AH103" i="20"/>
  <c r="AV102" i="20"/>
  <c r="AN102" i="20"/>
  <c r="AI102" i="20"/>
  <c r="AH102" i="20"/>
  <c r="AV101" i="20"/>
  <c r="AN101" i="20"/>
  <c r="AI101" i="20"/>
  <c r="AH101" i="20"/>
  <c r="AV100" i="20"/>
  <c r="AN100" i="20"/>
  <c r="AI100" i="20"/>
  <c r="AH100" i="20"/>
  <c r="AV99" i="20"/>
  <c r="AN99" i="20"/>
  <c r="AI99" i="20"/>
  <c r="AH99" i="20"/>
  <c r="AV98" i="20"/>
  <c r="AN98" i="20"/>
  <c r="AI98" i="20"/>
  <c r="AH98" i="20"/>
  <c r="AV97" i="20"/>
  <c r="AN97" i="20"/>
  <c r="AI97" i="20"/>
  <c r="AH97" i="20"/>
  <c r="AV96" i="20"/>
  <c r="AN96" i="20"/>
  <c r="AI96" i="20"/>
  <c r="AH96" i="20"/>
  <c r="AV95" i="20"/>
  <c r="AN95" i="20"/>
  <c r="AI95" i="20"/>
  <c r="AH95" i="20"/>
  <c r="AV94" i="20"/>
  <c r="AN94" i="20"/>
  <c r="AI94" i="20"/>
  <c r="AH94" i="20"/>
  <c r="AV93" i="20"/>
  <c r="AN93" i="20"/>
  <c r="AI93" i="20"/>
  <c r="AH93" i="20"/>
  <c r="AV92" i="20"/>
  <c r="AN92" i="20"/>
  <c r="AI92" i="20"/>
  <c r="AH92" i="20"/>
  <c r="AV91" i="20"/>
  <c r="AN91" i="20"/>
  <c r="AI91" i="20"/>
  <c r="AH91" i="20"/>
  <c r="AV90" i="20"/>
  <c r="AN90" i="20"/>
  <c r="AI90" i="20"/>
  <c r="AH90" i="20"/>
  <c r="AV89" i="20"/>
  <c r="AN89" i="20"/>
  <c r="AI89" i="20"/>
  <c r="AH89" i="20"/>
  <c r="AV88" i="20"/>
  <c r="AN88" i="20"/>
  <c r="AI88" i="20"/>
  <c r="AH88" i="20"/>
  <c r="AV87" i="20"/>
  <c r="AN87" i="20"/>
  <c r="AI87" i="20"/>
  <c r="AH87" i="20"/>
  <c r="AV86" i="20"/>
  <c r="AN86" i="20"/>
  <c r="AI86" i="20"/>
  <c r="AH86" i="20"/>
  <c r="AV85" i="20"/>
  <c r="AN85" i="20"/>
  <c r="AI85" i="20"/>
  <c r="AH85" i="20"/>
  <c r="AV84" i="20"/>
  <c r="AN84" i="20"/>
  <c r="AI84" i="20"/>
  <c r="AH84" i="20"/>
  <c r="AV83" i="20"/>
  <c r="AN83" i="20"/>
  <c r="AI83" i="20"/>
  <c r="AH83" i="20"/>
  <c r="AV82" i="20"/>
  <c r="AN82" i="20"/>
  <c r="AI82" i="20"/>
  <c r="AH82" i="20"/>
  <c r="AV81" i="20"/>
  <c r="AN81" i="20"/>
  <c r="AI81" i="20"/>
  <c r="AH81" i="20"/>
  <c r="AV80" i="20"/>
  <c r="AN80" i="20"/>
  <c r="AI80" i="20"/>
  <c r="AH80" i="20"/>
  <c r="AV79" i="20"/>
  <c r="AN79" i="20"/>
  <c r="AI79" i="20"/>
  <c r="AH79" i="20"/>
  <c r="AV78" i="20"/>
  <c r="AN78" i="20"/>
  <c r="AI78" i="20"/>
  <c r="AH78" i="20"/>
  <c r="AV77" i="20"/>
  <c r="AN77" i="20"/>
  <c r="AI77" i="20"/>
  <c r="AH77" i="20"/>
  <c r="AV76" i="20"/>
  <c r="AN76" i="20"/>
  <c r="AI76" i="20"/>
  <c r="AH76" i="20"/>
  <c r="AV75" i="20"/>
  <c r="AN75" i="20"/>
  <c r="AI75" i="20"/>
  <c r="AH75" i="20"/>
  <c r="AV74" i="20"/>
  <c r="AN74" i="20"/>
  <c r="AI74" i="20"/>
  <c r="AH74" i="20"/>
  <c r="AV73" i="20"/>
  <c r="AN73" i="20"/>
  <c r="AI73" i="20"/>
  <c r="AH73" i="20"/>
  <c r="AV72" i="20"/>
  <c r="AN72" i="20"/>
  <c r="AI72" i="20"/>
  <c r="AH72" i="20"/>
  <c r="AV71" i="20"/>
  <c r="AN71" i="20"/>
  <c r="AI71" i="20"/>
  <c r="AH71" i="20"/>
  <c r="AV70" i="20"/>
  <c r="AN70" i="20"/>
  <c r="AI70" i="20"/>
  <c r="AH70" i="20"/>
  <c r="AV69" i="20"/>
  <c r="AN69" i="20"/>
  <c r="AI69" i="20"/>
  <c r="AH69" i="20"/>
  <c r="AV68" i="20"/>
  <c r="AN68" i="20"/>
  <c r="AI68" i="20"/>
  <c r="AH68" i="20"/>
  <c r="AV67" i="20"/>
  <c r="AN67" i="20"/>
  <c r="AI67" i="20"/>
  <c r="AH67" i="20"/>
  <c r="AV66" i="20"/>
  <c r="AN66" i="20"/>
  <c r="AI66" i="20"/>
  <c r="AH66" i="20"/>
  <c r="AV65" i="20"/>
  <c r="AN65" i="20"/>
  <c r="AI65" i="20"/>
  <c r="AH65" i="20"/>
  <c r="AV64" i="20"/>
  <c r="AN64" i="20"/>
  <c r="AI64" i="20"/>
  <c r="AH64" i="20"/>
  <c r="AV63" i="20"/>
  <c r="AN63" i="20"/>
  <c r="AI63" i="20"/>
  <c r="AH63" i="20"/>
  <c r="AV62" i="20"/>
  <c r="AN62" i="20"/>
  <c r="AI62" i="20"/>
  <c r="AH62" i="20"/>
  <c r="AV61" i="20"/>
  <c r="AN61" i="20"/>
  <c r="AI61" i="20"/>
  <c r="AH61" i="20"/>
  <c r="AV60" i="20"/>
  <c r="AN60" i="20"/>
  <c r="AI60" i="20"/>
  <c r="AH60" i="20"/>
  <c r="AV59" i="20"/>
  <c r="AN59" i="20"/>
  <c r="AI59" i="20"/>
  <c r="AH59" i="20"/>
  <c r="AV58" i="20"/>
  <c r="AN58" i="20"/>
  <c r="AI58" i="20"/>
  <c r="AH58" i="20"/>
  <c r="AV57" i="20"/>
  <c r="AN57" i="20"/>
  <c r="AI57" i="20"/>
  <c r="AH57" i="20"/>
  <c r="AV56" i="20"/>
  <c r="AN56" i="20"/>
  <c r="AI56" i="20"/>
  <c r="AH56" i="20"/>
  <c r="AV55" i="20"/>
  <c r="AN55" i="20"/>
  <c r="AI55" i="20"/>
  <c r="AH55" i="20"/>
  <c r="AV54" i="20"/>
  <c r="AN54" i="20"/>
  <c r="AI54" i="20"/>
  <c r="AH54" i="20"/>
  <c r="AV53" i="20"/>
  <c r="AN53" i="20"/>
  <c r="AI53" i="20"/>
  <c r="AH53" i="20"/>
  <c r="AF53" i="20"/>
  <c r="O53" i="20"/>
  <c r="AV52" i="20"/>
  <c r="AN52" i="20"/>
  <c r="AI52" i="20"/>
  <c r="AH52" i="20"/>
  <c r="AV51" i="20"/>
  <c r="AN51" i="20"/>
  <c r="AI51" i="20"/>
  <c r="AH51" i="20"/>
  <c r="AV50" i="20"/>
  <c r="AN50" i="20"/>
  <c r="AI50" i="20"/>
  <c r="AH50" i="20"/>
  <c r="AV49" i="20"/>
  <c r="AN49" i="20"/>
  <c r="AI49" i="20"/>
  <c r="AH49" i="20"/>
  <c r="AV48" i="20"/>
  <c r="AN48" i="20"/>
  <c r="AI48" i="20"/>
  <c r="AH48" i="20"/>
  <c r="AV47" i="20"/>
  <c r="AN47" i="20"/>
  <c r="AI47" i="20"/>
  <c r="AH47" i="20"/>
  <c r="AV46" i="20"/>
  <c r="AN46" i="20"/>
  <c r="AI46" i="20"/>
  <c r="AH46" i="20"/>
  <c r="AV45" i="20"/>
  <c r="AN45" i="20"/>
  <c r="AI45" i="20"/>
  <c r="AH45" i="20"/>
  <c r="AV44" i="20"/>
  <c r="AN44" i="20"/>
  <c r="AI44" i="20"/>
  <c r="AH44" i="20"/>
  <c r="AV43" i="20"/>
  <c r="AN43" i="20"/>
  <c r="AI43" i="20"/>
  <c r="AH43" i="20"/>
  <c r="AV42" i="20"/>
  <c r="AN42" i="20"/>
  <c r="AI42" i="20"/>
  <c r="AH42" i="20"/>
  <c r="AV41" i="20"/>
  <c r="AN41" i="20"/>
  <c r="AI41" i="20"/>
  <c r="AH41" i="20"/>
  <c r="AV40" i="20"/>
  <c r="AN40" i="20"/>
  <c r="AI40" i="20"/>
  <c r="AH40" i="20"/>
  <c r="AV39" i="20"/>
  <c r="AN39" i="20"/>
  <c r="AI39" i="20"/>
  <c r="AH39" i="20"/>
  <c r="AV38" i="20"/>
  <c r="AN38" i="20"/>
  <c r="AI38" i="20"/>
  <c r="AH38" i="20"/>
  <c r="AV37" i="20"/>
  <c r="AN37" i="20"/>
  <c r="AI37" i="20"/>
  <c r="AH37" i="20"/>
  <c r="AV36" i="20"/>
  <c r="AN36" i="20"/>
  <c r="AI36" i="20"/>
  <c r="AH36" i="20"/>
  <c r="AV35" i="20"/>
  <c r="AN35" i="20"/>
  <c r="AI35" i="20"/>
  <c r="AH35" i="20"/>
  <c r="AV34" i="20"/>
  <c r="AN34" i="20"/>
  <c r="AI34" i="20"/>
  <c r="AH34" i="20"/>
  <c r="AV33" i="20"/>
  <c r="AN33" i="20"/>
  <c r="AI33" i="20"/>
  <c r="AH33" i="20"/>
  <c r="AV32" i="20"/>
  <c r="AN32" i="20"/>
  <c r="AI32" i="20"/>
  <c r="AH32" i="20"/>
  <c r="AV31" i="20"/>
  <c r="AN31" i="20"/>
  <c r="AI31" i="20"/>
  <c r="AH31" i="20"/>
  <c r="AV30" i="20"/>
  <c r="AN30" i="20"/>
  <c r="AI30" i="20"/>
  <c r="AH30" i="20"/>
  <c r="AV29" i="20"/>
  <c r="AN29" i="20"/>
  <c r="AI29" i="20"/>
  <c r="AH29" i="20"/>
  <c r="AV28" i="20"/>
  <c r="AN28" i="20"/>
  <c r="AI28" i="20"/>
  <c r="AH28" i="20"/>
  <c r="AV27" i="20"/>
  <c r="AN27" i="20"/>
  <c r="AI27" i="20"/>
  <c r="AH27" i="20"/>
  <c r="AV26" i="20"/>
  <c r="AN26" i="20"/>
  <c r="AI26" i="20"/>
  <c r="AH26" i="20"/>
  <c r="AV25" i="20"/>
  <c r="AN25" i="20"/>
  <c r="AI25" i="20"/>
  <c r="AH25" i="20"/>
  <c r="AV24" i="20"/>
  <c r="AN24" i="20"/>
  <c r="AI24" i="20"/>
  <c r="AH24" i="20"/>
  <c r="AV23" i="20"/>
  <c r="AN23" i="20"/>
  <c r="AI23" i="20"/>
  <c r="AH23" i="20"/>
  <c r="AV22" i="20"/>
  <c r="AN22" i="20"/>
  <c r="AI22" i="20"/>
  <c r="AH22" i="20"/>
  <c r="AV21" i="20"/>
  <c r="AN21" i="20"/>
  <c r="AI21" i="20"/>
  <c r="AH21" i="20"/>
  <c r="AV20" i="20"/>
  <c r="AN20" i="20"/>
  <c r="AI20" i="20"/>
  <c r="AH20" i="20"/>
  <c r="AV19" i="20"/>
  <c r="AN19" i="20"/>
  <c r="AI19" i="20"/>
  <c r="AH19" i="20"/>
  <c r="AV18" i="20"/>
  <c r="AN18" i="20"/>
  <c r="AI18" i="20"/>
  <c r="AH18" i="20"/>
  <c r="AV17" i="20"/>
  <c r="AN17" i="20"/>
  <c r="AI17" i="20"/>
  <c r="AH17" i="20"/>
  <c r="AV16" i="20"/>
  <c r="AN16" i="20"/>
  <c r="AI16" i="20"/>
  <c r="AH16" i="20"/>
  <c r="AV15" i="20"/>
  <c r="AN15" i="20"/>
  <c r="AI15" i="20"/>
  <c r="AH15" i="20"/>
  <c r="AV14" i="20"/>
  <c r="AN14" i="20"/>
  <c r="AI14" i="20"/>
  <c r="AH14" i="20"/>
  <c r="AV13" i="20"/>
  <c r="AN13" i="20"/>
  <c r="AI13" i="20"/>
  <c r="AH13" i="20"/>
  <c r="AV12" i="20"/>
  <c r="AN12" i="20"/>
  <c r="AI12" i="20"/>
  <c r="AH12" i="20"/>
  <c r="AV11" i="20"/>
  <c r="AN11" i="20"/>
  <c r="AI11" i="20"/>
  <c r="AH11" i="20"/>
  <c r="AV10" i="20"/>
  <c r="AN10" i="20"/>
  <c r="AI10" i="20"/>
  <c r="AH10" i="20"/>
  <c r="AV9" i="20"/>
  <c r="AN9" i="20"/>
  <c r="AI9" i="20"/>
  <c r="AH9" i="20"/>
  <c r="AV8" i="20"/>
  <c r="AN8" i="20"/>
  <c r="AI8" i="20"/>
  <c r="AH8" i="20"/>
  <c r="AV7" i="20"/>
  <c r="AN7" i="20"/>
  <c r="AI7" i="20"/>
  <c r="AH7" i="20"/>
  <c r="AV6" i="20"/>
  <c r="AN6" i="20"/>
  <c r="AI6" i="20"/>
  <c r="AH6" i="20"/>
  <c r="AV5" i="20"/>
  <c r="AN5" i="20"/>
  <c r="AI5" i="20"/>
  <c r="AH5" i="20"/>
  <c r="AV4" i="20"/>
  <c r="AN4" i="20"/>
  <c r="AI4" i="20"/>
  <c r="AH4" i="20"/>
  <c r="AV3" i="20"/>
  <c r="AN3" i="20"/>
  <c r="AI3" i="20"/>
  <c r="AH3" i="20"/>
  <c r="AV2" i="20"/>
  <c r="AN2" i="20"/>
  <c r="AM2" i="20"/>
  <c r="AI2" i="20"/>
  <c r="AH2" i="20"/>
  <c r="D39" i="18"/>
  <c r="G2" i="18"/>
  <c r="C2" i="18"/>
  <c r="L2" i="17"/>
  <c r="K2" i="17"/>
  <c r="J2" i="17"/>
  <c r="K1" i="16"/>
  <c r="J1" i="16"/>
  <c r="AG1" i="14"/>
  <c r="AF1" i="14"/>
  <c r="AE1" i="14"/>
  <c r="AC1" i="14"/>
  <c r="AB1" i="14"/>
  <c r="AA1" i="14"/>
  <c r="Z1" i="14"/>
  <c r="AD1" i="14" s="1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K1" i="14"/>
  <c r="J1" i="14"/>
  <c r="I1" i="14"/>
  <c r="AH1" i="14" s="1"/>
  <c r="H1" i="14"/>
  <c r="L1" i="14" s="1"/>
  <c r="C1" i="14"/>
  <c r="T26" i="13"/>
  <c r="S26" i="13"/>
  <c r="Q26" i="13"/>
  <c r="P26" i="13"/>
  <c r="N26" i="13"/>
  <c r="M26" i="13"/>
  <c r="K26" i="13"/>
  <c r="J26" i="13"/>
  <c r="H26" i="13"/>
  <c r="G26" i="13"/>
  <c r="E26" i="13"/>
  <c r="D26" i="13"/>
  <c r="T25" i="13"/>
  <c r="S25" i="13"/>
  <c r="Q25" i="13"/>
  <c r="P25" i="13"/>
  <c r="N25" i="13"/>
  <c r="M25" i="13"/>
  <c r="K25" i="13"/>
  <c r="J25" i="13"/>
  <c r="H25" i="13"/>
  <c r="G25" i="13"/>
  <c r="E25" i="13"/>
  <c r="D25" i="13"/>
  <c r="T24" i="13"/>
  <c r="S24" i="13"/>
  <c r="Q24" i="13"/>
  <c r="P24" i="13"/>
  <c r="N24" i="13"/>
  <c r="M24" i="13"/>
  <c r="K24" i="13"/>
  <c r="J24" i="13"/>
  <c r="H24" i="13"/>
  <c r="G24" i="13"/>
  <c r="E24" i="13"/>
  <c r="D24" i="13"/>
  <c r="T23" i="13"/>
  <c r="S23" i="13"/>
  <c r="Q23" i="13"/>
  <c r="P23" i="13"/>
  <c r="N23" i="13"/>
  <c r="M23" i="13"/>
  <c r="K23" i="13"/>
  <c r="J23" i="13"/>
  <c r="H23" i="13"/>
  <c r="G23" i="13"/>
  <c r="E23" i="13"/>
  <c r="D23" i="13"/>
  <c r="T22" i="13"/>
  <c r="S22" i="13"/>
  <c r="Q22" i="13"/>
  <c r="P22" i="13"/>
  <c r="N22" i="13"/>
  <c r="M22" i="13"/>
  <c r="K22" i="13"/>
  <c r="J22" i="13"/>
  <c r="H22" i="13"/>
  <c r="G22" i="13"/>
  <c r="E22" i="13"/>
  <c r="D22" i="13"/>
  <c r="T21" i="13"/>
  <c r="S21" i="13"/>
  <c r="Q21" i="13"/>
  <c r="P21" i="13"/>
  <c r="N21" i="13"/>
  <c r="M21" i="13"/>
  <c r="K21" i="13"/>
  <c r="J21" i="13"/>
  <c r="H21" i="13"/>
  <c r="G21" i="13"/>
  <c r="E21" i="13"/>
  <c r="D21" i="13"/>
  <c r="T20" i="13"/>
  <c r="S20" i="13"/>
  <c r="Q20" i="13"/>
  <c r="P20" i="13"/>
  <c r="N20" i="13"/>
  <c r="M20" i="13"/>
  <c r="K20" i="13"/>
  <c r="J20" i="13"/>
  <c r="H20" i="13"/>
  <c r="G20" i="13"/>
  <c r="E20" i="13"/>
  <c r="D20" i="13"/>
  <c r="T19" i="13"/>
  <c r="S19" i="13"/>
  <c r="Q19" i="13"/>
  <c r="P19" i="13"/>
  <c r="N19" i="13"/>
  <c r="M19" i="13"/>
  <c r="K19" i="13"/>
  <c r="J19" i="13"/>
  <c r="H19" i="13"/>
  <c r="G19" i="13"/>
  <c r="E19" i="13"/>
  <c r="D19" i="13"/>
  <c r="T18" i="13"/>
  <c r="S18" i="13"/>
  <c r="Q18" i="13"/>
  <c r="P18" i="13"/>
  <c r="N18" i="13"/>
  <c r="M18" i="13"/>
  <c r="K18" i="13"/>
  <c r="J18" i="13"/>
  <c r="H18" i="13"/>
  <c r="G18" i="13"/>
  <c r="E18" i="13"/>
  <c r="D18" i="13"/>
  <c r="T17" i="13"/>
  <c r="S17" i="13"/>
  <c r="Q17" i="13"/>
  <c r="P17" i="13"/>
  <c r="N17" i="13"/>
  <c r="M17" i="13"/>
  <c r="K17" i="13"/>
  <c r="J17" i="13"/>
  <c r="H17" i="13"/>
  <c r="G17" i="13"/>
  <c r="E17" i="13"/>
  <c r="D17" i="13"/>
  <c r="T16" i="13"/>
  <c r="S16" i="13"/>
  <c r="Q16" i="13"/>
  <c r="P16" i="13"/>
  <c r="N16" i="13"/>
  <c r="M16" i="13"/>
  <c r="K16" i="13"/>
  <c r="J16" i="13"/>
  <c r="H16" i="13"/>
  <c r="G16" i="13"/>
  <c r="E16" i="13"/>
  <c r="D16" i="13"/>
  <c r="T15" i="13"/>
  <c r="S15" i="13"/>
  <c r="Q15" i="13"/>
  <c r="P15" i="13"/>
  <c r="N15" i="13"/>
  <c r="M15" i="13"/>
  <c r="K15" i="13"/>
  <c r="J15" i="13"/>
  <c r="H15" i="13"/>
  <c r="G15" i="13"/>
  <c r="E15" i="13"/>
  <c r="D15" i="13"/>
  <c r="T14" i="13"/>
  <c r="S14" i="13"/>
  <c r="Q14" i="13"/>
  <c r="P14" i="13"/>
  <c r="N14" i="13"/>
  <c r="M14" i="13"/>
  <c r="K14" i="13"/>
  <c r="J14" i="13"/>
  <c r="H14" i="13"/>
  <c r="G14" i="13"/>
  <c r="E14" i="13"/>
  <c r="D14" i="13"/>
  <c r="T13" i="13"/>
  <c r="S13" i="13"/>
  <c r="Q13" i="13"/>
  <c r="P13" i="13"/>
  <c r="N13" i="13"/>
  <c r="M13" i="13"/>
  <c r="K13" i="13"/>
  <c r="J13" i="13"/>
  <c r="H13" i="13"/>
  <c r="G13" i="13"/>
  <c r="E13" i="13"/>
  <c r="D13" i="13"/>
  <c r="T12" i="13"/>
  <c r="S12" i="13"/>
  <c r="Q12" i="13"/>
  <c r="P12" i="13"/>
  <c r="N12" i="13"/>
  <c r="M12" i="13"/>
  <c r="K12" i="13"/>
  <c r="J12" i="13"/>
  <c r="H12" i="13"/>
  <c r="G12" i="13"/>
  <c r="E12" i="13"/>
  <c r="D12" i="13"/>
  <c r="T11" i="13"/>
  <c r="S11" i="13"/>
  <c r="Q11" i="13"/>
  <c r="P11" i="13"/>
  <c r="N11" i="13"/>
  <c r="M11" i="13"/>
  <c r="K11" i="13"/>
  <c r="J11" i="13"/>
  <c r="H11" i="13"/>
  <c r="G11" i="13"/>
  <c r="E11" i="13"/>
  <c r="D11" i="13"/>
  <c r="T10" i="13"/>
  <c r="S10" i="13"/>
  <c r="Q10" i="13"/>
  <c r="P10" i="13"/>
  <c r="N10" i="13"/>
  <c r="M10" i="13"/>
  <c r="K10" i="13"/>
  <c r="J10" i="13"/>
  <c r="H10" i="13"/>
  <c r="G10" i="13"/>
  <c r="E10" i="13"/>
  <c r="D10" i="13"/>
  <c r="T9" i="13"/>
  <c r="S9" i="13"/>
  <c r="Q9" i="13"/>
  <c r="P9" i="13"/>
  <c r="N9" i="13"/>
  <c r="M9" i="13"/>
  <c r="K9" i="13"/>
  <c r="J9" i="13"/>
  <c r="H9" i="13"/>
  <c r="G9" i="13"/>
  <c r="E9" i="13"/>
  <c r="D9" i="13"/>
  <c r="T8" i="13"/>
  <c r="S8" i="13"/>
  <c r="Q8" i="13"/>
  <c r="P8" i="13"/>
  <c r="N8" i="13"/>
  <c r="M8" i="13"/>
  <c r="K8" i="13"/>
  <c r="J8" i="13"/>
  <c r="H8" i="13"/>
  <c r="G8" i="13"/>
  <c r="E8" i="13"/>
  <c r="D8" i="13"/>
  <c r="T7" i="13"/>
  <c r="S7" i="13"/>
  <c r="Q7" i="13"/>
  <c r="P7" i="13"/>
  <c r="N7" i="13"/>
  <c r="M7" i="13"/>
  <c r="K7" i="13"/>
  <c r="J7" i="13"/>
  <c r="H7" i="13"/>
  <c r="G7" i="13"/>
  <c r="E7" i="13"/>
  <c r="D7" i="13"/>
  <c r="T6" i="13"/>
  <c r="S6" i="13"/>
  <c r="Q6" i="13"/>
  <c r="P6" i="13"/>
  <c r="N6" i="13"/>
  <c r="M6" i="13"/>
  <c r="K6" i="13"/>
  <c r="J6" i="13"/>
  <c r="H6" i="13"/>
  <c r="G6" i="13"/>
  <c r="E6" i="13"/>
  <c r="D6" i="13"/>
  <c r="T5" i="13"/>
  <c r="S5" i="13"/>
  <c r="Q5" i="13"/>
  <c r="P5" i="13"/>
  <c r="N5" i="13"/>
  <c r="M5" i="13"/>
  <c r="K5" i="13"/>
  <c r="J5" i="13"/>
  <c r="H5" i="13"/>
  <c r="G5" i="13"/>
  <c r="E5" i="13"/>
  <c r="D5" i="13"/>
  <c r="T4" i="13"/>
  <c r="S4" i="13"/>
  <c r="Q4" i="13"/>
  <c r="P4" i="13"/>
  <c r="N4" i="13"/>
  <c r="M4" i="13"/>
  <c r="K4" i="13"/>
  <c r="J4" i="13"/>
  <c r="H4" i="13"/>
  <c r="G4" i="13"/>
  <c r="E4" i="13"/>
  <c r="D4" i="13"/>
  <c r="T3" i="13"/>
  <c r="S3" i="13"/>
  <c r="Q3" i="13"/>
  <c r="P3" i="13"/>
  <c r="N3" i="13"/>
  <c r="M3" i="13"/>
  <c r="K3" i="13"/>
  <c r="J3" i="13"/>
  <c r="H3" i="13"/>
  <c r="G3" i="13"/>
  <c r="E3" i="13"/>
  <c r="D3" i="13"/>
  <c r="I261" i="8"/>
  <c r="H261" i="8"/>
  <c r="G261" i="8"/>
  <c r="F261" i="8"/>
  <c r="E261" i="8"/>
  <c r="D261" i="8"/>
  <c r="C261" i="8"/>
  <c r="B261" i="8"/>
  <c r="I260" i="8"/>
  <c r="H260" i="8"/>
  <c r="G260" i="8"/>
  <c r="F260" i="8"/>
  <c r="E260" i="8"/>
  <c r="D260" i="8"/>
  <c r="C260" i="8"/>
  <c r="B260" i="8"/>
  <c r="I259" i="8"/>
  <c r="H259" i="8"/>
  <c r="G259" i="8"/>
  <c r="F259" i="8"/>
  <c r="E259" i="8"/>
  <c r="D259" i="8"/>
  <c r="C259" i="8"/>
  <c r="B259" i="8"/>
  <c r="I258" i="8"/>
  <c r="H258" i="8"/>
  <c r="G258" i="8"/>
  <c r="F258" i="8"/>
  <c r="E258" i="8"/>
  <c r="D258" i="8"/>
  <c r="C258" i="8"/>
  <c r="B258" i="8"/>
  <c r="I257" i="8"/>
  <c r="H257" i="8"/>
  <c r="G257" i="8"/>
  <c r="F257" i="8"/>
  <c r="E257" i="8"/>
  <c r="D257" i="8"/>
  <c r="C257" i="8"/>
  <c r="B257" i="8"/>
  <c r="I256" i="8"/>
  <c r="H256" i="8"/>
  <c r="G256" i="8"/>
  <c r="F256" i="8"/>
  <c r="E256" i="8"/>
  <c r="D256" i="8"/>
  <c r="C256" i="8"/>
  <c r="B256" i="8"/>
  <c r="I255" i="8"/>
  <c r="H255" i="8"/>
  <c r="G255" i="8"/>
  <c r="F255" i="8"/>
  <c r="E255" i="8"/>
  <c r="D255" i="8"/>
  <c r="C255" i="8"/>
  <c r="B255" i="8"/>
  <c r="I254" i="8"/>
  <c r="H254" i="8"/>
  <c r="G254" i="8"/>
  <c r="F254" i="8"/>
  <c r="E254" i="8"/>
  <c r="D254" i="8"/>
  <c r="C254" i="8"/>
  <c r="B254" i="8"/>
  <c r="I253" i="8"/>
  <c r="H253" i="8"/>
  <c r="G253" i="8"/>
  <c r="F253" i="8"/>
  <c r="E253" i="8"/>
  <c r="D253" i="8"/>
  <c r="C253" i="8"/>
  <c r="B253" i="8"/>
  <c r="I252" i="8"/>
  <c r="H252" i="8"/>
  <c r="G252" i="8"/>
  <c r="F252" i="8"/>
  <c r="E252" i="8"/>
  <c r="D252" i="8"/>
  <c r="C252" i="8"/>
  <c r="B252" i="8"/>
  <c r="I251" i="8"/>
  <c r="H251" i="8"/>
  <c r="G251" i="8"/>
  <c r="F251" i="8"/>
  <c r="E251" i="8"/>
  <c r="D251" i="8"/>
  <c r="C251" i="8"/>
  <c r="B251" i="8"/>
  <c r="I250" i="8"/>
  <c r="H250" i="8"/>
  <c r="G250" i="8"/>
  <c r="F250" i="8"/>
  <c r="E250" i="8"/>
  <c r="D250" i="8"/>
  <c r="C250" i="8"/>
  <c r="B250" i="8"/>
  <c r="I249" i="8"/>
  <c r="H249" i="8"/>
  <c r="G249" i="8"/>
  <c r="F249" i="8"/>
  <c r="E249" i="8"/>
  <c r="D249" i="8"/>
  <c r="C249" i="8"/>
  <c r="B249" i="8"/>
  <c r="I248" i="8"/>
  <c r="H248" i="8"/>
  <c r="G248" i="8"/>
  <c r="F248" i="8"/>
  <c r="E248" i="8"/>
  <c r="D248" i="8"/>
  <c r="C248" i="8"/>
  <c r="B248" i="8"/>
  <c r="I247" i="8"/>
  <c r="H247" i="8"/>
  <c r="G247" i="8"/>
  <c r="F247" i="8"/>
  <c r="E247" i="8"/>
  <c r="D247" i="8"/>
  <c r="C247" i="8"/>
  <c r="B247" i="8"/>
  <c r="I246" i="8"/>
  <c r="H246" i="8"/>
  <c r="G246" i="8"/>
  <c r="F246" i="8"/>
  <c r="E246" i="8"/>
  <c r="D246" i="8"/>
  <c r="C246" i="8"/>
  <c r="B246" i="8"/>
  <c r="I245" i="8"/>
  <c r="H245" i="8"/>
  <c r="G245" i="8"/>
  <c r="F245" i="8"/>
  <c r="E245" i="8"/>
  <c r="D245" i="8"/>
  <c r="C245" i="8"/>
  <c r="B245" i="8"/>
  <c r="I244" i="8"/>
  <c r="H244" i="8"/>
  <c r="G244" i="8"/>
  <c r="F244" i="8"/>
  <c r="E244" i="8"/>
  <c r="D244" i="8"/>
  <c r="C244" i="8"/>
  <c r="B244" i="8"/>
  <c r="I243" i="8"/>
  <c r="H243" i="8"/>
  <c r="G243" i="8"/>
  <c r="F243" i="8"/>
  <c r="E243" i="8"/>
  <c r="D243" i="8"/>
  <c r="C243" i="8"/>
  <c r="B243" i="8"/>
  <c r="I242" i="8"/>
  <c r="H242" i="8"/>
  <c r="G242" i="8"/>
  <c r="F242" i="8"/>
  <c r="E242" i="8"/>
  <c r="D242" i="8"/>
  <c r="C242" i="8"/>
  <c r="B242" i="8"/>
  <c r="I241" i="8"/>
  <c r="H241" i="8"/>
  <c r="G241" i="8"/>
  <c r="F241" i="8"/>
  <c r="E241" i="8"/>
  <c r="D241" i="8"/>
  <c r="C241" i="8"/>
  <c r="B241" i="8"/>
  <c r="I240" i="8"/>
  <c r="H240" i="8"/>
  <c r="G240" i="8"/>
  <c r="F240" i="8"/>
  <c r="E240" i="8"/>
  <c r="D240" i="8"/>
  <c r="C240" i="8"/>
  <c r="B240" i="8"/>
  <c r="I239" i="8"/>
  <c r="H239" i="8"/>
  <c r="G239" i="8"/>
  <c r="F239" i="8"/>
  <c r="E239" i="8"/>
  <c r="D239" i="8"/>
  <c r="C239" i="8"/>
  <c r="B239" i="8"/>
  <c r="I238" i="8"/>
  <c r="H238" i="8"/>
  <c r="G238" i="8"/>
  <c r="F238" i="8"/>
  <c r="E238" i="8"/>
  <c r="D238" i="8"/>
  <c r="C238" i="8"/>
  <c r="B238" i="8"/>
  <c r="I237" i="8"/>
  <c r="H237" i="8"/>
  <c r="G237" i="8"/>
  <c r="F237" i="8"/>
  <c r="E237" i="8"/>
  <c r="D237" i="8"/>
  <c r="C237" i="8"/>
  <c r="B237" i="8"/>
  <c r="I236" i="8"/>
  <c r="H236" i="8"/>
  <c r="G236" i="8"/>
  <c r="F236" i="8"/>
  <c r="E236" i="8"/>
  <c r="D236" i="8"/>
  <c r="C236" i="8"/>
  <c r="B236" i="8"/>
  <c r="I235" i="8"/>
  <c r="H235" i="8"/>
  <c r="G235" i="8"/>
  <c r="F235" i="8"/>
  <c r="E235" i="8"/>
  <c r="D235" i="8"/>
  <c r="C235" i="8"/>
  <c r="B235" i="8"/>
  <c r="I234" i="8"/>
  <c r="H234" i="8"/>
  <c r="G234" i="8"/>
  <c r="F234" i="8"/>
  <c r="E234" i="8"/>
  <c r="D234" i="8"/>
  <c r="C234" i="8"/>
  <c r="B234" i="8"/>
  <c r="I233" i="8"/>
  <c r="H233" i="8"/>
  <c r="G233" i="8"/>
  <c r="F233" i="8"/>
  <c r="E233" i="8"/>
  <c r="D233" i="8"/>
  <c r="C233" i="8"/>
  <c r="B233" i="8"/>
  <c r="I232" i="8"/>
  <c r="H232" i="8"/>
  <c r="G232" i="8"/>
  <c r="F232" i="8"/>
  <c r="E232" i="8"/>
  <c r="D232" i="8"/>
  <c r="C232" i="8"/>
  <c r="B232" i="8"/>
  <c r="I231" i="8"/>
  <c r="H231" i="8"/>
  <c r="G231" i="8"/>
  <c r="F231" i="8"/>
  <c r="E231" i="8"/>
  <c r="D231" i="8"/>
  <c r="C231" i="8"/>
  <c r="B231" i="8"/>
  <c r="I230" i="8"/>
  <c r="H230" i="8"/>
  <c r="G230" i="8"/>
  <c r="F230" i="8"/>
  <c r="E230" i="8"/>
  <c r="D230" i="8"/>
  <c r="C230" i="8"/>
  <c r="B230" i="8"/>
  <c r="I229" i="8"/>
  <c r="H229" i="8"/>
  <c r="G229" i="8"/>
  <c r="F229" i="8"/>
  <c r="E229" i="8"/>
  <c r="D229" i="8"/>
  <c r="C229" i="8"/>
  <c r="B229" i="8"/>
  <c r="I228" i="8"/>
  <c r="H228" i="8"/>
  <c r="G228" i="8"/>
  <c r="F228" i="8"/>
  <c r="E228" i="8"/>
  <c r="D228" i="8"/>
  <c r="C228" i="8"/>
  <c r="B228" i="8"/>
  <c r="I227" i="8"/>
  <c r="H227" i="8"/>
  <c r="G227" i="8"/>
  <c r="F227" i="8"/>
  <c r="E227" i="8"/>
  <c r="D227" i="8"/>
  <c r="C227" i="8"/>
  <c r="B227" i="8"/>
  <c r="I226" i="8"/>
  <c r="H226" i="8"/>
  <c r="G226" i="8"/>
  <c r="F226" i="8"/>
  <c r="E226" i="8"/>
  <c r="D226" i="8"/>
  <c r="C226" i="8"/>
  <c r="B226" i="8"/>
  <c r="I225" i="8"/>
  <c r="H225" i="8"/>
  <c r="G225" i="8"/>
  <c r="F225" i="8"/>
  <c r="E225" i="8"/>
  <c r="D225" i="8"/>
  <c r="C225" i="8"/>
  <c r="B225" i="8"/>
  <c r="I224" i="8"/>
  <c r="H224" i="8"/>
  <c r="G224" i="8"/>
  <c r="F224" i="8"/>
  <c r="E224" i="8"/>
  <c r="D224" i="8"/>
  <c r="C224" i="8"/>
  <c r="B224" i="8"/>
  <c r="I223" i="8"/>
  <c r="H223" i="8"/>
  <c r="G223" i="8"/>
  <c r="F223" i="8"/>
  <c r="E223" i="8"/>
  <c r="D223" i="8"/>
  <c r="C223" i="8"/>
  <c r="B223" i="8"/>
  <c r="J222" i="8"/>
  <c r="I222" i="8"/>
  <c r="H222" i="8"/>
  <c r="G222" i="8"/>
  <c r="F222" i="8"/>
  <c r="E222" i="8"/>
  <c r="D222" i="8"/>
  <c r="C222" i="8"/>
  <c r="B222" i="8"/>
  <c r="I221" i="8"/>
  <c r="H221" i="8"/>
  <c r="G221" i="8"/>
  <c r="F221" i="8"/>
  <c r="E221" i="8"/>
  <c r="D221" i="8"/>
  <c r="C221" i="8"/>
  <c r="B221" i="8"/>
  <c r="I220" i="8"/>
  <c r="H220" i="8"/>
  <c r="G220" i="8"/>
  <c r="F220" i="8"/>
  <c r="E220" i="8"/>
  <c r="D220" i="8"/>
  <c r="C220" i="8"/>
  <c r="B220" i="8"/>
  <c r="I219" i="8"/>
  <c r="H219" i="8"/>
  <c r="G219" i="8"/>
  <c r="F219" i="8"/>
  <c r="E219" i="8"/>
  <c r="D219" i="8"/>
  <c r="C219" i="8"/>
  <c r="B219" i="8"/>
  <c r="I218" i="8"/>
  <c r="H218" i="8"/>
  <c r="G218" i="8"/>
  <c r="F218" i="8"/>
  <c r="E218" i="8"/>
  <c r="D218" i="8"/>
  <c r="C218" i="8"/>
  <c r="B218" i="8"/>
  <c r="I217" i="8"/>
  <c r="H217" i="8"/>
  <c r="G217" i="8"/>
  <c r="F217" i="8"/>
  <c r="E217" i="8"/>
  <c r="D217" i="8"/>
  <c r="C217" i="8"/>
  <c r="B217" i="8"/>
  <c r="I216" i="8"/>
  <c r="H216" i="8"/>
  <c r="G216" i="8"/>
  <c r="F216" i="8"/>
  <c r="E216" i="8"/>
  <c r="D216" i="8"/>
  <c r="C216" i="8"/>
  <c r="B216" i="8"/>
  <c r="I215" i="8"/>
  <c r="H215" i="8"/>
  <c r="G215" i="8"/>
  <c r="F215" i="8"/>
  <c r="E215" i="8"/>
  <c r="D215" i="8"/>
  <c r="C215" i="8"/>
  <c r="B215" i="8"/>
  <c r="I214" i="8"/>
  <c r="H214" i="8"/>
  <c r="G214" i="8"/>
  <c r="F214" i="8"/>
  <c r="E214" i="8"/>
  <c r="D214" i="8"/>
  <c r="C214" i="8"/>
  <c r="B214" i="8"/>
  <c r="I213" i="8"/>
  <c r="H213" i="8"/>
  <c r="G213" i="8"/>
  <c r="F213" i="8"/>
  <c r="E213" i="8"/>
  <c r="D213" i="8"/>
  <c r="C213" i="8"/>
  <c r="B213" i="8"/>
  <c r="I212" i="8"/>
  <c r="H212" i="8"/>
  <c r="G212" i="8"/>
  <c r="F212" i="8"/>
  <c r="E212" i="8"/>
  <c r="D212" i="8"/>
  <c r="C212" i="8"/>
  <c r="B212" i="8"/>
  <c r="I211" i="8"/>
  <c r="H211" i="8"/>
  <c r="G211" i="8"/>
  <c r="F211" i="8"/>
  <c r="E211" i="8"/>
  <c r="D211" i="8"/>
  <c r="C211" i="8"/>
  <c r="B211" i="8"/>
  <c r="I210" i="8"/>
  <c r="K210" i="8" s="1"/>
  <c r="L210" i="8" s="1"/>
  <c r="H210" i="8"/>
  <c r="G210" i="8"/>
  <c r="F210" i="8"/>
  <c r="E210" i="8"/>
  <c r="D210" i="8"/>
  <c r="C210" i="8"/>
  <c r="B210" i="8"/>
  <c r="I209" i="8"/>
  <c r="H209" i="8"/>
  <c r="G209" i="8"/>
  <c r="F209" i="8"/>
  <c r="E209" i="8"/>
  <c r="D209" i="8"/>
  <c r="C209" i="8"/>
  <c r="B209" i="8"/>
  <c r="I208" i="8"/>
  <c r="H208" i="8"/>
  <c r="G208" i="8"/>
  <c r="F208" i="8"/>
  <c r="E208" i="8"/>
  <c r="D208" i="8"/>
  <c r="C208" i="8"/>
  <c r="B208" i="8"/>
  <c r="I207" i="8"/>
  <c r="H207" i="8"/>
  <c r="G207" i="8"/>
  <c r="F207" i="8"/>
  <c r="E207" i="8"/>
  <c r="D207" i="8"/>
  <c r="C207" i="8"/>
  <c r="B207" i="8"/>
  <c r="I206" i="8"/>
  <c r="H206" i="8"/>
  <c r="G206" i="8"/>
  <c r="F206" i="8"/>
  <c r="E206" i="8"/>
  <c r="D206" i="8"/>
  <c r="C206" i="8"/>
  <c r="B206" i="8"/>
  <c r="I205" i="8"/>
  <c r="H205" i="8"/>
  <c r="G205" i="8"/>
  <c r="F205" i="8"/>
  <c r="E205" i="8"/>
  <c r="D205" i="8"/>
  <c r="C205" i="8"/>
  <c r="B205" i="8"/>
  <c r="I204" i="8"/>
  <c r="K204" i="8" s="1"/>
  <c r="L204" i="8" s="1"/>
  <c r="H204" i="8"/>
  <c r="G204" i="8"/>
  <c r="F204" i="8"/>
  <c r="E204" i="8"/>
  <c r="D204" i="8"/>
  <c r="C204" i="8"/>
  <c r="B204" i="8"/>
  <c r="I203" i="8"/>
  <c r="H203" i="8"/>
  <c r="G203" i="8"/>
  <c r="F203" i="8"/>
  <c r="E203" i="8"/>
  <c r="D203" i="8"/>
  <c r="C203" i="8"/>
  <c r="B203" i="8"/>
  <c r="I202" i="8"/>
  <c r="K202" i="8" s="1"/>
  <c r="L202" i="8" s="1"/>
  <c r="H202" i="8"/>
  <c r="G202" i="8"/>
  <c r="F202" i="8"/>
  <c r="E202" i="8"/>
  <c r="D202" i="8"/>
  <c r="C202" i="8"/>
  <c r="B202" i="8"/>
  <c r="I201" i="8"/>
  <c r="H201" i="8"/>
  <c r="G201" i="8"/>
  <c r="F201" i="8"/>
  <c r="E201" i="8"/>
  <c r="D201" i="8"/>
  <c r="C201" i="8"/>
  <c r="B201" i="8"/>
  <c r="I200" i="8"/>
  <c r="H200" i="8"/>
  <c r="G200" i="8"/>
  <c r="F200" i="8"/>
  <c r="E200" i="8"/>
  <c r="D200" i="8"/>
  <c r="C200" i="8"/>
  <c r="B200" i="8"/>
  <c r="J199" i="8"/>
  <c r="I199" i="8"/>
  <c r="H199" i="8"/>
  <c r="G199" i="8"/>
  <c r="F199" i="8"/>
  <c r="E199" i="8"/>
  <c r="D199" i="8"/>
  <c r="C199" i="8"/>
  <c r="B199" i="8"/>
  <c r="I198" i="8"/>
  <c r="H198" i="8"/>
  <c r="G198" i="8"/>
  <c r="F198" i="8"/>
  <c r="E198" i="8"/>
  <c r="D198" i="8"/>
  <c r="C198" i="8"/>
  <c r="B198" i="8"/>
  <c r="I197" i="8"/>
  <c r="H197" i="8"/>
  <c r="G197" i="8"/>
  <c r="F197" i="8"/>
  <c r="E197" i="8"/>
  <c r="D197" i="8"/>
  <c r="C197" i="8"/>
  <c r="B197" i="8"/>
  <c r="I196" i="8"/>
  <c r="H196" i="8"/>
  <c r="G196" i="8"/>
  <c r="F196" i="8"/>
  <c r="E196" i="8"/>
  <c r="D196" i="8"/>
  <c r="C196" i="8"/>
  <c r="B196" i="8"/>
  <c r="I195" i="8"/>
  <c r="H195" i="8"/>
  <c r="G195" i="8"/>
  <c r="F195" i="8"/>
  <c r="E195" i="8"/>
  <c r="D195" i="8"/>
  <c r="C195" i="8"/>
  <c r="B195" i="8"/>
  <c r="I194" i="8"/>
  <c r="H194" i="8"/>
  <c r="G194" i="8"/>
  <c r="F194" i="8"/>
  <c r="E194" i="8"/>
  <c r="D194" i="8"/>
  <c r="C194" i="8"/>
  <c r="B194" i="8"/>
  <c r="I193" i="8"/>
  <c r="H193" i="8"/>
  <c r="G193" i="8"/>
  <c r="F193" i="8"/>
  <c r="E193" i="8"/>
  <c r="D193" i="8"/>
  <c r="C193" i="8"/>
  <c r="B193" i="8"/>
  <c r="I192" i="8"/>
  <c r="H192" i="8"/>
  <c r="G192" i="8"/>
  <c r="F192" i="8"/>
  <c r="E192" i="8"/>
  <c r="D192" i="8"/>
  <c r="C192" i="8"/>
  <c r="B192" i="8"/>
  <c r="I191" i="8"/>
  <c r="H191" i="8"/>
  <c r="G191" i="8"/>
  <c r="F191" i="8"/>
  <c r="E191" i="8"/>
  <c r="D191" i="8"/>
  <c r="C191" i="8"/>
  <c r="B191" i="8"/>
  <c r="I190" i="8"/>
  <c r="H190" i="8"/>
  <c r="G190" i="8"/>
  <c r="F190" i="8"/>
  <c r="E190" i="8"/>
  <c r="D190" i="8"/>
  <c r="C190" i="8"/>
  <c r="B190" i="8"/>
  <c r="I189" i="8"/>
  <c r="H189" i="8"/>
  <c r="G189" i="8"/>
  <c r="F189" i="8"/>
  <c r="E189" i="8"/>
  <c r="D189" i="8"/>
  <c r="C189" i="8"/>
  <c r="B189" i="8"/>
  <c r="I188" i="8"/>
  <c r="H188" i="8"/>
  <c r="G188" i="8"/>
  <c r="F188" i="8"/>
  <c r="E188" i="8"/>
  <c r="D188" i="8"/>
  <c r="C188" i="8"/>
  <c r="B188" i="8"/>
  <c r="I187" i="8"/>
  <c r="H187" i="8"/>
  <c r="G187" i="8"/>
  <c r="F187" i="8"/>
  <c r="E187" i="8"/>
  <c r="D187" i="8"/>
  <c r="C187" i="8"/>
  <c r="B187" i="8"/>
  <c r="I186" i="8"/>
  <c r="H186" i="8"/>
  <c r="G186" i="8"/>
  <c r="F186" i="8"/>
  <c r="E186" i="8"/>
  <c r="D186" i="8"/>
  <c r="C186" i="8"/>
  <c r="B186" i="8"/>
  <c r="I185" i="8"/>
  <c r="H185" i="8"/>
  <c r="G185" i="8"/>
  <c r="F185" i="8"/>
  <c r="E185" i="8"/>
  <c r="D185" i="8"/>
  <c r="C185" i="8"/>
  <c r="B185" i="8"/>
  <c r="I184" i="8"/>
  <c r="H184" i="8"/>
  <c r="G184" i="8"/>
  <c r="F184" i="8"/>
  <c r="E184" i="8"/>
  <c r="D184" i="8"/>
  <c r="C184" i="8"/>
  <c r="B184" i="8"/>
  <c r="I183" i="8"/>
  <c r="H183" i="8"/>
  <c r="G183" i="8"/>
  <c r="F183" i="8"/>
  <c r="E183" i="8"/>
  <c r="D183" i="8"/>
  <c r="C183" i="8"/>
  <c r="B183" i="8"/>
  <c r="I182" i="8"/>
  <c r="K182" i="8" s="1"/>
  <c r="L182" i="8" s="1"/>
  <c r="H182" i="8"/>
  <c r="G182" i="8"/>
  <c r="F182" i="8"/>
  <c r="E182" i="8"/>
  <c r="D182" i="8"/>
  <c r="C182" i="8"/>
  <c r="B182" i="8"/>
  <c r="I181" i="8"/>
  <c r="H181" i="8"/>
  <c r="G181" i="8"/>
  <c r="F181" i="8"/>
  <c r="E181" i="8"/>
  <c r="D181" i="8"/>
  <c r="C181" i="8"/>
  <c r="B181" i="8"/>
  <c r="I180" i="8"/>
  <c r="H180" i="8"/>
  <c r="G180" i="8"/>
  <c r="F180" i="8"/>
  <c r="E180" i="8"/>
  <c r="D180" i="8"/>
  <c r="C180" i="8"/>
  <c r="B180" i="8"/>
  <c r="I179" i="8"/>
  <c r="H179" i="8"/>
  <c r="G179" i="8"/>
  <c r="F179" i="8"/>
  <c r="E179" i="8"/>
  <c r="D179" i="8"/>
  <c r="C179" i="8"/>
  <c r="B179" i="8"/>
  <c r="I178" i="8"/>
  <c r="H178" i="8"/>
  <c r="G178" i="8"/>
  <c r="F178" i="8"/>
  <c r="E178" i="8"/>
  <c r="D178" i="8"/>
  <c r="C178" i="8"/>
  <c r="B178" i="8"/>
  <c r="I177" i="8"/>
  <c r="H177" i="8"/>
  <c r="G177" i="8"/>
  <c r="F177" i="8"/>
  <c r="E177" i="8"/>
  <c r="D177" i="8"/>
  <c r="C177" i="8"/>
  <c r="B177" i="8"/>
  <c r="I176" i="8"/>
  <c r="K176" i="8" s="1"/>
  <c r="L176" i="8" s="1"/>
  <c r="H176" i="8"/>
  <c r="G176" i="8"/>
  <c r="F176" i="8"/>
  <c r="E176" i="8"/>
  <c r="D176" i="8"/>
  <c r="C176" i="8"/>
  <c r="B176" i="8"/>
  <c r="I175" i="8"/>
  <c r="H175" i="8"/>
  <c r="G175" i="8"/>
  <c r="F175" i="8"/>
  <c r="E175" i="8"/>
  <c r="D175" i="8"/>
  <c r="C175" i="8"/>
  <c r="B175" i="8"/>
  <c r="I174" i="8"/>
  <c r="H174" i="8"/>
  <c r="G174" i="8"/>
  <c r="F174" i="8"/>
  <c r="E174" i="8"/>
  <c r="D174" i="8"/>
  <c r="C174" i="8"/>
  <c r="B174" i="8"/>
  <c r="I173" i="8"/>
  <c r="H173" i="8"/>
  <c r="G173" i="8"/>
  <c r="F173" i="8"/>
  <c r="E173" i="8"/>
  <c r="D173" i="8"/>
  <c r="C173" i="8"/>
  <c r="B173" i="8"/>
  <c r="I172" i="8"/>
  <c r="H172" i="8"/>
  <c r="G172" i="8"/>
  <c r="F172" i="8"/>
  <c r="E172" i="8"/>
  <c r="D172" i="8"/>
  <c r="C172" i="8"/>
  <c r="B172" i="8"/>
  <c r="I171" i="8"/>
  <c r="H171" i="8"/>
  <c r="G171" i="8"/>
  <c r="F171" i="8"/>
  <c r="E171" i="8"/>
  <c r="D171" i="8"/>
  <c r="C171" i="8"/>
  <c r="B171" i="8"/>
  <c r="I170" i="8"/>
  <c r="H170" i="8"/>
  <c r="G170" i="8"/>
  <c r="F170" i="8"/>
  <c r="E170" i="8"/>
  <c r="D170" i="8"/>
  <c r="C170" i="8"/>
  <c r="B170" i="8"/>
  <c r="I169" i="8"/>
  <c r="H169" i="8"/>
  <c r="G169" i="8"/>
  <c r="F169" i="8"/>
  <c r="E169" i="8"/>
  <c r="D169" i="8"/>
  <c r="C169" i="8"/>
  <c r="B169" i="8"/>
  <c r="I168" i="8"/>
  <c r="H168" i="8"/>
  <c r="G168" i="8"/>
  <c r="F168" i="8"/>
  <c r="E168" i="8"/>
  <c r="D168" i="8"/>
  <c r="C168" i="8"/>
  <c r="B168" i="8"/>
  <c r="I167" i="8"/>
  <c r="H167" i="8"/>
  <c r="G167" i="8"/>
  <c r="F167" i="8"/>
  <c r="E167" i="8"/>
  <c r="D167" i="8"/>
  <c r="C167" i="8"/>
  <c r="B167" i="8"/>
  <c r="I166" i="8"/>
  <c r="H166" i="8"/>
  <c r="G166" i="8"/>
  <c r="F166" i="8"/>
  <c r="E166" i="8"/>
  <c r="D166" i="8"/>
  <c r="C166" i="8"/>
  <c r="B166" i="8"/>
  <c r="I165" i="8"/>
  <c r="H165" i="8"/>
  <c r="G165" i="8"/>
  <c r="F165" i="8"/>
  <c r="E165" i="8"/>
  <c r="D165" i="8"/>
  <c r="C165" i="8"/>
  <c r="B165" i="8"/>
  <c r="I164" i="8"/>
  <c r="H164" i="8"/>
  <c r="G164" i="8"/>
  <c r="F164" i="8"/>
  <c r="E164" i="8"/>
  <c r="D164" i="8"/>
  <c r="C164" i="8"/>
  <c r="B164" i="8"/>
  <c r="I163" i="8"/>
  <c r="H163" i="8"/>
  <c r="G163" i="8"/>
  <c r="F163" i="8"/>
  <c r="E163" i="8"/>
  <c r="D163" i="8"/>
  <c r="C163" i="8"/>
  <c r="B163" i="8"/>
  <c r="I162" i="8"/>
  <c r="H162" i="8"/>
  <c r="G162" i="8"/>
  <c r="F162" i="8"/>
  <c r="E162" i="8"/>
  <c r="D162" i="8"/>
  <c r="C162" i="8"/>
  <c r="B162" i="8"/>
  <c r="I161" i="8"/>
  <c r="H161" i="8"/>
  <c r="G161" i="8"/>
  <c r="F161" i="8"/>
  <c r="E161" i="8"/>
  <c r="D161" i="8"/>
  <c r="C161" i="8"/>
  <c r="B161" i="8"/>
  <c r="I160" i="8"/>
  <c r="H160" i="8"/>
  <c r="G160" i="8"/>
  <c r="F160" i="8"/>
  <c r="E160" i="8"/>
  <c r="D160" i="8"/>
  <c r="C160" i="8"/>
  <c r="B160" i="8"/>
  <c r="I159" i="8"/>
  <c r="H159" i="8"/>
  <c r="G159" i="8"/>
  <c r="F159" i="8"/>
  <c r="E159" i="8"/>
  <c r="D159" i="8"/>
  <c r="C159" i="8"/>
  <c r="B159" i="8"/>
  <c r="I158" i="8"/>
  <c r="H158" i="8"/>
  <c r="G158" i="8"/>
  <c r="F158" i="8"/>
  <c r="E158" i="8"/>
  <c r="D158" i="8"/>
  <c r="C158" i="8"/>
  <c r="B158" i="8"/>
  <c r="I157" i="8"/>
  <c r="H157" i="8"/>
  <c r="G157" i="8"/>
  <c r="F157" i="8"/>
  <c r="E157" i="8"/>
  <c r="D157" i="8"/>
  <c r="C157" i="8"/>
  <c r="B157" i="8"/>
  <c r="I156" i="8"/>
  <c r="H156" i="8"/>
  <c r="G156" i="8"/>
  <c r="F156" i="8"/>
  <c r="E156" i="8"/>
  <c r="D156" i="8"/>
  <c r="C156" i="8"/>
  <c r="B156" i="8"/>
  <c r="I155" i="8"/>
  <c r="H155" i="8"/>
  <c r="G155" i="8"/>
  <c r="F155" i="8"/>
  <c r="E155" i="8"/>
  <c r="D155" i="8"/>
  <c r="C155" i="8"/>
  <c r="B155" i="8"/>
  <c r="I154" i="8"/>
  <c r="K154" i="8" s="1"/>
  <c r="L154" i="8" s="1"/>
  <c r="H154" i="8"/>
  <c r="G154" i="8"/>
  <c r="F154" i="8"/>
  <c r="E154" i="8"/>
  <c r="D154" i="8"/>
  <c r="C154" i="8"/>
  <c r="B154" i="8"/>
  <c r="I153" i="8"/>
  <c r="H153" i="8"/>
  <c r="G153" i="8"/>
  <c r="F153" i="8"/>
  <c r="E153" i="8"/>
  <c r="D153" i="8"/>
  <c r="C153" i="8"/>
  <c r="B153" i="8"/>
  <c r="I152" i="8"/>
  <c r="K152" i="8" s="1"/>
  <c r="L152" i="8" s="1"/>
  <c r="H152" i="8"/>
  <c r="G152" i="8"/>
  <c r="F152" i="8"/>
  <c r="E152" i="8"/>
  <c r="D152" i="8"/>
  <c r="C152" i="8"/>
  <c r="B152" i="8"/>
  <c r="I151" i="8"/>
  <c r="H151" i="8"/>
  <c r="G151" i="8"/>
  <c r="F151" i="8"/>
  <c r="E151" i="8"/>
  <c r="D151" i="8"/>
  <c r="C151" i="8"/>
  <c r="B151" i="8"/>
  <c r="I150" i="8"/>
  <c r="H150" i="8"/>
  <c r="G150" i="8"/>
  <c r="F150" i="8"/>
  <c r="E150" i="8"/>
  <c r="D150" i="8"/>
  <c r="C150" i="8"/>
  <c r="B150" i="8"/>
  <c r="I149" i="8"/>
  <c r="H149" i="8"/>
  <c r="G149" i="8"/>
  <c r="F149" i="8"/>
  <c r="E149" i="8"/>
  <c r="D149" i="8"/>
  <c r="C149" i="8"/>
  <c r="B149" i="8"/>
  <c r="J148" i="8"/>
  <c r="I148" i="8"/>
  <c r="H148" i="8"/>
  <c r="G148" i="8"/>
  <c r="F148" i="8"/>
  <c r="E148" i="8"/>
  <c r="D148" i="8"/>
  <c r="C148" i="8"/>
  <c r="B148" i="8"/>
  <c r="I147" i="8"/>
  <c r="H147" i="8"/>
  <c r="G147" i="8"/>
  <c r="F147" i="8"/>
  <c r="E147" i="8"/>
  <c r="D147" i="8"/>
  <c r="C147" i="8"/>
  <c r="B147" i="8"/>
  <c r="I146" i="8"/>
  <c r="H146" i="8"/>
  <c r="G146" i="8"/>
  <c r="F146" i="8"/>
  <c r="E146" i="8"/>
  <c r="D146" i="8"/>
  <c r="C146" i="8"/>
  <c r="B146" i="8"/>
  <c r="I145" i="8"/>
  <c r="H145" i="8"/>
  <c r="G145" i="8"/>
  <c r="F145" i="8"/>
  <c r="E145" i="8"/>
  <c r="D145" i="8"/>
  <c r="C145" i="8"/>
  <c r="B145" i="8"/>
  <c r="I144" i="8"/>
  <c r="H144" i="8"/>
  <c r="G144" i="8"/>
  <c r="F144" i="8"/>
  <c r="E144" i="8"/>
  <c r="D144" i="8"/>
  <c r="C144" i="8"/>
  <c r="B144" i="8"/>
  <c r="I143" i="8"/>
  <c r="H143" i="8"/>
  <c r="G143" i="8"/>
  <c r="F143" i="8"/>
  <c r="E143" i="8"/>
  <c r="D143" i="8"/>
  <c r="C143" i="8"/>
  <c r="B143" i="8"/>
  <c r="I142" i="8"/>
  <c r="H142" i="8"/>
  <c r="G142" i="8"/>
  <c r="F142" i="8"/>
  <c r="E142" i="8"/>
  <c r="D142" i="8"/>
  <c r="C142" i="8"/>
  <c r="B142" i="8"/>
  <c r="I141" i="8"/>
  <c r="H141" i="8"/>
  <c r="G141" i="8"/>
  <c r="F141" i="8"/>
  <c r="E141" i="8"/>
  <c r="D141" i="8"/>
  <c r="C141" i="8"/>
  <c r="B141" i="8"/>
  <c r="I140" i="8"/>
  <c r="H140" i="8"/>
  <c r="G140" i="8"/>
  <c r="F140" i="8"/>
  <c r="E140" i="8"/>
  <c r="D140" i="8"/>
  <c r="C140" i="8"/>
  <c r="B140" i="8"/>
  <c r="I139" i="8"/>
  <c r="H139" i="8"/>
  <c r="G139" i="8"/>
  <c r="F139" i="8"/>
  <c r="E139" i="8"/>
  <c r="D139" i="8"/>
  <c r="C139" i="8"/>
  <c r="B139" i="8"/>
  <c r="J138" i="8"/>
  <c r="I138" i="8"/>
  <c r="H138" i="8"/>
  <c r="G138" i="8"/>
  <c r="F138" i="8"/>
  <c r="E138" i="8"/>
  <c r="D138" i="8"/>
  <c r="C138" i="8"/>
  <c r="B138" i="8"/>
  <c r="I137" i="8"/>
  <c r="H137" i="8"/>
  <c r="G137" i="8"/>
  <c r="F137" i="8"/>
  <c r="E137" i="8"/>
  <c r="D137" i="8"/>
  <c r="C137" i="8"/>
  <c r="B137" i="8"/>
  <c r="I136" i="8"/>
  <c r="H136" i="8"/>
  <c r="G136" i="8"/>
  <c r="F136" i="8"/>
  <c r="E136" i="8"/>
  <c r="D136" i="8"/>
  <c r="C136" i="8"/>
  <c r="B136" i="8"/>
  <c r="I135" i="8"/>
  <c r="H135" i="8"/>
  <c r="G135" i="8"/>
  <c r="F135" i="8"/>
  <c r="E135" i="8"/>
  <c r="D135" i="8"/>
  <c r="C135" i="8"/>
  <c r="B135" i="8"/>
  <c r="I134" i="8"/>
  <c r="H134" i="8"/>
  <c r="G134" i="8"/>
  <c r="F134" i="8"/>
  <c r="E134" i="8"/>
  <c r="D134" i="8"/>
  <c r="C134" i="8"/>
  <c r="B134" i="8"/>
  <c r="I133" i="8"/>
  <c r="H133" i="8"/>
  <c r="G133" i="8"/>
  <c r="F133" i="8"/>
  <c r="E133" i="8"/>
  <c r="D133" i="8"/>
  <c r="C133" i="8"/>
  <c r="B133" i="8"/>
  <c r="I132" i="8"/>
  <c r="H132" i="8"/>
  <c r="G132" i="8"/>
  <c r="F132" i="8"/>
  <c r="E132" i="8"/>
  <c r="D132" i="8"/>
  <c r="C132" i="8"/>
  <c r="B132" i="8"/>
  <c r="I131" i="8"/>
  <c r="H131" i="8"/>
  <c r="G131" i="8"/>
  <c r="F131" i="8"/>
  <c r="E131" i="8"/>
  <c r="D131" i="8"/>
  <c r="C131" i="8"/>
  <c r="B131" i="8"/>
  <c r="I130" i="8"/>
  <c r="H130" i="8"/>
  <c r="G130" i="8"/>
  <c r="F130" i="8"/>
  <c r="E130" i="8"/>
  <c r="D130" i="8"/>
  <c r="C130" i="8"/>
  <c r="B130" i="8"/>
  <c r="J129" i="8"/>
  <c r="I129" i="8"/>
  <c r="H129" i="8"/>
  <c r="G129" i="8"/>
  <c r="F129" i="8"/>
  <c r="E129" i="8"/>
  <c r="D129" i="8"/>
  <c r="C129" i="8"/>
  <c r="B129" i="8"/>
  <c r="I128" i="8"/>
  <c r="H128" i="8"/>
  <c r="G128" i="8"/>
  <c r="F128" i="8"/>
  <c r="E128" i="8"/>
  <c r="D128" i="8"/>
  <c r="C128" i="8"/>
  <c r="B128" i="8"/>
  <c r="J127" i="8"/>
  <c r="I127" i="8"/>
  <c r="H127" i="8"/>
  <c r="G127" i="8"/>
  <c r="F127" i="8"/>
  <c r="E127" i="8"/>
  <c r="D127" i="8"/>
  <c r="C127" i="8"/>
  <c r="B127" i="8"/>
  <c r="I126" i="8"/>
  <c r="H126" i="8"/>
  <c r="G126" i="8"/>
  <c r="F126" i="8"/>
  <c r="E126" i="8"/>
  <c r="D126" i="8"/>
  <c r="C126" i="8"/>
  <c r="B126" i="8"/>
  <c r="I125" i="8"/>
  <c r="H125" i="8"/>
  <c r="G125" i="8"/>
  <c r="F125" i="8"/>
  <c r="E125" i="8"/>
  <c r="D125" i="8"/>
  <c r="C125" i="8"/>
  <c r="B125" i="8"/>
  <c r="I124" i="8"/>
  <c r="H124" i="8"/>
  <c r="G124" i="8"/>
  <c r="F124" i="8"/>
  <c r="E124" i="8"/>
  <c r="D124" i="8"/>
  <c r="C124" i="8"/>
  <c r="B124" i="8"/>
  <c r="I123" i="8"/>
  <c r="H123" i="8"/>
  <c r="G123" i="8"/>
  <c r="F123" i="8"/>
  <c r="E123" i="8"/>
  <c r="D123" i="8"/>
  <c r="C123" i="8"/>
  <c r="B123" i="8"/>
  <c r="I122" i="8"/>
  <c r="H122" i="8"/>
  <c r="G122" i="8"/>
  <c r="F122" i="8"/>
  <c r="E122" i="8"/>
  <c r="D122" i="8"/>
  <c r="C122" i="8"/>
  <c r="B122" i="8"/>
  <c r="I121" i="8"/>
  <c r="H121" i="8"/>
  <c r="G121" i="8"/>
  <c r="F121" i="8"/>
  <c r="E121" i="8"/>
  <c r="D121" i="8"/>
  <c r="C121" i="8"/>
  <c r="B121" i="8"/>
  <c r="I120" i="8"/>
  <c r="H120" i="8"/>
  <c r="G120" i="8"/>
  <c r="F120" i="8"/>
  <c r="E120" i="8"/>
  <c r="D120" i="8"/>
  <c r="C120" i="8"/>
  <c r="B120" i="8"/>
  <c r="I119" i="8"/>
  <c r="H119" i="8"/>
  <c r="G119" i="8"/>
  <c r="F119" i="8"/>
  <c r="E119" i="8"/>
  <c r="D119" i="8"/>
  <c r="C119" i="8"/>
  <c r="B119" i="8"/>
  <c r="I118" i="8"/>
  <c r="H118" i="8"/>
  <c r="G118" i="8"/>
  <c r="F118" i="8"/>
  <c r="E118" i="8"/>
  <c r="D118" i="8"/>
  <c r="C118" i="8"/>
  <c r="B118" i="8"/>
  <c r="I117" i="8"/>
  <c r="H117" i="8"/>
  <c r="G117" i="8"/>
  <c r="F117" i="8"/>
  <c r="E117" i="8"/>
  <c r="D117" i="8"/>
  <c r="C117" i="8"/>
  <c r="B117" i="8"/>
  <c r="I116" i="8"/>
  <c r="H116" i="8"/>
  <c r="G116" i="8"/>
  <c r="F116" i="8"/>
  <c r="E116" i="8"/>
  <c r="D116" i="8"/>
  <c r="C116" i="8"/>
  <c r="B116" i="8"/>
  <c r="I115" i="8"/>
  <c r="H115" i="8"/>
  <c r="G115" i="8"/>
  <c r="F115" i="8"/>
  <c r="E115" i="8"/>
  <c r="D115" i="8"/>
  <c r="C115" i="8"/>
  <c r="B115" i="8"/>
  <c r="I114" i="8"/>
  <c r="H114" i="8"/>
  <c r="G114" i="8"/>
  <c r="F114" i="8"/>
  <c r="E114" i="8"/>
  <c r="D114" i="8"/>
  <c r="C114" i="8"/>
  <c r="B114" i="8"/>
  <c r="I113" i="8"/>
  <c r="H113" i="8"/>
  <c r="G113" i="8"/>
  <c r="F113" i="8"/>
  <c r="E113" i="8"/>
  <c r="D113" i="8"/>
  <c r="C113" i="8"/>
  <c r="B113" i="8"/>
  <c r="I112" i="8"/>
  <c r="H112" i="8"/>
  <c r="G112" i="8"/>
  <c r="F112" i="8"/>
  <c r="E112" i="8"/>
  <c r="D112" i="8"/>
  <c r="C112" i="8"/>
  <c r="B112" i="8"/>
  <c r="I111" i="8"/>
  <c r="H111" i="8"/>
  <c r="G111" i="8"/>
  <c r="F111" i="8"/>
  <c r="E111" i="8"/>
  <c r="D111" i="8"/>
  <c r="C111" i="8"/>
  <c r="B111" i="8"/>
  <c r="I110" i="8"/>
  <c r="H110" i="8"/>
  <c r="G110" i="8"/>
  <c r="F110" i="8"/>
  <c r="E110" i="8"/>
  <c r="D110" i="8"/>
  <c r="C110" i="8"/>
  <c r="B110" i="8"/>
  <c r="I109" i="8"/>
  <c r="H109" i="8"/>
  <c r="G109" i="8"/>
  <c r="F109" i="8"/>
  <c r="E109" i="8"/>
  <c r="D109" i="8"/>
  <c r="C109" i="8"/>
  <c r="B109" i="8"/>
  <c r="I108" i="8"/>
  <c r="H108" i="8"/>
  <c r="G108" i="8"/>
  <c r="F108" i="8"/>
  <c r="E108" i="8"/>
  <c r="D108" i="8"/>
  <c r="C108" i="8"/>
  <c r="B108" i="8"/>
  <c r="I107" i="8"/>
  <c r="H107" i="8"/>
  <c r="G107" i="8"/>
  <c r="F107" i="8"/>
  <c r="E107" i="8"/>
  <c r="D107" i="8"/>
  <c r="C107" i="8"/>
  <c r="B107" i="8"/>
  <c r="I106" i="8"/>
  <c r="H106" i="8"/>
  <c r="G106" i="8"/>
  <c r="F106" i="8"/>
  <c r="E106" i="8"/>
  <c r="D106" i="8"/>
  <c r="C106" i="8"/>
  <c r="B106" i="8"/>
  <c r="I105" i="8"/>
  <c r="H105" i="8"/>
  <c r="G105" i="8"/>
  <c r="F105" i="8"/>
  <c r="E105" i="8"/>
  <c r="D105" i="8"/>
  <c r="C105" i="8"/>
  <c r="B105" i="8"/>
  <c r="I104" i="8"/>
  <c r="H104" i="8"/>
  <c r="G104" i="8"/>
  <c r="F104" i="8"/>
  <c r="E104" i="8"/>
  <c r="D104" i="8"/>
  <c r="C104" i="8"/>
  <c r="B104" i="8"/>
  <c r="I103" i="8"/>
  <c r="H103" i="8"/>
  <c r="G103" i="8"/>
  <c r="F103" i="8"/>
  <c r="E103" i="8"/>
  <c r="D103" i="8"/>
  <c r="C103" i="8"/>
  <c r="B103" i="8"/>
  <c r="I102" i="8"/>
  <c r="H102" i="8"/>
  <c r="G102" i="8"/>
  <c r="F102" i="8"/>
  <c r="E102" i="8"/>
  <c r="D102" i="8"/>
  <c r="C102" i="8"/>
  <c r="B102" i="8"/>
  <c r="I101" i="8"/>
  <c r="H101" i="8"/>
  <c r="G101" i="8"/>
  <c r="F101" i="8"/>
  <c r="E101" i="8"/>
  <c r="D101" i="8"/>
  <c r="C101" i="8"/>
  <c r="B101" i="8"/>
  <c r="I100" i="8"/>
  <c r="H100" i="8"/>
  <c r="G100" i="8"/>
  <c r="F100" i="8"/>
  <c r="E100" i="8"/>
  <c r="D100" i="8"/>
  <c r="C100" i="8"/>
  <c r="B100" i="8"/>
  <c r="I99" i="8"/>
  <c r="H99" i="8"/>
  <c r="G99" i="8"/>
  <c r="F99" i="8"/>
  <c r="E99" i="8"/>
  <c r="D99" i="8"/>
  <c r="C99" i="8"/>
  <c r="B99" i="8"/>
  <c r="I98" i="8"/>
  <c r="H98" i="8"/>
  <c r="G98" i="8"/>
  <c r="F98" i="8"/>
  <c r="E98" i="8"/>
  <c r="D98" i="8"/>
  <c r="C98" i="8"/>
  <c r="B98" i="8"/>
  <c r="I97" i="8"/>
  <c r="H97" i="8"/>
  <c r="G97" i="8"/>
  <c r="F97" i="8"/>
  <c r="E97" i="8"/>
  <c r="D97" i="8"/>
  <c r="C97" i="8"/>
  <c r="B97" i="8"/>
  <c r="I96" i="8"/>
  <c r="H96" i="8"/>
  <c r="G96" i="8"/>
  <c r="F96" i="8"/>
  <c r="E96" i="8"/>
  <c r="D96" i="8"/>
  <c r="C96" i="8"/>
  <c r="B96" i="8"/>
  <c r="I95" i="8"/>
  <c r="H95" i="8"/>
  <c r="G95" i="8"/>
  <c r="F95" i="8"/>
  <c r="E95" i="8"/>
  <c r="D95" i="8"/>
  <c r="C95" i="8"/>
  <c r="B95" i="8"/>
  <c r="I94" i="8"/>
  <c r="H94" i="8"/>
  <c r="G94" i="8"/>
  <c r="F94" i="8"/>
  <c r="E94" i="8"/>
  <c r="D94" i="8"/>
  <c r="C94" i="8"/>
  <c r="B94" i="8"/>
  <c r="I93" i="8"/>
  <c r="H93" i="8"/>
  <c r="G93" i="8"/>
  <c r="F93" i="8"/>
  <c r="E93" i="8"/>
  <c r="D93" i="8"/>
  <c r="C93" i="8"/>
  <c r="B93" i="8"/>
  <c r="I92" i="8"/>
  <c r="H92" i="8"/>
  <c r="G92" i="8"/>
  <c r="F92" i="8"/>
  <c r="E92" i="8"/>
  <c r="D92" i="8"/>
  <c r="C92" i="8"/>
  <c r="B92" i="8"/>
  <c r="I91" i="8"/>
  <c r="H91" i="8"/>
  <c r="G91" i="8"/>
  <c r="F91" i="8"/>
  <c r="E91" i="8"/>
  <c r="D91" i="8"/>
  <c r="C91" i="8"/>
  <c r="B91" i="8"/>
  <c r="I90" i="8"/>
  <c r="H90" i="8"/>
  <c r="G90" i="8"/>
  <c r="F90" i="8"/>
  <c r="E90" i="8"/>
  <c r="D90" i="8"/>
  <c r="C90" i="8"/>
  <c r="B90" i="8"/>
  <c r="I89" i="8"/>
  <c r="H89" i="8"/>
  <c r="G89" i="8"/>
  <c r="F89" i="8"/>
  <c r="E89" i="8"/>
  <c r="D89" i="8"/>
  <c r="C89" i="8"/>
  <c r="B89" i="8"/>
  <c r="I88" i="8"/>
  <c r="H88" i="8"/>
  <c r="G88" i="8"/>
  <c r="F88" i="8"/>
  <c r="E88" i="8"/>
  <c r="D88" i="8"/>
  <c r="C88" i="8"/>
  <c r="B88" i="8"/>
  <c r="I87" i="8"/>
  <c r="H87" i="8"/>
  <c r="G87" i="8"/>
  <c r="F87" i="8"/>
  <c r="E87" i="8"/>
  <c r="D87" i="8"/>
  <c r="C87" i="8"/>
  <c r="B87" i="8"/>
  <c r="I86" i="8"/>
  <c r="H86" i="8"/>
  <c r="G86" i="8"/>
  <c r="F86" i="8"/>
  <c r="E86" i="8"/>
  <c r="D86" i="8"/>
  <c r="C86" i="8"/>
  <c r="B86" i="8"/>
  <c r="I85" i="8"/>
  <c r="H85" i="8"/>
  <c r="G85" i="8"/>
  <c r="F85" i="8"/>
  <c r="E85" i="8"/>
  <c r="D85" i="8"/>
  <c r="C85" i="8"/>
  <c r="B85" i="8"/>
  <c r="I84" i="8"/>
  <c r="H84" i="8"/>
  <c r="G84" i="8"/>
  <c r="F84" i="8"/>
  <c r="E84" i="8"/>
  <c r="D84" i="8"/>
  <c r="C84" i="8"/>
  <c r="B84" i="8"/>
  <c r="I83" i="8"/>
  <c r="H83" i="8"/>
  <c r="G83" i="8"/>
  <c r="F83" i="8"/>
  <c r="E83" i="8"/>
  <c r="D83" i="8"/>
  <c r="C83" i="8"/>
  <c r="B83" i="8"/>
  <c r="I82" i="8"/>
  <c r="H82" i="8"/>
  <c r="G82" i="8"/>
  <c r="F82" i="8"/>
  <c r="E82" i="8"/>
  <c r="D82" i="8"/>
  <c r="C82" i="8"/>
  <c r="B82" i="8"/>
  <c r="I81" i="8"/>
  <c r="H81" i="8"/>
  <c r="G81" i="8"/>
  <c r="F81" i="8"/>
  <c r="E81" i="8"/>
  <c r="D81" i="8"/>
  <c r="C81" i="8"/>
  <c r="B81" i="8"/>
  <c r="J80" i="8"/>
  <c r="I80" i="8"/>
  <c r="H80" i="8"/>
  <c r="G80" i="8"/>
  <c r="F80" i="8"/>
  <c r="E80" i="8"/>
  <c r="D80" i="8"/>
  <c r="C80" i="8"/>
  <c r="B80" i="8"/>
  <c r="I79" i="8"/>
  <c r="H79" i="8"/>
  <c r="G79" i="8"/>
  <c r="F79" i="8"/>
  <c r="E79" i="8"/>
  <c r="D79" i="8"/>
  <c r="C79" i="8"/>
  <c r="B79" i="8"/>
  <c r="I78" i="8"/>
  <c r="H78" i="8"/>
  <c r="G78" i="8"/>
  <c r="F78" i="8"/>
  <c r="E78" i="8"/>
  <c r="D78" i="8"/>
  <c r="C78" i="8"/>
  <c r="B78" i="8"/>
  <c r="I77" i="8"/>
  <c r="H77" i="8"/>
  <c r="G77" i="8"/>
  <c r="F77" i="8"/>
  <c r="E77" i="8"/>
  <c r="D77" i="8"/>
  <c r="C77" i="8"/>
  <c r="B77" i="8"/>
  <c r="I76" i="8"/>
  <c r="H76" i="8"/>
  <c r="G76" i="8"/>
  <c r="F76" i="8"/>
  <c r="E76" i="8"/>
  <c r="D76" i="8"/>
  <c r="C76" i="8"/>
  <c r="B76" i="8"/>
  <c r="I75" i="8"/>
  <c r="H75" i="8"/>
  <c r="G75" i="8"/>
  <c r="F75" i="8"/>
  <c r="E75" i="8"/>
  <c r="D75" i="8"/>
  <c r="C75" i="8"/>
  <c r="B75" i="8"/>
  <c r="I74" i="8"/>
  <c r="H74" i="8"/>
  <c r="G74" i="8"/>
  <c r="F74" i="8"/>
  <c r="E74" i="8"/>
  <c r="D74" i="8"/>
  <c r="C74" i="8"/>
  <c r="B74" i="8"/>
  <c r="I73" i="8"/>
  <c r="H73" i="8"/>
  <c r="G73" i="8"/>
  <c r="F73" i="8"/>
  <c r="E73" i="8"/>
  <c r="D73" i="8"/>
  <c r="C73" i="8"/>
  <c r="B73" i="8"/>
  <c r="I72" i="8"/>
  <c r="H72" i="8"/>
  <c r="G72" i="8"/>
  <c r="F72" i="8"/>
  <c r="E72" i="8"/>
  <c r="D72" i="8"/>
  <c r="C72" i="8"/>
  <c r="B72" i="8"/>
  <c r="I71" i="8"/>
  <c r="H71" i="8"/>
  <c r="G71" i="8"/>
  <c r="F71" i="8"/>
  <c r="E71" i="8"/>
  <c r="D71" i="8"/>
  <c r="C71" i="8"/>
  <c r="B71" i="8"/>
  <c r="I70" i="8"/>
  <c r="H70" i="8"/>
  <c r="G70" i="8"/>
  <c r="F70" i="8"/>
  <c r="E70" i="8"/>
  <c r="D70" i="8"/>
  <c r="C70" i="8"/>
  <c r="B70" i="8"/>
  <c r="I69" i="8"/>
  <c r="H69" i="8"/>
  <c r="G69" i="8"/>
  <c r="F69" i="8"/>
  <c r="E69" i="8"/>
  <c r="D69" i="8"/>
  <c r="C69" i="8"/>
  <c r="B69" i="8"/>
  <c r="I68" i="8"/>
  <c r="H68" i="8"/>
  <c r="G68" i="8"/>
  <c r="F68" i="8"/>
  <c r="E68" i="8"/>
  <c r="D68" i="8"/>
  <c r="C68" i="8"/>
  <c r="B68" i="8"/>
  <c r="I67" i="8"/>
  <c r="H67" i="8"/>
  <c r="G67" i="8"/>
  <c r="F67" i="8"/>
  <c r="E67" i="8"/>
  <c r="D67" i="8"/>
  <c r="C67" i="8"/>
  <c r="B67" i="8"/>
  <c r="I66" i="8"/>
  <c r="H66" i="8"/>
  <c r="G66" i="8"/>
  <c r="F66" i="8"/>
  <c r="E66" i="8"/>
  <c r="D66" i="8"/>
  <c r="C66" i="8"/>
  <c r="B66" i="8"/>
  <c r="I65" i="8"/>
  <c r="H65" i="8"/>
  <c r="G65" i="8"/>
  <c r="F65" i="8"/>
  <c r="E65" i="8"/>
  <c r="D65" i="8"/>
  <c r="C65" i="8"/>
  <c r="B65" i="8"/>
  <c r="I64" i="8"/>
  <c r="H64" i="8"/>
  <c r="G64" i="8"/>
  <c r="F64" i="8"/>
  <c r="E64" i="8"/>
  <c r="D64" i="8"/>
  <c r="C64" i="8"/>
  <c r="B64" i="8"/>
  <c r="I63" i="8"/>
  <c r="H63" i="8"/>
  <c r="G63" i="8"/>
  <c r="F63" i="8"/>
  <c r="E63" i="8"/>
  <c r="D63" i="8"/>
  <c r="C63" i="8"/>
  <c r="B63" i="8"/>
  <c r="I62" i="8"/>
  <c r="H62" i="8"/>
  <c r="G62" i="8"/>
  <c r="F62" i="8"/>
  <c r="E62" i="8"/>
  <c r="D62" i="8"/>
  <c r="C62" i="8"/>
  <c r="B62" i="8"/>
  <c r="I61" i="8"/>
  <c r="H61" i="8"/>
  <c r="G61" i="8"/>
  <c r="F61" i="8"/>
  <c r="E61" i="8"/>
  <c r="D61" i="8"/>
  <c r="C61" i="8"/>
  <c r="B61" i="8"/>
  <c r="I60" i="8"/>
  <c r="H60" i="8"/>
  <c r="G60" i="8"/>
  <c r="F60" i="8"/>
  <c r="E60" i="8"/>
  <c r="D60" i="8"/>
  <c r="C60" i="8"/>
  <c r="B60" i="8"/>
  <c r="I59" i="8"/>
  <c r="H59" i="8"/>
  <c r="G59" i="8"/>
  <c r="F59" i="8"/>
  <c r="E59" i="8"/>
  <c r="D59" i="8"/>
  <c r="C59" i="8"/>
  <c r="B59" i="8"/>
  <c r="I58" i="8"/>
  <c r="H58" i="8"/>
  <c r="G58" i="8"/>
  <c r="F58" i="8"/>
  <c r="E58" i="8"/>
  <c r="D58" i="8"/>
  <c r="C58" i="8"/>
  <c r="B58" i="8"/>
  <c r="I57" i="8"/>
  <c r="H57" i="8"/>
  <c r="G57" i="8"/>
  <c r="F57" i="8"/>
  <c r="E57" i="8"/>
  <c r="D57" i="8"/>
  <c r="C57" i="8"/>
  <c r="B57" i="8"/>
  <c r="I56" i="8"/>
  <c r="H56" i="8"/>
  <c r="G56" i="8"/>
  <c r="F56" i="8"/>
  <c r="E56" i="8"/>
  <c r="D56" i="8"/>
  <c r="C56" i="8"/>
  <c r="B56" i="8"/>
  <c r="I55" i="8"/>
  <c r="H55" i="8"/>
  <c r="G55" i="8"/>
  <c r="F55" i="8"/>
  <c r="E55" i="8"/>
  <c r="D55" i="8"/>
  <c r="C55" i="8"/>
  <c r="B55" i="8"/>
  <c r="I54" i="8"/>
  <c r="H54" i="8"/>
  <c r="G54" i="8"/>
  <c r="F54" i="8"/>
  <c r="E54" i="8"/>
  <c r="D54" i="8"/>
  <c r="C54" i="8"/>
  <c r="B54" i="8"/>
  <c r="I53" i="8"/>
  <c r="H53" i="8"/>
  <c r="G53" i="8"/>
  <c r="F53" i="8"/>
  <c r="E53" i="8"/>
  <c r="D53" i="8"/>
  <c r="C53" i="8"/>
  <c r="B53" i="8"/>
  <c r="I52" i="8"/>
  <c r="H52" i="8"/>
  <c r="G52" i="8"/>
  <c r="F52" i="8"/>
  <c r="E52" i="8"/>
  <c r="D52" i="8"/>
  <c r="C52" i="8"/>
  <c r="B52" i="8"/>
  <c r="I51" i="8"/>
  <c r="H51" i="8"/>
  <c r="G51" i="8"/>
  <c r="F51" i="8"/>
  <c r="E51" i="8"/>
  <c r="D51" i="8"/>
  <c r="C51" i="8"/>
  <c r="B51" i="8"/>
  <c r="I50" i="8"/>
  <c r="H50" i="8"/>
  <c r="G50" i="8"/>
  <c r="F50" i="8"/>
  <c r="E50" i="8"/>
  <c r="D50" i="8"/>
  <c r="C50" i="8"/>
  <c r="B50" i="8"/>
  <c r="I49" i="8"/>
  <c r="H49" i="8"/>
  <c r="G49" i="8"/>
  <c r="F49" i="8"/>
  <c r="E49" i="8"/>
  <c r="D49" i="8"/>
  <c r="C49" i="8"/>
  <c r="B49" i="8"/>
  <c r="I48" i="8"/>
  <c r="H48" i="8"/>
  <c r="G48" i="8"/>
  <c r="F48" i="8"/>
  <c r="E48" i="8"/>
  <c r="D48" i="8"/>
  <c r="C48" i="8"/>
  <c r="B48" i="8"/>
  <c r="I47" i="8"/>
  <c r="H47" i="8"/>
  <c r="G47" i="8"/>
  <c r="F47" i="8"/>
  <c r="E47" i="8"/>
  <c r="D47" i="8"/>
  <c r="C47" i="8"/>
  <c r="B47" i="8"/>
  <c r="I46" i="8"/>
  <c r="H46" i="8"/>
  <c r="G46" i="8"/>
  <c r="F46" i="8"/>
  <c r="E46" i="8"/>
  <c r="D46" i="8"/>
  <c r="C46" i="8"/>
  <c r="B46" i="8"/>
  <c r="I45" i="8"/>
  <c r="H45" i="8"/>
  <c r="G45" i="8"/>
  <c r="F45" i="8"/>
  <c r="E45" i="8"/>
  <c r="D45" i="8"/>
  <c r="C45" i="8"/>
  <c r="B45" i="8"/>
  <c r="I44" i="8"/>
  <c r="H44" i="8"/>
  <c r="G44" i="8"/>
  <c r="F44" i="8"/>
  <c r="E44" i="8"/>
  <c r="D44" i="8"/>
  <c r="C44" i="8"/>
  <c r="B44" i="8"/>
  <c r="I43" i="8"/>
  <c r="H43" i="8"/>
  <c r="G43" i="8"/>
  <c r="F43" i="8"/>
  <c r="E43" i="8"/>
  <c r="D43" i="8"/>
  <c r="C43" i="8"/>
  <c r="B43" i="8"/>
  <c r="I42" i="8"/>
  <c r="H42" i="8"/>
  <c r="G42" i="8"/>
  <c r="F42" i="8"/>
  <c r="E42" i="8"/>
  <c r="D42" i="8"/>
  <c r="C42" i="8"/>
  <c r="B42" i="8"/>
  <c r="I41" i="8"/>
  <c r="H41" i="8"/>
  <c r="G41" i="8"/>
  <c r="F41" i="8"/>
  <c r="E41" i="8"/>
  <c r="D41" i="8"/>
  <c r="C41" i="8"/>
  <c r="B41" i="8"/>
  <c r="I40" i="8"/>
  <c r="H40" i="8"/>
  <c r="G40" i="8"/>
  <c r="F40" i="8"/>
  <c r="E40" i="8"/>
  <c r="D40" i="8"/>
  <c r="C40" i="8"/>
  <c r="B40" i="8"/>
  <c r="I39" i="8"/>
  <c r="H39" i="8"/>
  <c r="G39" i="8"/>
  <c r="F39" i="8"/>
  <c r="E39" i="8"/>
  <c r="D39" i="8"/>
  <c r="C39" i="8"/>
  <c r="B39" i="8"/>
  <c r="I38" i="8"/>
  <c r="H38" i="8"/>
  <c r="G38" i="8"/>
  <c r="F38" i="8"/>
  <c r="E38" i="8"/>
  <c r="D38" i="8"/>
  <c r="C38" i="8"/>
  <c r="B38" i="8"/>
  <c r="I37" i="8"/>
  <c r="H37" i="8"/>
  <c r="G37" i="8"/>
  <c r="F37" i="8"/>
  <c r="E37" i="8"/>
  <c r="D37" i="8"/>
  <c r="C37" i="8"/>
  <c r="B37" i="8"/>
  <c r="J36" i="8"/>
  <c r="I36" i="8"/>
  <c r="H36" i="8"/>
  <c r="G36" i="8"/>
  <c r="F36" i="8"/>
  <c r="E36" i="8"/>
  <c r="D36" i="8"/>
  <c r="C36" i="8"/>
  <c r="B36" i="8"/>
  <c r="I35" i="8"/>
  <c r="H35" i="8"/>
  <c r="G35" i="8"/>
  <c r="F35" i="8"/>
  <c r="E35" i="8"/>
  <c r="D35" i="8"/>
  <c r="C35" i="8"/>
  <c r="B35" i="8"/>
  <c r="I34" i="8"/>
  <c r="H34" i="8"/>
  <c r="G34" i="8"/>
  <c r="F34" i="8"/>
  <c r="E34" i="8"/>
  <c r="D34" i="8"/>
  <c r="C34" i="8"/>
  <c r="B34" i="8"/>
  <c r="I33" i="8"/>
  <c r="H33" i="8"/>
  <c r="G33" i="8"/>
  <c r="F33" i="8"/>
  <c r="E33" i="8"/>
  <c r="D33" i="8"/>
  <c r="C33" i="8"/>
  <c r="B33" i="8"/>
  <c r="I32" i="8"/>
  <c r="H32" i="8"/>
  <c r="G32" i="8"/>
  <c r="F32" i="8"/>
  <c r="E32" i="8"/>
  <c r="D32" i="8"/>
  <c r="C32" i="8"/>
  <c r="B32" i="8"/>
  <c r="I31" i="8"/>
  <c r="H31" i="8"/>
  <c r="G31" i="8"/>
  <c r="F31" i="8"/>
  <c r="E31" i="8"/>
  <c r="D31" i="8"/>
  <c r="C31" i="8"/>
  <c r="B31" i="8"/>
  <c r="I30" i="8"/>
  <c r="H30" i="8"/>
  <c r="G30" i="8"/>
  <c r="F30" i="8"/>
  <c r="E30" i="8"/>
  <c r="D30" i="8"/>
  <c r="C30" i="8"/>
  <c r="B30" i="8"/>
  <c r="I29" i="8"/>
  <c r="H29" i="8"/>
  <c r="G29" i="8"/>
  <c r="F29" i="8"/>
  <c r="E29" i="8"/>
  <c r="D29" i="8"/>
  <c r="C29" i="8"/>
  <c r="B29" i="8"/>
  <c r="I28" i="8"/>
  <c r="H28" i="8"/>
  <c r="G28" i="8"/>
  <c r="F28" i="8"/>
  <c r="E28" i="8"/>
  <c r="D28" i="8"/>
  <c r="C28" i="8"/>
  <c r="B28" i="8"/>
  <c r="I27" i="8"/>
  <c r="H27" i="8"/>
  <c r="G27" i="8"/>
  <c r="F27" i="8"/>
  <c r="E27" i="8"/>
  <c r="D27" i="8"/>
  <c r="C27" i="8"/>
  <c r="B27" i="8"/>
  <c r="I26" i="8"/>
  <c r="H26" i="8"/>
  <c r="G26" i="8"/>
  <c r="F26" i="8"/>
  <c r="E26" i="8"/>
  <c r="D26" i="8"/>
  <c r="C26" i="8"/>
  <c r="B26" i="8"/>
  <c r="I25" i="8"/>
  <c r="H25" i="8"/>
  <c r="G25" i="8"/>
  <c r="F25" i="8"/>
  <c r="E25" i="8"/>
  <c r="D25" i="8"/>
  <c r="C25" i="8"/>
  <c r="B25" i="8"/>
  <c r="I24" i="8"/>
  <c r="H24" i="8"/>
  <c r="G24" i="8"/>
  <c r="F24" i="8"/>
  <c r="E24" i="8"/>
  <c r="D24" i="8"/>
  <c r="C24" i="8"/>
  <c r="B24" i="8"/>
  <c r="I23" i="8"/>
  <c r="H23" i="8"/>
  <c r="G23" i="8"/>
  <c r="F23" i="8"/>
  <c r="E23" i="8"/>
  <c r="D23" i="8"/>
  <c r="C23" i="8"/>
  <c r="B23" i="8"/>
  <c r="I22" i="8"/>
  <c r="H22" i="8"/>
  <c r="G22" i="8"/>
  <c r="F22" i="8"/>
  <c r="E22" i="8"/>
  <c r="D22" i="8"/>
  <c r="C22" i="8"/>
  <c r="B22" i="8"/>
  <c r="I21" i="8"/>
  <c r="H21" i="8"/>
  <c r="G21" i="8"/>
  <c r="F21" i="8"/>
  <c r="E21" i="8"/>
  <c r="D21" i="8"/>
  <c r="C21" i="8"/>
  <c r="B21" i="8"/>
  <c r="I20" i="8"/>
  <c r="H20" i="8"/>
  <c r="G20" i="8"/>
  <c r="F20" i="8"/>
  <c r="E20" i="8"/>
  <c r="D20" i="8"/>
  <c r="C20" i="8"/>
  <c r="B20" i="8"/>
  <c r="I19" i="8"/>
  <c r="H19" i="8"/>
  <c r="G19" i="8"/>
  <c r="F19" i="8"/>
  <c r="E19" i="8"/>
  <c r="D19" i="8"/>
  <c r="C19" i="8"/>
  <c r="B19" i="8"/>
  <c r="I18" i="8"/>
  <c r="H18" i="8"/>
  <c r="G18" i="8"/>
  <c r="F18" i="8"/>
  <c r="E18" i="8"/>
  <c r="D18" i="8"/>
  <c r="C18" i="8"/>
  <c r="B18" i="8"/>
  <c r="I17" i="8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CL243" i="6"/>
  <c r="CK243" i="6"/>
  <c r="CJ243" i="6"/>
  <c r="BU243" i="6"/>
  <c r="BR243" i="6"/>
  <c r="BQ243" i="6"/>
  <c r="BP243" i="6"/>
  <c r="BO243" i="6"/>
  <c r="BM243" i="6"/>
  <c r="BD243" i="6"/>
  <c r="AK243" i="6" s="1"/>
  <c r="AM243" i="6" s="1"/>
  <c r="BC243" i="6"/>
  <c r="BB243" i="6"/>
  <c r="BA243" i="6"/>
  <c r="AO243" i="6"/>
  <c r="AN243" i="6"/>
  <c r="AI243" i="6"/>
  <c r="AH243" i="6"/>
  <c r="CL242" i="6"/>
  <c r="CK242" i="6"/>
  <c r="CJ242" i="6"/>
  <c r="BU242" i="6"/>
  <c r="BR242" i="6"/>
  <c r="BQ242" i="6"/>
  <c r="BP242" i="6"/>
  <c r="BO242" i="6"/>
  <c r="BM242" i="6"/>
  <c r="BD242" i="6"/>
  <c r="BC242" i="6"/>
  <c r="BB242" i="6"/>
  <c r="BA242" i="6"/>
  <c r="AO242" i="6"/>
  <c r="AN242" i="6"/>
  <c r="AK242" i="6"/>
  <c r="AM242" i="6" s="1"/>
  <c r="AI242" i="6"/>
  <c r="AH242" i="6"/>
  <c r="CM241" i="6"/>
  <c r="BU241" i="6"/>
  <c r="BR241" i="6"/>
  <c r="BQ241" i="6"/>
  <c r="BP241" i="6"/>
  <c r="BO241" i="6"/>
  <c r="BM241" i="6"/>
  <c r="BD241" i="6"/>
  <c r="BB241" i="6"/>
  <c r="BA241" i="6"/>
  <c r="AY241" i="6"/>
  <c r="AO241" i="6"/>
  <c r="BC241" i="6" s="1"/>
  <c r="AN241" i="6"/>
  <c r="AM241" i="6"/>
  <c r="AK241" i="6"/>
  <c r="AI241" i="6"/>
  <c r="AH241" i="6"/>
  <c r="CL240" i="6"/>
  <c r="CK240" i="6"/>
  <c r="CJ240" i="6"/>
  <c r="BU240" i="6"/>
  <c r="BR240" i="6"/>
  <c r="BQ240" i="6"/>
  <c r="BP240" i="6"/>
  <c r="BO240" i="6"/>
  <c r="BM240" i="6"/>
  <c r="BD240" i="6"/>
  <c r="AK240" i="6" s="1"/>
  <c r="AM240" i="6" s="1"/>
  <c r="BC240" i="6"/>
  <c r="BB240" i="6"/>
  <c r="BA240" i="6"/>
  <c r="AO240" i="6"/>
  <c r="AN240" i="6"/>
  <c r="AI240" i="6"/>
  <c r="AH240" i="6"/>
  <c r="CL239" i="6"/>
  <c r="CK239" i="6"/>
  <c r="CJ239" i="6"/>
  <c r="BU239" i="6"/>
  <c r="BR239" i="6"/>
  <c r="BQ239" i="6"/>
  <c r="BP239" i="6"/>
  <c r="BO239" i="6"/>
  <c r="BM239" i="6"/>
  <c r="BD239" i="6"/>
  <c r="BC239" i="6"/>
  <c r="BB239" i="6"/>
  <c r="BA239" i="6"/>
  <c r="AO239" i="6"/>
  <c r="AN239" i="6"/>
  <c r="AK239" i="6"/>
  <c r="AM239" i="6" s="1"/>
  <c r="AI239" i="6"/>
  <c r="AH239" i="6"/>
  <c r="CL238" i="6"/>
  <c r="CK238" i="6"/>
  <c r="CJ238" i="6"/>
  <c r="BU238" i="6"/>
  <c r="BR238" i="6"/>
  <c r="BQ238" i="6"/>
  <c r="BP238" i="6"/>
  <c r="BO238" i="6"/>
  <c r="BM238" i="6"/>
  <c r="BD238" i="6"/>
  <c r="BB238" i="6"/>
  <c r="BA238" i="6"/>
  <c r="AO238" i="6"/>
  <c r="BC238" i="6" s="1"/>
  <c r="AN238" i="6"/>
  <c r="AK238" i="6"/>
  <c r="AM238" i="6" s="1"/>
  <c r="AI238" i="6"/>
  <c r="AH238" i="6"/>
  <c r="CL237" i="6"/>
  <c r="CK237" i="6"/>
  <c r="CJ237" i="6"/>
  <c r="BU237" i="6"/>
  <c r="BR237" i="6"/>
  <c r="BQ237" i="6"/>
  <c r="BP237" i="6"/>
  <c r="BO237" i="6"/>
  <c r="BM237" i="6"/>
  <c r="BD237" i="6"/>
  <c r="BB237" i="6"/>
  <c r="BA237" i="6"/>
  <c r="AO237" i="6"/>
  <c r="BC237" i="6" s="1"/>
  <c r="AN237" i="6"/>
  <c r="AM237" i="6"/>
  <c r="AK237" i="6"/>
  <c r="AI237" i="6"/>
  <c r="AH237" i="6"/>
  <c r="CL236" i="6"/>
  <c r="CK236" i="6"/>
  <c r="CJ236" i="6"/>
  <c r="CI236" i="6"/>
  <c r="CH236" i="6"/>
  <c r="CG236" i="6"/>
  <c r="BY236" i="6"/>
  <c r="BU236" i="6"/>
  <c r="BR236" i="6"/>
  <c r="BQ236" i="6"/>
  <c r="BP236" i="6"/>
  <c r="BO236" i="6"/>
  <c r="BM236" i="6"/>
  <c r="BF236" i="6"/>
  <c r="BD236" i="6"/>
  <c r="AK236" i="6" s="1"/>
  <c r="AM236" i="6" s="1"/>
  <c r="BB236" i="6"/>
  <c r="BA236" i="6"/>
  <c r="AO236" i="6"/>
  <c r="BC236" i="6" s="1"/>
  <c r="AN236" i="6"/>
  <c r="AI236" i="6"/>
  <c r="AH236" i="6"/>
  <c r="CL235" i="6"/>
  <c r="CK235" i="6"/>
  <c r="CJ235" i="6"/>
  <c r="CI235" i="6"/>
  <c r="CH235" i="6"/>
  <c r="CG235" i="6"/>
  <c r="BY235" i="6"/>
  <c r="BU235" i="6"/>
  <c r="BR235" i="6"/>
  <c r="BQ235" i="6"/>
  <c r="BP235" i="6"/>
  <c r="BO235" i="6"/>
  <c r="BM235" i="6"/>
  <c r="BI235" i="6"/>
  <c r="BH235" i="6"/>
  <c r="BD235" i="6"/>
  <c r="AK235" i="6" s="1"/>
  <c r="AM235" i="6" s="1"/>
  <c r="BC235" i="6"/>
  <c r="BB235" i="6"/>
  <c r="BA235" i="6"/>
  <c r="AO235" i="6"/>
  <c r="AN235" i="6"/>
  <c r="AI235" i="6"/>
  <c r="AH235" i="6"/>
  <c r="CL234" i="6"/>
  <c r="CK234" i="6"/>
  <c r="CJ234" i="6"/>
  <c r="CI234" i="6"/>
  <c r="CH234" i="6"/>
  <c r="CG234" i="6"/>
  <c r="BY234" i="6"/>
  <c r="BU234" i="6"/>
  <c r="BR234" i="6"/>
  <c r="BQ234" i="6"/>
  <c r="BP234" i="6"/>
  <c r="BO234" i="6"/>
  <c r="BM234" i="6"/>
  <c r="BD234" i="6"/>
  <c r="BB234" i="6"/>
  <c r="BA234" i="6"/>
  <c r="AO234" i="6"/>
  <c r="BC234" i="6" s="1"/>
  <c r="AN234" i="6"/>
  <c r="AK234" i="6"/>
  <c r="AM234" i="6" s="1"/>
  <c r="AI234" i="6"/>
  <c r="AH234" i="6"/>
  <c r="CM233" i="6"/>
  <c r="CI233" i="6"/>
  <c r="CH233" i="6"/>
  <c r="CG233" i="6"/>
  <c r="BY233" i="6"/>
  <c r="BU233" i="6"/>
  <c r="BR233" i="6"/>
  <c r="BQ233" i="6"/>
  <c r="BP233" i="6"/>
  <c r="BO233" i="6"/>
  <c r="BM233" i="6"/>
  <c r="BD233" i="6"/>
  <c r="AK233" i="6" s="1"/>
  <c r="AM233" i="6" s="1"/>
  <c r="BC233" i="6"/>
  <c r="BB233" i="6"/>
  <c r="BA233" i="6"/>
  <c r="AN233" i="6"/>
  <c r="AI233" i="6"/>
  <c r="AH233" i="6"/>
  <c r="CM232" i="6"/>
  <c r="CI232" i="6"/>
  <c r="CH232" i="6"/>
  <c r="CG232" i="6"/>
  <c r="BY232" i="6"/>
  <c r="BU232" i="6"/>
  <c r="BR232" i="6"/>
  <c r="BQ232" i="6"/>
  <c r="BP232" i="6"/>
  <c r="BO232" i="6"/>
  <c r="BM232" i="6"/>
  <c r="BF232" i="6"/>
  <c r="BD232" i="6"/>
  <c r="BC232" i="6"/>
  <c r="BB232" i="6"/>
  <c r="BA232" i="6"/>
  <c r="AY232" i="6"/>
  <c r="AN232" i="6"/>
  <c r="AM232" i="6"/>
  <c r="AK232" i="6"/>
  <c r="BT232" i="6" s="1"/>
  <c r="AI232" i="6"/>
  <c r="AH232" i="6"/>
  <c r="CL231" i="6"/>
  <c r="CK231" i="6"/>
  <c r="CJ231" i="6"/>
  <c r="CI231" i="6"/>
  <c r="CH231" i="6"/>
  <c r="CG231" i="6"/>
  <c r="BY231" i="6"/>
  <c r="BU231" i="6"/>
  <c r="BR231" i="6"/>
  <c r="BQ231" i="6"/>
  <c r="BP231" i="6"/>
  <c r="BO231" i="6"/>
  <c r="BM231" i="6"/>
  <c r="BF231" i="6"/>
  <c r="BD231" i="6"/>
  <c r="AK231" i="6" s="1"/>
  <c r="AM231" i="6" s="1"/>
  <c r="BB231" i="6"/>
  <c r="BA231" i="6"/>
  <c r="AO231" i="6"/>
  <c r="BC231" i="6" s="1"/>
  <c r="AN231" i="6"/>
  <c r="AI231" i="6"/>
  <c r="AH231" i="6"/>
  <c r="CL230" i="6"/>
  <c r="CK230" i="6"/>
  <c r="CJ230" i="6"/>
  <c r="CI230" i="6"/>
  <c r="CH230" i="6"/>
  <c r="CG230" i="6"/>
  <c r="BY230" i="6"/>
  <c r="BU230" i="6"/>
  <c r="BR230" i="6"/>
  <c r="BQ230" i="6"/>
  <c r="BP230" i="6"/>
  <c r="BO230" i="6"/>
  <c r="BM230" i="6"/>
  <c r="BF230" i="6"/>
  <c r="BD230" i="6"/>
  <c r="AK230" i="6" s="1"/>
  <c r="AM230" i="6" s="1"/>
  <c r="BC230" i="6"/>
  <c r="BB230" i="6"/>
  <c r="BA230" i="6"/>
  <c r="AO230" i="6"/>
  <c r="AN230" i="6"/>
  <c r="AI230" i="6"/>
  <c r="AH230" i="6"/>
  <c r="CL229" i="6"/>
  <c r="CK229" i="6"/>
  <c r="CJ229" i="6"/>
  <c r="CI229" i="6"/>
  <c r="CH229" i="6"/>
  <c r="CG229" i="6"/>
  <c r="BY229" i="6"/>
  <c r="BU229" i="6"/>
  <c r="BR229" i="6"/>
  <c r="BQ229" i="6"/>
  <c r="BP229" i="6"/>
  <c r="BO229" i="6"/>
  <c r="BM229" i="6"/>
  <c r="BC229" i="6"/>
  <c r="BB229" i="6"/>
  <c r="BA229" i="6"/>
  <c r="AO229" i="6"/>
  <c r="AN229" i="6"/>
  <c r="AM229" i="6"/>
  <c r="AK229" i="6"/>
  <c r="AI229" i="6"/>
  <c r="AH229" i="6"/>
  <c r="CL228" i="6"/>
  <c r="CK228" i="6"/>
  <c r="CJ228" i="6"/>
  <c r="CI228" i="6"/>
  <c r="CH228" i="6"/>
  <c r="CG228" i="6"/>
  <c r="BY228" i="6"/>
  <c r="BU228" i="6"/>
  <c r="BR228" i="6"/>
  <c r="BQ228" i="6"/>
  <c r="BP228" i="6"/>
  <c r="BO228" i="6"/>
  <c r="BM228" i="6"/>
  <c r="BF228" i="6"/>
  <c r="BD228" i="6"/>
  <c r="AK228" i="6" s="1"/>
  <c r="AM228" i="6" s="1"/>
  <c r="BC228" i="6"/>
  <c r="BB228" i="6"/>
  <c r="BA228" i="6"/>
  <c r="AO228" i="6"/>
  <c r="AN228" i="6"/>
  <c r="AI228" i="6"/>
  <c r="AH228" i="6"/>
  <c r="CL227" i="6"/>
  <c r="CK227" i="6"/>
  <c r="CJ227" i="6"/>
  <c r="CI227" i="6"/>
  <c r="CH227" i="6"/>
  <c r="CG227" i="6"/>
  <c r="BY227" i="6"/>
  <c r="BU227" i="6"/>
  <c r="BR227" i="6"/>
  <c r="BQ227" i="6"/>
  <c r="BP227" i="6"/>
  <c r="BO227" i="6"/>
  <c r="BM227" i="6"/>
  <c r="BF227" i="6"/>
  <c r="BD227" i="6"/>
  <c r="BC227" i="6"/>
  <c r="BB227" i="6"/>
  <c r="BA227" i="6"/>
  <c r="AO227" i="6"/>
  <c r="AN227" i="6"/>
  <c r="AK227" i="6"/>
  <c r="AM227" i="6" s="1"/>
  <c r="AI227" i="6"/>
  <c r="AH227" i="6"/>
  <c r="CL226" i="6"/>
  <c r="CK226" i="6"/>
  <c r="CJ226" i="6"/>
  <c r="CI226" i="6"/>
  <c r="CH226" i="6"/>
  <c r="CG226" i="6"/>
  <c r="BY226" i="6"/>
  <c r="BR226" i="6"/>
  <c r="BQ226" i="6"/>
  <c r="BP226" i="6"/>
  <c r="BO226" i="6"/>
  <c r="BL226" i="6"/>
  <c r="BU226" i="6" s="1"/>
  <c r="BB226" i="6"/>
  <c r="BA226" i="6"/>
  <c r="AO226" i="6"/>
  <c r="BC226" i="6" s="1"/>
  <c r="AN226" i="6"/>
  <c r="AM226" i="6"/>
  <c r="AK226" i="6"/>
  <c r="AI226" i="6"/>
  <c r="AH226" i="6"/>
  <c r="CL225" i="6"/>
  <c r="CK225" i="6"/>
  <c r="CJ225" i="6"/>
  <c r="CI225" i="6"/>
  <c r="CH225" i="6"/>
  <c r="CG225" i="6"/>
  <c r="BY225" i="6"/>
  <c r="BR225" i="6"/>
  <c r="BQ225" i="6"/>
  <c r="BP225" i="6"/>
  <c r="BO225" i="6"/>
  <c r="BM225" i="6"/>
  <c r="BL225" i="6"/>
  <c r="BU225" i="6" s="1"/>
  <c r="BC225" i="6"/>
  <c r="BB225" i="6"/>
  <c r="BA225" i="6"/>
  <c r="AO225" i="6"/>
  <c r="AN225" i="6"/>
  <c r="AM225" i="6"/>
  <c r="AK225" i="6"/>
  <c r="AI225" i="6"/>
  <c r="AH225" i="6"/>
  <c r="CL224" i="6"/>
  <c r="CK224" i="6"/>
  <c r="CJ224" i="6"/>
  <c r="CI224" i="6"/>
  <c r="CH224" i="6"/>
  <c r="CG224" i="6"/>
  <c r="BY224" i="6"/>
  <c r="BU224" i="6"/>
  <c r="BL224" i="6"/>
  <c r="BM224" i="6" s="1"/>
  <c r="BI224" i="6"/>
  <c r="BH224" i="6"/>
  <c r="BD224" i="6"/>
  <c r="BB224" i="6"/>
  <c r="BA224" i="6"/>
  <c r="AO224" i="6"/>
  <c r="BC224" i="6" s="1"/>
  <c r="AN224" i="6"/>
  <c r="AM224" i="6"/>
  <c r="AK224" i="6"/>
  <c r="AI224" i="6"/>
  <c r="AH224" i="6"/>
  <c r="CL223" i="6"/>
  <c r="CK223" i="6"/>
  <c r="CJ223" i="6"/>
  <c r="CI223" i="6"/>
  <c r="CH223" i="6"/>
  <c r="CG223" i="6"/>
  <c r="BY223" i="6"/>
  <c r="BR223" i="6"/>
  <c r="BQ223" i="6"/>
  <c r="BP223" i="6"/>
  <c r="BO223" i="6"/>
  <c r="BF223" i="6"/>
  <c r="BD223" i="6"/>
  <c r="BB223" i="6"/>
  <c r="BA223" i="6"/>
  <c r="AO223" i="6"/>
  <c r="BC223" i="6" s="1"/>
  <c r="AN223" i="6"/>
  <c r="AI223" i="6"/>
  <c r="AH223" i="6"/>
  <c r="CL222" i="6"/>
  <c r="CK222" i="6"/>
  <c r="CJ222" i="6"/>
  <c r="CI222" i="6"/>
  <c r="CH222" i="6"/>
  <c r="CG222" i="6"/>
  <c r="BY222" i="6"/>
  <c r="BR222" i="6"/>
  <c r="BQ222" i="6"/>
  <c r="BP222" i="6"/>
  <c r="BO222" i="6"/>
  <c r="BJ222" i="6"/>
  <c r="BF222" i="6"/>
  <c r="BD222" i="6"/>
  <c r="BC222" i="6"/>
  <c r="BB222" i="6"/>
  <c r="BA222" i="6"/>
  <c r="AO222" i="6"/>
  <c r="AN222" i="6"/>
  <c r="AI222" i="6"/>
  <c r="AH222" i="6"/>
  <c r="CL221" i="6"/>
  <c r="CK221" i="6"/>
  <c r="CJ221" i="6"/>
  <c r="CI221" i="6"/>
  <c r="CH221" i="6"/>
  <c r="CG221" i="6"/>
  <c r="BY221" i="6"/>
  <c r="BU221" i="6"/>
  <c r="BR221" i="6"/>
  <c r="BQ221" i="6"/>
  <c r="BP221" i="6"/>
  <c r="BO221" i="6"/>
  <c r="BM221" i="6"/>
  <c r="BD221" i="6"/>
  <c r="BL221" i="6" s="1"/>
  <c r="BC221" i="6"/>
  <c r="BB221" i="6"/>
  <c r="BA221" i="6"/>
  <c r="AO221" i="6"/>
  <c r="AN221" i="6"/>
  <c r="AK221" i="6"/>
  <c r="AM221" i="6" s="1"/>
  <c r="AI221" i="6"/>
  <c r="AH221" i="6"/>
  <c r="CM220" i="6"/>
  <c r="CI220" i="6"/>
  <c r="CH220" i="6"/>
  <c r="CG220" i="6"/>
  <c r="BY220" i="6"/>
  <c r="BR220" i="6"/>
  <c r="BQ220" i="6"/>
  <c r="BP220" i="6"/>
  <c r="BO220" i="6"/>
  <c r="BL220" i="6"/>
  <c r="BF220" i="6"/>
  <c r="BD220" i="6"/>
  <c r="BB220" i="6"/>
  <c r="BA220" i="6"/>
  <c r="AY220" i="6"/>
  <c r="AO220" i="6"/>
  <c r="BC220" i="6" s="1"/>
  <c r="AN220" i="6"/>
  <c r="AK220" i="6"/>
  <c r="AM220" i="6" s="1"/>
  <c r="AI220" i="6"/>
  <c r="AH220" i="6"/>
  <c r="CL219" i="6"/>
  <c r="CK219" i="6"/>
  <c r="CJ219" i="6"/>
  <c r="CI219" i="6"/>
  <c r="CH219" i="6"/>
  <c r="CG219" i="6"/>
  <c r="BY219" i="6"/>
  <c r="BR219" i="6"/>
  <c r="BQ219" i="6"/>
  <c r="BP219" i="6"/>
  <c r="BO219" i="6"/>
  <c r="BL219" i="6"/>
  <c r="BU219" i="6" s="1"/>
  <c r="BF219" i="6"/>
  <c r="BD219" i="6"/>
  <c r="AK219" i="6" s="1"/>
  <c r="AM219" i="6" s="1"/>
  <c r="BC219" i="6"/>
  <c r="BB219" i="6"/>
  <c r="BA219" i="6"/>
  <c r="AO219" i="6"/>
  <c r="AN219" i="6"/>
  <c r="AI219" i="6"/>
  <c r="AH219" i="6"/>
  <c r="CL218" i="6"/>
  <c r="CK218" i="6"/>
  <c r="CJ218" i="6"/>
  <c r="CI218" i="6"/>
  <c r="CH218" i="6"/>
  <c r="CG218" i="6"/>
  <c r="BY218" i="6"/>
  <c r="BR218" i="6"/>
  <c r="BQ218" i="6"/>
  <c r="BP218" i="6"/>
  <c r="BO218" i="6"/>
  <c r="BL218" i="6"/>
  <c r="BM218" i="6" s="1"/>
  <c r="BF218" i="6"/>
  <c r="BD218" i="6"/>
  <c r="AK218" i="6" s="1"/>
  <c r="BB218" i="6"/>
  <c r="BA218" i="6"/>
  <c r="AO218" i="6"/>
  <c r="BC218" i="6" s="1"/>
  <c r="AN218" i="6"/>
  <c r="AM218" i="6"/>
  <c r="AI218" i="6"/>
  <c r="AH218" i="6"/>
  <c r="CM217" i="6"/>
  <c r="CI217" i="6"/>
  <c r="CH217" i="6"/>
  <c r="CG217" i="6"/>
  <c r="BY217" i="6"/>
  <c r="BR217" i="6"/>
  <c r="BQ217" i="6"/>
  <c r="BP217" i="6"/>
  <c r="BO217" i="6"/>
  <c r="BF217" i="6"/>
  <c r="BD217" i="6"/>
  <c r="BC217" i="6"/>
  <c r="BB217" i="6"/>
  <c r="BA217" i="6"/>
  <c r="AO217" i="6"/>
  <c r="AN217" i="6"/>
  <c r="AI217" i="6"/>
  <c r="AH217" i="6"/>
  <c r="CL216" i="6"/>
  <c r="CK216" i="6"/>
  <c r="CJ216" i="6"/>
  <c r="CI216" i="6"/>
  <c r="CH216" i="6"/>
  <c r="CG216" i="6"/>
  <c r="BY216" i="6"/>
  <c r="BR216" i="6"/>
  <c r="BQ216" i="6"/>
  <c r="BP216" i="6"/>
  <c r="BO216" i="6"/>
  <c r="BF216" i="6"/>
  <c r="BD216" i="6"/>
  <c r="BL216" i="6" s="1"/>
  <c r="BB216" i="6"/>
  <c r="BA216" i="6"/>
  <c r="AO216" i="6"/>
  <c r="BC216" i="6" s="1"/>
  <c r="AN216" i="6"/>
  <c r="AK216" i="6"/>
  <c r="AM216" i="6" s="1"/>
  <c r="AI216" i="6"/>
  <c r="AH216" i="6"/>
  <c r="CL215" i="6"/>
  <c r="CK215" i="6"/>
  <c r="CJ215" i="6"/>
  <c r="CI215" i="6"/>
  <c r="CH215" i="6"/>
  <c r="CG215" i="6"/>
  <c r="BY215" i="6"/>
  <c r="BR215" i="6"/>
  <c r="BQ215" i="6"/>
  <c r="BP215" i="6"/>
  <c r="BO215" i="6"/>
  <c r="BF215" i="6"/>
  <c r="BD215" i="6"/>
  <c r="BL215" i="6" s="1"/>
  <c r="BM215" i="6" s="1"/>
  <c r="BC215" i="6"/>
  <c r="BB215" i="6"/>
  <c r="BA215" i="6"/>
  <c r="AO215" i="6"/>
  <c r="AN215" i="6"/>
  <c r="AK215" i="6"/>
  <c r="AM215" i="6" s="1"/>
  <c r="AI215" i="6"/>
  <c r="AH215" i="6"/>
  <c r="CL214" i="6"/>
  <c r="CK214" i="6"/>
  <c r="CJ214" i="6"/>
  <c r="CI214" i="6"/>
  <c r="CH214" i="6"/>
  <c r="CG214" i="6"/>
  <c r="BY214" i="6"/>
  <c r="BR214" i="6"/>
  <c r="BQ214" i="6"/>
  <c r="BP214" i="6"/>
  <c r="BO214" i="6"/>
  <c r="BL214" i="6"/>
  <c r="BJ214" i="6"/>
  <c r="BD214" i="6"/>
  <c r="AK214" i="6" s="1"/>
  <c r="BC214" i="6"/>
  <c r="BB214" i="6"/>
  <c r="BA214" i="6"/>
  <c r="AO214" i="6"/>
  <c r="AN214" i="6"/>
  <c r="AM214" i="6"/>
  <c r="AI214" i="6"/>
  <c r="AH214" i="6"/>
  <c r="CL213" i="6"/>
  <c r="CK213" i="6"/>
  <c r="CJ213" i="6"/>
  <c r="CI213" i="6"/>
  <c r="CH213" i="6"/>
  <c r="CG213" i="6"/>
  <c r="BY213" i="6"/>
  <c r="BU213" i="6"/>
  <c r="BR213" i="6"/>
  <c r="BQ213" i="6"/>
  <c r="BP213" i="6"/>
  <c r="BO213" i="6"/>
  <c r="BL213" i="6"/>
  <c r="BM213" i="6" s="1"/>
  <c r="BJ213" i="6"/>
  <c r="BD213" i="6"/>
  <c r="BC213" i="6"/>
  <c r="BB213" i="6"/>
  <c r="BA213" i="6"/>
  <c r="AO213" i="6"/>
  <c r="AN213" i="6"/>
  <c r="AM213" i="6"/>
  <c r="AK213" i="6"/>
  <c r="AI213" i="6"/>
  <c r="AH213" i="6"/>
  <c r="CL212" i="6"/>
  <c r="CK212" i="6"/>
  <c r="CJ212" i="6"/>
  <c r="CI212" i="6"/>
  <c r="CH212" i="6"/>
  <c r="CG212" i="6"/>
  <c r="BY212" i="6"/>
  <c r="BU212" i="6"/>
  <c r="BR212" i="6"/>
  <c r="BQ212" i="6"/>
  <c r="BP212" i="6"/>
  <c r="BO212" i="6"/>
  <c r="BM212" i="6"/>
  <c r="BJ212" i="6"/>
  <c r="BF212" i="6"/>
  <c r="BD212" i="6"/>
  <c r="BL212" i="6" s="1"/>
  <c r="BC212" i="6"/>
  <c r="BB212" i="6"/>
  <c r="BA212" i="6"/>
  <c r="AO212" i="6"/>
  <c r="AN212" i="6"/>
  <c r="AK212" i="6"/>
  <c r="AM212" i="6" s="1"/>
  <c r="AI212" i="6"/>
  <c r="AH212" i="6"/>
  <c r="CL211" i="6"/>
  <c r="CK211" i="6"/>
  <c r="CJ211" i="6"/>
  <c r="CI211" i="6"/>
  <c r="CH211" i="6"/>
  <c r="CG211" i="6"/>
  <c r="BY211" i="6"/>
  <c r="BR211" i="6"/>
  <c r="BQ211" i="6"/>
  <c r="BP211" i="6"/>
  <c r="BO211" i="6"/>
  <c r="BJ211" i="6"/>
  <c r="BF211" i="6"/>
  <c r="BD211" i="6"/>
  <c r="BB211" i="6"/>
  <c r="BA211" i="6"/>
  <c r="AO211" i="6"/>
  <c r="BC211" i="6" s="1"/>
  <c r="AN211" i="6"/>
  <c r="AI211" i="6"/>
  <c r="AH211" i="6"/>
  <c r="CL210" i="6"/>
  <c r="CK210" i="6"/>
  <c r="CJ210" i="6"/>
  <c r="CI210" i="6"/>
  <c r="CH210" i="6"/>
  <c r="CG210" i="6"/>
  <c r="BR210" i="6"/>
  <c r="BQ210" i="6"/>
  <c r="BP210" i="6"/>
  <c r="BO210" i="6"/>
  <c r="BJ210" i="6"/>
  <c r="BF210" i="6"/>
  <c r="BD210" i="6"/>
  <c r="BL210" i="6" s="1"/>
  <c r="BB210" i="6"/>
  <c r="BA210" i="6"/>
  <c r="AO210" i="6"/>
  <c r="BC210" i="6" s="1"/>
  <c r="AN210" i="6"/>
  <c r="AJ210" i="6"/>
  <c r="BY210" i="6" s="1"/>
  <c r="AI210" i="6"/>
  <c r="AH210" i="6"/>
  <c r="CL209" i="6"/>
  <c r="CK209" i="6"/>
  <c r="CJ209" i="6"/>
  <c r="CI209" i="6"/>
  <c r="CH209" i="6"/>
  <c r="CG209" i="6"/>
  <c r="BY209" i="6"/>
  <c r="BR209" i="6"/>
  <c r="BQ209" i="6"/>
  <c r="BP209" i="6"/>
  <c r="BO209" i="6"/>
  <c r="BM209" i="6"/>
  <c r="BL209" i="6"/>
  <c r="BU209" i="6" s="1"/>
  <c r="BJ209" i="6"/>
  <c r="BF209" i="6"/>
  <c r="BD209" i="6"/>
  <c r="BB209" i="6"/>
  <c r="BA209" i="6"/>
  <c r="AO209" i="6"/>
  <c r="BC209" i="6" s="1"/>
  <c r="AN209" i="6"/>
  <c r="AK209" i="6"/>
  <c r="AM209" i="6" s="1"/>
  <c r="AI209" i="6"/>
  <c r="AH209" i="6"/>
  <c r="CL208" i="6"/>
  <c r="CK208" i="6"/>
  <c r="CJ208" i="6"/>
  <c r="CI208" i="6"/>
  <c r="CH208" i="6"/>
  <c r="CG208" i="6"/>
  <c r="BU208" i="6"/>
  <c r="BR208" i="6"/>
  <c r="BQ208" i="6"/>
  <c r="BP208" i="6"/>
  <c r="BO208" i="6"/>
  <c r="BM208" i="6"/>
  <c r="BJ208" i="6"/>
  <c r="BF208" i="6"/>
  <c r="BD208" i="6"/>
  <c r="BL208" i="6" s="1"/>
  <c r="BB208" i="6"/>
  <c r="BA208" i="6"/>
  <c r="AO208" i="6"/>
  <c r="BC208" i="6" s="1"/>
  <c r="AN208" i="6"/>
  <c r="AJ208" i="6"/>
  <c r="AI208" i="6"/>
  <c r="AH208" i="6"/>
  <c r="CL207" i="6"/>
  <c r="CK207" i="6"/>
  <c r="CJ207" i="6"/>
  <c r="CI207" i="6"/>
  <c r="CH207" i="6"/>
  <c r="CG207" i="6"/>
  <c r="BY207" i="6"/>
  <c r="BR207" i="6"/>
  <c r="BQ207" i="6"/>
  <c r="BP207" i="6"/>
  <c r="BO207" i="6"/>
  <c r="BL207" i="6"/>
  <c r="BJ207" i="6"/>
  <c r="BF207" i="6"/>
  <c r="BD207" i="6"/>
  <c r="AK207" i="6" s="1"/>
  <c r="AM207" i="6" s="1"/>
  <c r="BC207" i="6"/>
  <c r="BB207" i="6"/>
  <c r="BA207" i="6"/>
  <c r="AO207" i="6"/>
  <c r="AN207" i="6"/>
  <c r="AI207" i="6"/>
  <c r="AH207" i="6"/>
  <c r="CM206" i="6"/>
  <c r="CI206" i="6"/>
  <c r="CH206" i="6"/>
  <c r="CG206" i="6"/>
  <c r="BY206" i="6"/>
  <c r="BU206" i="6"/>
  <c r="BR206" i="6"/>
  <c r="BQ206" i="6"/>
  <c r="BP206" i="6"/>
  <c r="BO206" i="6"/>
  <c r="BL206" i="6"/>
  <c r="BM206" i="6" s="1"/>
  <c r="BF206" i="6"/>
  <c r="BB206" i="6"/>
  <c r="BA206" i="6"/>
  <c r="AY206" i="6"/>
  <c r="BT206" i="6" s="1"/>
  <c r="AO206" i="6"/>
  <c r="AN206" i="6"/>
  <c r="AM206" i="6"/>
  <c r="AK206" i="6"/>
  <c r="AI206" i="6"/>
  <c r="AH206" i="6"/>
  <c r="CL205" i="6"/>
  <c r="CK205" i="6"/>
  <c r="CJ205" i="6"/>
  <c r="CI205" i="6"/>
  <c r="CH205" i="6"/>
  <c r="CG205" i="6"/>
  <c r="BY205" i="6"/>
  <c r="BU205" i="6"/>
  <c r="BR205" i="6"/>
  <c r="BQ205" i="6"/>
  <c r="BP205" i="6"/>
  <c r="BO205" i="6"/>
  <c r="BL205" i="6"/>
  <c r="BM205" i="6" s="1"/>
  <c r="BF205" i="6"/>
  <c r="BD205" i="6"/>
  <c r="BB205" i="6"/>
  <c r="BA205" i="6"/>
  <c r="AO205" i="6"/>
  <c r="BC205" i="6" s="1"/>
  <c r="AN205" i="6"/>
  <c r="AK205" i="6"/>
  <c r="AM205" i="6" s="1"/>
  <c r="AI205" i="6"/>
  <c r="AH205" i="6"/>
  <c r="CL204" i="6"/>
  <c r="CK204" i="6"/>
  <c r="CJ204" i="6"/>
  <c r="CI204" i="6"/>
  <c r="CH204" i="6"/>
  <c r="CG204" i="6"/>
  <c r="BY204" i="6"/>
  <c r="BR204" i="6"/>
  <c r="BQ204" i="6"/>
  <c r="BP204" i="6"/>
  <c r="BO204" i="6"/>
  <c r="BF204" i="6"/>
  <c r="BD204" i="6"/>
  <c r="BC204" i="6"/>
  <c r="BB204" i="6"/>
  <c r="BA204" i="6"/>
  <c r="AO204" i="6"/>
  <c r="AN204" i="6"/>
  <c r="AI204" i="6"/>
  <c r="AH204" i="6"/>
  <c r="CL203" i="6"/>
  <c r="CK203" i="6"/>
  <c r="CJ203" i="6"/>
  <c r="CI203" i="6"/>
  <c r="CH203" i="6"/>
  <c r="CG203" i="6"/>
  <c r="BY203" i="6"/>
  <c r="BR203" i="6"/>
  <c r="BQ203" i="6"/>
  <c r="BP203" i="6"/>
  <c r="BO203" i="6"/>
  <c r="BM203" i="6"/>
  <c r="BF203" i="6"/>
  <c r="BD203" i="6"/>
  <c r="BL203" i="6" s="1"/>
  <c r="BU203" i="6" s="1"/>
  <c r="BC203" i="6"/>
  <c r="BB203" i="6"/>
  <c r="BA203" i="6"/>
  <c r="AO203" i="6"/>
  <c r="AN203" i="6"/>
  <c r="AK203" i="6"/>
  <c r="AM203" i="6" s="1"/>
  <c r="AI203" i="6"/>
  <c r="AH203" i="6"/>
  <c r="CM202" i="6"/>
  <c r="CI202" i="6"/>
  <c r="CH202" i="6"/>
  <c r="CG202" i="6"/>
  <c r="BY202" i="6"/>
  <c r="BR202" i="6"/>
  <c r="BQ202" i="6"/>
  <c r="BP202" i="6"/>
  <c r="BO202" i="6"/>
  <c r="BF202" i="6"/>
  <c r="BD202" i="6"/>
  <c r="BB202" i="6"/>
  <c r="BA202" i="6"/>
  <c r="AY202" i="6"/>
  <c r="AO202" i="6"/>
  <c r="AN202" i="6"/>
  <c r="AI202" i="6"/>
  <c r="AH202" i="6"/>
  <c r="CL201" i="6"/>
  <c r="CK201" i="6"/>
  <c r="CJ201" i="6"/>
  <c r="CI201" i="6"/>
  <c r="CH201" i="6"/>
  <c r="CG201" i="6"/>
  <c r="BY201" i="6"/>
  <c r="BR201" i="6"/>
  <c r="BQ201" i="6"/>
  <c r="BP201" i="6"/>
  <c r="BO201" i="6"/>
  <c r="BM201" i="6"/>
  <c r="BL201" i="6"/>
  <c r="BU201" i="6" s="1"/>
  <c r="BF201" i="6"/>
  <c r="BB201" i="6"/>
  <c r="BA201" i="6"/>
  <c r="AO201" i="6"/>
  <c r="BC201" i="6" s="1"/>
  <c r="AN201" i="6"/>
  <c r="AM201" i="6"/>
  <c r="AK201" i="6"/>
  <c r="AI201" i="6"/>
  <c r="AH201" i="6"/>
  <c r="CL200" i="6"/>
  <c r="CK200" i="6"/>
  <c r="CJ200" i="6"/>
  <c r="CI200" i="6"/>
  <c r="CH200" i="6"/>
  <c r="CG200" i="6"/>
  <c r="BY200" i="6"/>
  <c r="BU200" i="6"/>
  <c r="BR200" i="6"/>
  <c r="BQ200" i="6"/>
  <c r="BP200" i="6"/>
  <c r="BO200" i="6"/>
  <c r="BL200" i="6"/>
  <c r="BM200" i="6" s="1"/>
  <c r="BF200" i="6"/>
  <c r="BC200" i="6"/>
  <c r="BB200" i="6"/>
  <c r="BA200" i="6"/>
  <c r="AO200" i="6"/>
  <c r="AN200" i="6"/>
  <c r="AK200" i="6"/>
  <c r="AM200" i="6" s="1"/>
  <c r="AI200" i="6"/>
  <c r="AH200" i="6"/>
  <c r="CL199" i="6"/>
  <c r="CK199" i="6"/>
  <c r="CJ199" i="6"/>
  <c r="CI199" i="6"/>
  <c r="CH199" i="6"/>
  <c r="CG199" i="6"/>
  <c r="BY199" i="6"/>
  <c r="BR199" i="6"/>
  <c r="BQ199" i="6"/>
  <c r="BP199" i="6"/>
  <c r="BO199" i="6"/>
  <c r="BL199" i="6"/>
  <c r="BU199" i="6" s="1"/>
  <c r="BF199" i="6"/>
  <c r="BB199" i="6"/>
  <c r="BA199" i="6"/>
  <c r="AO199" i="6"/>
  <c r="AN199" i="6"/>
  <c r="AK199" i="6"/>
  <c r="AM199" i="6" s="1"/>
  <c r="AI199" i="6"/>
  <c r="AH199" i="6"/>
  <c r="CL198" i="6"/>
  <c r="CK198" i="6"/>
  <c r="CJ198" i="6"/>
  <c r="CI198" i="6"/>
  <c r="CH198" i="6"/>
  <c r="CG198" i="6"/>
  <c r="BY198" i="6"/>
  <c r="BU198" i="6"/>
  <c r="BR198" i="6"/>
  <c r="BQ198" i="6"/>
  <c r="BP198" i="6"/>
  <c r="BO198" i="6"/>
  <c r="BL198" i="6"/>
  <c r="BM198" i="6" s="1"/>
  <c r="BF198" i="6"/>
  <c r="BB198" i="6"/>
  <c r="BA198" i="6"/>
  <c r="AO198" i="6"/>
  <c r="BC198" i="6" s="1"/>
  <c r="AN198" i="6"/>
  <c r="AM198" i="6"/>
  <c r="AK198" i="6"/>
  <c r="AI198" i="6"/>
  <c r="AH198" i="6"/>
  <c r="CL197" i="6"/>
  <c r="CK197" i="6"/>
  <c r="CJ197" i="6"/>
  <c r="CI197" i="6"/>
  <c r="CH197" i="6"/>
  <c r="CG197" i="6"/>
  <c r="BY197" i="6"/>
  <c r="BR197" i="6"/>
  <c r="BQ197" i="6"/>
  <c r="BP197" i="6"/>
  <c r="BO197" i="6"/>
  <c r="BJ197" i="6"/>
  <c r="BF197" i="6"/>
  <c r="BD197" i="6"/>
  <c r="BC197" i="6"/>
  <c r="BB197" i="6"/>
  <c r="BA197" i="6"/>
  <c r="AO197" i="6"/>
  <c r="AN197" i="6"/>
  <c r="AI197" i="6"/>
  <c r="AH197" i="6"/>
  <c r="CL196" i="6"/>
  <c r="CK196" i="6"/>
  <c r="CJ196" i="6"/>
  <c r="CI196" i="6"/>
  <c r="CH196" i="6"/>
  <c r="CG196" i="6"/>
  <c r="BY196" i="6"/>
  <c r="BU196" i="6"/>
  <c r="BR196" i="6"/>
  <c r="BQ196" i="6"/>
  <c r="BP196" i="6"/>
  <c r="BO196" i="6"/>
  <c r="BL196" i="6"/>
  <c r="BM196" i="6" s="1"/>
  <c r="BF196" i="6"/>
  <c r="BC196" i="6"/>
  <c r="BB196" i="6"/>
  <c r="BA196" i="6"/>
  <c r="AO196" i="6"/>
  <c r="AN196" i="6"/>
  <c r="AM196" i="6"/>
  <c r="AK196" i="6"/>
  <c r="AI196" i="6"/>
  <c r="AH196" i="6"/>
  <c r="CL195" i="6"/>
  <c r="CK195" i="6"/>
  <c r="CJ195" i="6"/>
  <c r="CI195" i="6"/>
  <c r="CH195" i="6"/>
  <c r="CG195" i="6"/>
  <c r="BY195" i="6"/>
  <c r="BR195" i="6"/>
  <c r="BQ195" i="6"/>
  <c r="BP195" i="6"/>
  <c r="BO195" i="6"/>
  <c r="BM195" i="6"/>
  <c r="BL195" i="6"/>
  <c r="BU195" i="6" s="1"/>
  <c r="BF195" i="6"/>
  <c r="BB195" i="6"/>
  <c r="BA195" i="6"/>
  <c r="AO195" i="6"/>
  <c r="BC195" i="6" s="1"/>
  <c r="AN195" i="6"/>
  <c r="AM195" i="6"/>
  <c r="AK195" i="6"/>
  <c r="AI195" i="6"/>
  <c r="AH195" i="6"/>
  <c r="CL194" i="6"/>
  <c r="CK194" i="6"/>
  <c r="CJ194" i="6"/>
  <c r="CI194" i="6"/>
  <c r="CH194" i="6"/>
  <c r="CG194" i="6"/>
  <c r="BR194" i="6"/>
  <c r="BQ194" i="6"/>
  <c r="BP194" i="6"/>
  <c r="BO194" i="6"/>
  <c r="BJ194" i="6"/>
  <c r="BF194" i="6"/>
  <c r="BD194" i="6"/>
  <c r="BL194" i="6" s="1"/>
  <c r="BC194" i="6"/>
  <c r="BB194" i="6"/>
  <c r="BA194" i="6"/>
  <c r="AO194" i="6"/>
  <c r="AN194" i="6"/>
  <c r="AJ194" i="6"/>
  <c r="AI194" i="6"/>
  <c r="AH194" i="6"/>
  <c r="CL193" i="6"/>
  <c r="CK193" i="6"/>
  <c r="CJ193" i="6"/>
  <c r="CI193" i="6"/>
  <c r="CH193" i="6"/>
  <c r="CG193" i="6"/>
  <c r="BY193" i="6"/>
  <c r="BU193" i="6"/>
  <c r="BR193" i="6"/>
  <c r="BQ193" i="6"/>
  <c r="BP193" i="6"/>
  <c r="BO193" i="6"/>
  <c r="BM193" i="6"/>
  <c r="BL193" i="6"/>
  <c r="BJ193" i="6"/>
  <c r="BF193" i="6"/>
  <c r="BD193" i="6"/>
  <c r="BB193" i="6"/>
  <c r="BA193" i="6"/>
  <c r="AO193" i="6"/>
  <c r="BC193" i="6" s="1"/>
  <c r="AN193" i="6"/>
  <c r="AK193" i="6"/>
  <c r="AM193" i="6" s="1"/>
  <c r="AJ193" i="6"/>
  <c r="AI193" i="6"/>
  <c r="AH193" i="6"/>
  <c r="CM192" i="6"/>
  <c r="CI192" i="6"/>
  <c r="CH192" i="6"/>
  <c r="CG192" i="6"/>
  <c r="BY192" i="6"/>
  <c r="BU192" i="6"/>
  <c r="BR192" i="6"/>
  <c r="BQ192" i="6"/>
  <c r="BP192" i="6"/>
  <c r="BO192" i="6"/>
  <c r="BM192" i="6"/>
  <c r="BL192" i="6"/>
  <c r="BF192" i="6"/>
  <c r="BB192" i="6"/>
  <c r="BA192" i="6"/>
  <c r="AY192" i="6"/>
  <c r="BS192" i="6" s="1"/>
  <c r="AO192" i="6"/>
  <c r="AN192" i="6"/>
  <c r="AM192" i="6"/>
  <c r="AK192" i="6"/>
  <c r="AI192" i="6"/>
  <c r="AH192" i="6"/>
  <c r="CL191" i="6"/>
  <c r="CK191" i="6"/>
  <c r="CJ191" i="6"/>
  <c r="CI191" i="6"/>
  <c r="CH191" i="6"/>
  <c r="CG191" i="6"/>
  <c r="BY191" i="6"/>
  <c r="BU191" i="6"/>
  <c r="BR191" i="6"/>
  <c r="BQ191" i="6"/>
  <c r="BP191" i="6"/>
  <c r="BO191" i="6"/>
  <c r="BL191" i="6"/>
  <c r="BM191" i="6" s="1"/>
  <c r="BJ191" i="6"/>
  <c r="BF191" i="6"/>
  <c r="BD191" i="6"/>
  <c r="BC191" i="6"/>
  <c r="BB191" i="6"/>
  <c r="BA191" i="6"/>
  <c r="AO191" i="6"/>
  <c r="AN191" i="6"/>
  <c r="AK191" i="6"/>
  <c r="AM191" i="6" s="1"/>
  <c r="AJ191" i="6"/>
  <c r="AI191" i="6"/>
  <c r="AH191" i="6"/>
  <c r="CL190" i="6"/>
  <c r="CK190" i="6"/>
  <c r="CJ190" i="6"/>
  <c r="CI190" i="6"/>
  <c r="CH190" i="6"/>
  <c r="CG190" i="6"/>
  <c r="BY190" i="6"/>
  <c r="BU190" i="6"/>
  <c r="BR190" i="6"/>
  <c r="BQ190" i="6"/>
  <c r="BP190" i="6"/>
  <c r="BO190" i="6"/>
  <c r="BM190" i="6"/>
  <c r="BL190" i="6"/>
  <c r="BJ190" i="6"/>
  <c r="BF190" i="6"/>
  <c r="BB190" i="6"/>
  <c r="BA190" i="6"/>
  <c r="AO190" i="6"/>
  <c r="AN190" i="6"/>
  <c r="AM190" i="6"/>
  <c r="AK190" i="6"/>
  <c r="AI190" i="6"/>
  <c r="AH190" i="6"/>
  <c r="CL189" i="6"/>
  <c r="CK189" i="6"/>
  <c r="CJ189" i="6"/>
  <c r="CI189" i="6"/>
  <c r="CH189" i="6"/>
  <c r="CG189" i="6"/>
  <c r="BY189" i="6"/>
  <c r="BR189" i="6"/>
  <c r="BQ189" i="6"/>
  <c r="BP189" i="6"/>
  <c r="BO189" i="6"/>
  <c r="BM189" i="6"/>
  <c r="BL189" i="6"/>
  <c r="BU189" i="6" s="1"/>
  <c r="BF189" i="6"/>
  <c r="BC189" i="6"/>
  <c r="BB189" i="6"/>
  <c r="BA189" i="6"/>
  <c r="AO189" i="6"/>
  <c r="AN189" i="6"/>
  <c r="AK189" i="6"/>
  <c r="AM189" i="6" s="1"/>
  <c r="AI189" i="6"/>
  <c r="AH189" i="6"/>
  <c r="CL188" i="6"/>
  <c r="CK188" i="6"/>
  <c r="CJ188" i="6"/>
  <c r="CI188" i="6"/>
  <c r="CH188" i="6"/>
  <c r="CG188" i="6"/>
  <c r="BY188" i="6"/>
  <c r="BU188" i="6"/>
  <c r="BR188" i="6"/>
  <c r="BQ188" i="6"/>
  <c r="BP188" i="6"/>
  <c r="BO188" i="6"/>
  <c r="BM188" i="6"/>
  <c r="BL188" i="6"/>
  <c r="BJ188" i="6"/>
  <c r="BF188" i="6"/>
  <c r="BC188" i="6"/>
  <c r="BB188" i="6"/>
  <c r="BA188" i="6"/>
  <c r="AO188" i="6"/>
  <c r="AN188" i="6"/>
  <c r="AK188" i="6"/>
  <c r="AM188" i="6" s="1"/>
  <c r="AJ188" i="6"/>
  <c r="AI188" i="6"/>
  <c r="AH188" i="6"/>
  <c r="CL187" i="6"/>
  <c r="CK187" i="6"/>
  <c r="CJ187" i="6"/>
  <c r="CI187" i="6"/>
  <c r="CH187" i="6"/>
  <c r="CG187" i="6"/>
  <c r="BY187" i="6"/>
  <c r="BU187" i="6"/>
  <c r="BR187" i="6"/>
  <c r="BQ187" i="6"/>
  <c r="BP187" i="6"/>
  <c r="BO187" i="6"/>
  <c r="BM187" i="6"/>
  <c r="BL187" i="6"/>
  <c r="BF187" i="6"/>
  <c r="BB187" i="6"/>
  <c r="BA187" i="6"/>
  <c r="AO187" i="6"/>
  <c r="BC187" i="6" s="1"/>
  <c r="AN187" i="6"/>
  <c r="AM187" i="6"/>
  <c r="AK187" i="6"/>
  <c r="AI187" i="6"/>
  <c r="AH187" i="6"/>
  <c r="CL186" i="6"/>
  <c r="CK186" i="6"/>
  <c r="CJ186" i="6"/>
  <c r="CI186" i="6"/>
  <c r="CH186" i="6"/>
  <c r="CG186" i="6"/>
  <c r="BY186" i="6"/>
  <c r="BR186" i="6"/>
  <c r="BQ186" i="6"/>
  <c r="BP186" i="6"/>
  <c r="BO186" i="6"/>
  <c r="BM186" i="6"/>
  <c r="BL186" i="6"/>
  <c r="BU186" i="6" s="1"/>
  <c r="BF186" i="6"/>
  <c r="BB186" i="6"/>
  <c r="BA186" i="6"/>
  <c r="AO186" i="6"/>
  <c r="BC186" i="6" s="1"/>
  <c r="AN186" i="6"/>
  <c r="AK186" i="6"/>
  <c r="AM186" i="6" s="1"/>
  <c r="AI186" i="6"/>
  <c r="AH186" i="6"/>
  <c r="CL185" i="6"/>
  <c r="CK185" i="6"/>
  <c r="CJ185" i="6"/>
  <c r="CI185" i="6"/>
  <c r="CH185" i="6"/>
  <c r="CG185" i="6"/>
  <c r="BR185" i="6"/>
  <c r="BQ185" i="6"/>
  <c r="BP185" i="6"/>
  <c r="BO185" i="6"/>
  <c r="BL185" i="6"/>
  <c r="BJ185" i="6"/>
  <c r="BF185" i="6"/>
  <c r="BD185" i="6"/>
  <c r="BC185" i="6"/>
  <c r="BB185" i="6"/>
  <c r="BA185" i="6"/>
  <c r="AO185" i="6"/>
  <c r="AN185" i="6"/>
  <c r="AJ185" i="6"/>
  <c r="AI185" i="6"/>
  <c r="AH185" i="6"/>
  <c r="CM184" i="6"/>
  <c r="CI184" i="6"/>
  <c r="CH184" i="6"/>
  <c r="CG184" i="6"/>
  <c r="BY184" i="6"/>
  <c r="BR184" i="6"/>
  <c r="BQ184" i="6"/>
  <c r="BP184" i="6"/>
  <c r="BO184" i="6"/>
  <c r="BL184" i="6"/>
  <c r="BJ184" i="6"/>
  <c r="BF184" i="6"/>
  <c r="BB184" i="6"/>
  <c r="BA184" i="6"/>
  <c r="AY184" i="6"/>
  <c r="BT184" i="6" s="1"/>
  <c r="AN184" i="6"/>
  <c r="AK184" i="6"/>
  <c r="AM184" i="6" s="1"/>
  <c r="AI184" i="6"/>
  <c r="AH184" i="6"/>
  <c r="CM183" i="6"/>
  <c r="CI183" i="6"/>
  <c r="CH183" i="6"/>
  <c r="CG183" i="6"/>
  <c r="BY183" i="6"/>
  <c r="BU183" i="6"/>
  <c r="BR183" i="6"/>
  <c r="BQ183" i="6"/>
  <c r="BP183" i="6"/>
  <c r="BO183" i="6"/>
  <c r="BL183" i="6"/>
  <c r="BM183" i="6" s="1"/>
  <c r="BJ183" i="6"/>
  <c r="BF183" i="6"/>
  <c r="BB183" i="6"/>
  <c r="BA183" i="6"/>
  <c r="AY183" i="6"/>
  <c r="BT183" i="6" s="1"/>
  <c r="AN183" i="6"/>
  <c r="AM183" i="6"/>
  <c r="AK183" i="6"/>
  <c r="AI183" i="6"/>
  <c r="AH183" i="6"/>
  <c r="CL182" i="6"/>
  <c r="CK182" i="6"/>
  <c r="CJ182" i="6"/>
  <c r="CI182" i="6"/>
  <c r="CH182" i="6"/>
  <c r="CG182" i="6"/>
  <c r="BY182" i="6"/>
  <c r="BR182" i="6"/>
  <c r="BQ182" i="6"/>
  <c r="BP182" i="6"/>
  <c r="BO182" i="6"/>
  <c r="BJ182" i="6"/>
  <c r="BF182" i="6"/>
  <c r="BD182" i="6"/>
  <c r="BL182" i="6" s="1"/>
  <c r="BM182" i="6" s="1"/>
  <c r="BB182" i="6"/>
  <c r="BA182" i="6"/>
  <c r="AO182" i="6"/>
  <c r="AN182" i="6"/>
  <c r="AI182" i="6"/>
  <c r="AH182" i="6"/>
  <c r="CL181" i="6"/>
  <c r="CK181" i="6"/>
  <c r="CJ181" i="6"/>
  <c r="CI181" i="6"/>
  <c r="CH181" i="6"/>
  <c r="CG181" i="6"/>
  <c r="BY181" i="6"/>
  <c r="BR181" i="6"/>
  <c r="BQ181" i="6"/>
  <c r="BP181" i="6"/>
  <c r="BO181" i="6"/>
  <c r="BL181" i="6"/>
  <c r="BJ181" i="6"/>
  <c r="BI181" i="6"/>
  <c r="BH181" i="6"/>
  <c r="BF181" i="6"/>
  <c r="BC181" i="6"/>
  <c r="BB181" i="6"/>
  <c r="BA181" i="6"/>
  <c r="AO181" i="6"/>
  <c r="AN181" i="6"/>
  <c r="AK181" i="6"/>
  <c r="AM181" i="6" s="1"/>
  <c r="AJ181" i="6"/>
  <c r="AI181" i="6"/>
  <c r="AH181" i="6"/>
  <c r="CL180" i="6"/>
  <c r="CK180" i="6"/>
  <c r="CJ180" i="6"/>
  <c r="CI180" i="6"/>
  <c r="CH180" i="6"/>
  <c r="CG180" i="6"/>
  <c r="BY180" i="6"/>
  <c r="BU180" i="6"/>
  <c r="BR180" i="6"/>
  <c r="BQ180" i="6"/>
  <c r="BP180" i="6"/>
  <c r="BO180" i="6"/>
  <c r="BM180" i="6"/>
  <c r="BL180" i="6"/>
  <c r="BF180" i="6"/>
  <c r="BB180" i="6"/>
  <c r="BA180" i="6"/>
  <c r="AO180" i="6"/>
  <c r="BC180" i="6" s="1"/>
  <c r="AN180" i="6"/>
  <c r="AM180" i="6"/>
  <c r="AK180" i="6"/>
  <c r="AI180" i="6"/>
  <c r="AH180" i="6"/>
  <c r="CM179" i="6"/>
  <c r="CI179" i="6"/>
  <c r="CH179" i="6"/>
  <c r="CG179" i="6"/>
  <c r="BU179" i="6"/>
  <c r="BR179" i="6"/>
  <c r="BQ179" i="6"/>
  <c r="BP179" i="6"/>
  <c r="BO179" i="6"/>
  <c r="BM179" i="6"/>
  <c r="BL179" i="6"/>
  <c r="BF179" i="6"/>
  <c r="BB179" i="6"/>
  <c r="BA179" i="6"/>
  <c r="AY179" i="6"/>
  <c r="AN179" i="6"/>
  <c r="AJ179" i="6"/>
  <c r="AK179" i="6" s="1"/>
  <c r="AM179" i="6" s="1"/>
  <c r="AI179" i="6"/>
  <c r="AH179" i="6"/>
  <c r="CM178" i="6"/>
  <c r="CI178" i="6"/>
  <c r="CH178" i="6"/>
  <c r="CG178" i="6"/>
  <c r="BY178" i="6"/>
  <c r="BR178" i="6"/>
  <c r="BQ178" i="6"/>
  <c r="BP178" i="6"/>
  <c r="BO178" i="6"/>
  <c r="BM178" i="6"/>
  <c r="BL178" i="6"/>
  <c r="BU178" i="6" s="1"/>
  <c r="BF178" i="6"/>
  <c r="BB178" i="6"/>
  <c r="BA178" i="6"/>
  <c r="AY178" i="6"/>
  <c r="AN178" i="6"/>
  <c r="AM178" i="6"/>
  <c r="AK178" i="6"/>
  <c r="AJ178" i="6"/>
  <c r="AI178" i="6"/>
  <c r="AH178" i="6"/>
  <c r="CL177" i="6"/>
  <c r="CK177" i="6"/>
  <c r="CJ177" i="6"/>
  <c r="CI177" i="6"/>
  <c r="CH177" i="6"/>
  <c r="CG177" i="6"/>
  <c r="BY177" i="6"/>
  <c r="BR177" i="6"/>
  <c r="BQ177" i="6"/>
  <c r="BP177" i="6"/>
  <c r="BO177" i="6"/>
  <c r="BL177" i="6"/>
  <c r="BF177" i="6"/>
  <c r="BC177" i="6"/>
  <c r="BB177" i="6"/>
  <c r="BA177" i="6"/>
  <c r="AO177" i="6"/>
  <c r="AN177" i="6"/>
  <c r="AM177" i="6"/>
  <c r="AK177" i="6"/>
  <c r="AI177" i="6"/>
  <c r="AH177" i="6"/>
  <c r="CL176" i="6"/>
  <c r="CK176" i="6"/>
  <c r="CJ176" i="6"/>
  <c r="CI176" i="6"/>
  <c r="CH176" i="6"/>
  <c r="CG176" i="6"/>
  <c r="BU176" i="6"/>
  <c r="BR176" i="6"/>
  <c r="BQ176" i="6"/>
  <c r="BP176" i="6"/>
  <c r="BO176" i="6"/>
  <c r="BJ176" i="6"/>
  <c r="BF176" i="6"/>
  <c r="BD176" i="6"/>
  <c r="BL176" i="6" s="1"/>
  <c r="BM176" i="6" s="1"/>
  <c r="BC176" i="6"/>
  <c r="BB176" i="6"/>
  <c r="BA176" i="6"/>
  <c r="AO176" i="6"/>
  <c r="AN176" i="6"/>
  <c r="AJ176" i="6"/>
  <c r="AI176" i="6"/>
  <c r="AH176" i="6"/>
  <c r="CL175" i="6"/>
  <c r="CK175" i="6"/>
  <c r="CJ175" i="6"/>
  <c r="CI175" i="6"/>
  <c r="CH175" i="6"/>
  <c r="CG175" i="6"/>
  <c r="BY175" i="6"/>
  <c r="BU175" i="6"/>
  <c r="BR175" i="6"/>
  <c r="BQ175" i="6"/>
  <c r="BP175" i="6"/>
  <c r="BO175" i="6"/>
  <c r="BM175" i="6"/>
  <c r="BL175" i="6"/>
  <c r="BJ175" i="6"/>
  <c r="BF175" i="6"/>
  <c r="BB175" i="6"/>
  <c r="BA175" i="6"/>
  <c r="AO175" i="6"/>
  <c r="BC175" i="6" s="1"/>
  <c r="AN175" i="6"/>
  <c r="AK175" i="6"/>
  <c r="AM175" i="6" s="1"/>
  <c r="AJ175" i="6"/>
  <c r="AI175" i="6"/>
  <c r="AH175" i="6"/>
  <c r="CM174" i="6"/>
  <c r="CI174" i="6"/>
  <c r="CH174" i="6"/>
  <c r="CG174" i="6"/>
  <c r="BY174" i="6"/>
  <c r="BU174" i="6"/>
  <c r="BR174" i="6"/>
  <c r="BQ174" i="6"/>
  <c r="BP174" i="6"/>
  <c r="BO174" i="6"/>
  <c r="BM174" i="6"/>
  <c r="BL174" i="6"/>
  <c r="BJ174" i="6"/>
  <c r="BF174" i="6"/>
  <c r="BB174" i="6"/>
  <c r="BA174" i="6"/>
  <c r="AY174" i="6"/>
  <c r="AN174" i="6"/>
  <c r="AM174" i="6"/>
  <c r="AK174" i="6"/>
  <c r="AI174" i="6"/>
  <c r="AH174" i="6"/>
  <c r="CL173" i="6"/>
  <c r="CK173" i="6"/>
  <c r="CJ173" i="6"/>
  <c r="CI173" i="6"/>
  <c r="CH173" i="6"/>
  <c r="CG173" i="6"/>
  <c r="BY173" i="6"/>
  <c r="BU173" i="6"/>
  <c r="BR173" i="6"/>
  <c r="BQ173" i="6"/>
  <c r="BP173" i="6"/>
  <c r="BO173" i="6"/>
  <c r="BM173" i="6"/>
  <c r="BL173" i="6"/>
  <c r="BF173" i="6"/>
  <c r="BC173" i="6"/>
  <c r="BB173" i="6"/>
  <c r="BA173" i="6"/>
  <c r="AO173" i="6"/>
  <c r="AN173" i="6"/>
  <c r="AM173" i="6"/>
  <c r="AJ173" i="6"/>
  <c r="AK173" i="6" s="1"/>
  <c r="AI173" i="6"/>
  <c r="AH173" i="6"/>
  <c r="CM172" i="6"/>
  <c r="CI172" i="6"/>
  <c r="CH172" i="6"/>
  <c r="CG172" i="6"/>
  <c r="BY172" i="6"/>
  <c r="BR172" i="6"/>
  <c r="BQ172" i="6"/>
  <c r="BP172" i="6"/>
  <c r="BO172" i="6"/>
  <c r="BF172" i="6"/>
  <c r="BD172" i="6"/>
  <c r="BB172" i="6"/>
  <c r="BA172" i="6"/>
  <c r="AY172" i="6"/>
  <c r="AN172" i="6"/>
  <c r="AI172" i="6"/>
  <c r="AH172" i="6"/>
  <c r="CL171" i="6"/>
  <c r="CK171" i="6"/>
  <c r="CJ171" i="6"/>
  <c r="CI171" i="6"/>
  <c r="CH171" i="6"/>
  <c r="CG171" i="6"/>
  <c r="BY171" i="6"/>
  <c r="BR171" i="6"/>
  <c r="BQ171" i="6"/>
  <c r="BP171" i="6"/>
  <c r="BO171" i="6"/>
  <c r="BL171" i="6"/>
  <c r="BM171" i="6" s="1"/>
  <c r="BI171" i="6"/>
  <c r="BH171" i="6"/>
  <c r="BF171" i="6"/>
  <c r="BD171" i="6" a="1"/>
  <c r="BD171" i="6" s="1"/>
  <c r="BC171" i="6"/>
  <c r="BB171" i="6"/>
  <c r="BA171" i="6"/>
  <c r="AO171" i="6"/>
  <c r="AN171" i="6"/>
  <c r="AK171" i="6"/>
  <c r="AM171" i="6" s="1"/>
  <c r="AJ171" i="6"/>
  <c r="AI171" i="6"/>
  <c r="AH171" i="6"/>
  <c r="CL170" i="6"/>
  <c r="CK170" i="6"/>
  <c r="CJ170" i="6"/>
  <c r="CI170" i="6"/>
  <c r="CH170" i="6"/>
  <c r="CG170" i="6"/>
  <c r="BY170" i="6"/>
  <c r="BR170" i="6"/>
  <c r="BQ170" i="6"/>
  <c r="BP170" i="6"/>
  <c r="BO170" i="6"/>
  <c r="BF170" i="6"/>
  <c r="BD170" i="6"/>
  <c r="AK170" i="6" s="1"/>
  <c r="AM170" i="6" s="1"/>
  <c r="BB170" i="6"/>
  <c r="BA170" i="6"/>
  <c r="AO170" i="6"/>
  <c r="BC170" i="6" s="1"/>
  <c r="AN170" i="6"/>
  <c r="AI170" i="6"/>
  <c r="AH170" i="6"/>
  <c r="CL169" i="6"/>
  <c r="CK169" i="6"/>
  <c r="CJ169" i="6"/>
  <c r="CI169" i="6"/>
  <c r="CH169" i="6"/>
  <c r="CG169" i="6"/>
  <c r="BY169" i="6"/>
  <c r="BU169" i="6"/>
  <c r="BR169" i="6"/>
  <c r="BQ169" i="6"/>
  <c r="BP169" i="6"/>
  <c r="BO169" i="6"/>
  <c r="BM169" i="6"/>
  <c r="BL169" i="6"/>
  <c r="BF169" i="6"/>
  <c r="BC169" i="6"/>
  <c r="BB169" i="6"/>
  <c r="BA169" i="6"/>
  <c r="AO169" i="6"/>
  <c r="AN169" i="6"/>
  <c r="AM169" i="6"/>
  <c r="AK169" i="6"/>
  <c r="AI169" i="6"/>
  <c r="AH169" i="6"/>
  <c r="CL168" i="6"/>
  <c r="CK168" i="6"/>
  <c r="CJ168" i="6"/>
  <c r="CI168" i="6"/>
  <c r="CH168" i="6"/>
  <c r="CG168" i="6"/>
  <c r="BY168" i="6"/>
  <c r="BR168" i="6"/>
  <c r="BQ168" i="6"/>
  <c r="BP168" i="6"/>
  <c r="BO168" i="6"/>
  <c r="BF168" i="6"/>
  <c r="BD168" i="6" a="1"/>
  <c r="BD168" i="6"/>
  <c r="BB168" i="6"/>
  <c r="BA168" i="6"/>
  <c r="AO168" i="6"/>
  <c r="BC168" i="6" s="1"/>
  <c r="AN168" i="6"/>
  <c r="AI168" i="6"/>
  <c r="AH168" i="6"/>
  <c r="CL167" i="6"/>
  <c r="CK167" i="6"/>
  <c r="CJ167" i="6"/>
  <c r="CI167" i="6"/>
  <c r="CH167" i="6"/>
  <c r="CG167" i="6"/>
  <c r="BU167" i="6"/>
  <c r="BR167" i="6"/>
  <c r="BQ167" i="6"/>
  <c r="BP167" i="6"/>
  <c r="BO167" i="6"/>
  <c r="BM167" i="6"/>
  <c r="BL167" i="6"/>
  <c r="BI167" i="6"/>
  <c r="BH167" i="6"/>
  <c r="BF167" i="6"/>
  <c r="BB167" i="6"/>
  <c r="BA167" i="6"/>
  <c r="AO167" i="6"/>
  <c r="BC167" i="6" s="1"/>
  <c r="AN167" i="6"/>
  <c r="AJ167" i="6"/>
  <c r="AI167" i="6"/>
  <c r="AH167" i="6"/>
  <c r="CL166" i="6"/>
  <c r="CK166" i="6"/>
  <c r="CJ166" i="6"/>
  <c r="CI166" i="6"/>
  <c r="CH166" i="6"/>
  <c r="CG166" i="6"/>
  <c r="BY166" i="6"/>
  <c r="BR166" i="6"/>
  <c r="BQ166" i="6"/>
  <c r="BP166" i="6"/>
  <c r="BO166" i="6"/>
  <c r="BL166" i="6"/>
  <c r="BI166" i="6"/>
  <c r="BH166" i="6"/>
  <c r="BF166" i="6"/>
  <c r="BD166" i="6" a="1"/>
  <c r="BD166" i="6" s="1"/>
  <c r="BC166" i="6"/>
  <c r="BB166" i="6"/>
  <c r="BA166" i="6"/>
  <c r="AO166" i="6"/>
  <c r="AN166" i="6"/>
  <c r="AM166" i="6"/>
  <c r="AK166" i="6"/>
  <c r="AI166" i="6"/>
  <c r="AH166" i="6"/>
  <c r="CL165" i="6"/>
  <c r="CK165" i="6"/>
  <c r="CJ165" i="6"/>
  <c r="CI165" i="6"/>
  <c r="CH165" i="6"/>
  <c r="CG165" i="6"/>
  <c r="BY165" i="6"/>
  <c r="BU165" i="6"/>
  <c r="BR165" i="6"/>
  <c r="BQ165" i="6"/>
  <c r="BP165" i="6"/>
  <c r="BO165" i="6"/>
  <c r="BM165" i="6"/>
  <c r="BL165" i="6"/>
  <c r="BI165" i="6"/>
  <c r="BH165" i="6"/>
  <c r="BF165" i="6"/>
  <c r="BC165" i="6"/>
  <c r="BB165" i="6"/>
  <c r="BA165" i="6"/>
  <c r="AO165" i="6"/>
  <c r="AN165" i="6"/>
  <c r="AM165" i="6"/>
  <c r="AK165" i="6"/>
  <c r="AI165" i="6"/>
  <c r="AH165" i="6"/>
  <c r="CL164" i="6"/>
  <c r="CK164" i="6"/>
  <c r="CJ164" i="6"/>
  <c r="CI164" i="6"/>
  <c r="CH164" i="6"/>
  <c r="CG164" i="6"/>
  <c r="BY164" i="6"/>
  <c r="BR164" i="6"/>
  <c r="BQ164" i="6"/>
  <c r="BP164" i="6"/>
  <c r="BO164" i="6"/>
  <c r="BL164" i="6"/>
  <c r="BI164" i="6"/>
  <c r="BH164" i="6"/>
  <c r="BF164" i="6"/>
  <c r="BD164" i="6"/>
  <c r="AK164" i="6" s="1"/>
  <c r="AM164" i="6" s="1"/>
  <c r="BC164" i="6"/>
  <c r="BB164" i="6"/>
  <c r="BA164" i="6"/>
  <c r="AO164" i="6"/>
  <c r="AN164" i="6"/>
  <c r="AI164" i="6"/>
  <c r="AH164" i="6"/>
  <c r="CM163" i="6"/>
  <c r="CI163" i="6"/>
  <c r="CH163" i="6"/>
  <c r="CG163" i="6"/>
  <c r="BY163" i="6"/>
  <c r="BR163" i="6"/>
  <c r="BQ163" i="6"/>
  <c r="BP163" i="6"/>
  <c r="BO163" i="6"/>
  <c r="BF163" i="6"/>
  <c r="BD163" i="6"/>
  <c r="BB163" i="6"/>
  <c r="BA163" i="6"/>
  <c r="AY163" i="6"/>
  <c r="AN163" i="6"/>
  <c r="AJ163" i="6"/>
  <c r="AI163" i="6"/>
  <c r="AH163" i="6"/>
  <c r="CM162" i="6"/>
  <c r="CI162" i="6"/>
  <c r="CH162" i="6"/>
  <c r="CG162" i="6"/>
  <c r="BR162" i="6"/>
  <c r="BQ162" i="6"/>
  <c r="BP162" i="6"/>
  <c r="BO162" i="6"/>
  <c r="BM162" i="6"/>
  <c r="BL162" i="6"/>
  <c r="BU162" i="6" s="1"/>
  <c r="BF162" i="6"/>
  <c r="BD162" i="6"/>
  <c r="BB162" i="6"/>
  <c r="BA162" i="6"/>
  <c r="AY162" i="6"/>
  <c r="BT162" i="6" s="1"/>
  <c r="AN162" i="6"/>
  <c r="AM162" i="6"/>
  <c r="AJ162" i="6"/>
  <c r="AK162" i="6" s="1"/>
  <c r="AI162" i="6"/>
  <c r="AH162" i="6"/>
  <c r="CL161" i="6"/>
  <c r="CK161" i="6"/>
  <c r="CJ161" i="6"/>
  <c r="CI161" i="6"/>
  <c r="CH161" i="6"/>
  <c r="CG161" i="6"/>
  <c r="BY161" i="6"/>
  <c r="BR161" i="6"/>
  <c r="BQ161" i="6"/>
  <c r="BP161" i="6"/>
  <c r="BO161" i="6"/>
  <c r="BL161" i="6"/>
  <c r="BU161" i="6" s="1"/>
  <c r="BJ161" i="6"/>
  <c r="BI161" i="6"/>
  <c r="BH161" i="6"/>
  <c r="BF161" i="6"/>
  <c r="BB161" i="6"/>
  <c r="BA161" i="6"/>
  <c r="AN161" i="6"/>
  <c r="AK161" i="6"/>
  <c r="AM161" i="6" s="1"/>
  <c r="AI161" i="6"/>
  <c r="AH161" i="6"/>
  <c r="CL160" i="6"/>
  <c r="CK160" i="6"/>
  <c r="CJ160" i="6"/>
  <c r="CI160" i="6"/>
  <c r="CH160" i="6"/>
  <c r="CG160" i="6"/>
  <c r="BY160" i="6"/>
  <c r="BR160" i="6"/>
  <c r="BQ160" i="6"/>
  <c r="BP160" i="6"/>
  <c r="BO160" i="6"/>
  <c r="BL160" i="6"/>
  <c r="BM160" i="6" s="1"/>
  <c r="BI160" i="6"/>
  <c r="BH160" i="6"/>
  <c r="BF160" i="6"/>
  <c r="BD160" i="6"/>
  <c r="BC160" i="6"/>
  <c r="BB160" i="6"/>
  <c r="BA160" i="6"/>
  <c r="AO160" i="6"/>
  <c r="AN160" i="6"/>
  <c r="AK160" i="6"/>
  <c r="AM160" i="6" s="1"/>
  <c r="AJ160" i="6"/>
  <c r="AI160" i="6"/>
  <c r="AH160" i="6"/>
  <c r="CL159" i="6"/>
  <c r="CK159" i="6"/>
  <c r="CJ159" i="6"/>
  <c r="CI159" i="6"/>
  <c r="CH159" i="6"/>
  <c r="CG159" i="6"/>
  <c r="BR159" i="6"/>
  <c r="BQ159" i="6"/>
  <c r="BP159" i="6"/>
  <c r="BO159" i="6"/>
  <c r="BL159" i="6"/>
  <c r="BI159" i="6"/>
  <c r="BH159" i="6"/>
  <c r="BF159" i="6"/>
  <c r="BD159" i="6"/>
  <c r="BC159" i="6"/>
  <c r="BB159" i="6"/>
  <c r="BA159" i="6"/>
  <c r="AO159" i="6"/>
  <c r="AN159" i="6"/>
  <c r="AK159" i="6"/>
  <c r="AM159" i="6" s="1"/>
  <c r="AJ159" i="6"/>
  <c r="BY159" i="6" s="1"/>
  <c r="AI159" i="6"/>
  <c r="AH159" i="6"/>
  <c r="CL158" i="6"/>
  <c r="CK158" i="6"/>
  <c r="CJ158" i="6"/>
  <c r="CI158" i="6"/>
  <c r="CH158" i="6"/>
  <c r="CG158" i="6"/>
  <c r="BY158" i="6"/>
  <c r="BR158" i="6"/>
  <c r="BQ158" i="6"/>
  <c r="BP158" i="6"/>
  <c r="BO158" i="6"/>
  <c r="BL158" i="6"/>
  <c r="BI158" i="6"/>
  <c r="BH158" i="6"/>
  <c r="BF158" i="6"/>
  <c r="BB158" i="6"/>
  <c r="BA158" i="6"/>
  <c r="AO158" i="6"/>
  <c r="BC158" i="6" s="1"/>
  <c r="AN158" i="6"/>
  <c r="AK158" i="6"/>
  <c r="AM158" i="6" s="1"/>
  <c r="AI158" i="6"/>
  <c r="AH158" i="6"/>
  <c r="CL157" i="6"/>
  <c r="CK157" i="6"/>
  <c r="CJ157" i="6"/>
  <c r="CI157" i="6"/>
  <c r="CH157" i="6"/>
  <c r="CG157" i="6"/>
  <c r="BY157" i="6"/>
  <c r="BR157" i="6"/>
  <c r="BQ157" i="6"/>
  <c r="BP157" i="6"/>
  <c r="BO157" i="6"/>
  <c r="BL157" i="6"/>
  <c r="BM157" i="6" s="1"/>
  <c r="BJ157" i="6"/>
  <c r="BI157" i="6"/>
  <c r="BH157" i="6"/>
  <c r="BF157" i="6"/>
  <c r="BB157" i="6"/>
  <c r="BA157" i="6"/>
  <c r="AN157" i="6"/>
  <c r="AM157" i="6"/>
  <c r="AK157" i="6"/>
  <c r="AI157" i="6"/>
  <c r="AH157" i="6"/>
  <c r="CL156" i="6"/>
  <c r="CK156" i="6"/>
  <c r="CJ156" i="6"/>
  <c r="CI156" i="6"/>
  <c r="CH156" i="6"/>
  <c r="CG156" i="6"/>
  <c r="BY156" i="6"/>
  <c r="BR156" i="6"/>
  <c r="BQ156" i="6"/>
  <c r="BP156" i="6"/>
  <c r="BO156" i="6"/>
  <c r="BM156" i="6"/>
  <c r="BI156" i="6"/>
  <c r="BH156" i="6"/>
  <c r="BF156" i="6"/>
  <c r="BD156" i="6"/>
  <c r="BL156" i="6" s="1"/>
  <c r="BU156" i="6" s="1"/>
  <c r="BB156" i="6"/>
  <c r="BA156" i="6"/>
  <c r="AO156" i="6"/>
  <c r="BC156" i="6" s="1"/>
  <c r="AN156" i="6"/>
  <c r="AI156" i="6"/>
  <c r="AH156" i="6"/>
  <c r="CL155" i="6"/>
  <c r="CK155" i="6"/>
  <c r="CJ155" i="6"/>
  <c r="CI155" i="6"/>
  <c r="CH155" i="6"/>
  <c r="CG155" i="6"/>
  <c r="BY155" i="6"/>
  <c r="BU155" i="6"/>
  <c r="BR155" i="6"/>
  <c r="BQ155" i="6"/>
  <c r="BP155" i="6"/>
  <c r="BO155" i="6"/>
  <c r="BL155" i="6"/>
  <c r="BM155" i="6" s="1"/>
  <c r="BI155" i="6"/>
  <c r="BH155" i="6"/>
  <c r="BF155" i="6"/>
  <c r="BD155" i="6"/>
  <c r="BB155" i="6"/>
  <c r="BA155" i="6"/>
  <c r="AO155" i="6"/>
  <c r="BC155" i="6" s="1"/>
  <c r="AN155" i="6"/>
  <c r="AK155" i="6"/>
  <c r="AM155" i="6" s="1"/>
  <c r="AI155" i="6"/>
  <c r="AH155" i="6"/>
  <c r="CL154" i="6"/>
  <c r="CK154" i="6"/>
  <c r="CJ154" i="6"/>
  <c r="CI154" i="6"/>
  <c r="CH154" i="6"/>
  <c r="CG154" i="6"/>
  <c r="BU154" i="6"/>
  <c r="BR154" i="6"/>
  <c r="BQ154" i="6"/>
  <c r="BP154" i="6"/>
  <c r="BO154" i="6"/>
  <c r="BL154" i="6"/>
  <c r="BM154" i="6" s="1"/>
  <c r="BI154" i="6"/>
  <c r="BH154" i="6"/>
  <c r="BF154" i="6"/>
  <c r="BB154" i="6"/>
  <c r="BA154" i="6"/>
  <c r="AO154" i="6"/>
  <c r="BC154" i="6" s="1"/>
  <c r="AN154" i="6"/>
  <c r="AM154" i="6"/>
  <c r="AK154" i="6"/>
  <c r="AJ154" i="6"/>
  <c r="BY154" i="6" s="1"/>
  <c r="AI154" i="6"/>
  <c r="AH154" i="6"/>
  <c r="CL153" i="6"/>
  <c r="CK153" i="6"/>
  <c r="CJ153" i="6"/>
  <c r="CI153" i="6"/>
  <c r="CH153" i="6"/>
  <c r="CG153" i="6"/>
  <c r="BY153" i="6"/>
  <c r="BR153" i="6"/>
  <c r="BQ153" i="6"/>
  <c r="BP153" i="6"/>
  <c r="BO153" i="6"/>
  <c r="BI153" i="6"/>
  <c r="BH153" i="6"/>
  <c r="BF153" i="6"/>
  <c r="BD153" i="6"/>
  <c r="BL153" i="6" s="1"/>
  <c r="BC153" i="6"/>
  <c r="BB153" i="6"/>
  <c r="BA153" i="6"/>
  <c r="AO153" i="6"/>
  <c r="AN153" i="6"/>
  <c r="AK153" i="6"/>
  <c r="AM153" i="6" s="1"/>
  <c r="AI153" i="6"/>
  <c r="AH153" i="6"/>
  <c r="CL152" i="6"/>
  <c r="CK152" i="6"/>
  <c r="CJ152" i="6"/>
  <c r="CI152" i="6"/>
  <c r="CH152" i="6"/>
  <c r="CG152" i="6"/>
  <c r="BY152" i="6"/>
  <c r="BR152" i="6"/>
  <c r="BQ152" i="6"/>
  <c r="BP152" i="6"/>
  <c r="BO152" i="6"/>
  <c r="BM152" i="6"/>
  <c r="BI152" i="6"/>
  <c r="BH152" i="6"/>
  <c r="BF152" i="6"/>
  <c r="BD152" i="6"/>
  <c r="BL152" i="6" s="1"/>
  <c r="BU152" i="6" s="1"/>
  <c r="BC152" i="6"/>
  <c r="BB152" i="6"/>
  <c r="BA152" i="6"/>
  <c r="AO152" i="6"/>
  <c r="AN152" i="6"/>
  <c r="AK152" i="6"/>
  <c r="AM152" i="6" s="1"/>
  <c r="AI152" i="6"/>
  <c r="AH152" i="6"/>
  <c r="CL151" i="6"/>
  <c r="CK151" i="6"/>
  <c r="CJ151" i="6"/>
  <c r="CI151" i="6"/>
  <c r="CH151" i="6"/>
  <c r="CG151" i="6"/>
  <c r="BU151" i="6"/>
  <c r="BR151" i="6"/>
  <c r="BQ151" i="6"/>
  <c r="BP151" i="6"/>
  <c r="BO151" i="6"/>
  <c r="BM151" i="6"/>
  <c r="BL151" i="6"/>
  <c r="BJ151" i="6"/>
  <c r="BI151" i="6"/>
  <c r="BH151" i="6"/>
  <c r="BF151" i="6"/>
  <c r="BC151" i="6"/>
  <c r="BB151" i="6"/>
  <c r="BA151" i="6"/>
  <c r="AO151" i="6"/>
  <c r="AN151" i="6"/>
  <c r="AK151" i="6"/>
  <c r="AM151" i="6" s="1"/>
  <c r="AJ151" i="6"/>
  <c r="BY151" i="6" s="1"/>
  <c r="AI151" i="6"/>
  <c r="AH151" i="6"/>
  <c r="CL150" i="6"/>
  <c r="CK150" i="6"/>
  <c r="CJ150" i="6"/>
  <c r="CI150" i="6"/>
  <c r="CH150" i="6"/>
  <c r="CG150" i="6"/>
  <c r="BR150" i="6"/>
  <c r="BQ150" i="6"/>
  <c r="BP150" i="6"/>
  <c r="BO150" i="6"/>
  <c r="BM150" i="6"/>
  <c r="BI150" i="6"/>
  <c r="BH150" i="6"/>
  <c r="BF150" i="6"/>
  <c r="BD150" i="6"/>
  <c r="BL150" i="6" s="1"/>
  <c r="BU150" i="6" s="1"/>
  <c r="BC150" i="6"/>
  <c r="BB150" i="6"/>
  <c r="BA150" i="6"/>
  <c r="AO150" i="6"/>
  <c r="AN150" i="6"/>
  <c r="AK150" i="6"/>
  <c r="AM150" i="6" s="1"/>
  <c r="AJ150" i="6"/>
  <c r="BY150" i="6" s="1"/>
  <c r="AI150" i="6"/>
  <c r="AH150" i="6"/>
  <c r="CL149" i="6"/>
  <c r="CK149" i="6"/>
  <c r="CJ149" i="6"/>
  <c r="CI149" i="6"/>
  <c r="CH149" i="6"/>
  <c r="CG149" i="6"/>
  <c r="BY149" i="6"/>
  <c r="BR149" i="6"/>
  <c r="BQ149" i="6"/>
  <c r="BP149" i="6"/>
  <c r="BO149" i="6"/>
  <c r="BI149" i="6"/>
  <c r="BH149" i="6"/>
  <c r="BF149" i="6"/>
  <c r="BD149" i="6"/>
  <c r="BC149" i="6"/>
  <c r="BB149" i="6"/>
  <c r="BA149" i="6"/>
  <c r="AO149" i="6"/>
  <c r="AN149" i="6"/>
  <c r="AI149" i="6"/>
  <c r="AH149" i="6"/>
  <c r="CL148" i="6"/>
  <c r="CK148" i="6"/>
  <c r="CJ148" i="6"/>
  <c r="CI148" i="6"/>
  <c r="CH148" i="6"/>
  <c r="CG148" i="6"/>
  <c r="BY148" i="6"/>
  <c r="BR148" i="6"/>
  <c r="BQ148" i="6"/>
  <c r="BP148" i="6"/>
  <c r="BO148" i="6"/>
  <c r="BM148" i="6"/>
  <c r="BL148" i="6"/>
  <c r="BU148" i="6" s="1"/>
  <c r="BI148" i="6"/>
  <c r="BH148" i="6"/>
  <c r="BF148" i="6"/>
  <c r="BB148" i="6"/>
  <c r="BA148" i="6"/>
  <c r="AN148" i="6"/>
  <c r="AM148" i="6"/>
  <c r="AK148" i="6"/>
  <c r="AI148" i="6"/>
  <c r="AH148" i="6"/>
  <c r="CL147" i="6"/>
  <c r="CK147" i="6"/>
  <c r="CJ147" i="6"/>
  <c r="CI147" i="6"/>
  <c r="CH147" i="6"/>
  <c r="CG147" i="6"/>
  <c r="BR147" i="6"/>
  <c r="BQ147" i="6"/>
  <c r="BP147" i="6"/>
  <c r="BO147" i="6"/>
  <c r="BI147" i="6"/>
  <c r="BH147" i="6"/>
  <c r="BF147" i="6"/>
  <c r="BD147" i="6"/>
  <c r="BL147" i="6" s="1"/>
  <c r="BC147" i="6"/>
  <c r="BB147" i="6"/>
  <c r="BA147" i="6"/>
  <c r="AO147" i="6"/>
  <c r="AN147" i="6"/>
  <c r="AJ147" i="6"/>
  <c r="BY147" i="6" s="1"/>
  <c r="AI147" i="6"/>
  <c r="AH147" i="6"/>
  <c r="CL146" i="6"/>
  <c r="CK146" i="6"/>
  <c r="CJ146" i="6"/>
  <c r="CI146" i="6"/>
  <c r="CH146" i="6"/>
  <c r="CG146" i="6"/>
  <c r="BR146" i="6"/>
  <c r="BQ146" i="6"/>
  <c r="BP146" i="6"/>
  <c r="BO146" i="6"/>
  <c r="BI146" i="6"/>
  <c r="BH146" i="6"/>
  <c r="BF146" i="6"/>
  <c r="BD146" i="6"/>
  <c r="BL146" i="6" s="1"/>
  <c r="BC146" i="6"/>
  <c r="BB146" i="6"/>
  <c r="BA146" i="6"/>
  <c r="AO146" i="6"/>
  <c r="AN146" i="6"/>
  <c r="AK146" i="6"/>
  <c r="AM146" i="6" s="1"/>
  <c r="AJ146" i="6"/>
  <c r="BY146" i="6" s="1"/>
  <c r="AI146" i="6"/>
  <c r="AH146" i="6"/>
  <c r="CL145" i="6"/>
  <c r="CK145" i="6"/>
  <c r="CJ145" i="6"/>
  <c r="CI145" i="6"/>
  <c r="CH145" i="6"/>
  <c r="CG145" i="6"/>
  <c r="BY145" i="6"/>
  <c r="BU145" i="6"/>
  <c r="BR145" i="6"/>
  <c r="BQ145" i="6"/>
  <c r="BP145" i="6"/>
  <c r="BO145" i="6"/>
  <c r="BL145" i="6"/>
  <c r="BM145" i="6" s="1"/>
  <c r="BJ145" i="6"/>
  <c r="BI145" i="6"/>
  <c r="BH145" i="6"/>
  <c r="BF145" i="6"/>
  <c r="BB145" i="6"/>
  <c r="BA145" i="6"/>
  <c r="AO145" i="6"/>
  <c r="BC145" i="6" s="1"/>
  <c r="AN145" i="6"/>
  <c r="AK145" i="6"/>
  <c r="AM145" i="6" s="1"/>
  <c r="AJ145" i="6"/>
  <c r="AI145" i="6"/>
  <c r="AH145" i="6"/>
  <c r="CM144" i="6"/>
  <c r="CI144" i="6"/>
  <c r="CH144" i="6"/>
  <c r="CG144" i="6"/>
  <c r="BU144" i="6"/>
  <c r="BR144" i="6"/>
  <c r="BQ144" i="6"/>
  <c r="BP144" i="6"/>
  <c r="BO144" i="6"/>
  <c r="BL144" i="6"/>
  <c r="BM144" i="6" s="1"/>
  <c r="BF144" i="6"/>
  <c r="BB144" i="6"/>
  <c r="BA144" i="6"/>
  <c r="AY144" i="6"/>
  <c r="AN144" i="6"/>
  <c r="AJ144" i="6"/>
  <c r="AK144" i="6" s="1"/>
  <c r="AM144" i="6" s="1"/>
  <c r="AI144" i="6"/>
  <c r="AH144" i="6"/>
  <c r="CM143" i="6"/>
  <c r="CI143" i="6"/>
  <c r="CH143" i="6"/>
  <c r="CG143" i="6"/>
  <c r="BR143" i="6"/>
  <c r="BQ143" i="6"/>
  <c r="BP143" i="6"/>
  <c r="BO143" i="6"/>
  <c r="BL143" i="6"/>
  <c r="BM143" i="6" s="1"/>
  <c r="BF143" i="6"/>
  <c r="BD143" i="6"/>
  <c r="BB143" i="6"/>
  <c r="BA143" i="6"/>
  <c r="AY143" i="6"/>
  <c r="BS143" i="6" s="1"/>
  <c r="AN143" i="6"/>
  <c r="AK143" i="6"/>
  <c r="AM143" i="6" s="1"/>
  <c r="AJ143" i="6"/>
  <c r="BY143" i="6" s="1"/>
  <c r="AI143" i="6"/>
  <c r="AH143" i="6"/>
  <c r="CL142" i="6"/>
  <c r="CK142" i="6"/>
  <c r="CJ142" i="6"/>
  <c r="CI142" i="6"/>
  <c r="CH142" i="6"/>
  <c r="CG142" i="6"/>
  <c r="BY142" i="6"/>
  <c r="BR142" i="6"/>
  <c r="BQ142" i="6"/>
  <c r="BP142" i="6"/>
  <c r="BO142" i="6"/>
  <c r="BL142" i="6"/>
  <c r="BM142" i="6" s="1"/>
  <c r="BI142" i="6"/>
  <c r="BH142" i="6"/>
  <c r="BF142" i="6"/>
  <c r="BD142" i="6"/>
  <c r="BB142" i="6"/>
  <c r="BA142" i="6"/>
  <c r="AO142" i="6"/>
  <c r="BC142" i="6" s="1"/>
  <c r="AN142" i="6"/>
  <c r="AM142" i="6"/>
  <c r="AJ142" i="6"/>
  <c r="AK142" i="6" s="1"/>
  <c r="AI142" i="6"/>
  <c r="AH142" i="6"/>
  <c r="CL141" i="6"/>
  <c r="CK141" i="6"/>
  <c r="CJ141" i="6"/>
  <c r="CI141" i="6"/>
  <c r="CH141" i="6"/>
  <c r="CG141" i="6"/>
  <c r="BR141" i="6"/>
  <c r="BQ141" i="6"/>
  <c r="BP141" i="6"/>
  <c r="BO141" i="6"/>
  <c r="BI141" i="6"/>
  <c r="BH141" i="6"/>
  <c r="BF141" i="6"/>
  <c r="BD141" i="6"/>
  <c r="BL141" i="6" s="1"/>
  <c r="BU141" i="6" s="1"/>
  <c r="BB141" i="6"/>
  <c r="BA141" i="6"/>
  <c r="AO141" i="6"/>
  <c r="BC141" i="6" s="1"/>
  <c r="AN141" i="6"/>
  <c r="AJ141" i="6"/>
  <c r="BY141" i="6" s="1"/>
  <c r="AI141" i="6"/>
  <c r="AH141" i="6"/>
  <c r="CM140" i="6"/>
  <c r="CI140" i="6"/>
  <c r="CH140" i="6"/>
  <c r="CG140" i="6"/>
  <c r="BY140" i="6"/>
  <c r="BR140" i="6"/>
  <c r="BQ140" i="6"/>
  <c r="BP140" i="6"/>
  <c r="BO140" i="6"/>
  <c r="BM140" i="6"/>
  <c r="BL140" i="6"/>
  <c r="BU140" i="6" s="1"/>
  <c r="BF140" i="6"/>
  <c r="BB140" i="6"/>
  <c r="BA140" i="6"/>
  <c r="AY140" i="6"/>
  <c r="BS140" i="6" s="1"/>
  <c r="AN140" i="6"/>
  <c r="AK140" i="6"/>
  <c r="AM140" i="6" s="1"/>
  <c r="AI140" i="6"/>
  <c r="AH140" i="6"/>
  <c r="CL139" i="6"/>
  <c r="CK139" i="6"/>
  <c r="CJ139" i="6"/>
  <c r="CI139" i="6"/>
  <c r="CH139" i="6"/>
  <c r="CG139" i="6"/>
  <c r="BY139" i="6"/>
  <c r="BR139" i="6"/>
  <c r="BQ139" i="6"/>
  <c r="BP139" i="6"/>
  <c r="BO139" i="6"/>
  <c r="BI139" i="6"/>
  <c r="BH139" i="6"/>
  <c r="BF139" i="6"/>
  <c r="BD139" i="6"/>
  <c r="BC139" i="6"/>
  <c r="BB139" i="6"/>
  <c r="BA139" i="6"/>
  <c r="AO139" i="6"/>
  <c r="AN139" i="6"/>
  <c r="AI139" i="6"/>
  <c r="AH139" i="6"/>
  <c r="CL138" i="6"/>
  <c r="CK138" i="6"/>
  <c r="CJ138" i="6"/>
  <c r="CI138" i="6"/>
  <c r="CH138" i="6"/>
  <c r="CG138" i="6"/>
  <c r="BY138" i="6"/>
  <c r="BU138" i="6"/>
  <c r="BR138" i="6"/>
  <c r="BQ138" i="6"/>
  <c r="BP138" i="6"/>
  <c r="BO138" i="6"/>
  <c r="BL138" i="6"/>
  <c r="BM138" i="6" s="1"/>
  <c r="BI138" i="6"/>
  <c r="BH138" i="6"/>
  <c r="BF138" i="6"/>
  <c r="BD138" i="6"/>
  <c r="AK138" i="6" s="1"/>
  <c r="AM138" i="6" s="1"/>
  <c r="BB138" i="6"/>
  <c r="BA138" i="6"/>
  <c r="AO138" i="6"/>
  <c r="BC138" i="6" s="1"/>
  <c r="AN138" i="6"/>
  <c r="AI138" i="6"/>
  <c r="AH138" i="6"/>
  <c r="CL137" i="6"/>
  <c r="CK137" i="6"/>
  <c r="CJ137" i="6"/>
  <c r="CI137" i="6"/>
  <c r="CH137" i="6"/>
  <c r="CG137" i="6"/>
  <c r="BY137" i="6"/>
  <c r="BU137" i="6"/>
  <c r="BR137" i="6"/>
  <c r="BQ137" i="6"/>
  <c r="BP137" i="6"/>
  <c r="BO137" i="6"/>
  <c r="BM137" i="6"/>
  <c r="BL137" i="6"/>
  <c r="BI137" i="6"/>
  <c r="BH137" i="6"/>
  <c r="BF137" i="6"/>
  <c r="BB137" i="6"/>
  <c r="BA137" i="6"/>
  <c r="AO137" i="6"/>
  <c r="BC137" i="6" s="1"/>
  <c r="AN137" i="6"/>
  <c r="AM137" i="6"/>
  <c r="AK137" i="6"/>
  <c r="AI137" i="6"/>
  <c r="AH137" i="6"/>
  <c r="CL136" i="6"/>
  <c r="CK136" i="6"/>
  <c r="CJ136" i="6"/>
  <c r="CI136" i="6"/>
  <c r="CH136" i="6"/>
  <c r="CG136" i="6"/>
  <c r="BU136" i="6"/>
  <c r="BR136" i="6"/>
  <c r="BQ136" i="6"/>
  <c r="BP136" i="6"/>
  <c r="BO136" i="6"/>
  <c r="BM136" i="6"/>
  <c r="BL136" i="6"/>
  <c r="BI136" i="6"/>
  <c r="BH136" i="6"/>
  <c r="BF136" i="6"/>
  <c r="BC136" i="6"/>
  <c r="BB136" i="6"/>
  <c r="BA136" i="6"/>
  <c r="AO136" i="6"/>
  <c r="AN136" i="6"/>
  <c r="AK136" i="6"/>
  <c r="AM136" i="6" s="1"/>
  <c r="AJ136" i="6"/>
  <c r="BY136" i="6" s="1"/>
  <c r="AI136" i="6"/>
  <c r="AH136" i="6"/>
  <c r="CL135" i="6"/>
  <c r="CK135" i="6"/>
  <c r="CJ135" i="6"/>
  <c r="CI135" i="6"/>
  <c r="CH135" i="6"/>
  <c r="CG135" i="6"/>
  <c r="BY135" i="6"/>
  <c r="BR135" i="6"/>
  <c r="BQ135" i="6"/>
  <c r="BP135" i="6"/>
  <c r="BO135" i="6"/>
  <c r="BM135" i="6"/>
  <c r="BL135" i="6"/>
  <c r="BU135" i="6" s="1"/>
  <c r="BJ135" i="6"/>
  <c r="BI135" i="6"/>
  <c r="BH135" i="6"/>
  <c r="BF135" i="6"/>
  <c r="BC135" i="6"/>
  <c r="BB135" i="6"/>
  <c r="BA135" i="6"/>
  <c r="AO135" i="6"/>
  <c r="AN135" i="6"/>
  <c r="AM135" i="6"/>
  <c r="AK135" i="6"/>
  <c r="AI135" i="6"/>
  <c r="AH135" i="6"/>
  <c r="CL134" i="6"/>
  <c r="CK134" i="6"/>
  <c r="CJ134" i="6"/>
  <c r="CM134" i="6" s="1"/>
  <c r="CI134" i="6"/>
  <c r="CH134" i="6"/>
  <c r="CG134" i="6"/>
  <c r="BY134" i="6"/>
  <c r="BR134" i="6"/>
  <c r="BQ134" i="6"/>
  <c r="BP134" i="6"/>
  <c r="BO134" i="6"/>
  <c r="BL134" i="6"/>
  <c r="BU134" i="6" s="1"/>
  <c r="BJ134" i="6"/>
  <c r="BI134" i="6"/>
  <c r="BH134" i="6"/>
  <c r="BF134" i="6"/>
  <c r="BC134" i="6"/>
  <c r="BB134" i="6"/>
  <c r="BA134" i="6"/>
  <c r="AO134" i="6"/>
  <c r="AN134" i="6"/>
  <c r="AK134" i="6"/>
  <c r="AM134" i="6" s="1"/>
  <c r="AI134" i="6"/>
  <c r="AH134" i="6"/>
  <c r="CL133" i="6"/>
  <c r="CK133" i="6"/>
  <c r="CJ133" i="6"/>
  <c r="CI133" i="6"/>
  <c r="CH133" i="6"/>
  <c r="CG133" i="6"/>
  <c r="BY133" i="6"/>
  <c r="BU133" i="6"/>
  <c r="BR133" i="6"/>
  <c r="BQ133" i="6"/>
  <c r="BP133" i="6"/>
  <c r="BO133" i="6"/>
  <c r="BM133" i="6"/>
  <c r="BL133" i="6"/>
  <c r="BI133" i="6"/>
  <c r="BH133" i="6"/>
  <c r="BF133" i="6"/>
  <c r="BD133" i="6" a="1"/>
  <c r="BD133" i="6" s="1"/>
  <c r="BC133" i="6"/>
  <c r="BB133" i="6"/>
  <c r="BA133" i="6"/>
  <c r="AO133" i="6"/>
  <c r="AN133" i="6"/>
  <c r="AK133" i="6"/>
  <c r="AM133" i="6" s="1"/>
  <c r="AI133" i="6"/>
  <c r="AH133" i="6"/>
  <c r="CL132" i="6"/>
  <c r="CK132" i="6"/>
  <c r="CJ132" i="6"/>
  <c r="CI132" i="6"/>
  <c r="CH132" i="6"/>
  <c r="CG132" i="6"/>
  <c r="BY132" i="6"/>
  <c r="BR132" i="6"/>
  <c r="BQ132" i="6"/>
  <c r="BP132" i="6"/>
  <c r="BO132" i="6"/>
  <c r="BM132" i="6"/>
  <c r="BL132" i="6"/>
  <c r="BU132" i="6" s="1"/>
  <c r="BJ132" i="6"/>
  <c r="BI132" i="6"/>
  <c r="BH132" i="6"/>
  <c r="BF132" i="6"/>
  <c r="BC132" i="6"/>
  <c r="BB132" i="6"/>
  <c r="BA132" i="6"/>
  <c r="AO132" i="6"/>
  <c r="AN132" i="6"/>
  <c r="AK132" i="6"/>
  <c r="AM132" i="6" s="1"/>
  <c r="AJ132" i="6"/>
  <c r="AI132" i="6"/>
  <c r="AH132" i="6"/>
  <c r="CL131" i="6"/>
  <c r="CK131" i="6"/>
  <c r="CJ131" i="6"/>
  <c r="CI131" i="6"/>
  <c r="CH131" i="6"/>
  <c r="CG131" i="6"/>
  <c r="BY131" i="6"/>
  <c r="BR131" i="6"/>
  <c r="BQ131" i="6"/>
  <c r="BP131" i="6"/>
  <c r="BO131" i="6"/>
  <c r="BL131" i="6"/>
  <c r="BM131" i="6" s="1"/>
  <c r="BI131" i="6"/>
  <c r="BH131" i="6"/>
  <c r="BF131" i="6"/>
  <c r="BD131" i="6"/>
  <c r="BC131" i="6"/>
  <c r="BB131" i="6"/>
  <c r="BA131" i="6"/>
  <c r="AO131" i="6"/>
  <c r="AN131" i="6"/>
  <c r="AK131" i="6"/>
  <c r="AM131" i="6" s="1"/>
  <c r="AI131" i="6"/>
  <c r="AH131" i="6"/>
  <c r="CL130" i="6"/>
  <c r="CK130" i="6"/>
  <c r="CJ130" i="6"/>
  <c r="CI130" i="6"/>
  <c r="CH130" i="6"/>
  <c r="CG130" i="6"/>
  <c r="BY130" i="6"/>
  <c r="BU130" i="6"/>
  <c r="BR130" i="6"/>
  <c r="BQ130" i="6"/>
  <c r="BP130" i="6"/>
  <c r="BO130" i="6"/>
  <c r="BM130" i="6"/>
  <c r="BL130" i="6"/>
  <c r="BI130" i="6"/>
  <c r="BH130" i="6"/>
  <c r="BF130" i="6"/>
  <c r="BD130" i="6"/>
  <c r="BB130" i="6"/>
  <c r="BA130" i="6"/>
  <c r="AO130" i="6"/>
  <c r="BC130" i="6" s="1"/>
  <c r="AN130" i="6"/>
  <c r="AJ130" i="6"/>
  <c r="AK130" i="6" s="1"/>
  <c r="AM130" i="6" s="1"/>
  <c r="AI130" i="6"/>
  <c r="AH130" i="6"/>
  <c r="CL129" i="6"/>
  <c r="CK129" i="6"/>
  <c r="CJ129" i="6"/>
  <c r="CI129" i="6"/>
  <c r="CH129" i="6"/>
  <c r="CG129" i="6"/>
  <c r="BY129" i="6"/>
  <c r="BU129" i="6"/>
  <c r="BR129" i="6"/>
  <c r="BQ129" i="6"/>
  <c r="BP129" i="6"/>
  <c r="BO129" i="6"/>
  <c r="BL129" i="6"/>
  <c r="BM129" i="6" s="1"/>
  <c r="BI129" i="6"/>
  <c r="BH129" i="6"/>
  <c r="BF129" i="6"/>
  <c r="BC129" i="6"/>
  <c r="BB129" i="6"/>
  <c r="BA129" i="6"/>
  <c r="AO129" i="6"/>
  <c r="AN129" i="6"/>
  <c r="AK129" i="6"/>
  <c r="AM129" i="6" s="1"/>
  <c r="AJ129" i="6"/>
  <c r="AI129" i="6"/>
  <c r="AH129" i="6"/>
  <c r="CL128" i="6"/>
  <c r="CK128" i="6"/>
  <c r="CJ128" i="6"/>
  <c r="CI128" i="6"/>
  <c r="CH128" i="6"/>
  <c r="CG128" i="6"/>
  <c r="BY128" i="6"/>
  <c r="BR128" i="6"/>
  <c r="BQ128" i="6"/>
  <c r="BP128" i="6"/>
  <c r="BO128" i="6"/>
  <c r="BM128" i="6"/>
  <c r="BL128" i="6"/>
  <c r="BU128" i="6" s="1"/>
  <c r="BI128" i="6"/>
  <c r="BH128" i="6"/>
  <c r="BF128" i="6"/>
  <c r="BB128" i="6"/>
  <c r="BA128" i="6"/>
  <c r="AO128" i="6"/>
  <c r="BC128" i="6" s="1"/>
  <c r="AN128" i="6"/>
  <c r="AK128" i="6"/>
  <c r="AM128" i="6" s="1"/>
  <c r="AI128" i="6"/>
  <c r="AH128" i="6"/>
  <c r="CL127" i="6"/>
  <c r="CK127" i="6"/>
  <c r="CJ127" i="6"/>
  <c r="CI127" i="6"/>
  <c r="CH127" i="6"/>
  <c r="CG127" i="6"/>
  <c r="BY127" i="6"/>
  <c r="BR127" i="6"/>
  <c r="BQ127" i="6"/>
  <c r="BP127" i="6"/>
  <c r="BO127" i="6"/>
  <c r="BM127" i="6"/>
  <c r="BL127" i="6"/>
  <c r="BU127" i="6" s="1"/>
  <c r="BI127" i="6"/>
  <c r="BH127" i="6"/>
  <c r="BF127" i="6"/>
  <c r="BB127" i="6"/>
  <c r="BA127" i="6"/>
  <c r="AO127" i="6"/>
  <c r="BC127" i="6" s="1"/>
  <c r="AN127" i="6"/>
  <c r="AK127" i="6"/>
  <c r="AM127" i="6" s="1"/>
  <c r="AJ127" i="6"/>
  <c r="AI127" i="6"/>
  <c r="AH127" i="6"/>
  <c r="CL126" i="6"/>
  <c r="CK126" i="6"/>
  <c r="CJ126" i="6"/>
  <c r="CI126" i="6"/>
  <c r="CH126" i="6"/>
  <c r="CG126" i="6"/>
  <c r="BY126" i="6"/>
  <c r="BU126" i="6"/>
  <c r="BR126" i="6"/>
  <c r="BQ126" i="6"/>
  <c r="BP126" i="6"/>
  <c r="BO126" i="6"/>
  <c r="BM126" i="6"/>
  <c r="BL126" i="6"/>
  <c r="BI126" i="6"/>
  <c r="BH126" i="6"/>
  <c r="BF126" i="6"/>
  <c r="BC126" i="6"/>
  <c r="BB126" i="6"/>
  <c r="BA126" i="6"/>
  <c r="AO126" i="6"/>
  <c r="AN126" i="6"/>
  <c r="AK126" i="6"/>
  <c r="AM126" i="6" s="1"/>
  <c r="AI126" i="6"/>
  <c r="AH126" i="6"/>
  <c r="CL125" i="6"/>
  <c r="CK125" i="6"/>
  <c r="CJ125" i="6"/>
  <c r="CI125" i="6"/>
  <c r="CH125" i="6"/>
  <c r="CG125" i="6"/>
  <c r="BY125" i="6"/>
  <c r="BR125" i="6"/>
  <c r="BQ125" i="6"/>
  <c r="BP125" i="6"/>
  <c r="BO125" i="6"/>
  <c r="BL125" i="6"/>
  <c r="BM125" i="6" s="1"/>
  <c r="BI125" i="6"/>
  <c r="BH125" i="6"/>
  <c r="BF125" i="6"/>
  <c r="BC125" i="6"/>
  <c r="BB125" i="6"/>
  <c r="BA125" i="6"/>
  <c r="AO125" i="6"/>
  <c r="AN125" i="6"/>
  <c r="AK125" i="6"/>
  <c r="AM125" i="6" s="1"/>
  <c r="AI125" i="6"/>
  <c r="AH125" i="6"/>
  <c r="CL124" i="6"/>
  <c r="CK124" i="6"/>
  <c r="CJ124" i="6"/>
  <c r="CI124" i="6"/>
  <c r="CH124" i="6"/>
  <c r="CG124" i="6"/>
  <c r="BY124" i="6"/>
  <c r="BR124" i="6"/>
  <c r="BQ124" i="6"/>
  <c r="BP124" i="6"/>
  <c r="BO124" i="6"/>
  <c r="BM124" i="6"/>
  <c r="BL124" i="6"/>
  <c r="BU124" i="6" s="1"/>
  <c r="BI124" i="6"/>
  <c r="BH124" i="6"/>
  <c r="BF124" i="6"/>
  <c r="BD124" i="6"/>
  <c r="BC124" i="6"/>
  <c r="BB124" i="6"/>
  <c r="BA124" i="6"/>
  <c r="AO124" i="6"/>
  <c r="AN124" i="6"/>
  <c r="AK124" i="6"/>
  <c r="AM124" i="6" s="1"/>
  <c r="AI124" i="6"/>
  <c r="AH124" i="6"/>
  <c r="CL123" i="6"/>
  <c r="CK123" i="6"/>
  <c r="CJ123" i="6"/>
  <c r="CI123" i="6"/>
  <c r="CH123" i="6"/>
  <c r="CG123" i="6"/>
  <c r="BY123" i="6"/>
  <c r="BU123" i="6"/>
  <c r="BR123" i="6"/>
  <c r="BQ123" i="6"/>
  <c r="BP123" i="6"/>
  <c r="BO123" i="6"/>
  <c r="BI123" i="6"/>
  <c r="BH123" i="6"/>
  <c r="BF123" i="6"/>
  <c r="BD123" i="6"/>
  <c r="BL123" i="6" s="1"/>
  <c r="BM123" i="6" s="1"/>
  <c r="BC123" i="6"/>
  <c r="BB123" i="6"/>
  <c r="BA123" i="6"/>
  <c r="AO123" i="6"/>
  <c r="AN123" i="6"/>
  <c r="AK123" i="6"/>
  <c r="AM123" i="6" s="1"/>
  <c r="AJ123" i="6"/>
  <c r="AI123" i="6"/>
  <c r="AH123" i="6"/>
  <c r="CL122" i="6"/>
  <c r="CK122" i="6"/>
  <c r="CJ122" i="6"/>
  <c r="CI122" i="6"/>
  <c r="CH122" i="6"/>
  <c r="CG122" i="6"/>
  <c r="BY122" i="6"/>
  <c r="BR122" i="6"/>
  <c r="BQ122" i="6"/>
  <c r="BP122" i="6"/>
  <c r="BO122" i="6"/>
  <c r="BM122" i="6"/>
  <c r="BI122" i="6"/>
  <c r="BH122" i="6"/>
  <c r="BF122" i="6"/>
  <c r="BD122" i="6"/>
  <c r="BL122" i="6" s="1"/>
  <c r="BU122" i="6" s="1"/>
  <c r="BC122" i="6"/>
  <c r="BB122" i="6"/>
  <c r="BA122" i="6"/>
  <c r="AO122" i="6"/>
  <c r="AN122" i="6"/>
  <c r="AM122" i="6"/>
  <c r="AK122" i="6"/>
  <c r="AI122" i="6"/>
  <c r="AH122" i="6"/>
  <c r="CL121" i="6"/>
  <c r="CK121" i="6"/>
  <c r="CJ121" i="6"/>
  <c r="CI121" i="6"/>
  <c r="CH121" i="6"/>
  <c r="CG121" i="6"/>
  <c r="BY121" i="6"/>
  <c r="BR121" i="6"/>
  <c r="BQ121" i="6"/>
  <c r="BP121" i="6"/>
  <c r="BO121" i="6"/>
  <c r="BM121" i="6"/>
  <c r="BL121" i="6"/>
  <c r="BU121" i="6" s="1"/>
  <c r="BI121" i="6"/>
  <c r="BH121" i="6"/>
  <c r="BF121" i="6"/>
  <c r="BC121" i="6"/>
  <c r="BB121" i="6"/>
  <c r="BA121" i="6"/>
  <c r="AO121" i="6"/>
  <c r="AN121" i="6"/>
  <c r="AM121" i="6"/>
  <c r="AK121" i="6"/>
  <c r="AI121" i="6"/>
  <c r="AH121" i="6"/>
  <c r="CL120" i="6"/>
  <c r="CK120" i="6"/>
  <c r="CJ120" i="6"/>
  <c r="CI120" i="6"/>
  <c r="CH120" i="6"/>
  <c r="CG120" i="6"/>
  <c r="BY120" i="6"/>
  <c r="BR120" i="6"/>
  <c r="BQ120" i="6"/>
  <c r="BP120" i="6"/>
  <c r="BO120" i="6"/>
  <c r="BL120" i="6"/>
  <c r="BI120" i="6"/>
  <c r="BH120" i="6"/>
  <c r="BF120" i="6"/>
  <c r="BB120" i="6"/>
  <c r="BA120" i="6"/>
  <c r="AO120" i="6"/>
  <c r="BC120" i="6" s="1"/>
  <c r="AN120" i="6"/>
  <c r="AK120" i="6"/>
  <c r="AM120" i="6" s="1"/>
  <c r="AI120" i="6"/>
  <c r="AH120" i="6"/>
  <c r="CL119" i="6"/>
  <c r="CK119" i="6"/>
  <c r="CJ119" i="6"/>
  <c r="CI119" i="6"/>
  <c r="CH119" i="6"/>
  <c r="CG119" i="6"/>
  <c r="BY119" i="6"/>
  <c r="BR119" i="6"/>
  <c r="BQ119" i="6"/>
  <c r="BP119" i="6"/>
  <c r="BO119" i="6"/>
  <c r="BL119" i="6"/>
  <c r="BU119" i="6" s="1"/>
  <c r="BI119" i="6"/>
  <c r="BH119" i="6"/>
  <c r="BF119" i="6"/>
  <c r="BD119" i="6"/>
  <c r="AK119" i="6" s="1"/>
  <c r="BC119" i="6"/>
  <c r="BB119" i="6"/>
  <c r="BA119" i="6"/>
  <c r="AO119" i="6"/>
  <c r="AN119" i="6"/>
  <c r="AM119" i="6"/>
  <c r="AI119" i="6"/>
  <c r="AH119" i="6"/>
  <c r="CL118" i="6"/>
  <c r="CK118" i="6"/>
  <c r="CJ118" i="6"/>
  <c r="CI118" i="6"/>
  <c r="CH118" i="6"/>
  <c r="CG118" i="6"/>
  <c r="BY118" i="6"/>
  <c r="BU118" i="6"/>
  <c r="BR118" i="6"/>
  <c r="BQ118" i="6"/>
  <c r="BP118" i="6"/>
  <c r="BO118" i="6"/>
  <c r="BL118" i="6"/>
  <c r="BM118" i="6" s="1"/>
  <c r="BI118" i="6"/>
  <c r="BH118" i="6"/>
  <c r="BF118" i="6"/>
  <c r="BD118" i="6"/>
  <c r="BC118" i="6"/>
  <c r="BB118" i="6"/>
  <c r="BA118" i="6"/>
  <c r="AO118" i="6"/>
  <c r="AN118" i="6"/>
  <c r="AM118" i="6"/>
  <c r="AK118" i="6"/>
  <c r="AI118" i="6"/>
  <c r="AH118" i="6"/>
  <c r="CM117" i="6"/>
  <c r="CI117" i="6"/>
  <c r="CH117" i="6"/>
  <c r="CG117" i="6"/>
  <c r="BY117" i="6"/>
  <c r="BR117" i="6"/>
  <c r="BQ117" i="6"/>
  <c r="BP117" i="6"/>
  <c r="BO117" i="6"/>
  <c r="BL117" i="6"/>
  <c r="BF117" i="6"/>
  <c r="BD117" i="6"/>
  <c r="AK117" i="6" s="1"/>
  <c r="AM117" i="6" s="1"/>
  <c r="BB117" i="6"/>
  <c r="BA117" i="6"/>
  <c r="AY117" i="6"/>
  <c r="AN117" i="6"/>
  <c r="AI117" i="6"/>
  <c r="AH117" i="6"/>
  <c r="CL116" i="6"/>
  <c r="CK116" i="6"/>
  <c r="CJ116" i="6"/>
  <c r="CI116" i="6"/>
  <c r="CH116" i="6"/>
  <c r="CG116" i="6"/>
  <c r="BY116" i="6"/>
  <c r="BU116" i="6"/>
  <c r="BR116" i="6"/>
  <c r="BQ116" i="6"/>
  <c r="BP116" i="6"/>
  <c r="BO116" i="6"/>
  <c r="BM116" i="6"/>
  <c r="BL116" i="6"/>
  <c r="BJ116" i="6"/>
  <c r="BI116" i="6"/>
  <c r="BH116" i="6"/>
  <c r="BF116" i="6"/>
  <c r="BC116" i="6"/>
  <c r="BB116" i="6"/>
  <c r="BA116" i="6"/>
  <c r="AO116" i="6"/>
  <c r="AN116" i="6"/>
  <c r="AM116" i="6"/>
  <c r="AK116" i="6"/>
  <c r="AJ116" i="6"/>
  <c r="AI116" i="6"/>
  <c r="AH116" i="6"/>
  <c r="CL115" i="6"/>
  <c r="CK115" i="6"/>
  <c r="CJ115" i="6"/>
  <c r="CI115" i="6"/>
  <c r="CH115" i="6"/>
  <c r="CG115" i="6"/>
  <c r="BR115" i="6"/>
  <c r="BQ115" i="6"/>
  <c r="BP115" i="6"/>
  <c r="BO115" i="6"/>
  <c r="BI115" i="6"/>
  <c r="BH115" i="6"/>
  <c r="BF115" i="6"/>
  <c r="BD115" i="6" a="1"/>
  <c r="BD115" i="6"/>
  <c r="BL115" i="6" s="1"/>
  <c r="BC115" i="6"/>
  <c r="BB115" i="6"/>
  <c r="BA115" i="6"/>
  <c r="AO115" i="6"/>
  <c r="AN115" i="6"/>
  <c r="AJ115" i="6"/>
  <c r="AI115" i="6"/>
  <c r="AH115" i="6"/>
  <c r="CL114" i="6"/>
  <c r="CK114" i="6"/>
  <c r="CJ114" i="6"/>
  <c r="CI114" i="6"/>
  <c r="CH114" i="6"/>
  <c r="CG114" i="6"/>
  <c r="BY114" i="6"/>
  <c r="BU114" i="6"/>
  <c r="BR114" i="6"/>
  <c r="BQ114" i="6"/>
  <c r="BP114" i="6"/>
  <c r="BO114" i="6"/>
  <c r="BM114" i="6"/>
  <c r="BL114" i="6"/>
  <c r="BI114" i="6"/>
  <c r="BH114" i="6"/>
  <c r="BF114" i="6"/>
  <c r="BC114" i="6"/>
  <c r="BB114" i="6"/>
  <c r="BA114" i="6"/>
  <c r="AO114" i="6"/>
  <c r="AN114" i="6"/>
  <c r="AM114" i="6"/>
  <c r="AK114" i="6"/>
  <c r="AJ114" i="6"/>
  <c r="AI114" i="6"/>
  <c r="AH114" i="6"/>
  <c r="CL113" i="6"/>
  <c r="CK113" i="6"/>
  <c r="CJ113" i="6"/>
  <c r="CI113" i="6"/>
  <c r="CH113" i="6"/>
  <c r="CG113" i="6"/>
  <c r="BY113" i="6"/>
  <c r="BU113" i="6"/>
  <c r="BR113" i="6"/>
  <c r="BQ113" i="6"/>
  <c r="BP113" i="6"/>
  <c r="BO113" i="6"/>
  <c r="BM113" i="6"/>
  <c r="BL113" i="6"/>
  <c r="BI113" i="6"/>
  <c r="BH113" i="6"/>
  <c r="BF113" i="6"/>
  <c r="BD113" i="6"/>
  <c r="BB113" i="6"/>
  <c r="BA113" i="6"/>
  <c r="AO113" i="6"/>
  <c r="BC113" i="6" s="1"/>
  <c r="AN113" i="6"/>
  <c r="AM113" i="6"/>
  <c r="AK113" i="6"/>
  <c r="AI113" i="6"/>
  <c r="AH113" i="6"/>
  <c r="CL112" i="6"/>
  <c r="CK112" i="6"/>
  <c r="CJ112" i="6"/>
  <c r="CI112" i="6"/>
  <c r="CH112" i="6"/>
  <c r="CG112" i="6"/>
  <c r="BY112" i="6"/>
  <c r="BR112" i="6"/>
  <c r="BQ112" i="6"/>
  <c r="BP112" i="6"/>
  <c r="BO112" i="6"/>
  <c r="BM112" i="6"/>
  <c r="BL112" i="6"/>
  <c r="BU112" i="6" s="1"/>
  <c r="BI112" i="6"/>
  <c r="BH112" i="6"/>
  <c r="BF112" i="6"/>
  <c r="BD112" i="6"/>
  <c r="AK112" i="6" s="1"/>
  <c r="BB112" i="6"/>
  <c r="BA112" i="6"/>
  <c r="AO112" i="6"/>
  <c r="BC112" i="6" s="1"/>
  <c r="AN112" i="6"/>
  <c r="AM112" i="6"/>
  <c r="AI112" i="6"/>
  <c r="AH112" i="6"/>
  <c r="CL111" i="6"/>
  <c r="CK111" i="6"/>
  <c r="CJ111" i="6"/>
  <c r="CI111" i="6"/>
  <c r="CH111" i="6"/>
  <c r="CG111" i="6"/>
  <c r="BR111" i="6"/>
  <c r="BQ111" i="6"/>
  <c r="BP111" i="6"/>
  <c r="BO111" i="6"/>
  <c r="BI111" i="6"/>
  <c r="BH111" i="6"/>
  <c r="BF111" i="6"/>
  <c r="BD111" i="6"/>
  <c r="BL111" i="6" s="1"/>
  <c r="BC111" i="6"/>
  <c r="BB111" i="6"/>
  <c r="BA111" i="6"/>
  <c r="AO111" i="6"/>
  <c r="AN111" i="6"/>
  <c r="AJ111" i="6"/>
  <c r="BY111" i="6" s="1"/>
  <c r="AI111" i="6"/>
  <c r="AH111" i="6"/>
  <c r="CL110" i="6"/>
  <c r="CK110" i="6"/>
  <c r="CJ110" i="6"/>
  <c r="CI110" i="6"/>
  <c r="CH110" i="6"/>
  <c r="CG110" i="6"/>
  <c r="BY110" i="6"/>
  <c r="BU110" i="6"/>
  <c r="BR110" i="6"/>
  <c r="BQ110" i="6"/>
  <c r="BP110" i="6"/>
  <c r="BO110" i="6"/>
  <c r="BM110" i="6"/>
  <c r="BL110" i="6"/>
  <c r="BJ110" i="6"/>
  <c r="BI110" i="6"/>
  <c r="BH110" i="6"/>
  <c r="BF110" i="6"/>
  <c r="BB110" i="6"/>
  <c r="BA110" i="6"/>
  <c r="AN110" i="6"/>
  <c r="AM110" i="6"/>
  <c r="AK110" i="6"/>
  <c r="AI110" i="6"/>
  <c r="AH110" i="6"/>
  <c r="CL109" i="6"/>
  <c r="CK109" i="6"/>
  <c r="CJ109" i="6"/>
  <c r="CI109" i="6"/>
  <c r="CH109" i="6"/>
  <c r="CG109" i="6"/>
  <c r="BU109" i="6"/>
  <c r="BR109" i="6"/>
  <c r="BQ109" i="6"/>
  <c r="BP109" i="6"/>
  <c r="BO109" i="6"/>
  <c r="BM109" i="6"/>
  <c r="BL109" i="6"/>
  <c r="BI109" i="6"/>
  <c r="BH109" i="6"/>
  <c r="BF109" i="6"/>
  <c r="BD109" i="6"/>
  <c r="BC109" i="6"/>
  <c r="BB109" i="6"/>
  <c r="BA109" i="6"/>
  <c r="AO109" i="6"/>
  <c r="AN109" i="6"/>
  <c r="AM109" i="6"/>
  <c r="AJ109" i="6"/>
  <c r="AK109" i="6" s="1"/>
  <c r="AI109" i="6"/>
  <c r="AH109" i="6"/>
  <c r="CL108" i="6"/>
  <c r="CK108" i="6"/>
  <c r="CJ108" i="6"/>
  <c r="CI108" i="6"/>
  <c r="CH108" i="6"/>
  <c r="CG108" i="6"/>
  <c r="BY108" i="6"/>
  <c r="BR108" i="6"/>
  <c r="BQ108" i="6"/>
  <c r="BP108" i="6"/>
  <c r="BO108" i="6"/>
  <c r="BI108" i="6"/>
  <c r="BH108" i="6"/>
  <c r="BF108" i="6"/>
  <c r="BD108" i="6"/>
  <c r="BL108" i="6" s="1"/>
  <c r="BC108" i="6"/>
  <c r="BB108" i="6"/>
  <c r="BA108" i="6"/>
  <c r="AO108" i="6"/>
  <c r="AN108" i="6"/>
  <c r="AM108" i="6"/>
  <c r="AK108" i="6"/>
  <c r="AI108" i="6"/>
  <c r="AH108" i="6"/>
  <c r="CM107" i="6"/>
  <c r="CI107" i="6"/>
  <c r="CH107" i="6"/>
  <c r="CG107" i="6"/>
  <c r="BY107" i="6"/>
  <c r="BR107" i="6"/>
  <c r="BQ107" i="6"/>
  <c r="BP107" i="6"/>
  <c r="BO107" i="6"/>
  <c r="BL107" i="6"/>
  <c r="BF107" i="6"/>
  <c r="BB107" i="6"/>
  <c r="BA107" i="6"/>
  <c r="AY107" i="6"/>
  <c r="AN107" i="6"/>
  <c r="AM107" i="6"/>
  <c r="AK107" i="6"/>
  <c r="AI107" i="6"/>
  <c r="AH107" i="6"/>
  <c r="CL106" i="6"/>
  <c r="CK106" i="6"/>
  <c r="CJ106" i="6"/>
  <c r="CI106" i="6"/>
  <c r="CH106" i="6"/>
  <c r="CG106" i="6"/>
  <c r="BY106" i="6"/>
  <c r="BR106" i="6"/>
  <c r="BQ106" i="6"/>
  <c r="BP106" i="6"/>
  <c r="BO106" i="6"/>
  <c r="BL106" i="6"/>
  <c r="BI106" i="6"/>
  <c r="BH106" i="6"/>
  <c r="BF106" i="6"/>
  <c r="BB106" i="6"/>
  <c r="BA106" i="6"/>
  <c r="AO106" i="6"/>
  <c r="BC106" i="6" s="1"/>
  <c r="AN106" i="6"/>
  <c r="AM106" i="6"/>
  <c r="AK106" i="6"/>
  <c r="AJ106" i="6"/>
  <c r="AI106" i="6"/>
  <c r="AH106" i="6"/>
  <c r="CL105" i="6"/>
  <c r="CK105" i="6"/>
  <c r="CJ105" i="6"/>
  <c r="CI105" i="6"/>
  <c r="CH105" i="6"/>
  <c r="CG105" i="6"/>
  <c r="BY105" i="6"/>
  <c r="BU105" i="6"/>
  <c r="BR105" i="6"/>
  <c r="BQ105" i="6"/>
  <c r="BP105" i="6"/>
  <c r="BO105" i="6"/>
  <c r="BM105" i="6"/>
  <c r="BL105" i="6"/>
  <c r="BI105" i="6"/>
  <c r="BH105" i="6"/>
  <c r="BF105" i="6"/>
  <c r="BD105" i="6"/>
  <c r="BC105" i="6"/>
  <c r="BB105" i="6"/>
  <c r="BA105" i="6"/>
  <c r="AO105" i="6"/>
  <c r="AN105" i="6"/>
  <c r="AK105" i="6"/>
  <c r="AM105" i="6" s="1"/>
  <c r="AI105" i="6"/>
  <c r="AH105" i="6"/>
  <c r="CL104" i="6"/>
  <c r="CK104" i="6"/>
  <c r="CJ104" i="6"/>
  <c r="CI104" i="6"/>
  <c r="CH104" i="6"/>
  <c r="CG104" i="6"/>
  <c r="BY104" i="6"/>
  <c r="BR104" i="6"/>
  <c r="BQ104" i="6"/>
  <c r="BP104" i="6"/>
  <c r="BO104" i="6"/>
  <c r="BI104" i="6"/>
  <c r="BH104" i="6"/>
  <c r="BF104" i="6"/>
  <c r="BD104" i="6"/>
  <c r="AK104" i="6" s="1"/>
  <c r="AM104" i="6" s="1"/>
  <c r="BB104" i="6"/>
  <c r="BA104" i="6"/>
  <c r="AO104" i="6"/>
  <c r="BC104" i="6" s="1"/>
  <c r="AN104" i="6"/>
  <c r="AI104" i="6"/>
  <c r="AH104" i="6"/>
  <c r="CM103" i="6"/>
  <c r="CI103" i="6"/>
  <c r="CH103" i="6"/>
  <c r="CG103" i="6"/>
  <c r="BY103" i="6"/>
  <c r="BU103" i="6"/>
  <c r="BR103" i="6"/>
  <c r="BQ103" i="6"/>
  <c r="BP103" i="6"/>
  <c r="BO103" i="6"/>
  <c r="BM103" i="6"/>
  <c r="BL103" i="6"/>
  <c r="BF103" i="6"/>
  <c r="BB103" i="6"/>
  <c r="BA103" i="6"/>
  <c r="AY103" i="6"/>
  <c r="AN103" i="6"/>
  <c r="AM103" i="6"/>
  <c r="AJ103" i="6"/>
  <c r="AK103" i="6" s="1"/>
  <c r="AI103" i="6"/>
  <c r="AH103" i="6"/>
  <c r="CM102" i="6"/>
  <c r="CI102" i="6"/>
  <c r="CH102" i="6"/>
  <c r="CG102" i="6"/>
  <c r="BU102" i="6"/>
  <c r="BR102" i="6"/>
  <c r="BQ102" i="6"/>
  <c r="BP102" i="6"/>
  <c r="BO102" i="6"/>
  <c r="BL102" i="6"/>
  <c r="BM102" i="6" s="1"/>
  <c r="BJ102" i="6"/>
  <c r="BF102" i="6"/>
  <c r="BB102" i="6"/>
  <c r="BA102" i="6"/>
  <c r="AY102" i="6"/>
  <c r="AN102" i="6"/>
  <c r="AJ102" i="6"/>
  <c r="AI102" i="6"/>
  <c r="AH102" i="6"/>
  <c r="CL101" i="6"/>
  <c r="CK101" i="6"/>
  <c r="CJ101" i="6"/>
  <c r="CI101" i="6"/>
  <c r="CH101" i="6"/>
  <c r="CG101" i="6"/>
  <c r="BY101" i="6"/>
  <c r="BU101" i="6"/>
  <c r="BR101" i="6"/>
  <c r="BQ101" i="6"/>
  <c r="BP101" i="6"/>
  <c r="BO101" i="6"/>
  <c r="BI101" i="6"/>
  <c r="BH101" i="6"/>
  <c r="BF101" i="6"/>
  <c r="BD101" i="6"/>
  <c r="BL101" i="6" s="1"/>
  <c r="BM101" i="6" s="1"/>
  <c r="BB101" i="6"/>
  <c r="BA101" i="6"/>
  <c r="AO101" i="6"/>
  <c r="BC101" i="6" s="1"/>
  <c r="AN101" i="6"/>
  <c r="AK101" i="6"/>
  <c r="AM101" i="6" s="1"/>
  <c r="AJ101" i="6"/>
  <c r="AI101" i="6"/>
  <c r="AH101" i="6"/>
  <c r="CL100" i="6"/>
  <c r="CK100" i="6"/>
  <c r="CJ100" i="6"/>
  <c r="CI100" i="6"/>
  <c r="CH100" i="6"/>
  <c r="CG100" i="6"/>
  <c r="BY100" i="6"/>
  <c r="BR100" i="6"/>
  <c r="BQ100" i="6"/>
  <c r="BP100" i="6"/>
  <c r="BO100" i="6"/>
  <c r="BL100" i="6"/>
  <c r="BI100" i="6"/>
  <c r="BH100" i="6"/>
  <c r="BF100" i="6"/>
  <c r="BD100" i="6"/>
  <c r="BB100" i="6"/>
  <c r="BA100" i="6"/>
  <c r="AO100" i="6"/>
  <c r="BC100" i="6" s="1"/>
  <c r="AN100" i="6"/>
  <c r="AM100" i="6"/>
  <c r="AK100" i="6"/>
  <c r="AI100" i="6"/>
  <c r="AH100" i="6"/>
  <c r="CL99" i="6"/>
  <c r="CK99" i="6"/>
  <c r="CJ99" i="6"/>
  <c r="CI99" i="6"/>
  <c r="CH99" i="6"/>
  <c r="CG99" i="6"/>
  <c r="BY99" i="6"/>
  <c r="BR99" i="6"/>
  <c r="BQ99" i="6"/>
  <c r="BP99" i="6"/>
  <c r="BO99" i="6"/>
  <c r="BL99" i="6"/>
  <c r="BI99" i="6"/>
  <c r="BH99" i="6"/>
  <c r="BF99" i="6"/>
  <c r="BD99" i="6"/>
  <c r="BC99" i="6"/>
  <c r="BB99" i="6"/>
  <c r="BA99" i="6"/>
  <c r="AO99" i="6"/>
  <c r="AN99" i="6"/>
  <c r="AM99" i="6"/>
  <c r="AK99" i="6"/>
  <c r="AI99" i="6"/>
  <c r="AH99" i="6"/>
  <c r="CL98" i="6"/>
  <c r="CK98" i="6"/>
  <c r="CJ98" i="6"/>
  <c r="CI98" i="6"/>
  <c r="CH98" i="6"/>
  <c r="CG98" i="6"/>
  <c r="BY98" i="6"/>
  <c r="BR98" i="6"/>
  <c r="BQ98" i="6"/>
  <c r="BP98" i="6"/>
  <c r="BO98" i="6"/>
  <c r="BM98" i="6"/>
  <c r="BL98" i="6"/>
  <c r="BU98" i="6" s="1"/>
  <c r="BI98" i="6"/>
  <c r="BH98" i="6"/>
  <c r="BF98" i="6"/>
  <c r="BD98" i="6"/>
  <c r="BB98" i="6"/>
  <c r="BA98" i="6"/>
  <c r="AO98" i="6"/>
  <c r="BC98" i="6" s="1"/>
  <c r="AN98" i="6"/>
  <c r="AK98" i="6"/>
  <c r="AM98" i="6" s="1"/>
  <c r="AI98" i="6"/>
  <c r="AH98" i="6"/>
  <c r="CL97" i="6"/>
  <c r="CK97" i="6"/>
  <c r="CJ97" i="6"/>
  <c r="CI97" i="6"/>
  <c r="CH97" i="6"/>
  <c r="CG97" i="6"/>
  <c r="BY97" i="6"/>
  <c r="BR97" i="6"/>
  <c r="BQ97" i="6"/>
  <c r="BP97" i="6"/>
  <c r="BO97" i="6"/>
  <c r="BI97" i="6"/>
  <c r="BH97" i="6"/>
  <c r="BF97" i="6"/>
  <c r="BD97" i="6"/>
  <c r="BC97" i="6"/>
  <c r="BB97" i="6"/>
  <c r="BA97" i="6"/>
  <c r="AO97" i="6"/>
  <c r="AN97" i="6"/>
  <c r="AI97" i="6"/>
  <c r="AH97" i="6"/>
  <c r="CL96" i="6"/>
  <c r="CK96" i="6"/>
  <c r="CJ96" i="6"/>
  <c r="CI96" i="6"/>
  <c r="CH96" i="6"/>
  <c r="CG96" i="6"/>
  <c r="BY96" i="6"/>
  <c r="BR96" i="6"/>
  <c r="BQ96" i="6"/>
  <c r="BP96" i="6"/>
  <c r="BO96" i="6"/>
  <c r="BI96" i="6"/>
  <c r="BH96" i="6"/>
  <c r="BF96" i="6"/>
  <c r="BD96" i="6"/>
  <c r="BL96" i="6" s="1"/>
  <c r="BM96" i="6" s="1"/>
  <c r="BC96" i="6"/>
  <c r="BB96" i="6"/>
  <c r="BA96" i="6"/>
  <c r="AO96" i="6"/>
  <c r="AN96" i="6"/>
  <c r="AJ96" i="6"/>
  <c r="AI96" i="6"/>
  <c r="AH96" i="6"/>
  <c r="CM95" i="6"/>
  <c r="CI95" i="6"/>
  <c r="CH95" i="6"/>
  <c r="CG95" i="6"/>
  <c r="BY95" i="6"/>
  <c r="BR95" i="6"/>
  <c r="BQ95" i="6"/>
  <c r="BP95" i="6"/>
  <c r="BO95" i="6"/>
  <c r="BF95" i="6"/>
  <c r="BD95" i="6"/>
  <c r="BL95" i="6" s="1"/>
  <c r="BB95" i="6"/>
  <c r="BA95" i="6"/>
  <c r="AY95" i="6"/>
  <c r="AN95" i="6"/>
  <c r="AI95" i="6"/>
  <c r="AH95" i="6"/>
  <c r="CL94" i="6"/>
  <c r="CK94" i="6"/>
  <c r="CJ94" i="6"/>
  <c r="CI94" i="6"/>
  <c r="CH94" i="6"/>
  <c r="CG94" i="6"/>
  <c r="BY94" i="6"/>
  <c r="BU94" i="6"/>
  <c r="BR94" i="6"/>
  <c r="BQ94" i="6"/>
  <c r="BP94" i="6"/>
  <c r="BO94" i="6"/>
  <c r="BL94" i="6"/>
  <c r="BM94" i="6" s="1"/>
  <c r="BI94" i="6"/>
  <c r="BH94" i="6"/>
  <c r="BF94" i="6"/>
  <c r="BB94" i="6"/>
  <c r="BA94" i="6"/>
  <c r="AO94" i="6"/>
  <c r="BC94" i="6" s="1"/>
  <c r="AN94" i="6"/>
  <c r="AK94" i="6"/>
  <c r="AM94" i="6" s="1"/>
  <c r="AI94" i="6"/>
  <c r="AH94" i="6"/>
  <c r="CL93" i="6"/>
  <c r="CK93" i="6"/>
  <c r="CJ93" i="6"/>
  <c r="CI93" i="6"/>
  <c r="CH93" i="6"/>
  <c r="CG93" i="6"/>
  <c r="BU93" i="6"/>
  <c r="BR93" i="6"/>
  <c r="BQ93" i="6"/>
  <c r="BP93" i="6"/>
  <c r="BO93" i="6"/>
  <c r="BI93" i="6"/>
  <c r="BH93" i="6"/>
  <c r="BF93" i="6"/>
  <c r="BD93" i="6"/>
  <c r="BL93" i="6" s="1"/>
  <c r="BM93" i="6" s="1"/>
  <c r="BC93" i="6"/>
  <c r="BB93" i="6"/>
  <c r="BA93" i="6"/>
  <c r="AO93" i="6"/>
  <c r="AN93" i="6"/>
  <c r="AK93" i="6"/>
  <c r="AM93" i="6" s="1"/>
  <c r="AJ93" i="6"/>
  <c r="BY93" i="6" s="1"/>
  <c r="AI93" i="6"/>
  <c r="AH93" i="6"/>
  <c r="CL92" i="6"/>
  <c r="CK92" i="6"/>
  <c r="CJ92" i="6"/>
  <c r="CI92" i="6"/>
  <c r="CH92" i="6"/>
  <c r="CG92" i="6"/>
  <c r="BY92" i="6"/>
  <c r="BU92" i="6"/>
  <c r="BR92" i="6"/>
  <c r="BQ92" i="6"/>
  <c r="BP92" i="6"/>
  <c r="BO92" i="6"/>
  <c r="BI92" i="6"/>
  <c r="BH92" i="6"/>
  <c r="BF92" i="6"/>
  <c r="BD92" i="6"/>
  <c r="BL92" i="6" s="1"/>
  <c r="BM92" i="6" s="1"/>
  <c r="BC92" i="6"/>
  <c r="BB92" i="6"/>
  <c r="BA92" i="6"/>
  <c r="AO92" i="6"/>
  <c r="AN92" i="6"/>
  <c r="AK92" i="6"/>
  <c r="AM92" i="6" s="1"/>
  <c r="AI92" i="6"/>
  <c r="AH92" i="6"/>
  <c r="CL91" i="6"/>
  <c r="CK91" i="6"/>
  <c r="CJ91" i="6"/>
  <c r="CI91" i="6"/>
  <c r="CH91" i="6"/>
  <c r="CG91" i="6"/>
  <c r="BU91" i="6"/>
  <c r="BR91" i="6"/>
  <c r="BQ91" i="6"/>
  <c r="BP91" i="6"/>
  <c r="BO91" i="6"/>
  <c r="BM91" i="6"/>
  <c r="BL91" i="6"/>
  <c r="BI91" i="6"/>
  <c r="BH91" i="6"/>
  <c r="BF91" i="6"/>
  <c r="BB91" i="6"/>
  <c r="BA91" i="6"/>
  <c r="AO91" i="6"/>
  <c r="BC91" i="6" s="1"/>
  <c r="AN91" i="6"/>
  <c r="AK91" i="6"/>
  <c r="AM91" i="6" s="1"/>
  <c r="AJ91" i="6"/>
  <c r="BY91" i="6" s="1"/>
  <c r="AI91" i="6"/>
  <c r="AH91" i="6"/>
  <c r="CM90" i="6"/>
  <c r="CI90" i="6"/>
  <c r="CH90" i="6"/>
  <c r="CG90" i="6"/>
  <c r="BY90" i="6"/>
  <c r="BR90" i="6"/>
  <c r="BQ90" i="6"/>
  <c r="BP90" i="6"/>
  <c r="BO90" i="6"/>
  <c r="BL90" i="6"/>
  <c r="BF90" i="6"/>
  <c r="BD90" i="6"/>
  <c r="AK90" i="6" s="1"/>
  <c r="BB90" i="6"/>
  <c r="BA90" i="6"/>
  <c r="AY90" i="6"/>
  <c r="BT90" i="6" s="1"/>
  <c r="AN90" i="6"/>
  <c r="AM90" i="6"/>
  <c r="AI90" i="6"/>
  <c r="AH90" i="6"/>
  <c r="CL89" i="6"/>
  <c r="CK89" i="6"/>
  <c r="CJ89" i="6"/>
  <c r="CI89" i="6"/>
  <c r="CH89" i="6"/>
  <c r="CG89" i="6"/>
  <c r="BY89" i="6"/>
  <c r="BR89" i="6"/>
  <c r="BQ89" i="6"/>
  <c r="BP89" i="6"/>
  <c r="BO89" i="6"/>
  <c r="BI89" i="6"/>
  <c r="BH89" i="6"/>
  <c r="BF89" i="6"/>
  <c r="BD89" i="6"/>
  <c r="BL89" i="6" s="1"/>
  <c r="BU89" i="6" s="1"/>
  <c r="BB89" i="6"/>
  <c r="BA89" i="6"/>
  <c r="AO89" i="6"/>
  <c r="BC89" i="6" s="1"/>
  <c r="AN89" i="6"/>
  <c r="AK89" i="6"/>
  <c r="AM89" i="6" s="1"/>
  <c r="AI89" i="6"/>
  <c r="AH89" i="6"/>
  <c r="CL88" i="6"/>
  <c r="CK88" i="6"/>
  <c r="CJ88" i="6"/>
  <c r="CI88" i="6"/>
  <c r="CH88" i="6"/>
  <c r="CG88" i="6"/>
  <c r="BU88" i="6"/>
  <c r="BR88" i="6"/>
  <c r="BQ88" i="6"/>
  <c r="BP88" i="6"/>
  <c r="BO88" i="6"/>
  <c r="BM88" i="6"/>
  <c r="BL88" i="6"/>
  <c r="BI88" i="6"/>
  <c r="BH88" i="6"/>
  <c r="BF88" i="6"/>
  <c r="BD88" i="6"/>
  <c r="BB88" i="6"/>
  <c r="BA88" i="6"/>
  <c r="AO88" i="6"/>
  <c r="BC88" i="6" s="1"/>
  <c r="AN88" i="6"/>
  <c r="AJ88" i="6"/>
  <c r="AI88" i="6"/>
  <c r="AH88" i="6"/>
  <c r="CL87" i="6"/>
  <c r="CK87" i="6"/>
  <c r="CJ87" i="6"/>
  <c r="CI87" i="6"/>
  <c r="CH87" i="6"/>
  <c r="CG87" i="6"/>
  <c r="BY87" i="6"/>
  <c r="BU87" i="6"/>
  <c r="BR87" i="6"/>
  <c r="BQ87" i="6"/>
  <c r="BP87" i="6"/>
  <c r="BO87" i="6"/>
  <c r="BM87" i="6"/>
  <c r="BL87" i="6"/>
  <c r="BI87" i="6"/>
  <c r="BH87" i="6"/>
  <c r="BF87" i="6"/>
  <c r="BB87" i="6"/>
  <c r="BA87" i="6"/>
  <c r="AO87" i="6"/>
  <c r="BC87" i="6" s="1"/>
  <c r="AN87" i="6"/>
  <c r="AK87" i="6"/>
  <c r="AM87" i="6" s="1"/>
  <c r="AI87" i="6"/>
  <c r="AH87" i="6"/>
  <c r="CL86" i="6"/>
  <c r="CK86" i="6"/>
  <c r="CJ86" i="6"/>
  <c r="CI86" i="6"/>
  <c r="CH86" i="6"/>
  <c r="CG86" i="6"/>
  <c r="BR86" i="6"/>
  <c r="BQ86" i="6"/>
  <c r="BP86" i="6"/>
  <c r="BO86" i="6"/>
  <c r="BI86" i="6"/>
  <c r="BH86" i="6"/>
  <c r="BF86" i="6"/>
  <c r="BD86" i="6"/>
  <c r="BL86" i="6" s="1"/>
  <c r="BU86" i="6" s="1"/>
  <c r="BB86" i="6"/>
  <c r="BA86" i="6"/>
  <c r="AO86" i="6"/>
  <c r="BC86" i="6" s="1"/>
  <c r="AN86" i="6"/>
  <c r="AJ86" i="6"/>
  <c r="BY86" i="6" s="1"/>
  <c r="AI86" i="6"/>
  <c r="AH86" i="6"/>
  <c r="CL85" i="6"/>
  <c r="CK85" i="6"/>
  <c r="CJ85" i="6"/>
  <c r="CI85" i="6"/>
  <c r="CH85" i="6"/>
  <c r="CG85" i="6"/>
  <c r="BY85" i="6"/>
  <c r="BU85" i="6"/>
  <c r="BR85" i="6"/>
  <c r="BQ85" i="6"/>
  <c r="BP85" i="6"/>
  <c r="BO85" i="6"/>
  <c r="BI85" i="6"/>
  <c r="BH85" i="6"/>
  <c r="BF85" i="6"/>
  <c r="BD85" i="6"/>
  <c r="BL85" i="6" s="1"/>
  <c r="BM85" i="6" s="1"/>
  <c r="BB85" i="6"/>
  <c r="BA85" i="6"/>
  <c r="AO85" i="6"/>
  <c r="BC85" i="6" s="1"/>
  <c r="AN85" i="6"/>
  <c r="AI85" i="6"/>
  <c r="AH85" i="6"/>
  <c r="CL84" i="6"/>
  <c r="CK84" i="6"/>
  <c r="CJ84" i="6"/>
  <c r="CI84" i="6"/>
  <c r="CH84" i="6"/>
  <c r="CG84" i="6"/>
  <c r="BU84" i="6"/>
  <c r="BR84" i="6"/>
  <c r="BQ84" i="6"/>
  <c r="BP84" i="6"/>
  <c r="BO84" i="6"/>
  <c r="BI84" i="6"/>
  <c r="BH84" i="6"/>
  <c r="BF84" i="6"/>
  <c r="BD84" i="6"/>
  <c r="BL84" i="6" s="1"/>
  <c r="BM84" i="6" s="1"/>
  <c r="BC84" i="6"/>
  <c r="BB84" i="6"/>
  <c r="BA84" i="6"/>
  <c r="AO84" i="6"/>
  <c r="AN84" i="6"/>
  <c r="AK84" i="6"/>
  <c r="AM84" i="6" s="1"/>
  <c r="AJ84" i="6"/>
  <c r="BY84" i="6" s="1"/>
  <c r="AI84" i="6"/>
  <c r="AH84" i="6"/>
  <c r="CL83" i="6"/>
  <c r="CK83" i="6"/>
  <c r="CJ83" i="6"/>
  <c r="CI83" i="6"/>
  <c r="CH83" i="6"/>
  <c r="CG83" i="6"/>
  <c r="BR83" i="6"/>
  <c r="BQ83" i="6"/>
  <c r="BP83" i="6"/>
  <c r="BO83" i="6"/>
  <c r="BI83" i="6"/>
  <c r="BH83" i="6"/>
  <c r="BF83" i="6"/>
  <c r="BD83" i="6"/>
  <c r="BL83" i="6" s="1"/>
  <c r="BU83" i="6" s="1"/>
  <c r="BB83" i="6"/>
  <c r="BA83" i="6"/>
  <c r="AO83" i="6"/>
  <c r="BC83" i="6" s="1"/>
  <c r="AN83" i="6"/>
  <c r="AJ83" i="6"/>
  <c r="AK83" i="6" s="1"/>
  <c r="AM83" i="6" s="1"/>
  <c r="AI83" i="6"/>
  <c r="AH83" i="6"/>
  <c r="CL82" i="6"/>
  <c r="CK82" i="6"/>
  <c r="CJ82" i="6"/>
  <c r="CI82" i="6"/>
  <c r="CH82" i="6"/>
  <c r="CG82" i="6"/>
  <c r="BY82" i="6"/>
  <c r="BU82" i="6"/>
  <c r="BR82" i="6"/>
  <c r="BQ82" i="6"/>
  <c r="BP82" i="6"/>
  <c r="BO82" i="6"/>
  <c r="BL82" i="6"/>
  <c r="BM82" i="6" s="1"/>
  <c r="BI82" i="6"/>
  <c r="BH82" i="6"/>
  <c r="BF82" i="6"/>
  <c r="BD82" i="6"/>
  <c r="AK82" i="6" s="1"/>
  <c r="AM82" i="6" s="1"/>
  <c r="BC82" i="6"/>
  <c r="BB82" i="6"/>
  <c r="BA82" i="6"/>
  <c r="AO82" i="6"/>
  <c r="AN82" i="6"/>
  <c r="AI82" i="6"/>
  <c r="AH82" i="6"/>
  <c r="CL81" i="6"/>
  <c r="CK81" i="6"/>
  <c r="CJ81" i="6"/>
  <c r="CI81" i="6"/>
  <c r="CH81" i="6"/>
  <c r="CG81" i="6"/>
  <c r="BY81" i="6"/>
  <c r="BR81" i="6"/>
  <c r="BQ81" i="6"/>
  <c r="BP81" i="6"/>
  <c r="BO81" i="6"/>
  <c r="BL81" i="6"/>
  <c r="BU81" i="6" s="1"/>
  <c r="BI81" i="6"/>
  <c r="BH81" i="6"/>
  <c r="BF81" i="6"/>
  <c r="BD81" i="6"/>
  <c r="AK81" i="6" s="1"/>
  <c r="BB81" i="6"/>
  <c r="BA81" i="6"/>
  <c r="AO81" i="6"/>
  <c r="BC81" i="6" s="1"/>
  <c r="AN81" i="6"/>
  <c r="AM81" i="6"/>
  <c r="AI81" i="6"/>
  <c r="AH81" i="6"/>
  <c r="CL80" i="6"/>
  <c r="CK80" i="6"/>
  <c r="CJ80" i="6"/>
  <c r="CI80" i="6"/>
  <c r="CH80" i="6"/>
  <c r="CG80" i="6"/>
  <c r="BY80" i="6"/>
  <c r="BU80" i="6"/>
  <c r="BR80" i="6"/>
  <c r="BQ80" i="6"/>
  <c r="BP80" i="6"/>
  <c r="BO80" i="6"/>
  <c r="BI80" i="6"/>
  <c r="BH80" i="6"/>
  <c r="BF80" i="6"/>
  <c r="BD80" i="6"/>
  <c r="BL80" i="6" s="1"/>
  <c r="BM80" i="6" s="1"/>
  <c r="BC80" i="6"/>
  <c r="BB80" i="6"/>
  <c r="BA80" i="6"/>
  <c r="AO80" i="6"/>
  <c r="AN80" i="6"/>
  <c r="AM80" i="6"/>
  <c r="AK80" i="6"/>
  <c r="AI80" i="6"/>
  <c r="AH80" i="6"/>
  <c r="CL79" i="6"/>
  <c r="CK79" i="6"/>
  <c r="CJ79" i="6"/>
  <c r="CI79" i="6"/>
  <c r="CH79" i="6"/>
  <c r="CG79" i="6"/>
  <c r="BY79" i="6"/>
  <c r="BR79" i="6"/>
  <c r="BQ79" i="6"/>
  <c r="BP79" i="6"/>
  <c r="BO79" i="6"/>
  <c r="BM79" i="6"/>
  <c r="BL79" i="6"/>
  <c r="BU79" i="6" s="1"/>
  <c r="BI79" i="6"/>
  <c r="BH79" i="6"/>
  <c r="BF79" i="6"/>
  <c r="BB79" i="6"/>
  <c r="BA79" i="6"/>
  <c r="AO79" i="6"/>
  <c r="BC79" i="6" s="1"/>
  <c r="AN79" i="6"/>
  <c r="AK79" i="6"/>
  <c r="AM79" i="6" s="1"/>
  <c r="AI79" i="6"/>
  <c r="AH79" i="6"/>
  <c r="CL78" i="6"/>
  <c r="CK78" i="6"/>
  <c r="CJ78" i="6"/>
  <c r="CI78" i="6"/>
  <c r="CH78" i="6"/>
  <c r="CG78" i="6"/>
  <c r="BY78" i="6"/>
  <c r="BR78" i="6"/>
  <c r="BQ78" i="6"/>
  <c r="BP78" i="6"/>
  <c r="BO78" i="6"/>
  <c r="BI78" i="6"/>
  <c r="BH78" i="6"/>
  <c r="BF78" i="6"/>
  <c r="BD78" i="6" a="1"/>
  <c r="BD78" i="6" s="1"/>
  <c r="BB78" i="6"/>
  <c r="BA78" i="6"/>
  <c r="AO78" i="6"/>
  <c r="BC78" i="6" s="1"/>
  <c r="AN78" i="6"/>
  <c r="AJ78" i="6"/>
  <c r="AI78" i="6"/>
  <c r="AH78" i="6"/>
  <c r="CL77" i="6"/>
  <c r="CK77" i="6"/>
  <c r="CJ77" i="6"/>
  <c r="CI77" i="6"/>
  <c r="CH77" i="6"/>
  <c r="CG77" i="6"/>
  <c r="BY77" i="6"/>
  <c r="BU77" i="6"/>
  <c r="BR77" i="6"/>
  <c r="BQ77" i="6"/>
  <c r="BP77" i="6"/>
  <c r="BO77" i="6"/>
  <c r="BM77" i="6"/>
  <c r="BL77" i="6"/>
  <c r="BJ77" i="6"/>
  <c r="BI77" i="6"/>
  <c r="BH77" i="6"/>
  <c r="BF77" i="6"/>
  <c r="BB77" i="6"/>
  <c r="BA77" i="6"/>
  <c r="AN77" i="6"/>
  <c r="AM77" i="6"/>
  <c r="AK77" i="6"/>
  <c r="AI77" i="6"/>
  <c r="AH77" i="6"/>
  <c r="CL76" i="6"/>
  <c r="CK76" i="6"/>
  <c r="CJ76" i="6"/>
  <c r="CI76" i="6"/>
  <c r="CH76" i="6"/>
  <c r="CG76" i="6"/>
  <c r="BY76" i="6"/>
  <c r="BR76" i="6"/>
  <c r="BQ76" i="6"/>
  <c r="BP76" i="6"/>
  <c r="BO76" i="6"/>
  <c r="BL76" i="6"/>
  <c r="BI76" i="6"/>
  <c r="BH76" i="6"/>
  <c r="BF76" i="6"/>
  <c r="BC76" i="6"/>
  <c r="BB76" i="6"/>
  <c r="BA76" i="6"/>
  <c r="AO76" i="6"/>
  <c r="AN76" i="6"/>
  <c r="AM76" i="6"/>
  <c r="AK76" i="6"/>
  <c r="AI76" i="6"/>
  <c r="AH76" i="6"/>
  <c r="CL75" i="6"/>
  <c r="CK75" i="6"/>
  <c r="CJ75" i="6"/>
  <c r="CI75" i="6"/>
  <c r="CH75" i="6"/>
  <c r="CG75" i="6"/>
  <c r="BY75" i="6"/>
  <c r="BR75" i="6"/>
  <c r="BQ75" i="6"/>
  <c r="BP75" i="6"/>
  <c r="BO75" i="6"/>
  <c r="BI75" i="6"/>
  <c r="BH75" i="6"/>
  <c r="BF75" i="6"/>
  <c r="BD75" i="6"/>
  <c r="BL75" i="6" s="1"/>
  <c r="BC75" i="6"/>
  <c r="BB75" i="6"/>
  <c r="BA75" i="6"/>
  <c r="AO75" i="6"/>
  <c r="AN75" i="6"/>
  <c r="AI75" i="6"/>
  <c r="AH75" i="6"/>
  <c r="CL74" i="6"/>
  <c r="CK74" i="6"/>
  <c r="CJ74" i="6"/>
  <c r="CI74" i="6"/>
  <c r="CH74" i="6"/>
  <c r="CG74" i="6"/>
  <c r="BY74" i="6"/>
  <c r="BR74" i="6"/>
  <c r="BQ74" i="6"/>
  <c r="BP74" i="6"/>
  <c r="BO74" i="6"/>
  <c r="BI74" i="6"/>
  <c r="BH74" i="6"/>
  <c r="BF74" i="6"/>
  <c r="BD74" i="6"/>
  <c r="BL74" i="6" s="1"/>
  <c r="BC74" i="6"/>
  <c r="BB74" i="6"/>
  <c r="BA74" i="6"/>
  <c r="AO74" i="6"/>
  <c r="AN74" i="6"/>
  <c r="AI74" i="6"/>
  <c r="AH74" i="6"/>
  <c r="CL73" i="6"/>
  <c r="CK73" i="6"/>
  <c r="CJ73" i="6"/>
  <c r="CI73" i="6"/>
  <c r="CH73" i="6"/>
  <c r="CG73" i="6"/>
  <c r="BR73" i="6"/>
  <c r="BQ73" i="6"/>
  <c r="BP73" i="6"/>
  <c r="BO73" i="6"/>
  <c r="BI73" i="6"/>
  <c r="BH73" i="6"/>
  <c r="BF73" i="6"/>
  <c r="BD73" i="6"/>
  <c r="BL73" i="6" s="1"/>
  <c r="BB73" i="6"/>
  <c r="BA73" i="6"/>
  <c r="AO73" i="6"/>
  <c r="BC73" i="6" s="1"/>
  <c r="AN73" i="6"/>
  <c r="AJ73" i="6"/>
  <c r="BY73" i="6" s="1"/>
  <c r="AI73" i="6"/>
  <c r="AH73" i="6"/>
  <c r="CL72" i="6"/>
  <c r="CK72" i="6"/>
  <c r="CJ72" i="6"/>
  <c r="CI72" i="6"/>
  <c r="CH72" i="6"/>
  <c r="CG72" i="6"/>
  <c r="BY72" i="6"/>
  <c r="BR72" i="6"/>
  <c r="BQ72" i="6"/>
  <c r="BP72" i="6"/>
  <c r="BO72" i="6"/>
  <c r="BL72" i="6"/>
  <c r="BI72" i="6"/>
  <c r="BH72" i="6"/>
  <c r="BF72" i="6"/>
  <c r="BD72" i="6"/>
  <c r="AK72" i="6" s="1"/>
  <c r="AM72" i="6" s="1"/>
  <c r="BC72" i="6"/>
  <c r="BB72" i="6"/>
  <c r="BA72" i="6"/>
  <c r="AO72" i="6"/>
  <c r="AN72" i="6"/>
  <c r="AJ72" i="6"/>
  <c r="AI72" i="6"/>
  <c r="AH72" i="6"/>
  <c r="CL71" i="6"/>
  <c r="CK71" i="6"/>
  <c r="CJ71" i="6"/>
  <c r="CI71" i="6"/>
  <c r="CH71" i="6"/>
  <c r="CG71" i="6"/>
  <c r="BY71" i="6"/>
  <c r="BU71" i="6"/>
  <c r="BR71" i="6"/>
  <c r="BQ71" i="6"/>
  <c r="BP71" i="6"/>
  <c r="BO71" i="6"/>
  <c r="BM71" i="6"/>
  <c r="BL71" i="6"/>
  <c r="BI71" i="6"/>
  <c r="BH71" i="6"/>
  <c r="BF71" i="6"/>
  <c r="BB71" i="6"/>
  <c r="BA71" i="6"/>
  <c r="AO71" i="6"/>
  <c r="BC71" i="6" s="1"/>
  <c r="AN71" i="6"/>
  <c r="AK71" i="6"/>
  <c r="AM71" i="6" s="1"/>
  <c r="AI71" i="6"/>
  <c r="AH71" i="6"/>
  <c r="CL70" i="6"/>
  <c r="CK70" i="6"/>
  <c r="CJ70" i="6"/>
  <c r="CI70" i="6"/>
  <c r="CH70" i="6"/>
  <c r="CG70" i="6"/>
  <c r="BY70" i="6"/>
  <c r="BR70" i="6"/>
  <c r="BQ70" i="6"/>
  <c r="BP70" i="6"/>
  <c r="BO70" i="6"/>
  <c r="BI70" i="6"/>
  <c r="BH70" i="6"/>
  <c r="BF70" i="6"/>
  <c r="BD70" i="6" a="1"/>
  <c r="BD70" i="6" s="1"/>
  <c r="BL70" i="6" s="1"/>
  <c r="BC70" i="6"/>
  <c r="BB70" i="6"/>
  <c r="BA70" i="6"/>
  <c r="AO70" i="6"/>
  <c r="AN70" i="6"/>
  <c r="AK70" i="6"/>
  <c r="AM70" i="6" s="1"/>
  <c r="AI70" i="6"/>
  <c r="AH70" i="6"/>
  <c r="CL69" i="6"/>
  <c r="CK69" i="6"/>
  <c r="CJ69" i="6"/>
  <c r="CI69" i="6"/>
  <c r="CH69" i="6"/>
  <c r="CG69" i="6"/>
  <c r="BY69" i="6"/>
  <c r="BU69" i="6"/>
  <c r="BR69" i="6"/>
  <c r="BQ69" i="6"/>
  <c r="BP69" i="6"/>
  <c r="BO69" i="6"/>
  <c r="BM69" i="6"/>
  <c r="BL69" i="6"/>
  <c r="BJ69" i="6"/>
  <c r="BI69" i="6"/>
  <c r="BH69" i="6"/>
  <c r="BF69" i="6"/>
  <c r="BB69" i="6"/>
  <c r="BA69" i="6"/>
  <c r="AN69" i="6"/>
  <c r="AM69" i="6"/>
  <c r="AK69" i="6"/>
  <c r="AI69" i="6"/>
  <c r="AH69" i="6"/>
  <c r="CL68" i="6"/>
  <c r="CK68" i="6"/>
  <c r="CJ68" i="6"/>
  <c r="CI68" i="6"/>
  <c r="CH68" i="6"/>
  <c r="CG68" i="6"/>
  <c r="BY68" i="6"/>
  <c r="BR68" i="6"/>
  <c r="BQ68" i="6"/>
  <c r="BP68" i="6"/>
  <c r="BO68" i="6"/>
  <c r="BI68" i="6"/>
  <c r="BH68" i="6"/>
  <c r="BF68" i="6"/>
  <c r="BD68" i="6" a="1"/>
  <c r="BD68" i="6" s="1"/>
  <c r="AK68" i="6" s="1"/>
  <c r="AM68" i="6" s="1"/>
  <c r="BC68" i="6"/>
  <c r="BB68" i="6"/>
  <c r="BA68" i="6"/>
  <c r="AO68" i="6"/>
  <c r="AN68" i="6"/>
  <c r="AI68" i="6"/>
  <c r="AH68" i="6"/>
  <c r="CL67" i="6"/>
  <c r="CK67" i="6"/>
  <c r="CJ67" i="6"/>
  <c r="CI67" i="6"/>
  <c r="CH67" i="6"/>
  <c r="CG67" i="6"/>
  <c r="BY67" i="6"/>
  <c r="BR67" i="6"/>
  <c r="BQ67" i="6"/>
  <c r="BP67" i="6"/>
  <c r="BO67" i="6"/>
  <c r="BL67" i="6"/>
  <c r="BI67" i="6"/>
  <c r="BH67" i="6"/>
  <c r="BF67" i="6"/>
  <c r="BC67" i="6"/>
  <c r="BB67" i="6"/>
  <c r="BA67" i="6"/>
  <c r="AO67" i="6"/>
  <c r="AN67" i="6"/>
  <c r="AM67" i="6"/>
  <c r="AK67" i="6"/>
  <c r="AI67" i="6"/>
  <c r="AH67" i="6"/>
  <c r="CL66" i="6"/>
  <c r="CK66" i="6"/>
  <c r="CJ66" i="6"/>
  <c r="CI66" i="6"/>
  <c r="CH66" i="6"/>
  <c r="CG66" i="6"/>
  <c r="BY66" i="6"/>
  <c r="BR66" i="6"/>
  <c r="BQ66" i="6"/>
  <c r="BP66" i="6"/>
  <c r="BO66" i="6"/>
  <c r="BL66" i="6"/>
  <c r="BI66" i="6"/>
  <c r="BH66" i="6"/>
  <c r="BF66" i="6"/>
  <c r="BD66" i="6"/>
  <c r="AK66" i="6" s="1"/>
  <c r="AM66" i="6" s="1"/>
  <c r="BB66" i="6"/>
  <c r="BA66" i="6"/>
  <c r="AO66" i="6"/>
  <c r="BC66" i="6" s="1"/>
  <c r="AN66" i="6"/>
  <c r="AI66" i="6"/>
  <c r="AH66" i="6"/>
  <c r="CL65" i="6"/>
  <c r="CK65" i="6"/>
  <c r="CJ65" i="6"/>
  <c r="CI65" i="6"/>
  <c r="CH65" i="6"/>
  <c r="CG65" i="6"/>
  <c r="BY65" i="6"/>
  <c r="BR65" i="6"/>
  <c r="BQ65" i="6"/>
  <c r="BP65" i="6"/>
  <c r="BO65" i="6"/>
  <c r="BI65" i="6"/>
  <c r="BH65" i="6"/>
  <c r="BF65" i="6"/>
  <c r="BD65" i="6"/>
  <c r="BC65" i="6"/>
  <c r="BB65" i="6"/>
  <c r="BA65" i="6"/>
  <c r="AO65" i="6"/>
  <c r="AN65" i="6"/>
  <c r="AI65" i="6"/>
  <c r="AH65" i="6"/>
  <c r="CL64" i="6"/>
  <c r="CK64" i="6"/>
  <c r="CJ64" i="6"/>
  <c r="CI64" i="6"/>
  <c r="CH64" i="6"/>
  <c r="CG64" i="6"/>
  <c r="BY64" i="6"/>
  <c r="BU64" i="6"/>
  <c r="BR64" i="6"/>
  <c r="BQ64" i="6"/>
  <c r="BP64" i="6"/>
  <c r="BO64" i="6"/>
  <c r="BL64" i="6"/>
  <c r="BM64" i="6" s="1"/>
  <c r="BJ64" i="6"/>
  <c r="BI64" i="6"/>
  <c r="BH64" i="6"/>
  <c r="BF64" i="6"/>
  <c r="BB64" i="6"/>
  <c r="BA64" i="6"/>
  <c r="AN64" i="6"/>
  <c r="AM64" i="6"/>
  <c r="AK64" i="6"/>
  <c r="AI64" i="6"/>
  <c r="AH64" i="6"/>
  <c r="CL63" i="6"/>
  <c r="CK63" i="6"/>
  <c r="CJ63" i="6"/>
  <c r="CI63" i="6"/>
  <c r="CH63" i="6"/>
  <c r="CG63" i="6"/>
  <c r="BY63" i="6"/>
  <c r="BR63" i="6"/>
  <c r="BQ63" i="6"/>
  <c r="BP63" i="6"/>
  <c r="BO63" i="6"/>
  <c r="BI63" i="6"/>
  <c r="BH63" i="6"/>
  <c r="BF63" i="6"/>
  <c r="BD63" i="6" a="1"/>
  <c r="BD63" i="6"/>
  <c r="BB63" i="6"/>
  <c r="BA63" i="6"/>
  <c r="AO63" i="6"/>
  <c r="BC63" i="6" s="1"/>
  <c r="AN63" i="6"/>
  <c r="AI63" i="6"/>
  <c r="AH63" i="6"/>
  <c r="CL62" i="6"/>
  <c r="CK62" i="6"/>
  <c r="CJ62" i="6"/>
  <c r="CI62" i="6"/>
  <c r="CH62" i="6"/>
  <c r="CG62" i="6"/>
  <c r="BY62" i="6"/>
  <c r="BU62" i="6"/>
  <c r="BR62" i="6"/>
  <c r="BQ62" i="6"/>
  <c r="BP62" i="6"/>
  <c r="BO62" i="6"/>
  <c r="BM62" i="6"/>
  <c r="BL62" i="6"/>
  <c r="BI62" i="6"/>
  <c r="BH62" i="6"/>
  <c r="BF62" i="6"/>
  <c r="BB62" i="6"/>
  <c r="BA62" i="6"/>
  <c r="AO62" i="6"/>
  <c r="BC62" i="6" s="1"/>
  <c r="AN62" i="6"/>
  <c r="AM62" i="6"/>
  <c r="AK62" i="6"/>
  <c r="AI62" i="6"/>
  <c r="AH62" i="6"/>
  <c r="CL61" i="6"/>
  <c r="CK61" i="6"/>
  <c r="CJ61" i="6"/>
  <c r="CI61" i="6"/>
  <c r="CH61" i="6"/>
  <c r="CG61" i="6"/>
  <c r="BY61" i="6"/>
  <c r="BR61" i="6"/>
  <c r="BQ61" i="6"/>
  <c r="BP61" i="6"/>
  <c r="BO61" i="6"/>
  <c r="BM61" i="6"/>
  <c r="BI61" i="6"/>
  <c r="BH61" i="6"/>
  <c r="BF61" i="6"/>
  <c r="BD61" i="6" a="1"/>
  <c r="BD61" i="6"/>
  <c r="BL61" i="6" s="1"/>
  <c r="BU61" i="6" s="1"/>
  <c r="BC61" i="6"/>
  <c r="BB61" i="6"/>
  <c r="BA61" i="6"/>
  <c r="AO61" i="6"/>
  <c r="AN61" i="6"/>
  <c r="AK61" i="6"/>
  <c r="AM61" i="6" s="1"/>
  <c r="AI61" i="6"/>
  <c r="AH61" i="6"/>
  <c r="CL60" i="6"/>
  <c r="CK60" i="6"/>
  <c r="CJ60" i="6"/>
  <c r="CI60" i="6"/>
  <c r="CH60" i="6"/>
  <c r="CG60" i="6"/>
  <c r="BU60" i="6"/>
  <c r="BR60" i="6"/>
  <c r="BQ60" i="6"/>
  <c r="BP60" i="6"/>
  <c r="BO60" i="6"/>
  <c r="BM60" i="6"/>
  <c r="BL60" i="6"/>
  <c r="BI60" i="6"/>
  <c r="BH60" i="6"/>
  <c r="BF60" i="6"/>
  <c r="BB60" i="6"/>
  <c r="BA60" i="6"/>
  <c r="AO60" i="6"/>
  <c r="BC60" i="6" s="1"/>
  <c r="AN60" i="6"/>
  <c r="AK60" i="6"/>
  <c r="AM60" i="6" s="1"/>
  <c r="AJ60" i="6"/>
  <c r="BY60" i="6" s="1"/>
  <c r="AI60" i="6"/>
  <c r="AH60" i="6"/>
  <c r="CL59" i="6"/>
  <c r="CK59" i="6"/>
  <c r="CJ59" i="6"/>
  <c r="CI59" i="6"/>
  <c r="CH59" i="6"/>
  <c r="CG59" i="6"/>
  <c r="BR59" i="6"/>
  <c r="BQ59" i="6"/>
  <c r="BP59" i="6"/>
  <c r="BO59" i="6"/>
  <c r="BL59" i="6"/>
  <c r="BI59" i="6"/>
  <c r="BH59" i="6"/>
  <c r="BF59" i="6"/>
  <c r="BD59" i="6"/>
  <c r="BC59" i="6"/>
  <c r="BB59" i="6"/>
  <c r="BA59" i="6"/>
  <c r="AO59" i="6"/>
  <c r="AN59" i="6"/>
  <c r="AK59" i="6"/>
  <c r="AM59" i="6" s="1"/>
  <c r="AJ59" i="6"/>
  <c r="BY59" i="6" s="1"/>
  <c r="AI59" i="6"/>
  <c r="AH59" i="6"/>
  <c r="CL58" i="6"/>
  <c r="CK58" i="6"/>
  <c r="CJ58" i="6"/>
  <c r="CI58" i="6"/>
  <c r="CH58" i="6"/>
  <c r="CG58" i="6"/>
  <c r="BY58" i="6"/>
  <c r="BU58" i="6"/>
  <c r="BR58" i="6"/>
  <c r="BQ58" i="6"/>
  <c r="BP58" i="6"/>
  <c r="BO58" i="6"/>
  <c r="BL58" i="6"/>
  <c r="BM58" i="6" s="1"/>
  <c r="BI58" i="6"/>
  <c r="BH58" i="6"/>
  <c r="BF58" i="6"/>
  <c r="BD58" i="6"/>
  <c r="BC58" i="6"/>
  <c r="BB58" i="6"/>
  <c r="BA58" i="6"/>
  <c r="AO58" i="6"/>
  <c r="AN58" i="6"/>
  <c r="AK58" i="6"/>
  <c r="AM58" i="6" s="1"/>
  <c r="AI58" i="6"/>
  <c r="AH58" i="6"/>
  <c r="CL57" i="6"/>
  <c r="CK57" i="6"/>
  <c r="CJ57" i="6"/>
  <c r="CI57" i="6"/>
  <c r="CH57" i="6"/>
  <c r="CG57" i="6"/>
  <c r="BY57" i="6"/>
  <c r="BR57" i="6"/>
  <c r="BQ57" i="6"/>
  <c r="BP57" i="6"/>
  <c r="BO57" i="6"/>
  <c r="BM57" i="6"/>
  <c r="BL57" i="6"/>
  <c r="BU57" i="6" s="1"/>
  <c r="BI57" i="6"/>
  <c r="BH57" i="6"/>
  <c r="BF57" i="6"/>
  <c r="BD57" i="6"/>
  <c r="BB57" i="6"/>
  <c r="BA57" i="6"/>
  <c r="AO57" i="6"/>
  <c r="BC57" i="6" s="1"/>
  <c r="AN57" i="6"/>
  <c r="AM57" i="6"/>
  <c r="AJ57" i="6"/>
  <c r="AK57" i="6" s="1"/>
  <c r="AI57" i="6"/>
  <c r="AH57" i="6"/>
  <c r="CL56" i="6"/>
  <c r="CK56" i="6"/>
  <c r="CJ56" i="6"/>
  <c r="CI56" i="6"/>
  <c r="CH56" i="6"/>
  <c r="CG56" i="6"/>
  <c r="BY56" i="6"/>
  <c r="BR56" i="6"/>
  <c r="BQ56" i="6"/>
  <c r="BP56" i="6"/>
  <c r="BO56" i="6"/>
  <c r="BL56" i="6"/>
  <c r="BI56" i="6"/>
  <c r="BH56" i="6"/>
  <c r="BF56" i="6"/>
  <c r="BC56" i="6"/>
  <c r="BB56" i="6"/>
  <c r="BA56" i="6"/>
  <c r="AO56" i="6"/>
  <c r="AN56" i="6"/>
  <c r="AM56" i="6"/>
  <c r="AK56" i="6"/>
  <c r="AI56" i="6"/>
  <c r="AH56" i="6"/>
  <c r="CL55" i="6"/>
  <c r="CK55" i="6"/>
  <c r="CJ55" i="6"/>
  <c r="CI55" i="6"/>
  <c r="CH55" i="6"/>
  <c r="CG55" i="6"/>
  <c r="BR55" i="6"/>
  <c r="BQ55" i="6"/>
  <c r="BP55" i="6"/>
  <c r="BO55" i="6"/>
  <c r="BI55" i="6"/>
  <c r="BH55" i="6"/>
  <c r="BF55" i="6"/>
  <c r="BD55" i="6"/>
  <c r="BL55" i="6" s="1"/>
  <c r="BU55" i="6" s="1"/>
  <c r="BC55" i="6"/>
  <c r="BB55" i="6"/>
  <c r="BA55" i="6"/>
  <c r="AO55" i="6"/>
  <c r="AN55" i="6"/>
  <c r="AJ55" i="6"/>
  <c r="AI55" i="6"/>
  <c r="AH55" i="6"/>
  <c r="CL54" i="6"/>
  <c r="CK54" i="6"/>
  <c r="CJ54" i="6"/>
  <c r="CI54" i="6"/>
  <c r="CH54" i="6"/>
  <c r="CG54" i="6"/>
  <c r="BY54" i="6"/>
  <c r="BR54" i="6"/>
  <c r="BQ54" i="6"/>
  <c r="BP54" i="6"/>
  <c r="BO54" i="6"/>
  <c r="BI54" i="6"/>
  <c r="BH54" i="6"/>
  <c r="BF54" i="6"/>
  <c r="BD54" i="6"/>
  <c r="AK54" i="6" s="1"/>
  <c r="BC54" i="6"/>
  <c r="BB54" i="6"/>
  <c r="BA54" i="6"/>
  <c r="AO54" i="6"/>
  <c r="AN54" i="6"/>
  <c r="AM54" i="6"/>
  <c r="AI54" i="6"/>
  <c r="AH54" i="6"/>
  <c r="CL53" i="6"/>
  <c r="CK53" i="6"/>
  <c r="CJ53" i="6"/>
  <c r="CI53" i="6"/>
  <c r="CH53" i="6"/>
  <c r="CG53" i="6"/>
  <c r="BY53" i="6"/>
  <c r="BU53" i="6"/>
  <c r="BR53" i="6"/>
  <c r="BQ53" i="6"/>
  <c r="BP53" i="6"/>
  <c r="BO53" i="6"/>
  <c r="BM53" i="6"/>
  <c r="BL53" i="6"/>
  <c r="BI53" i="6"/>
  <c r="BH53" i="6"/>
  <c r="BF53" i="6"/>
  <c r="BD53" i="6"/>
  <c r="AK53" i="6" s="1"/>
  <c r="AM53" i="6" s="1"/>
  <c r="BB53" i="6"/>
  <c r="BA53" i="6"/>
  <c r="AO53" i="6"/>
  <c r="BC53" i="6" s="1"/>
  <c r="AN53" i="6"/>
  <c r="AI53" i="6"/>
  <c r="AH53" i="6"/>
  <c r="CL52" i="6"/>
  <c r="CK52" i="6"/>
  <c r="CJ52" i="6"/>
  <c r="CI52" i="6"/>
  <c r="CH52" i="6"/>
  <c r="CG52" i="6"/>
  <c r="BY52" i="6"/>
  <c r="BU52" i="6"/>
  <c r="BR52" i="6"/>
  <c r="BQ52" i="6"/>
  <c r="BP52" i="6"/>
  <c r="BO52" i="6"/>
  <c r="BM52" i="6"/>
  <c r="BL52" i="6"/>
  <c r="BI52" i="6"/>
  <c r="BH52" i="6"/>
  <c r="BF52" i="6"/>
  <c r="BD52" i="6"/>
  <c r="AK52" i="6" s="1"/>
  <c r="AM52" i="6" s="1"/>
  <c r="BB52" i="6"/>
  <c r="BA52" i="6"/>
  <c r="AO52" i="6"/>
  <c r="BC52" i="6" s="1"/>
  <c r="AN52" i="6"/>
  <c r="AJ52" i="6"/>
  <c r="AI52" i="6"/>
  <c r="AH52" i="6"/>
  <c r="CL51" i="6"/>
  <c r="CK51" i="6"/>
  <c r="CJ51" i="6"/>
  <c r="CI51" i="6"/>
  <c r="CH51" i="6"/>
  <c r="CG51" i="6"/>
  <c r="BU51" i="6"/>
  <c r="BR51" i="6"/>
  <c r="BQ51" i="6"/>
  <c r="BP51" i="6"/>
  <c r="BO51" i="6"/>
  <c r="BM51" i="6"/>
  <c r="BL51" i="6"/>
  <c r="BI51" i="6"/>
  <c r="BH51" i="6"/>
  <c r="BF51" i="6"/>
  <c r="BB51" i="6"/>
  <c r="BA51" i="6"/>
  <c r="AO51" i="6"/>
  <c r="BC51" i="6" s="1"/>
  <c r="AN51" i="6"/>
  <c r="AJ51" i="6"/>
  <c r="AK51" i="6" s="1"/>
  <c r="AM51" i="6" s="1"/>
  <c r="AI51" i="6"/>
  <c r="AH51" i="6"/>
  <c r="CL50" i="6"/>
  <c r="CK50" i="6"/>
  <c r="CJ50" i="6"/>
  <c r="CI50" i="6"/>
  <c r="CH50" i="6"/>
  <c r="CG50" i="6"/>
  <c r="BU50" i="6"/>
  <c r="BR50" i="6"/>
  <c r="BQ50" i="6"/>
  <c r="BP50" i="6"/>
  <c r="BO50" i="6"/>
  <c r="BM50" i="6"/>
  <c r="BL50" i="6"/>
  <c r="BI50" i="6"/>
  <c r="BH50" i="6"/>
  <c r="BF50" i="6"/>
  <c r="BD50" i="6"/>
  <c r="BB50" i="6"/>
  <c r="BA50" i="6"/>
  <c r="AO50" i="6"/>
  <c r="BC50" i="6" s="1"/>
  <c r="AN50" i="6"/>
  <c r="AJ50" i="6"/>
  <c r="AI50" i="6"/>
  <c r="AH50" i="6"/>
  <c r="CL49" i="6"/>
  <c r="CK49" i="6"/>
  <c r="CJ49" i="6"/>
  <c r="CI49" i="6"/>
  <c r="CH49" i="6"/>
  <c r="CG49" i="6"/>
  <c r="BY49" i="6"/>
  <c r="BR49" i="6"/>
  <c r="BQ49" i="6"/>
  <c r="BP49" i="6"/>
  <c r="BO49" i="6"/>
  <c r="BI49" i="6"/>
  <c r="BH49" i="6"/>
  <c r="BF49" i="6"/>
  <c r="BD49" i="6"/>
  <c r="AK49" i="6" s="1"/>
  <c r="AM49" i="6" s="1"/>
  <c r="BB49" i="6"/>
  <c r="BA49" i="6"/>
  <c r="AO49" i="6"/>
  <c r="BC49" i="6" s="1"/>
  <c r="AN49" i="6"/>
  <c r="AI49" i="6"/>
  <c r="AH49" i="6"/>
  <c r="CL48" i="6"/>
  <c r="CK48" i="6"/>
  <c r="CJ48" i="6"/>
  <c r="CI48" i="6"/>
  <c r="CH48" i="6"/>
  <c r="CG48" i="6"/>
  <c r="BY48" i="6"/>
  <c r="BU48" i="6"/>
  <c r="BR48" i="6"/>
  <c r="BQ48" i="6"/>
  <c r="BP48" i="6"/>
  <c r="BO48" i="6"/>
  <c r="BM48" i="6"/>
  <c r="BL48" i="6"/>
  <c r="BI48" i="6"/>
  <c r="BH48" i="6"/>
  <c r="BF48" i="6"/>
  <c r="BD48" i="6"/>
  <c r="AK48" i="6" s="1"/>
  <c r="AM48" i="6" s="1"/>
  <c r="BB48" i="6"/>
  <c r="BA48" i="6"/>
  <c r="AO48" i="6"/>
  <c r="BC48" i="6" s="1"/>
  <c r="AN48" i="6"/>
  <c r="AJ48" i="6"/>
  <c r="AI48" i="6"/>
  <c r="AH48" i="6"/>
  <c r="CL47" i="6"/>
  <c r="CK47" i="6"/>
  <c r="CJ47" i="6"/>
  <c r="CI47" i="6"/>
  <c r="CH47" i="6"/>
  <c r="CG47" i="6"/>
  <c r="BY47" i="6"/>
  <c r="BR47" i="6"/>
  <c r="BQ47" i="6"/>
  <c r="BP47" i="6"/>
  <c r="BO47" i="6"/>
  <c r="BL47" i="6"/>
  <c r="BI47" i="6"/>
  <c r="BH47" i="6"/>
  <c r="BF47" i="6"/>
  <c r="BD47" i="6"/>
  <c r="AK47" i="6" s="1"/>
  <c r="BB47" i="6"/>
  <c r="BA47" i="6"/>
  <c r="AO47" i="6"/>
  <c r="BC47" i="6" s="1"/>
  <c r="AN47" i="6"/>
  <c r="AM47" i="6"/>
  <c r="AJ47" i="6"/>
  <c r="AI47" i="6"/>
  <c r="AH47" i="6"/>
  <c r="CL46" i="6"/>
  <c r="CK46" i="6"/>
  <c r="CJ46" i="6"/>
  <c r="CI46" i="6"/>
  <c r="CH46" i="6"/>
  <c r="CG46" i="6"/>
  <c r="BY46" i="6"/>
  <c r="BU46" i="6"/>
  <c r="BR46" i="6"/>
  <c r="BQ46" i="6"/>
  <c r="BP46" i="6"/>
  <c r="BO46" i="6"/>
  <c r="BM46" i="6"/>
  <c r="BL46" i="6"/>
  <c r="BI46" i="6"/>
  <c r="BH46" i="6"/>
  <c r="BF46" i="6"/>
  <c r="BD46" i="6"/>
  <c r="AK46" i="6" s="1"/>
  <c r="BB46" i="6"/>
  <c r="BA46" i="6"/>
  <c r="AO46" i="6"/>
  <c r="BC46" i="6" s="1"/>
  <c r="AN46" i="6"/>
  <c r="AM46" i="6"/>
  <c r="AJ46" i="6"/>
  <c r="AI46" i="6"/>
  <c r="AH46" i="6"/>
  <c r="CM45" i="6"/>
  <c r="CI45" i="6"/>
  <c r="CH45" i="6"/>
  <c r="CG45" i="6"/>
  <c r="BY45" i="6"/>
  <c r="BU45" i="6"/>
  <c r="BR45" i="6"/>
  <c r="BQ45" i="6"/>
  <c r="BP45" i="6"/>
  <c r="BO45" i="6"/>
  <c r="BM45" i="6"/>
  <c r="BL45" i="6"/>
  <c r="BJ45" i="6"/>
  <c r="BI45" i="6"/>
  <c r="BH45" i="6"/>
  <c r="BF45" i="6"/>
  <c r="BB45" i="6"/>
  <c r="BA45" i="6"/>
  <c r="AN45" i="6"/>
  <c r="AK45" i="6"/>
  <c r="AM45" i="6" s="1"/>
  <c r="AI45" i="6"/>
  <c r="AH45" i="6"/>
  <c r="CL44" i="6"/>
  <c r="CK44" i="6"/>
  <c r="CJ44" i="6"/>
  <c r="CI44" i="6"/>
  <c r="CH44" i="6"/>
  <c r="CG44" i="6"/>
  <c r="BR44" i="6"/>
  <c r="BQ44" i="6"/>
  <c r="BP44" i="6"/>
  <c r="BO44" i="6"/>
  <c r="BI44" i="6"/>
  <c r="BH44" i="6"/>
  <c r="BF44" i="6"/>
  <c r="BD44" i="6" a="1"/>
  <c r="BD44" i="6" s="1"/>
  <c r="BL44" i="6" s="1"/>
  <c r="BC44" i="6"/>
  <c r="BB44" i="6"/>
  <c r="BA44" i="6"/>
  <c r="AO44" i="6"/>
  <c r="AN44" i="6"/>
  <c r="AJ44" i="6"/>
  <c r="AI44" i="6"/>
  <c r="AH44" i="6"/>
  <c r="CL43" i="6"/>
  <c r="CK43" i="6"/>
  <c r="CJ43" i="6"/>
  <c r="CI43" i="6"/>
  <c r="CH43" i="6"/>
  <c r="CG43" i="6"/>
  <c r="BY43" i="6"/>
  <c r="BR43" i="6"/>
  <c r="BQ43" i="6"/>
  <c r="BP43" i="6"/>
  <c r="BO43" i="6"/>
  <c r="BJ43" i="6"/>
  <c r="BI43" i="6"/>
  <c r="BH43" i="6"/>
  <c r="BF43" i="6"/>
  <c r="BD43" i="6"/>
  <c r="AK43" i="6" s="1"/>
  <c r="BB43" i="6"/>
  <c r="BA43" i="6"/>
  <c r="AN43" i="6"/>
  <c r="AM43" i="6"/>
  <c r="AI43" i="6"/>
  <c r="AH43" i="6"/>
  <c r="CL42" i="6"/>
  <c r="CK42" i="6"/>
  <c r="CJ42" i="6"/>
  <c r="CI42" i="6"/>
  <c r="CH42" i="6"/>
  <c r="CG42" i="6"/>
  <c r="BY42" i="6"/>
  <c r="BU42" i="6"/>
  <c r="BR42" i="6"/>
  <c r="BQ42" i="6"/>
  <c r="BP42" i="6"/>
  <c r="BO42" i="6"/>
  <c r="BL42" i="6"/>
  <c r="BM42" i="6" s="1"/>
  <c r="BI42" i="6"/>
  <c r="BH42" i="6"/>
  <c r="BF42" i="6"/>
  <c r="BD42" i="6"/>
  <c r="BC42" i="6"/>
  <c r="BB42" i="6"/>
  <c r="BA42" i="6"/>
  <c r="AO42" i="6"/>
  <c r="AN42" i="6"/>
  <c r="AK42" i="6"/>
  <c r="AM42" i="6" s="1"/>
  <c r="AI42" i="6"/>
  <c r="AH42" i="6"/>
  <c r="CL41" i="6"/>
  <c r="CK41" i="6"/>
  <c r="CJ41" i="6"/>
  <c r="CI41" i="6"/>
  <c r="CH41" i="6"/>
  <c r="CG41" i="6"/>
  <c r="BY41" i="6"/>
  <c r="BR41" i="6"/>
  <c r="BQ41" i="6"/>
  <c r="BP41" i="6"/>
  <c r="BO41" i="6"/>
  <c r="BM41" i="6"/>
  <c r="BL41" i="6"/>
  <c r="BU41" i="6" s="1"/>
  <c r="BI41" i="6"/>
  <c r="BH41" i="6"/>
  <c r="BF41" i="6"/>
  <c r="BD41" i="6"/>
  <c r="BB41" i="6"/>
  <c r="BA41" i="6"/>
  <c r="AO41" i="6"/>
  <c r="BC41" i="6" s="1"/>
  <c r="AN41" i="6"/>
  <c r="AM41" i="6"/>
  <c r="AK41" i="6"/>
  <c r="AI41" i="6"/>
  <c r="AH41" i="6"/>
  <c r="CL40" i="6"/>
  <c r="CK40" i="6"/>
  <c r="CJ40" i="6"/>
  <c r="CI40" i="6"/>
  <c r="CH40" i="6"/>
  <c r="CG40" i="6"/>
  <c r="BY40" i="6"/>
  <c r="BR40" i="6"/>
  <c r="BQ40" i="6"/>
  <c r="BP40" i="6"/>
  <c r="BO40" i="6"/>
  <c r="BI40" i="6"/>
  <c r="BH40" i="6"/>
  <c r="BF40" i="6"/>
  <c r="BD40" i="6"/>
  <c r="BB40" i="6"/>
  <c r="BA40" i="6"/>
  <c r="AO40" i="6"/>
  <c r="BC40" i="6" s="1"/>
  <c r="AN40" i="6"/>
  <c r="AI40" i="6"/>
  <c r="AH40" i="6"/>
  <c r="CL39" i="6"/>
  <c r="CK39" i="6"/>
  <c r="CJ39" i="6"/>
  <c r="CI39" i="6"/>
  <c r="CH39" i="6"/>
  <c r="CG39" i="6"/>
  <c r="BY39" i="6"/>
  <c r="BR39" i="6"/>
  <c r="BQ39" i="6"/>
  <c r="BP39" i="6"/>
  <c r="BO39" i="6"/>
  <c r="BI39" i="6"/>
  <c r="BH39" i="6"/>
  <c r="BF39" i="6"/>
  <c r="BD39" i="6"/>
  <c r="BB39" i="6"/>
  <c r="BA39" i="6"/>
  <c r="AO39" i="6"/>
  <c r="BC39" i="6" s="1"/>
  <c r="AN39" i="6"/>
  <c r="AI39" i="6"/>
  <c r="AH39" i="6"/>
  <c r="CL38" i="6"/>
  <c r="CK38" i="6"/>
  <c r="CJ38" i="6"/>
  <c r="CI38" i="6"/>
  <c r="CH38" i="6"/>
  <c r="CG38" i="6"/>
  <c r="BY38" i="6"/>
  <c r="BR38" i="6"/>
  <c r="BQ38" i="6"/>
  <c r="BP38" i="6"/>
  <c r="BO38" i="6"/>
  <c r="BL38" i="6"/>
  <c r="BI38" i="6"/>
  <c r="BH38" i="6"/>
  <c r="BF38" i="6"/>
  <c r="BD38" i="6"/>
  <c r="BB38" i="6"/>
  <c r="BA38" i="6"/>
  <c r="AO38" i="6"/>
  <c r="BC38" i="6" s="1"/>
  <c r="AN38" i="6"/>
  <c r="AK38" i="6"/>
  <c r="AM38" i="6" s="1"/>
  <c r="AI38" i="6"/>
  <c r="AH38" i="6"/>
  <c r="CL37" i="6"/>
  <c r="CK37" i="6"/>
  <c r="CJ37" i="6"/>
  <c r="CI37" i="6"/>
  <c r="CH37" i="6"/>
  <c r="CG37" i="6"/>
  <c r="BR37" i="6"/>
  <c r="BQ37" i="6"/>
  <c r="BP37" i="6"/>
  <c r="BO37" i="6"/>
  <c r="BM37" i="6"/>
  <c r="BI37" i="6"/>
  <c r="BH37" i="6"/>
  <c r="BF37" i="6"/>
  <c r="BD37" i="6"/>
  <c r="BL37" i="6" s="1"/>
  <c r="BU37" i="6" s="1"/>
  <c r="BC37" i="6"/>
  <c r="BB37" i="6"/>
  <c r="BA37" i="6"/>
  <c r="AO37" i="6"/>
  <c r="AN37" i="6"/>
  <c r="AJ37" i="6"/>
  <c r="BY37" i="6" s="1"/>
  <c r="AI37" i="6"/>
  <c r="AH37" i="6"/>
  <c r="CL36" i="6"/>
  <c r="CK36" i="6"/>
  <c r="CJ36" i="6"/>
  <c r="CI36" i="6"/>
  <c r="CH36" i="6"/>
  <c r="CG36" i="6"/>
  <c r="BR36" i="6"/>
  <c r="BQ36" i="6"/>
  <c r="BP36" i="6"/>
  <c r="BO36" i="6"/>
  <c r="BI36" i="6"/>
  <c r="BH36" i="6"/>
  <c r="BF36" i="6"/>
  <c r="BD36" i="6"/>
  <c r="BL36" i="6" s="1"/>
  <c r="BU36" i="6" s="1"/>
  <c r="BC36" i="6"/>
  <c r="BB36" i="6"/>
  <c r="BA36" i="6"/>
  <c r="AO36" i="6"/>
  <c r="AN36" i="6"/>
  <c r="AJ36" i="6"/>
  <c r="AI36" i="6"/>
  <c r="AH36" i="6"/>
  <c r="CL35" i="6"/>
  <c r="CK35" i="6"/>
  <c r="CJ35" i="6"/>
  <c r="CI35" i="6"/>
  <c r="CH35" i="6"/>
  <c r="CG35" i="6"/>
  <c r="BY35" i="6"/>
  <c r="BR35" i="6"/>
  <c r="BQ35" i="6"/>
  <c r="BP35" i="6"/>
  <c r="BO35" i="6"/>
  <c r="BM35" i="6"/>
  <c r="BI35" i="6"/>
  <c r="BH35" i="6"/>
  <c r="BF35" i="6"/>
  <c r="BD35" i="6"/>
  <c r="BL35" i="6" s="1"/>
  <c r="BU35" i="6" s="1"/>
  <c r="BC35" i="6"/>
  <c r="BB35" i="6"/>
  <c r="BA35" i="6"/>
  <c r="AO35" i="6"/>
  <c r="AN35" i="6"/>
  <c r="AK35" i="6"/>
  <c r="AM35" i="6" s="1"/>
  <c r="AI35" i="6"/>
  <c r="AH35" i="6"/>
  <c r="CM34" i="6"/>
  <c r="CI34" i="6"/>
  <c r="CH34" i="6"/>
  <c r="CG34" i="6"/>
  <c r="BY34" i="6"/>
  <c r="BR34" i="6"/>
  <c r="BQ34" i="6"/>
  <c r="BP34" i="6"/>
  <c r="BO34" i="6"/>
  <c r="BL34" i="6"/>
  <c r="BJ34" i="6"/>
  <c r="BF34" i="6"/>
  <c r="BD34" i="6"/>
  <c r="AK34" i="6" s="1"/>
  <c r="BB34" i="6"/>
  <c r="BA34" i="6"/>
  <c r="AY34" i="6"/>
  <c r="AN34" i="6"/>
  <c r="AI34" i="6"/>
  <c r="AH34" i="6"/>
  <c r="CL33" i="6"/>
  <c r="CK33" i="6"/>
  <c r="CJ33" i="6"/>
  <c r="CI33" i="6"/>
  <c r="CH33" i="6"/>
  <c r="CG33" i="6"/>
  <c r="BY33" i="6"/>
  <c r="BU33" i="6"/>
  <c r="BR33" i="6"/>
  <c r="BQ33" i="6"/>
  <c r="BP33" i="6"/>
  <c r="BO33" i="6"/>
  <c r="BM33" i="6"/>
  <c r="BL33" i="6"/>
  <c r="BI33" i="6"/>
  <c r="BH33" i="6"/>
  <c r="BF33" i="6"/>
  <c r="BB33" i="6"/>
  <c r="BA33" i="6"/>
  <c r="AN33" i="6"/>
  <c r="AK33" i="6"/>
  <c r="AM33" i="6" s="1"/>
  <c r="AI33" i="6"/>
  <c r="AH33" i="6"/>
  <c r="CL32" i="6"/>
  <c r="CK32" i="6"/>
  <c r="CJ32" i="6"/>
  <c r="CI32" i="6"/>
  <c r="CH32" i="6"/>
  <c r="CG32" i="6"/>
  <c r="BY32" i="6"/>
  <c r="BR32" i="6"/>
  <c r="BQ32" i="6"/>
  <c r="BP32" i="6"/>
  <c r="BO32" i="6"/>
  <c r="BL32" i="6"/>
  <c r="BM32" i="6" s="1"/>
  <c r="BI32" i="6"/>
  <c r="BH32" i="6"/>
  <c r="BF32" i="6"/>
  <c r="BD32" i="6"/>
  <c r="BB32" i="6"/>
  <c r="BA32" i="6"/>
  <c r="AO32" i="6"/>
  <c r="BC32" i="6" s="1"/>
  <c r="AN32" i="6"/>
  <c r="AM32" i="6"/>
  <c r="AK32" i="6"/>
  <c r="AI32" i="6"/>
  <c r="AH32" i="6"/>
  <c r="CL31" i="6"/>
  <c r="CK31" i="6"/>
  <c r="CJ31" i="6"/>
  <c r="CI31" i="6"/>
  <c r="CH31" i="6"/>
  <c r="CG31" i="6"/>
  <c r="BY31" i="6"/>
  <c r="BR31" i="6"/>
  <c r="BQ31" i="6"/>
  <c r="BP31" i="6"/>
  <c r="BO31" i="6"/>
  <c r="BL31" i="6"/>
  <c r="BM31" i="6" s="1"/>
  <c r="BI31" i="6"/>
  <c r="BH31" i="6"/>
  <c r="BF31" i="6"/>
  <c r="BD31" i="6"/>
  <c r="BB31" i="6"/>
  <c r="BA31" i="6"/>
  <c r="AO31" i="6"/>
  <c r="BC31" i="6" s="1"/>
  <c r="AN31" i="6"/>
  <c r="AM31" i="6"/>
  <c r="AK31" i="6"/>
  <c r="AJ31" i="6"/>
  <c r="AI31" i="6"/>
  <c r="AH31" i="6"/>
  <c r="CL30" i="6"/>
  <c r="CK30" i="6"/>
  <c r="CJ30" i="6"/>
  <c r="CI30" i="6"/>
  <c r="CH30" i="6"/>
  <c r="CG30" i="6"/>
  <c r="BY30" i="6"/>
  <c r="BU30" i="6"/>
  <c r="BR30" i="6"/>
  <c r="BQ30" i="6"/>
  <c r="BP30" i="6"/>
  <c r="BO30" i="6"/>
  <c r="BL30" i="6"/>
  <c r="BM30" i="6" s="1"/>
  <c r="BI30" i="6"/>
  <c r="BH30" i="6"/>
  <c r="BF30" i="6"/>
  <c r="BD30" i="6"/>
  <c r="AK30" i="6" s="1"/>
  <c r="AM30" i="6" s="1"/>
  <c r="BB30" i="6"/>
  <c r="BA30" i="6"/>
  <c r="AO30" i="6"/>
  <c r="BC30" i="6" s="1"/>
  <c r="AN30" i="6"/>
  <c r="AI30" i="6"/>
  <c r="AH30" i="6"/>
  <c r="CL29" i="6"/>
  <c r="CK29" i="6"/>
  <c r="CJ29" i="6"/>
  <c r="CI29" i="6"/>
  <c r="CH29" i="6"/>
  <c r="CG29" i="6"/>
  <c r="BY29" i="6"/>
  <c r="BR29" i="6"/>
  <c r="BQ29" i="6"/>
  <c r="BP29" i="6"/>
  <c r="BO29" i="6"/>
  <c r="BI29" i="6"/>
  <c r="BH29" i="6"/>
  <c r="BF29" i="6"/>
  <c r="BD29" i="6"/>
  <c r="BB29" i="6"/>
  <c r="BA29" i="6"/>
  <c r="AO29" i="6"/>
  <c r="BC29" i="6" s="1"/>
  <c r="AN29" i="6"/>
  <c r="AI29" i="6"/>
  <c r="AH29" i="6"/>
  <c r="CL28" i="6"/>
  <c r="CK28" i="6"/>
  <c r="CJ28" i="6"/>
  <c r="CI28" i="6"/>
  <c r="CH28" i="6"/>
  <c r="CG28" i="6"/>
  <c r="BY28" i="6"/>
  <c r="BR28" i="6"/>
  <c r="BQ28" i="6"/>
  <c r="BP28" i="6"/>
  <c r="BO28" i="6"/>
  <c r="BI28" i="6"/>
  <c r="BH28" i="6"/>
  <c r="BF28" i="6"/>
  <c r="BD28" i="6"/>
  <c r="AK28" i="6" s="1"/>
  <c r="AM28" i="6" s="1"/>
  <c r="BB28" i="6"/>
  <c r="BA28" i="6"/>
  <c r="AO28" i="6"/>
  <c r="BC28" i="6" s="1"/>
  <c r="AN28" i="6"/>
  <c r="AI28" i="6"/>
  <c r="AH28" i="6"/>
  <c r="CL27" i="6"/>
  <c r="CK27" i="6"/>
  <c r="CJ27" i="6"/>
  <c r="CI27" i="6"/>
  <c r="CH27" i="6"/>
  <c r="CG27" i="6"/>
  <c r="BY27" i="6"/>
  <c r="BU27" i="6"/>
  <c r="BR27" i="6"/>
  <c r="BQ27" i="6"/>
  <c r="BP27" i="6"/>
  <c r="BO27" i="6"/>
  <c r="BM27" i="6"/>
  <c r="BL27" i="6"/>
  <c r="BI27" i="6"/>
  <c r="BH27" i="6"/>
  <c r="BF27" i="6"/>
  <c r="BD27" i="6"/>
  <c r="BB27" i="6"/>
  <c r="BA27" i="6"/>
  <c r="AO27" i="6"/>
  <c r="BC27" i="6" s="1"/>
  <c r="AN27" i="6"/>
  <c r="AM27" i="6"/>
  <c r="AK27" i="6"/>
  <c r="AJ27" i="6"/>
  <c r="AI27" i="6"/>
  <c r="AH27" i="6"/>
  <c r="CL26" i="6"/>
  <c r="CK26" i="6"/>
  <c r="CJ26" i="6"/>
  <c r="CI26" i="6"/>
  <c r="CH26" i="6"/>
  <c r="CG26" i="6"/>
  <c r="BY26" i="6"/>
  <c r="BR26" i="6"/>
  <c r="BQ26" i="6"/>
  <c r="BP26" i="6"/>
  <c r="BO26" i="6"/>
  <c r="BI26" i="6"/>
  <c r="BH26" i="6"/>
  <c r="BF26" i="6"/>
  <c r="BD26" i="6"/>
  <c r="BL26" i="6" s="1"/>
  <c r="BU26" i="6" s="1"/>
  <c r="BB26" i="6"/>
  <c r="BA26" i="6"/>
  <c r="AO26" i="6"/>
  <c r="BC26" i="6" s="1"/>
  <c r="AN26" i="6"/>
  <c r="AI26" i="6"/>
  <c r="AH26" i="6"/>
  <c r="CL25" i="6"/>
  <c r="CK25" i="6"/>
  <c r="CJ25" i="6"/>
  <c r="CI25" i="6"/>
  <c r="CH25" i="6"/>
  <c r="CG25" i="6"/>
  <c r="BY25" i="6"/>
  <c r="BR25" i="6"/>
  <c r="BQ25" i="6"/>
  <c r="BP25" i="6"/>
  <c r="BO25" i="6"/>
  <c r="BI25" i="6"/>
  <c r="BH25" i="6"/>
  <c r="BF25" i="6"/>
  <c r="BD25" i="6"/>
  <c r="BL25" i="6" s="1"/>
  <c r="BB25" i="6"/>
  <c r="BA25" i="6"/>
  <c r="AO25" i="6"/>
  <c r="BC25" i="6" s="1"/>
  <c r="AN25" i="6"/>
  <c r="AK25" i="6"/>
  <c r="AM25" i="6" s="1"/>
  <c r="AJ25" i="6"/>
  <c r="AI25" i="6"/>
  <c r="AH25" i="6"/>
  <c r="CL24" i="6"/>
  <c r="CK24" i="6"/>
  <c r="CJ24" i="6"/>
  <c r="CI24" i="6"/>
  <c r="CH24" i="6"/>
  <c r="CG24" i="6"/>
  <c r="BY24" i="6"/>
  <c r="BR24" i="6"/>
  <c r="BQ24" i="6"/>
  <c r="BP24" i="6"/>
  <c r="BO24" i="6"/>
  <c r="BI24" i="6"/>
  <c r="BH24" i="6"/>
  <c r="BF24" i="6"/>
  <c r="BD24" i="6"/>
  <c r="BL24" i="6" s="1"/>
  <c r="BU24" i="6" s="1"/>
  <c r="BB24" i="6"/>
  <c r="BA24" i="6"/>
  <c r="AO24" i="6"/>
  <c r="BC24" i="6" s="1"/>
  <c r="AN24" i="6"/>
  <c r="AJ24" i="6"/>
  <c r="AI24" i="6"/>
  <c r="AH24" i="6"/>
  <c r="CL23" i="6"/>
  <c r="CK23" i="6"/>
  <c r="CJ23" i="6"/>
  <c r="CI23" i="6"/>
  <c r="CH23" i="6"/>
  <c r="CG23" i="6"/>
  <c r="BY23" i="6"/>
  <c r="BR23" i="6"/>
  <c r="BQ23" i="6"/>
  <c r="BP23" i="6"/>
  <c r="BO23" i="6"/>
  <c r="BM23" i="6"/>
  <c r="BI23" i="6"/>
  <c r="BH23" i="6"/>
  <c r="BF23" i="6"/>
  <c r="BD23" i="6"/>
  <c r="BL23" i="6" s="1"/>
  <c r="BU23" i="6" s="1"/>
  <c r="BC23" i="6"/>
  <c r="BB23" i="6"/>
  <c r="BA23" i="6"/>
  <c r="AO23" i="6"/>
  <c r="AN23" i="6"/>
  <c r="AK23" i="6"/>
  <c r="AM23" i="6" s="1"/>
  <c r="AI23" i="6"/>
  <c r="AH23" i="6"/>
  <c r="CL22" i="6"/>
  <c r="CK22" i="6"/>
  <c r="CJ22" i="6"/>
  <c r="CI22" i="6"/>
  <c r="CH22" i="6"/>
  <c r="CG22" i="6"/>
  <c r="BU22" i="6"/>
  <c r="BR22" i="6"/>
  <c r="BQ22" i="6"/>
  <c r="BP22" i="6"/>
  <c r="BO22" i="6"/>
  <c r="BM22" i="6"/>
  <c r="BL22" i="6"/>
  <c r="BJ22" i="6"/>
  <c r="BI22" i="6"/>
  <c r="BH22" i="6"/>
  <c r="BF22" i="6"/>
  <c r="BB22" i="6"/>
  <c r="BA22" i="6"/>
  <c r="AO22" i="6"/>
  <c r="BC22" i="6" s="1"/>
  <c r="AN22" i="6"/>
  <c r="AK22" i="6"/>
  <c r="AM22" i="6" s="1"/>
  <c r="AJ22" i="6"/>
  <c r="BY22" i="6" s="1"/>
  <c r="AI22" i="6"/>
  <c r="AH22" i="6"/>
  <c r="CL21" i="6"/>
  <c r="CK21" i="6"/>
  <c r="CJ21" i="6"/>
  <c r="CI21" i="6"/>
  <c r="CH21" i="6"/>
  <c r="CG21" i="6"/>
  <c r="BY21" i="6"/>
  <c r="BU21" i="6"/>
  <c r="BR21" i="6"/>
  <c r="BQ21" i="6"/>
  <c r="BP21" i="6"/>
  <c r="BO21" i="6"/>
  <c r="BL21" i="6"/>
  <c r="BM21" i="6" s="1"/>
  <c r="BI21" i="6"/>
  <c r="BH21" i="6"/>
  <c r="BF21" i="6"/>
  <c r="BD21" i="6"/>
  <c r="BC21" i="6"/>
  <c r="BB21" i="6"/>
  <c r="BA21" i="6"/>
  <c r="AO21" i="6"/>
  <c r="AN21" i="6"/>
  <c r="AK21" i="6"/>
  <c r="AM21" i="6" s="1"/>
  <c r="AI21" i="6"/>
  <c r="AH21" i="6"/>
  <c r="CL20" i="6"/>
  <c r="CK20" i="6"/>
  <c r="CJ20" i="6"/>
  <c r="CI20" i="6"/>
  <c r="CH20" i="6"/>
  <c r="CG20" i="6"/>
  <c r="BY20" i="6"/>
  <c r="BR20" i="6"/>
  <c r="BQ20" i="6"/>
  <c r="BP20" i="6"/>
  <c r="BO20" i="6"/>
  <c r="BI20" i="6"/>
  <c r="BH20" i="6"/>
  <c r="BF20" i="6"/>
  <c r="BD20" i="6"/>
  <c r="AK20" i="6" s="1"/>
  <c r="AM20" i="6" s="1"/>
  <c r="BB20" i="6"/>
  <c r="BA20" i="6"/>
  <c r="AN20" i="6"/>
  <c r="AI20" i="6"/>
  <c r="AH20" i="6"/>
  <c r="CL19" i="6"/>
  <c r="CK19" i="6"/>
  <c r="CJ19" i="6"/>
  <c r="CI19" i="6"/>
  <c r="CH19" i="6"/>
  <c r="CG19" i="6"/>
  <c r="BY19" i="6"/>
  <c r="BU19" i="6"/>
  <c r="BR19" i="6"/>
  <c r="BQ19" i="6"/>
  <c r="BP19" i="6"/>
  <c r="BO19" i="6"/>
  <c r="BI19" i="6"/>
  <c r="BH19" i="6"/>
  <c r="BF19" i="6"/>
  <c r="BD19" i="6"/>
  <c r="BL19" i="6" s="1"/>
  <c r="BM19" i="6" s="1"/>
  <c r="BC19" i="6"/>
  <c r="BB19" i="6"/>
  <c r="BA19" i="6"/>
  <c r="AO19" i="6"/>
  <c r="AN19" i="6"/>
  <c r="AK19" i="6"/>
  <c r="AM19" i="6" s="1"/>
  <c r="AI19" i="6"/>
  <c r="AH19" i="6"/>
  <c r="CL18" i="6"/>
  <c r="CK18" i="6"/>
  <c r="CJ18" i="6"/>
  <c r="CI18" i="6"/>
  <c r="CH18" i="6"/>
  <c r="CG18" i="6"/>
  <c r="BY18" i="6"/>
  <c r="BU18" i="6"/>
  <c r="BR18" i="6"/>
  <c r="BQ18" i="6"/>
  <c r="BP18" i="6"/>
  <c r="BO18" i="6"/>
  <c r="BI18" i="6"/>
  <c r="BH18" i="6"/>
  <c r="BF18" i="6"/>
  <c r="BD18" i="6"/>
  <c r="BL18" i="6" s="1"/>
  <c r="BM18" i="6" s="1"/>
  <c r="BC18" i="6"/>
  <c r="BB18" i="6"/>
  <c r="BA18" i="6"/>
  <c r="AO18" i="6"/>
  <c r="AN18" i="6"/>
  <c r="AK18" i="6"/>
  <c r="AM18" i="6" s="1"/>
  <c r="AI18" i="6"/>
  <c r="AH18" i="6"/>
  <c r="CL17" i="6"/>
  <c r="CK17" i="6"/>
  <c r="CJ17" i="6"/>
  <c r="CI17" i="6"/>
  <c r="CH17" i="6"/>
  <c r="CG17" i="6"/>
  <c r="BY17" i="6"/>
  <c r="BU17" i="6"/>
  <c r="BR17" i="6"/>
  <c r="BQ17" i="6"/>
  <c r="BP17" i="6"/>
  <c r="BO17" i="6"/>
  <c r="BL17" i="6"/>
  <c r="BM17" i="6" s="1"/>
  <c r="BI17" i="6"/>
  <c r="BH17" i="6"/>
  <c r="BF17" i="6"/>
  <c r="BD17" i="6"/>
  <c r="BC17" i="6"/>
  <c r="BB17" i="6"/>
  <c r="BA17" i="6"/>
  <c r="AO17" i="6"/>
  <c r="AN17" i="6"/>
  <c r="AK17" i="6"/>
  <c r="AM17" i="6" s="1"/>
  <c r="AI17" i="6"/>
  <c r="AH17" i="6"/>
  <c r="CL16" i="6"/>
  <c r="CK16" i="6"/>
  <c r="CJ16" i="6"/>
  <c r="CI16" i="6"/>
  <c r="CH16" i="6"/>
  <c r="CG16" i="6"/>
  <c r="BY16" i="6"/>
  <c r="BU16" i="6"/>
  <c r="BR16" i="6"/>
  <c r="BQ16" i="6"/>
  <c r="BP16" i="6"/>
  <c r="BO16" i="6"/>
  <c r="BL16" i="6"/>
  <c r="BM16" i="6" s="1"/>
  <c r="BI16" i="6"/>
  <c r="BH16" i="6"/>
  <c r="BF16" i="6"/>
  <c r="BB16" i="6"/>
  <c r="BA16" i="6"/>
  <c r="AO16" i="6"/>
  <c r="BC16" i="6" s="1"/>
  <c r="AN16" i="6"/>
  <c r="AM16" i="6"/>
  <c r="AK16" i="6"/>
  <c r="AI16" i="6"/>
  <c r="AH16" i="6"/>
  <c r="CL15" i="6"/>
  <c r="CK15" i="6"/>
  <c r="CJ15" i="6"/>
  <c r="CI15" i="6"/>
  <c r="CH15" i="6"/>
  <c r="CG15" i="6"/>
  <c r="CB15" i="6"/>
  <c r="BU15" i="6"/>
  <c r="BR15" i="6"/>
  <c r="BQ15" i="6"/>
  <c r="BP15" i="6"/>
  <c r="BO15" i="6"/>
  <c r="BL15" i="6"/>
  <c r="BM15" i="6" s="1"/>
  <c r="BI15" i="6"/>
  <c r="BH15" i="6"/>
  <c r="BF15" i="6"/>
  <c r="BB15" i="6"/>
  <c r="BA15" i="6"/>
  <c r="AO15" i="6"/>
  <c r="BC15" i="6" s="1"/>
  <c r="AN15" i="6"/>
  <c r="AK15" i="6"/>
  <c r="AM15" i="6" s="1"/>
  <c r="AJ15" i="6"/>
  <c r="BY15" i="6" s="1"/>
  <c r="AI15" i="6"/>
  <c r="AH15" i="6"/>
  <c r="CL14" i="6"/>
  <c r="CK14" i="6"/>
  <c r="CJ14" i="6"/>
  <c r="CI14" i="6"/>
  <c r="CH14" i="6"/>
  <c r="CG14" i="6"/>
  <c r="CD14" i="6"/>
  <c r="CC14" i="6"/>
  <c r="CB14" i="6"/>
  <c r="BR14" i="6"/>
  <c r="BQ14" i="6"/>
  <c r="BP14" i="6"/>
  <c r="BO14" i="6"/>
  <c r="BI14" i="6"/>
  <c r="BH14" i="6"/>
  <c r="BF14" i="6"/>
  <c r="BD14" i="6"/>
  <c r="BL14" i="6" s="1"/>
  <c r="BM14" i="6" s="1"/>
  <c r="BB14" i="6"/>
  <c r="BA14" i="6"/>
  <c r="AN14" i="6"/>
  <c r="AJ14" i="6"/>
  <c r="BY14" i="6" s="1"/>
  <c r="AI14" i="6"/>
  <c r="AH14" i="6"/>
  <c r="J14" i="6"/>
  <c r="AO14" i="6" s="1"/>
  <c r="BC14" i="6" s="1"/>
  <c r="CL13" i="6"/>
  <c r="CK13" i="6"/>
  <c r="CJ13" i="6"/>
  <c r="CI13" i="6"/>
  <c r="CH13" i="6"/>
  <c r="CG13" i="6"/>
  <c r="CE13" i="6"/>
  <c r="CD13" i="6"/>
  <c r="CC13" i="6"/>
  <c r="CB13" i="6"/>
  <c r="CF13" i="6" s="1"/>
  <c r="BY13" i="6"/>
  <c r="BR13" i="6"/>
  <c r="BQ13" i="6"/>
  <c r="BP13" i="6"/>
  <c r="BO13" i="6"/>
  <c r="BM13" i="6"/>
  <c r="BL13" i="6"/>
  <c r="BU13" i="6" s="1"/>
  <c r="BI13" i="6"/>
  <c r="BH13" i="6"/>
  <c r="BF13" i="6"/>
  <c r="BD13" i="6"/>
  <c r="BC13" i="6"/>
  <c r="BB13" i="6"/>
  <c r="BA13" i="6"/>
  <c r="AO13" i="6"/>
  <c r="AN13" i="6"/>
  <c r="AK13" i="6"/>
  <c r="AM13" i="6" s="1"/>
  <c r="AI13" i="6"/>
  <c r="AH13" i="6"/>
  <c r="CL12" i="6"/>
  <c r="CK12" i="6"/>
  <c r="CJ12" i="6"/>
  <c r="CI12" i="6"/>
  <c r="CH12" i="6"/>
  <c r="CG12" i="6"/>
  <c r="CD12" i="6"/>
  <c r="CC12" i="6"/>
  <c r="CB12" i="6"/>
  <c r="CE12" i="6" s="1"/>
  <c r="BR12" i="6"/>
  <c r="BQ12" i="6"/>
  <c r="BP12" i="6"/>
  <c r="BO12" i="6"/>
  <c r="BI12" i="6"/>
  <c r="BH12" i="6"/>
  <c r="BF12" i="6"/>
  <c r="BD12" i="6"/>
  <c r="BL12" i="6" s="1"/>
  <c r="BU12" i="6" s="1"/>
  <c r="BC12" i="6"/>
  <c r="BB12" i="6"/>
  <c r="BA12" i="6"/>
  <c r="AO12" i="6"/>
  <c r="AN12" i="6"/>
  <c r="AJ12" i="6"/>
  <c r="AI12" i="6"/>
  <c r="AH12" i="6"/>
  <c r="CL11" i="6"/>
  <c r="CK11" i="6"/>
  <c r="CJ11" i="6"/>
  <c r="CI11" i="6"/>
  <c r="CH11" i="6"/>
  <c r="CG11" i="6"/>
  <c r="CD11" i="6"/>
  <c r="CC11" i="6"/>
  <c r="CB11" i="6"/>
  <c r="CF11" i="6" s="1"/>
  <c r="BY11" i="6"/>
  <c r="BR11" i="6"/>
  <c r="BQ11" i="6"/>
  <c r="BP11" i="6"/>
  <c r="BO11" i="6"/>
  <c r="BL11" i="6"/>
  <c r="BM11" i="6" s="1"/>
  <c r="BI11" i="6"/>
  <c r="BH11" i="6"/>
  <c r="BF11" i="6"/>
  <c r="BD11" i="6"/>
  <c r="AK11" i="6" s="1"/>
  <c r="AM11" i="6" s="1"/>
  <c r="BC11" i="6"/>
  <c r="BB11" i="6"/>
  <c r="BA11" i="6"/>
  <c r="AO11" i="6"/>
  <c r="AN11" i="6"/>
  <c r="AI11" i="6"/>
  <c r="AH11" i="6"/>
  <c r="CL10" i="6"/>
  <c r="CK10" i="6"/>
  <c r="CJ10" i="6"/>
  <c r="CI10" i="6"/>
  <c r="CH10" i="6"/>
  <c r="CG10" i="6"/>
  <c r="CD10" i="6"/>
  <c r="CC10" i="6"/>
  <c r="CF10" i="6" s="1"/>
  <c r="CB10" i="6"/>
  <c r="BY10" i="6"/>
  <c r="BR10" i="6"/>
  <c r="BQ10" i="6"/>
  <c r="BP10" i="6"/>
  <c r="BO10" i="6"/>
  <c r="BL10" i="6"/>
  <c r="BM10" i="6" s="1"/>
  <c r="BI10" i="6"/>
  <c r="BH10" i="6"/>
  <c r="BF10" i="6"/>
  <c r="BB10" i="6"/>
  <c r="BA10" i="6"/>
  <c r="AO10" i="6"/>
  <c r="BC10" i="6" s="1"/>
  <c r="AN10" i="6"/>
  <c r="AM10" i="6"/>
  <c r="AK10" i="6"/>
  <c r="AI10" i="6"/>
  <c r="AH10" i="6"/>
  <c r="CM9" i="6"/>
  <c r="CI9" i="6"/>
  <c r="CH9" i="6"/>
  <c r="CG9" i="6"/>
  <c r="CD9" i="6"/>
  <c r="CC9" i="6"/>
  <c r="CB9" i="6"/>
  <c r="BY9" i="6"/>
  <c r="BR9" i="6"/>
  <c r="BQ9" i="6"/>
  <c r="BP9" i="6"/>
  <c r="BO9" i="6"/>
  <c r="BF9" i="6"/>
  <c r="BD9" i="6"/>
  <c r="BB9" i="6"/>
  <c r="BA9" i="6"/>
  <c r="AY9" i="6"/>
  <c r="AN9" i="6"/>
  <c r="AI9" i="6"/>
  <c r="AH9" i="6"/>
  <c r="CL8" i="6"/>
  <c r="CK8" i="6"/>
  <c r="CJ8" i="6"/>
  <c r="CI8" i="6"/>
  <c r="CH8" i="6"/>
  <c r="CG8" i="6"/>
  <c r="CD8" i="6"/>
  <c r="CC8" i="6"/>
  <c r="CB8" i="6"/>
  <c r="BY8" i="6"/>
  <c r="BU8" i="6"/>
  <c r="BR8" i="6"/>
  <c r="BQ8" i="6"/>
  <c r="BP8" i="6"/>
  <c r="BO8" i="6"/>
  <c r="BM8" i="6"/>
  <c r="BL8" i="6"/>
  <c r="BI8" i="6"/>
  <c r="BH8" i="6"/>
  <c r="BF8" i="6"/>
  <c r="BD8" i="6"/>
  <c r="AK8" i="6" s="1"/>
  <c r="AM8" i="6" s="1"/>
  <c r="BC8" i="6"/>
  <c r="BB8" i="6"/>
  <c r="BA8" i="6"/>
  <c r="AO8" i="6"/>
  <c r="AN8" i="6"/>
  <c r="AI8" i="6"/>
  <c r="AH8" i="6"/>
  <c r="CL7" i="6"/>
  <c r="CK7" i="6"/>
  <c r="CJ7" i="6"/>
  <c r="CI7" i="6"/>
  <c r="CH7" i="6"/>
  <c r="CG7" i="6"/>
  <c r="CE7" i="6"/>
  <c r="CD7" i="6"/>
  <c r="CC7" i="6"/>
  <c r="CB7" i="6"/>
  <c r="BY7" i="6"/>
  <c r="BR7" i="6"/>
  <c r="BQ7" i="6"/>
  <c r="BP7" i="6"/>
  <c r="BO7" i="6"/>
  <c r="BI7" i="6"/>
  <c r="BH7" i="6"/>
  <c r="BF7" i="6"/>
  <c r="BD7" i="6"/>
  <c r="AK7" i="6" s="1"/>
  <c r="AM7" i="6" s="1"/>
  <c r="BC7" i="6"/>
  <c r="BB7" i="6"/>
  <c r="BA7" i="6"/>
  <c r="AO7" i="6"/>
  <c r="AN7" i="6"/>
  <c r="AI7" i="6"/>
  <c r="AH7" i="6"/>
  <c r="CL6" i="6"/>
  <c r="CK6" i="6"/>
  <c r="CJ6" i="6"/>
  <c r="CI6" i="6"/>
  <c r="CH6" i="6"/>
  <c r="CG6" i="6"/>
  <c r="CD6" i="6"/>
  <c r="CC6" i="6"/>
  <c r="CB6" i="6"/>
  <c r="BY6" i="6"/>
  <c r="BU6" i="6"/>
  <c r="BR6" i="6"/>
  <c r="BQ6" i="6"/>
  <c r="BP6" i="6"/>
  <c r="BO6" i="6"/>
  <c r="BM6" i="6"/>
  <c r="BI6" i="6"/>
  <c r="BH6" i="6"/>
  <c r="BF6" i="6"/>
  <c r="BD6" i="6"/>
  <c r="BL6" i="6" s="1"/>
  <c r="BC6" i="6"/>
  <c r="BB6" i="6"/>
  <c r="BA6" i="6"/>
  <c r="AO6" i="6"/>
  <c r="AN6" i="6"/>
  <c r="AK6" i="6"/>
  <c r="AM6" i="6" s="1"/>
  <c r="AI6" i="6"/>
  <c r="AH6" i="6"/>
  <c r="CN5" i="6"/>
  <c r="CL5" i="6"/>
  <c r="CK5" i="6"/>
  <c r="CJ5" i="6"/>
  <c r="CI5" i="6"/>
  <c r="CH5" i="6"/>
  <c r="CG5" i="6"/>
  <c r="CD5" i="6"/>
  <c r="CC5" i="6"/>
  <c r="CB5" i="6"/>
  <c r="BR5" i="6"/>
  <c r="BQ5" i="6"/>
  <c r="BP5" i="6"/>
  <c r="BO5" i="6"/>
  <c r="BI5" i="6"/>
  <c r="BH5" i="6"/>
  <c r="BF5" i="6"/>
  <c r="BD5" i="6"/>
  <c r="BL5" i="6" s="1"/>
  <c r="BC5" i="6"/>
  <c r="BB5" i="6"/>
  <c r="BA5" i="6"/>
  <c r="AO5" i="6"/>
  <c r="AN5" i="6"/>
  <c r="AJ5" i="6"/>
  <c r="BY5" i="6" s="1"/>
  <c r="AI5" i="6"/>
  <c r="AH5" i="6"/>
  <c r="CQ4" i="6"/>
  <c r="CL4" i="6"/>
  <c r="CK4" i="6"/>
  <c r="CJ4" i="6"/>
  <c r="CI4" i="6"/>
  <c r="CH4" i="6"/>
  <c r="CG4" i="6"/>
  <c r="CD4" i="6"/>
  <c r="CC4" i="6"/>
  <c r="CE4" i="6" s="1"/>
  <c r="CB4" i="6"/>
  <c r="CF4" i="6" s="1"/>
  <c r="BY4" i="6"/>
  <c r="BR4" i="6"/>
  <c r="BQ4" i="6"/>
  <c r="BP4" i="6"/>
  <c r="BO4" i="6"/>
  <c r="BI4" i="6"/>
  <c r="BH4" i="6"/>
  <c r="BF4" i="6"/>
  <c r="BD4" i="6"/>
  <c r="BC4" i="6"/>
  <c r="BB4" i="6"/>
  <c r="BA4" i="6"/>
  <c r="AO4" i="6"/>
  <c r="AN4" i="6"/>
  <c r="AI4" i="6"/>
  <c r="AH4" i="6"/>
  <c r="CS3" i="6" a="1"/>
  <c r="CN3" i="6"/>
  <c r="CL3" i="6"/>
  <c r="CK3" i="6"/>
  <c r="CJ3" i="6"/>
  <c r="CI3" i="6"/>
  <c r="CH3" i="6"/>
  <c r="CG3" i="6"/>
  <c r="CD3" i="6"/>
  <c r="CC3" i="6"/>
  <c r="CB3" i="6"/>
  <c r="BY3" i="6"/>
  <c r="BR3" i="6"/>
  <c r="BQ3" i="6"/>
  <c r="BP3" i="6"/>
  <c r="BO3" i="6"/>
  <c r="BL3" i="6"/>
  <c r="BI3" i="6"/>
  <c r="BH3" i="6"/>
  <c r="BF3" i="6"/>
  <c r="BD3" i="6"/>
  <c r="AK3" i="6" s="1"/>
  <c r="BB3" i="6"/>
  <c r="BA3" i="6"/>
  <c r="AN3" i="6"/>
  <c r="AM3" i="6"/>
  <c r="AI3" i="6"/>
  <c r="AH3" i="6"/>
  <c r="C1" i="6"/>
  <c r="B1" i="6"/>
  <c r="A1" i="6"/>
  <c r="AY130" i="6"/>
  <c r="AY86" i="6"/>
  <c r="AY236" i="6"/>
  <c r="CM53" i="6" l="1"/>
  <c r="CM61" i="6"/>
  <c r="CM81" i="6"/>
  <c r="K17" i="8"/>
  <c r="L17" i="8" s="1"/>
  <c r="K15" i="8"/>
  <c r="L15" i="8" s="1"/>
  <c r="CM41" i="6"/>
  <c r="K99" i="8"/>
  <c r="L99" i="8" s="1"/>
  <c r="CM44" i="6"/>
  <c r="CM111" i="6"/>
  <c r="CM180" i="6"/>
  <c r="CM188" i="6"/>
  <c r="CM226" i="6"/>
  <c r="CM216" i="6"/>
  <c r="CM17" i="6"/>
  <c r="CM155" i="6"/>
  <c r="K116" i="8"/>
  <c r="L116" i="8" s="1"/>
  <c r="K108" i="8"/>
  <c r="L108" i="8" s="1"/>
  <c r="CM237" i="6"/>
  <c r="K49" i="8"/>
  <c r="L49" i="8" s="1"/>
  <c r="K57" i="8"/>
  <c r="L57" i="8" s="1"/>
  <c r="K67" i="8"/>
  <c r="L67" i="8" s="1"/>
  <c r="K45" i="8"/>
  <c r="L45" i="8" s="1"/>
  <c r="K65" i="8"/>
  <c r="L65" i="8" s="1"/>
  <c r="K169" i="8"/>
  <c r="L169" i="8" s="1"/>
  <c r="K181" i="8"/>
  <c r="L181" i="8" s="1"/>
  <c r="K183" i="8"/>
  <c r="L183" i="8" s="1"/>
  <c r="K191" i="8"/>
  <c r="L191" i="8" s="1"/>
  <c r="K54" i="8"/>
  <c r="L54" i="8" s="1"/>
  <c r="K60" i="8"/>
  <c r="L60" i="8" s="1"/>
  <c r="K62" i="8"/>
  <c r="L62" i="8" s="1"/>
  <c r="K64" i="8"/>
  <c r="L64" i="8" s="1"/>
  <c r="K66" i="8"/>
  <c r="L66" i="8" s="1"/>
  <c r="K74" i="8"/>
  <c r="L74" i="8" s="1"/>
  <c r="K82" i="8"/>
  <c r="L82" i="8" s="1"/>
  <c r="CM31" i="6"/>
  <c r="K139" i="8"/>
  <c r="L139" i="8" s="1"/>
  <c r="BS232" i="6"/>
  <c r="K30" i="8"/>
  <c r="L30" i="8" s="1"/>
  <c r="K32" i="8"/>
  <c r="L32" i="8" s="1"/>
  <c r="BS178" i="6"/>
  <c r="CM146" i="6"/>
  <c r="CM177" i="6"/>
  <c r="CM48" i="6"/>
  <c r="CM21" i="6"/>
  <c r="CM118" i="6"/>
  <c r="CM150" i="6"/>
  <c r="CM99" i="6"/>
  <c r="BS241" i="6"/>
  <c r="CM82" i="6"/>
  <c r="CM71" i="6"/>
  <c r="CM239" i="6"/>
  <c r="K199" i="8"/>
  <c r="L199" i="8" s="1"/>
  <c r="O4" i="21"/>
  <c r="Q4" i="21"/>
  <c r="K7" i="8"/>
  <c r="L7" i="8" s="1"/>
  <c r="K31" i="8"/>
  <c r="L31" i="8" s="1"/>
  <c r="K35" i="8"/>
  <c r="L35" i="8" s="1"/>
  <c r="K76" i="8"/>
  <c r="L76" i="8" s="1"/>
  <c r="K140" i="8"/>
  <c r="L140" i="8" s="1"/>
  <c r="K161" i="8"/>
  <c r="L161" i="8" s="1"/>
  <c r="K165" i="8"/>
  <c r="L165" i="8" s="1"/>
  <c r="K167" i="8"/>
  <c r="L167" i="8" s="1"/>
  <c r="CM115" i="6"/>
  <c r="CM201" i="6"/>
  <c r="CM207" i="6"/>
  <c r="K37" i="8"/>
  <c r="L37" i="8" s="1"/>
  <c r="K39" i="8"/>
  <c r="L39" i="8" s="1"/>
  <c r="K43" i="8"/>
  <c r="L43" i="8" s="1"/>
  <c r="CM100" i="6"/>
  <c r="CM153" i="6"/>
  <c r="BT241" i="6"/>
  <c r="K53" i="8"/>
  <c r="L53" i="8" s="1"/>
  <c r="K102" i="8"/>
  <c r="L102" i="8" s="1"/>
  <c r="K106" i="8"/>
  <c r="L106" i="8" s="1"/>
  <c r="K162" i="8"/>
  <c r="L162" i="8" s="1"/>
  <c r="K164" i="8"/>
  <c r="L164" i="8" s="1"/>
  <c r="K168" i="8"/>
  <c r="L168" i="8" s="1"/>
  <c r="CM116" i="6"/>
  <c r="K83" i="8"/>
  <c r="L83" i="8" s="1"/>
  <c r="K87" i="8"/>
  <c r="L87" i="8" s="1"/>
  <c r="K122" i="8"/>
  <c r="L122" i="8" s="1"/>
  <c r="K217" i="8"/>
  <c r="L217" i="8" s="1"/>
  <c r="CM171" i="6"/>
  <c r="CM30" i="6"/>
  <c r="CM240" i="6"/>
  <c r="CM70" i="6"/>
  <c r="CM205" i="6"/>
  <c r="K192" i="8"/>
  <c r="L192" i="8" s="1"/>
  <c r="K198" i="8"/>
  <c r="L198" i="8" s="1"/>
  <c r="CM112" i="6"/>
  <c r="CM167" i="6"/>
  <c r="CM173" i="6"/>
  <c r="BT178" i="6"/>
  <c r="CM187" i="6"/>
  <c r="CM191" i="6"/>
  <c r="BS206" i="6"/>
  <c r="K117" i="8"/>
  <c r="L117" i="8" s="1"/>
  <c r="X4" i="21"/>
  <c r="CM66" i="6"/>
  <c r="CM145" i="6"/>
  <c r="K131" i="8"/>
  <c r="L131" i="8" s="1"/>
  <c r="K133" i="8"/>
  <c r="L133" i="8" s="1"/>
  <c r="L4" i="21"/>
  <c r="K141" i="8"/>
  <c r="L141" i="8" s="1"/>
  <c r="CM83" i="6"/>
  <c r="CM132" i="6"/>
  <c r="CM214" i="6"/>
  <c r="K8" i="8"/>
  <c r="L8" i="8" s="1"/>
  <c r="K10" i="8"/>
  <c r="L10" i="8" s="1"/>
  <c r="K14" i="8"/>
  <c r="L14" i="8" s="1"/>
  <c r="K16" i="8"/>
  <c r="L16" i="8" s="1"/>
  <c r="K18" i="8"/>
  <c r="L18" i="8" s="1"/>
  <c r="K20" i="8"/>
  <c r="L20" i="8" s="1"/>
  <c r="K24" i="8"/>
  <c r="L24" i="8" s="1"/>
  <c r="K75" i="8"/>
  <c r="L75" i="8" s="1"/>
  <c r="K77" i="8"/>
  <c r="L77" i="8" s="1"/>
  <c r="K79" i="8"/>
  <c r="L79" i="8" s="1"/>
  <c r="CM51" i="6"/>
  <c r="CM55" i="6"/>
  <c r="CM197" i="6"/>
  <c r="K81" i="8"/>
  <c r="L81" i="8" s="1"/>
  <c r="K144" i="8"/>
  <c r="L144" i="8" s="1"/>
  <c r="B229" i="23"/>
  <c r="E229" i="23" s="1"/>
  <c r="B233" i="23"/>
  <c r="E233" i="23" s="1"/>
  <c r="K44" i="8"/>
  <c r="L44" i="8" s="1"/>
  <c r="K48" i="8"/>
  <c r="L48" i="8" s="1"/>
  <c r="K101" i="8"/>
  <c r="L101" i="8" s="1"/>
  <c r="K105" i="8"/>
  <c r="L105" i="8" s="1"/>
  <c r="K107" i="8"/>
  <c r="L107" i="8" s="1"/>
  <c r="K201" i="8"/>
  <c r="L201" i="8" s="1"/>
  <c r="K203" i="8"/>
  <c r="L203" i="8" s="1"/>
  <c r="K205" i="8"/>
  <c r="L205" i="8" s="1"/>
  <c r="K211" i="8"/>
  <c r="L211" i="8" s="1"/>
  <c r="K213" i="8"/>
  <c r="L213" i="8" s="1"/>
  <c r="K215" i="8"/>
  <c r="L215" i="8" s="1"/>
  <c r="J4" i="21"/>
  <c r="AB4" i="21"/>
  <c r="B235" i="23"/>
  <c r="E235" i="23" s="1"/>
  <c r="B236" i="23"/>
  <c r="D236" i="23" s="1"/>
  <c r="CM79" i="6"/>
  <c r="CM7" i="6"/>
  <c r="CM20" i="6"/>
  <c r="CM47" i="6"/>
  <c r="CM91" i="6"/>
  <c r="CM93" i="6"/>
  <c r="CM108" i="6"/>
  <c r="CM157" i="6"/>
  <c r="CM169" i="6"/>
  <c r="CM195" i="6"/>
  <c r="CM231" i="6"/>
  <c r="CM36" i="6"/>
  <c r="CM38" i="6"/>
  <c r="CM77" i="6"/>
  <c r="CM129" i="6"/>
  <c r="CM149" i="6"/>
  <c r="M4" i="21"/>
  <c r="B237" i="23"/>
  <c r="C237" i="23" s="1"/>
  <c r="K129" i="8"/>
  <c r="L129" i="8" s="1"/>
  <c r="K172" i="8"/>
  <c r="L172" i="8" s="1"/>
  <c r="K185" i="8"/>
  <c r="L185" i="8" s="1"/>
  <c r="B238" i="23"/>
  <c r="D238" i="23" s="1"/>
  <c r="B239" i="23"/>
  <c r="E239" i="23" s="1"/>
  <c r="CM131" i="6"/>
  <c r="CM222" i="6"/>
  <c r="CM242" i="6"/>
  <c r="CM3" i="6"/>
  <c r="CM11" i="6"/>
  <c r="CM18" i="6"/>
  <c r="CM39" i="6"/>
  <c r="CM243" i="6"/>
  <c r="K21" i="8"/>
  <c r="L21" i="8" s="1"/>
  <c r="K23" i="8"/>
  <c r="L23" i="8" s="1"/>
  <c r="K38" i="8"/>
  <c r="L38" i="8" s="1"/>
  <c r="K40" i="8"/>
  <c r="L40" i="8" s="1"/>
  <c r="K95" i="8"/>
  <c r="L95" i="8" s="1"/>
  <c r="K97" i="8"/>
  <c r="L97" i="8" s="1"/>
  <c r="K186" i="8"/>
  <c r="L186" i="8" s="1"/>
  <c r="K188" i="8"/>
  <c r="L188" i="8" s="1"/>
  <c r="K190" i="8"/>
  <c r="L190" i="8" s="1"/>
  <c r="B240" i="23"/>
  <c r="D240" i="23" s="1"/>
  <c r="B243" i="23"/>
  <c r="E243" i="23" s="1"/>
  <c r="K92" i="8"/>
  <c r="L92" i="8" s="1"/>
  <c r="K94" i="8"/>
  <c r="L94" i="8" s="1"/>
  <c r="K96" i="8"/>
  <c r="L96" i="8" s="1"/>
  <c r="K111" i="8"/>
  <c r="L111" i="8" s="1"/>
  <c r="K113" i="8"/>
  <c r="L113" i="8" s="1"/>
  <c r="K115" i="8"/>
  <c r="L115" i="8" s="1"/>
  <c r="K151" i="8"/>
  <c r="L151" i="8" s="1"/>
  <c r="K58" i="8"/>
  <c r="L58" i="8" s="1"/>
  <c r="K100" i="8"/>
  <c r="L100" i="8" s="1"/>
  <c r="K125" i="8"/>
  <c r="L125" i="8" s="1"/>
  <c r="K153" i="8"/>
  <c r="L153" i="8" s="1"/>
  <c r="K216" i="8"/>
  <c r="L216" i="8" s="1"/>
  <c r="K220" i="8"/>
  <c r="L220" i="8" s="1"/>
  <c r="CM94" i="6"/>
  <c r="CM142" i="6"/>
  <c r="CM199" i="6"/>
  <c r="CM208" i="6"/>
  <c r="CM224" i="6"/>
  <c r="K155" i="8"/>
  <c r="L155" i="8" s="1"/>
  <c r="K159" i="8"/>
  <c r="L159" i="8" s="1"/>
  <c r="K55" i="8"/>
  <c r="L55" i="8" s="1"/>
  <c r="K59" i="8"/>
  <c r="L59" i="8" s="1"/>
  <c r="K178" i="8"/>
  <c r="L178" i="8" s="1"/>
  <c r="K180" i="8"/>
  <c r="L180" i="8" s="1"/>
  <c r="CM10" i="6"/>
  <c r="CM15" i="6"/>
  <c r="CM32" i="6"/>
  <c r="CM46" i="6"/>
  <c r="CM74" i="6"/>
  <c r="CM128" i="6"/>
  <c r="CM135" i="6"/>
  <c r="CM194" i="6"/>
  <c r="CM58" i="6"/>
  <c r="CM87" i="6"/>
  <c r="CM139" i="6"/>
  <c r="CM148" i="6"/>
  <c r="CM230" i="6"/>
  <c r="K61" i="8"/>
  <c r="L61" i="8" s="1"/>
  <c r="K134" i="8"/>
  <c r="L134" i="8" s="1"/>
  <c r="K145" i="8"/>
  <c r="L145" i="8" s="1"/>
  <c r="K179" i="8"/>
  <c r="L179" i="8" s="1"/>
  <c r="CM89" i="6"/>
  <c r="CM97" i="6"/>
  <c r="CM78" i="6"/>
  <c r="CM80" i="6"/>
  <c r="BT144" i="6"/>
  <c r="BS144" i="6"/>
  <c r="CM186" i="6"/>
  <c r="CM67" i="6"/>
  <c r="CM170" i="6"/>
  <c r="CM175" i="6"/>
  <c r="K71" i="8"/>
  <c r="L71" i="8" s="1"/>
  <c r="K147" i="8"/>
  <c r="L147" i="8" s="1"/>
  <c r="CM133" i="6"/>
  <c r="CM165" i="6"/>
  <c r="K184" i="8"/>
  <c r="L184" i="8" s="1"/>
  <c r="CS11" i="6"/>
  <c r="CT11" i="6" s="1"/>
  <c r="CS7" i="6"/>
  <c r="CT7" i="6" s="1"/>
  <c r="CS6" i="6"/>
  <c r="CT6" i="6" s="1"/>
  <c r="CM49" i="6"/>
  <c r="CS4" i="6"/>
  <c r="CT4" i="6" s="1"/>
  <c r="CM43" i="6"/>
  <c r="CM229" i="6"/>
  <c r="CM235" i="6"/>
  <c r="CS5" i="6"/>
  <c r="CT5" i="6" s="1"/>
  <c r="P4" i="21"/>
  <c r="CS10" i="6"/>
  <c r="CT10" i="6" s="1"/>
  <c r="CM88" i="6"/>
  <c r="CS9" i="6"/>
  <c r="CT9" i="6" s="1"/>
  <c r="CS12" i="6"/>
  <c r="CT12" i="6" s="1"/>
  <c r="CM123" i="6"/>
  <c r="CM127" i="6"/>
  <c r="CM200" i="6"/>
  <c r="K193" i="8"/>
  <c r="L193" i="8" s="1"/>
  <c r="A6" i="8" a="1"/>
  <c r="A212" i="8" s="1"/>
  <c r="K132" i="8"/>
  <c r="L132" i="8" s="1"/>
  <c r="K160" i="8"/>
  <c r="L160" i="8" s="1"/>
  <c r="K212" i="8"/>
  <c r="L212" i="8" s="1"/>
  <c r="CS8" i="6"/>
  <c r="CT8" i="6" s="1"/>
  <c r="CM64" i="6"/>
  <c r="CM166" i="6"/>
  <c r="K90" i="8"/>
  <c r="L90" i="8" s="1"/>
  <c r="K25" i="8"/>
  <c r="L25" i="8" s="1"/>
  <c r="K27" i="8"/>
  <c r="L27" i="8" s="1"/>
  <c r="K29" i="8"/>
  <c r="L29" i="8" s="1"/>
  <c r="K42" i="8"/>
  <c r="L42" i="8" s="1"/>
  <c r="K73" i="8"/>
  <c r="L73" i="8" s="1"/>
  <c r="K158" i="8"/>
  <c r="L158" i="8" s="1"/>
  <c r="K173" i="8"/>
  <c r="L173" i="8" s="1"/>
  <c r="CM24" i="6"/>
  <c r="CM62" i="6"/>
  <c r="CM73" i="6"/>
  <c r="CM121" i="6"/>
  <c r="CM130" i="6"/>
  <c r="CM147" i="6"/>
  <c r="CM190" i="6"/>
  <c r="CM213" i="6"/>
  <c r="K103" i="8"/>
  <c r="L103" i="8" s="1"/>
  <c r="K119" i="8"/>
  <c r="L119" i="8" s="1"/>
  <c r="K121" i="8"/>
  <c r="L121" i="8" s="1"/>
  <c r="K123" i="8"/>
  <c r="L123" i="8" s="1"/>
  <c r="K166" i="8"/>
  <c r="L166" i="8" s="1"/>
  <c r="K218" i="8"/>
  <c r="L218" i="8" s="1"/>
  <c r="AC4" i="21"/>
  <c r="CM14" i="6"/>
  <c r="CM16" i="6"/>
  <c r="CM29" i="6"/>
  <c r="CM84" i="6"/>
  <c r="CM223" i="6"/>
  <c r="CM6" i="6"/>
  <c r="CM57" i="6"/>
  <c r="CM63" i="6"/>
  <c r="BS103" i="6"/>
  <c r="CM158" i="6"/>
  <c r="K33" i="8"/>
  <c r="L33" i="8" s="1"/>
  <c r="K138" i="8"/>
  <c r="L138" i="8" s="1"/>
  <c r="K177" i="8"/>
  <c r="L177" i="8" s="1"/>
  <c r="CM106" i="6"/>
  <c r="CM25" i="6"/>
  <c r="CM156" i="6"/>
  <c r="CM204" i="6"/>
  <c r="CM218" i="6"/>
  <c r="K34" i="8"/>
  <c r="L34" i="8" s="1"/>
  <c r="K46" i="8"/>
  <c r="L46" i="8" s="1"/>
  <c r="K63" i="8"/>
  <c r="L63" i="8" s="1"/>
  <c r="K91" i="8"/>
  <c r="L91" i="8" s="1"/>
  <c r="K109" i="8"/>
  <c r="L109" i="8" s="1"/>
  <c r="K137" i="8"/>
  <c r="L137" i="8" s="1"/>
  <c r="K149" i="8"/>
  <c r="L149" i="8" s="1"/>
  <c r="K163" i="8"/>
  <c r="L163" i="8" s="1"/>
  <c r="K222" i="8"/>
  <c r="L222" i="8" s="1"/>
  <c r="S4" i="21"/>
  <c r="CM5" i="6"/>
  <c r="CM27" i="6"/>
  <c r="CM114" i="6"/>
  <c r="CM152" i="6"/>
  <c r="CM154" i="6"/>
  <c r="CM209" i="6"/>
  <c r="CM227" i="6"/>
  <c r="K56" i="8"/>
  <c r="L56" i="8" s="1"/>
  <c r="K104" i="8"/>
  <c r="L104" i="8" s="1"/>
  <c r="K118" i="8"/>
  <c r="L118" i="8" s="1"/>
  <c r="K124" i="8"/>
  <c r="L124" i="8" s="1"/>
  <c r="K148" i="8"/>
  <c r="L148" i="8" s="1"/>
  <c r="K219" i="8"/>
  <c r="L219" i="8" s="1"/>
  <c r="T4" i="21"/>
  <c r="E4" i="21"/>
  <c r="U4" i="21"/>
  <c r="K9" i="8"/>
  <c r="L9" i="8" s="1"/>
  <c r="K68" i="8"/>
  <c r="L68" i="8" s="1"/>
  <c r="K78" i="8"/>
  <c r="L78" i="8" s="1"/>
  <c r="K114" i="8"/>
  <c r="L114" i="8" s="1"/>
  <c r="K126" i="8"/>
  <c r="L126" i="8" s="1"/>
  <c r="K150" i="8"/>
  <c r="L150" i="8" s="1"/>
  <c r="K200" i="8"/>
  <c r="L200" i="8" s="1"/>
  <c r="K221" i="8"/>
  <c r="L221" i="8" s="1"/>
  <c r="CM13" i="6"/>
  <c r="CM23" i="6"/>
  <c r="CM56" i="6"/>
  <c r="CM68" i="6"/>
  <c r="CM136" i="6"/>
  <c r="BS162" i="6"/>
  <c r="CM176" i="6"/>
  <c r="CM181" i="6"/>
  <c r="CM189" i="6"/>
  <c r="CM198" i="6"/>
  <c r="K11" i="8"/>
  <c r="L11" i="8" s="1"/>
  <c r="K47" i="8"/>
  <c r="L47" i="8" s="1"/>
  <c r="K52" i="8"/>
  <c r="L52" i="8" s="1"/>
  <c r="K70" i="8"/>
  <c r="L70" i="8" s="1"/>
  <c r="K85" i="8"/>
  <c r="L85" i="8" s="1"/>
  <c r="K128" i="8"/>
  <c r="L128" i="8" s="1"/>
  <c r="K223" i="8"/>
  <c r="L223" i="8" s="1"/>
  <c r="W4" i="21"/>
  <c r="B220" i="23"/>
  <c r="E220" i="23" s="1"/>
  <c r="CM8" i="6"/>
  <c r="CM19" i="6"/>
  <c r="CM40" i="6"/>
  <c r="CM72" i="6"/>
  <c r="CM98" i="6"/>
  <c r="CM124" i="6"/>
  <c r="CM126" i="6"/>
  <c r="CM138" i="6"/>
  <c r="CM164" i="6"/>
  <c r="CM225" i="6"/>
  <c r="K22" i="8"/>
  <c r="L22" i="8" s="1"/>
  <c r="K69" i="8"/>
  <c r="L69" i="8" s="1"/>
  <c r="K146" i="8"/>
  <c r="L146" i="8" s="1"/>
  <c r="G4" i="21"/>
  <c r="CM12" i="6"/>
  <c r="CM28" i="6"/>
  <c r="CM35" i="6"/>
  <c r="CM50" i="6"/>
  <c r="CM109" i="6"/>
  <c r="CM113" i="6"/>
  <c r="CM161" i="6"/>
  <c r="CM185" i="6"/>
  <c r="CM219" i="6"/>
  <c r="CM228" i="6"/>
  <c r="CM234" i="6"/>
  <c r="K19" i="8"/>
  <c r="L19" i="8" s="1"/>
  <c r="K28" i="8"/>
  <c r="L28" i="8" s="1"/>
  <c r="K41" i="8"/>
  <c r="L41" i="8" s="1"/>
  <c r="K72" i="8"/>
  <c r="L72" i="8" s="1"/>
  <c r="K143" i="8"/>
  <c r="L143" i="8" s="1"/>
  <c r="K174" i="8"/>
  <c r="L174" i="8" s="1"/>
  <c r="K196" i="8"/>
  <c r="L196" i="8" s="1"/>
  <c r="K206" i="8"/>
  <c r="L206" i="8" s="1"/>
  <c r="H4" i="21"/>
  <c r="Y4" i="21"/>
  <c r="K4" i="21"/>
  <c r="AY74" i="6"/>
  <c r="AY150" i="6"/>
  <c r="AY48" i="6"/>
  <c r="AY78" i="6"/>
  <c r="AY141" i="6"/>
  <c r="AY171" i="6"/>
  <c r="AY228" i="6"/>
  <c r="AY123" i="6"/>
  <c r="AY24" i="6"/>
  <c r="AY159" i="6"/>
  <c r="AY147" i="6"/>
  <c r="AY221" i="6"/>
  <c r="AY101" i="6"/>
  <c r="AY151" i="6"/>
  <c r="AY237" i="6"/>
  <c r="AY12" i="6"/>
  <c r="AY88" i="6"/>
  <c r="AY205" i="6"/>
  <c r="AY223" i="6"/>
  <c r="AY224" i="6"/>
  <c r="BS224" i="6" s="1"/>
  <c r="AY27" i="6"/>
  <c r="AY198" i="6"/>
  <c r="AY160" i="6"/>
  <c r="AY201" i="6"/>
  <c r="AY238" i="6"/>
  <c r="AY96" i="6"/>
  <c r="AY25" i="6"/>
  <c r="AY118" i="6"/>
  <c r="AY168" i="6"/>
  <c r="AY166" i="6"/>
  <c r="AY47" i="6"/>
  <c r="AY216" i="6"/>
  <c r="AY50" i="6"/>
  <c r="AY226" i="6"/>
  <c r="AY233" i="6"/>
  <c r="AY182" i="6"/>
  <c r="AY44" i="6"/>
  <c r="AY7" i="6"/>
  <c r="AY72" i="6"/>
  <c r="AY23" i="6"/>
  <c r="AY115" i="6"/>
  <c r="AY109" i="6"/>
  <c r="AY208" i="6"/>
  <c r="BT130" i="6"/>
  <c r="BS130" i="6"/>
  <c r="AY21" i="6"/>
  <c r="AY38" i="6"/>
  <c r="AY122" i="6"/>
  <c r="AY110" i="6"/>
  <c r="AY116" i="6"/>
  <c r="AY46" i="6"/>
  <c r="AY197" i="6"/>
  <c r="AY161" i="6"/>
  <c r="AY89" i="6"/>
  <c r="AY145" i="6"/>
  <c r="AY129" i="6"/>
  <c r="AY239" i="6"/>
  <c r="AY215" i="6"/>
  <c r="AY93" i="6"/>
  <c r="AY194" i="6"/>
  <c r="AY217" i="6"/>
  <c r="AY75" i="6"/>
  <c r="AY127" i="6"/>
  <c r="AY136" i="6"/>
  <c r="AY195" i="6"/>
  <c r="AY60" i="6"/>
  <c r="AY76" i="6"/>
  <c r="AY164" i="6"/>
  <c r="AY148" i="6"/>
  <c r="AY153" i="6"/>
  <c r="AY19" i="6"/>
  <c r="AY131" i="6"/>
  <c r="AY137" i="6"/>
  <c r="AY207" i="6"/>
  <c r="AY79" i="6"/>
  <c r="BT236" i="6"/>
  <c r="BS236" i="6"/>
  <c r="AY113" i="6"/>
  <c r="AY173" i="6"/>
  <c r="AY62" i="6"/>
  <c r="BE3" i="6" a="1"/>
  <c r="C268" i="23"/>
  <c r="C264" i="23"/>
  <c r="C267" i="23"/>
  <c r="C266" i="23"/>
  <c r="C265" i="23"/>
  <c r="C263" i="23"/>
  <c r="AJ2" i="20" a="1"/>
  <c r="C262" i="23"/>
  <c r="C261" i="23"/>
  <c r="BU3" i="6"/>
  <c r="BM3" i="6"/>
  <c r="AK5" i="6"/>
  <c r="AM5" i="6" s="1"/>
  <c r="CF6" i="6"/>
  <c r="CE5" i="6"/>
  <c r="CF5" i="6"/>
  <c r="CE10" i="6"/>
  <c r="I24" i="13"/>
  <c r="O21" i="13"/>
  <c r="C19" i="13"/>
  <c r="I16" i="13"/>
  <c r="O13" i="13"/>
  <c r="C11" i="13"/>
  <c r="I8" i="13"/>
  <c r="O5" i="13"/>
  <c r="F25" i="13"/>
  <c r="L22" i="13"/>
  <c r="R19" i="13"/>
  <c r="F17" i="13"/>
  <c r="L14" i="13"/>
  <c r="C26" i="13"/>
  <c r="I23" i="13"/>
  <c r="O20" i="13"/>
  <c r="C18" i="13"/>
  <c r="I15" i="13"/>
  <c r="R26" i="13"/>
  <c r="F24" i="13"/>
  <c r="L21" i="13"/>
  <c r="R18" i="13"/>
  <c r="F16" i="13"/>
  <c r="L13" i="13"/>
  <c r="R10" i="13"/>
  <c r="F8" i="13"/>
  <c r="L5" i="13"/>
  <c r="C25" i="13"/>
  <c r="I22" i="13"/>
  <c r="O19" i="13"/>
  <c r="C17" i="13"/>
  <c r="I14" i="13"/>
  <c r="O11" i="13"/>
  <c r="C9" i="13"/>
  <c r="I6" i="13"/>
  <c r="R25" i="13"/>
  <c r="F23" i="13"/>
  <c r="L20" i="13"/>
  <c r="R17" i="13"/>
  <c r="F15" i="13"/>
  <c r="L12" i="13"/>
  <c r="R9" i="13"/>
  <c r="F7" i="13"/>
  <c r="L4" i="13"/>
  <c r="O26" i="13"/>
  <c r="C24" i="13"/>
  <c r="R24" i="13"/>
  <c r="F22" i="13"/>
  <c r="L19" i="13"/>
  <c r="R16" i="13"/>
  <c r="F14" i="13"/>
  <c r="O25" i="13"/>
  <c r="C23" i="13"/>
  <c r="I20" i="13"/>
  <c r="O17" i="13"/>
  <c r="C15" i="13"/>
  <c r="I12" i="13"/>
  <c r="O9" i="13"/>
  <c r="L26" i="13"/>
  <c r="R23" i="13"/>
  <c r="F21" i="13"/>
  <c r="L18" i="13"/>
  <c r="R15" i="13"/>
  <c r="F13" i="13"/>
  <c r="L10" i="13"/>
  <c r="L25" i="13"/>
  <c r="R22" i="13"/>
  <c r="F20" i="13"/>
  <c r="L17" i="13"/>
  <c r="R14" i="13"/>
  <c r="F12" i="13"/>
  <c r="I26" i="13"/>
  <c r="O23" i="13"/>
  <c r="C21" i="13"/>
  <c r="I18" i="13"/>
  <c r="O15" i="13"/>
  <c r="C13" i="13"/>
  <c r="L24" i="13"/>
  <c r="R21" i="13"/>
  <c r="I25" i="13"/>
  <c r="O22" i="13"/>
  <c r="C20" i="13"/>
  <c r="F26" i="13"/>
  <c r="L23" i="13"/>
  <c r="I21" i="13"/>
  <c r="L15" i="13"/>
  <c r="L16" i="13"/>
  <c r="O18" i="13"/>
  <c r="C14" i="13"/>
  <c r="R11" i="13"/>
  <c r="O24" i="13"/>
  <c r="I17" i="13"/>
  <c r="O10" i="13"/>
  <c r="O8" i="13"/>
  <c r="O7" i="13"/>
  <c r="R3" i="13"/>
  <c r="C22" i="13"/>
  <c r="R20" i="13"/>
  <c r="C16" i="13"/>
  <c r="I19" i="13"/>
  <c r="F18" i="13"/>
  <c r="O14" i="13"/>
  <c r="F19" i="13"/>
  <c r="I13" i="13"/>
  <c r="C10" i="13"/>
  <c r="C12" i="13"/>
  <c r="R8" i="13"/>
  <c r="R5" i="13"/>
  <c r="R4" i="13"/>
  <c r="O16" i="13"/>
  <c r="R12" i="13"/>
  <c r="L9" i="13"/>
  <c r="L8" i="13"/>
  <c r="L6" i="13"/>
  <c r="R13" i="13"/>
  <c r="O12" i="13"/>
  <c r="L11" i="13"/>
  <c r="I10" i="13"/>
  <c r="I9" i="13"/>
  <c r="I11" i="13"/>
  <c r="F6" i="13"/>
  <c r="F5" i="13"/>
  <c r="F10" i="13"/>
  <c r="F9" i="13"/>
  <c r="F11" i="13"/>
  <c r="O4" i="13"/>
  <c r="O3" i="13"/>
  <c r="R7" i="13"/>
  <c r="R6" i="13"/>
  <c r="L7" i="13"/>
  <c r="I5" i="13"/>
  <c r="I7" i="13"/>
  <c r="C6" i="13"/>
  <c r="C8" i="13"/>
  <c r="C7" i="13"/>
  <c r="C4" i="13"/>
  <c r="C3" i="13"/>
  <c r="C5" i="13"/>
  <c r="L3" i="13"/>
  <c r="O6" i="13"/>
  <c r="F4" i="13"/>
  <c r="F3" i="13"/>
  <c r="I3" i="13"/>
  <c r="I4" i="13"/>
  <c r="CR25" i="6"/>
  <c r="CQ18" i="6"/>
  <c r="CR13" i="6"/>
  <c r="CQ25" i="6"/>
  <c r="CR17" i="6"/>
  <c r="CQ13" i="6"/>
  <c r="CR12" i="6"/>
  <c r="CR9" i="6"/>
  <c r="CR8" i="6"/>
  <c r="CR27" i="6"/>
  <c r="CR24" i="6"/>
  <c r="CR23" i="6"/>
  <c r="CQ22" i="6"/>
  <c r="CQ21" i="6"/>
  <c r="CQ17" i="6"/>
  <c r="CQ20" i="6"/>
  <c r="CQ19" i="6"/>
  <c r="CQ16" i="6"/>
  <c r="CR15" i="6"/>
  <c r="CR14" i="6"/>
  <c r="CR26" i="6"/>
  <c r="CR18" i="6"/>
  <c r="CQ15" i="6"/>
  <c r="CQ14" i="6"/>
  <c r="CR11" i="6"/>
  <c r="CR5" i="6"/>
  <c r="CQ26" i="6"/>
  <c r="CR19" i="6"/>
  <c r="CQ9" i="6"/>
  <c r="CQ7" i="6"/>
  <c r="CQ27" i="6"/>
  <c r="CR22" i="6"/>
  <c r="CQ6" i="6"/>
  <c r="CQ23" i="6"/>
  <c r="CR20" i="6"/>
  <c r="CQ11" i="6"/>
  <c r="CQ8" i="6"/>
  <c r="CR3" i="6"/>
  <c r="CR21" i="6"/>
  <c r="CQ12" i="6"/>
  <c r="CQ3" i="6"/>
  <c r="CQ24" i="6"/>
  <c r="CR10" i="6"/>
  <c r="CR4" i="6"/>
  <c r="CR16" i="6"/>
  <c r="CQ5" i="6"/>
  <c r="CR6" i="6"/>
  <c r="CQ10" i="6"/>
  <c r="CR7" i="6"/>
  <c r="CE9" i="6"/>
  <c r="CF9" i="6"/>
  <c r="BL7" i="6"/>
  <c r="AK12" i="6"/>
  <c r="AM12" i="6" s="1"/>
  <c r="BY12" i="6"/>
  <c r="BU5" i="6"/>
  <c r="BM5" i="6"/>
  <c r="BL4" i="6"/>
  <c r="AK4" i="6"/>
  <c r="AM4" i="6" s="1"/>
  <c r="BU11" i="6"/>
  <c r="CF3" i="6"/>
  <c r="CF8" i="6"/>
  <c r="CE8" i="6"/>
  <c r="CT29" i="6"/>
  <c r="CT28" i="6"/>
  <c r="CT27" i="6"/>
  <c r="CT21" i="6"/>
  <c r="CT17" i="6"/>
  <c r="CT22" i="6"/>
  <c r="CT20" i="6"/>
  <c r="CT19" i="6"/>
  <c r="CT16" i="6"/>
  <c r="CT26" i="6"/>
  <c r="CT18" i="6"/>
  <c r="CT14" i="6"/>
  <c r="CT25" i="6"/>
  <c r="CT23" i="6"/>
  <c r="CT15" i="6"/>
  <c r="CT24" i="6"/>
  <c r="CE3" i="6"/>
  <c r="CE6" i="6"/>
  <c r="BM12" i="6"/>
  <c r="CS3" i="6"/>
  <c r="CT3" i="6" s="1"/>
  <c r="CS13" i="6"/>
  <c r="CT13" i="6" s="1"/>
  <c r="CF7" i="6"/>
  <c r="BU10" i="6"/>
  <c r="BU14" i="6"/>
  <c r="BM24" i="6"/>
  <c r="AM34" i="6"/>
  <c r="BT34" i="6"/>
  <c r="BU34" i="6"/>
  <c r="BM34" i="6"/>
  <c r="BS34" i="6" s="1"/>
  <c r="BM73" i="6"/>
  <c r="BU73" i="6"/>
  <c r="BY44" i="6"/>
  <c r="AK44" i="6"/>
  <c r="AM44" i="6" s="1"/>
  <c r="BM47" i="6"/>
  <c r="BU47" i="6"/>
  <c r="CE11" i="6"/>
  <c r="BU25" i="6"/>
  <c r="BM25" i="6"/>
  <c r="AK9" i="6"/>
  <c r="AM9" i="6" s="1"/>
  <c r="BL9" i="6"/>
  <c r="AK29" i="6"/>
  <c r="AM29" i="6" s="1"/>
  <c r="BL29" i="6"/>
  <c r="BY36" i="6"/>
  <c r="AK36" i="6"/>
  <c r="AM36" i="6" s="1"/>
  <c r="AK40" i="6"/>
  <c r="AM40" i="6" s="1"/>
  <c r="BL40" i="6"/>
  <c r="CM42" i="6"/>
  <c r="BM74" i="6"/>
  <c r="BU74" i="6"/>
  <c r="CM4" i="6"/>
  <c r="BU44" i="6"/>
  <c r="BM44" i="6"/>
  <c r="BM59" i="6"/>
  <c r="BU59" i="6"/>
  <c r="BM66" i="6"/>
  <c r="BU66" i="6"/>
  <c r="BU72" i="6"/>
  <c r="BM72" i="6"/>
  <c r="CM26" i="6"/>
  <c r="CM33" i="6"/>
  <c r="CM75" i="6"/>
  <c r="BU76" i="6"/>
  <c r="BM76" i="6"/>
  <c r="AK149" i="6"/>
  <c r="AM149" i="6" s="1"/>
  <c r="BL149" i="6"/>
  <c r="BL39" i="6"/>
  <c r="AK39" i="6"/>
  <c r="AM39" i="6" s="1"/>
  <c r="BY55" i="6"/>
  <c r="AK55" i="6"/>
  <c r="AM55" i="6" s="1"/>
  <c r="AK63" i="6"/>
  <c r="AM63" i="6" s="1"/>
  <c r="BL63" i="6"/>
  <c r="CM65" i="6"/>
  <c r="AK78" i="6"/>
  <c r="AM78" i="6" s="1"/>
  <c r="BL78" i="6"/>
  <c r="BU117" i="6"/>
  <c r="BM117" i="6"/>
  <c r="BS117" i="6" s="1"/>
  <c r="CF12" i="6"/>
  <c r="BU32" i="6"/>
  <c r="CM59" i="6"/>
  <c r="BM81" i="6"/>
  <c r="AK139" i="6"/>
  <c r="AM139" i="6" s="1"/>
  <c r="BL139" i="6"/>
  <c r="BY167" i="6"/>
  <c r="AK167" i="6"/>
  <c r="AM167" i="6" s="1"/>
  <c r="BL49" i="6"/>
  <c r="BL54" i="6"/>
  <c r="BL65" i="6"/>
  <c r="AK65" i="6"/>
  <c r="AM65" i="6" s="1"/>
  <c r="BU75" i="6"/>
  <c r="BM75" i="6"/>
  <c r="BM86" i="6"/>
  <c r="BS86" i="6" s="1"/>
  <c r="AK14" i="6"/>
  <c r="AM14" i="6" s="1"/>
  <c r="BL20" i="6"/>
  <c r="CM22" i="6"/>
  <c r="BU31" i="6"/>
  <c r="BM36" i="6"/>
  <c r="AK37" i="6"/>
  <c r="AM37" i="6" s="1"/>
  <c r="BY51" i="6"/>
  <c r="AK74" i="6"/>
  <c r="AM74" i="6" s="1"/>
  <c r="BU166" i="6"/>
  <c r="BM166" i="6"/>
  <c r="BM26" i="6"/>
  <c r="BL28" i="6"/>
  <c r="BU56" i="6"/>
  <c r="BM56" i="6"/>
  <c r="BL68" i="6"/>
  <c r="AK95" i="6"/>
  <c r="AM95" i="6" s="1"/>
  <c r="BM100" i="6"/>
  <c r="BU100" i="6"/>
  <c r="BM111" i="6"/>
  <c r="BU111" i="6"/>
  <c r="BL43" i="6"/>
  <c r="AK50" i="6"/>
  <c r="AM50" i="6" s="1"/>
  <c r="BU96" i="6"/>
  <c r="AK97" i="6"/>
  <c r="AM97" i="6" s="1"/>
  <c r="BL97" i="6"/>
  <c r="BU70" i="6"/>
  <c r="BM70" i="6"/>
  <c r="BM83" i="6"/>
  <c r="BM107" i="6"/>
  <c r="BS107" i="6" s="1"/>
  <c r="BU107" i="6"/>
  <c r="CM104" i="6"/>
  <c r="BU120" i="6"/>
  <c r="BM120" i="6"/>
  <c r="AK26" i="6"/>
  <c r="AM26" i="6" s="1"/>
  <c r="CM37" i="6"/>
  <c r="BM38" i="6"/>
  <c r="BU38" i="6"/>
  <c r="BY50" i="6"/>
  <c r="CM52" i="6"/>
  <c r="AK86" i="6"/>
  <c r="AM86" i="6" s="1"/>
  <c r="CM101" i="6"/>
  <c r="CF14" i="6"/>
  <c r="CE14" i="6"/>
  <c r="BM67" i="6"/>
  <c r="BU67" i="6"/>
  <c r="AK88" i="6"/>
  <c r="AM88" i="6" s="1"/>
  <c r="BY88" i="6"/>
  <c r="BM95" i="6"/>
  <c r="BU95" i="6"/>
  <c r="BU108" i="6"/>
  <c r="BM108" i="6"/>
  <c r="AK24" i="6"/>
  <c r="AM24" i="6" s="1"/>
  <c r="BM55" i="6"/>
  <c r="CM76" i="6"/>
  <c r="CM96" i="6"/>
  <c r="BU115" i="6"/>
  <c r="BM115" i="6"/>
  <c r="BU158" i="6"/>
  <c r="BM158" i="6"/>
  <c r="CM54" i="6"/>
  <c r="CM69" i="6"/>
  <c r="CM86" i="6"/>
  <c r="BU99" i="6"/>
  <c r="BM99" i="6"/>
  <c r="AK75" i="6"/>
  <c r="AM75" i="6" s="1"/>
  <c r="BY83" i="6"/>
  <c r="BY102" i="6"/>
  <c r="AK102" i="6"/>
  <c r="AM102" i="6" s="1"/>
  <c r="BM146" i="6"/>
  <c r="BU146" i="6"/>
  <c r="CM60" i="6"/>
  <c r="BM89" i="6"/>
  <c r="CM92" i="6"/>
  <c r="BU90" i="6"/>
  <c r="BM90" i="6"/>
  <c r="BS90" i="6" s="1"/>
  <c r="BU125" i="6"/>
  <c r="BU131" i="6"/>
  <c r="BT143" i="6"/>
  <c r="AK176" i="6"/>
  <c r="AM176" i="6" s="1"/>
  <c r="BY176" i="6"/>
  <c r="BU177" i="6"/>
  <c r="BM177" i="6"/>
  <c r="BS95" i="6"/>
  <c r="CM105" i="6"/>
  <c r="CM119" i="6"/>
  <c r="CM141" i="6"/>
  <c r="BU143" i="6"/>
  <c r="AK204" i="6"/>
  <c r="AM204" i="6" s="1"/>
  <c r="BL204" i="6"/>
  <c r="BU220" i="6"/>
  <c r="BM220" i="6"/>
  <c r="BS220" i="6" s="1"/>
  <c r="AK73" i="6"/>
  <c r="AM73" i="6" s="1"/>
  <c r="BM106" i="6"/>
  <c r="BU106" i="6"/>
  <c r="AK111" i="6"/>
  <c r="AM111" i="6" s="1"/>
  <c r="BT140" i="6"/>
  <c r="CM159" i="6"/>
  <c r="BM185" i="6"/>
  <c r="BU185" i="6"/>
  <c r="CM122" i="6"/>
  <c r="BS174" i="6"/>
  <c r="BT174" i="6"/>
  <c r="BL163" i="6"/>
  <c r="AK163" i="6"/>
  <c r="AM163" i="6" s="1"/>
  <c r="BT117" i="6"/>
  <c r="CM125" i="6"/>
  <c r="BM134" i="6"/>
  <c r="BM141" i="6"/>
  <c r="BY144" i="6"/>
  <c r="AK147" i="6"/>
  <c r="AM147" i="6" s="1"/>
  <c r="CM151" i="6"/>
  <c r="BL104" i="6"/>
  <c r="BT107" i="6"/>
  <c r="BU194" i="6"/>
  <c r="BM194" i="6"/>
  <c r="BU207" i="6"/>
  <c r="BM207" i="6"/>
  <c r="BY208" i="6"/>
  <c r="AK208" i="6"/>
  <c r="AM208" i="6" s="1"/>
  <c r="CM137" i="6"/>
  <c r="BU142" i="6"/>
  <c r="BU160" i="6"/>
  <c r="AK85" i="6"/>
  <c r="AM85" i="6" s="1"/>
  <c r="BT103" i="6"/>
  <c r="AK115" i="6"/>
  <c r="AM115" i="6" s="1"/>
  <c r="AK202" i="6"/>
  <c r="BL202" i="6"/>
  <c r="AK172" i="6"/>
  <c r="AM172" i="6" s="1"/>
  <c r="BL172" i="6"/>
  <c r="BY185" i="6"/>
  <c r="AK185" i="6"/>
  <c r="AM185" i="6" s="1"/>
  <c r="BU159" i="6"/>
  <c r="BM159" i="6"/>
  <c r="AK197" i="6"/>
  <c r="AM197" i="6" s="1"/>
  <c r="BL197" i="6"/>
  <c r="AK96" i="6"/>
  <c r="AM96" i="6" s="1"/>
  <c r="BS102" i="6"/>
  <c r="BY109" i="6"/>
  <c r="AK141" i="6"/>
  <c r="AM141" i="6" s="1"/>
  <c r="BM153" i="6"/>
  <c r="BU153" i="6"/>
  <c r="BU157" i="6"/>
  <c r="BU164" i="6"/>
  <c r="BM164" i="6"/>
  <c r="BU171" i="6"/>
  <c r="CM110" i="6"/>
  <c r="BY115" i="6"/>
  <c r="BM147" i="6"/>
  <c r="BU147" i="6"/>
  <c r="BL168" i="6"/>
  <c r="AK168" i="6"/>
  <c r="AM168" i="6" s="1"/>
  <c r="BU181" i="6"/>
  <c r="BM181" i="6"/>
  <c r="BM184" i="6"/>
  <c r="BS184" i="6" s="1"/>
  <c r="BU184" i="6"/>
  <c r="CM193" i="6"/>
  <c r="AK211" i="6"/>
  <c r="AM211" i="6" s="1"/>
  <c r="BL211" i="6"/>
  <c r="BU216" i="6"/>
  <c r="BM216" i="6"/>
  <c r="BL223" i="6"/>
  <c r="AK223" i="6"/>
  <c r="AM223" i="6" s="1"/>
  <c r="CM85" i="6"/>
  <c r="F4" i="8"/>
  <c r="K86" i="8"/>
  <c r="L86" i="8" s="1"/>
  <c r="BU214" i="6"/>
  <c r="BM214" i="6"/>
  <c r="BM199" i="6"/>
  <c r="K6" i="8"/>
  <c r="L6" i="8" s="1"/>
  <c r="C4" i="8"/>
  <c r="BM119" i="6"/>
  <c r="AK156" i="6"/>
  <c r="AM156" i="6" s="1"/>
  <c r="CM168" i="6"/>
  <c r="CM211" i="6"/>
  <c r="BU218" i="6"/>
  <c r="BS183" i="6"/>
  <c r="CM196" i="6"/>
  <c r="CM238" i="6"/>
  <c r="BT220" i="6"/>
  <c r="BM219" i="6"/>
  <c r="H4" i="8"/>
  <c r="K12" i="8"/>
  <c r="L12" i="8" s="1"/>
  <c r="BU182" i="6"/>
  <c r="CM210" i="6"/>
  <c r="I4" i="8"/>
  <c r="K136" i="8"/>
  <c r="L136" i="8" s="1"/>
  <c r="BL170" i="6"/>
  <c r="AK182" i="6"/>
  <c r="AM182" i="6" s="1"/>
  <c r="BT192" i="6"/>
  <c r="CM120" i="6"/>
  <c r="BM161" i="6"/>
  <c r="BY162" i="6"/>
  <c r="K2" i="8"/>
  <c r="K51" i="8"/>
  <c r="L51" i="8" s="1"/>
  <c r="K171" i="8"/>
  <c r="L171" i="8" s="1"/>
  <c r="BY179" i="6"/>
  <c r="CM160" i="6"/>
  <c r="AK194" i="6"/>
  <c r="AM194" i="6" s="1"/>
  <c r="BY194" i="6"/>
  <c r="BM210" i="6"/>
  <c r="BU210" i="6"/>
  <c r="CM203" i="6"/>
  <c r="BU215" i="6"/>
  <c r="AK222" i="6"/>
  <c r="AM222" i="6" s="1"/>
  <c r="BL222" i="6"/>
  <c r="G4" i="8"/>
  <c r="K98" i="8"/>
  <c r="L98" i="8" s="1"/>
  <c r="K84" i="8"/>
  <c r="L84" i="8" s="1"/>
  <c r="K93" i="8"/>
  <c r="L93" i="8" s="1"/>
  <c r="K110" i="8"/>
  <c r="L110" i="8" s="1"/>
  <c r="K36" i="8"/>
  <c r="L36" i="8" s="1"/>
  <c r="K175" i="8"/>
  <c r="L175" i="8" s="1"/>
  <c r="K189" i="8"/>
  <c r="L189" i="8" s="1"/>
  <c r="K214" i="8"/>
  <c r="L214" i="8" s="1"/>
  <c r="BT179" i="6"/>
  <c r="BS179" i="6"/>
  <c r="CM215" i="6"/>
  <c r="D4" i="8"/>
  <c r="K207" i="8"/>
  <c r="L207" i="8" s="1"/>
  <c r="CM182" i="6"/>
  <c r="E4" i="8"/>
  <c r="K130" i="8"/>
  <c r="L130" i="8" s="1"/>
  <c r="K156" i="8"/>
  <c r="L156" i="8" s="1"/>
  <c r="K209" i="8"/>
  <c r="L209" i="8" s="1"/>
  <c r="BL217" i="6"/>
  <c r="AK217" i="6"/>
  <c r="AM217" i="6" s="1"/>
  <c r="CM221" i="6"/>
  <c r="K26" i="8"/>
  <c r="L26" i="8" s="1"/>
  <c r="K89" i="8"/>
  <c r="L89" i="8" s="1"/>
  <c r="K195" i="8"/>
  <c r="L195" i="8" s="1"/>
  <c r="BT172" i="6"/>
  <c r="CM212" i="6"/>
  <c r="K13" i="8"/>
  <c r="L13" i="8" s="1"/>
  <c r="K120" i="8"/>
  <c r="L120" i="8" s="1"/>
  <c r="K135" i="8"/>
  <c r="L135" i="8" s="1"/>
  <c r="K194" i="8"/>
  <c r="L194" i="8" s="1"/>
  <c r="CM236" i="6"/>
  <c r="K127" i="8"/>
  <c r="L127" i="8" s="1"/>
  <c r="AK210" i="6"/>
  <c r="AM210" i="6" s="1"/>
  <c r="K50" i="8"/>
  <c r="L50" i="8" s="1"/>
  <c r="K112" i="8"/>
  <c r="L112" i="8" s="1"/>
  <c r="K157" i="8"/>
  <c r="L157" i="8" s="1"/>
  <c r="K208" i="8"/>
  <c r="L208" i="8" s="1"/>
  <c r="K142" i="8"/>
  <c r="L142" i="8" s="1"/>
  <c r="K170" i="8"/>
  <c r="L170" i="8" s="1"/>
  <c r="BM226" i="6"/>
  <c r="K197" i="8"/>
  <c r="L197" i="8" s="1"/>
  <c r="K80" i="8"/>
  <c r="L80" i="8" s="1"/>
  <c r="K88" i="8"/>
  <c r="L88" i="8" s="1"/>
  <c r="K187" i="8"/>
  <c r="L187" i="8" s="1"/>
  <c r="C240" i="23"/>
  <c r="D249" i="23"/>
  <c r="C249" i="23"/>
  <c r="E249" i="23"/>
  <c r="F261" i="23"/>
  <c r="G261" i="23" s="1"/>
  <c r="M2" i="17"/>
  <c r="F265" i="23"/>
  <c r="G265" i="23" s="1"/>
  <c r="E221" i="23"/>
  <c r="F221" i="23" s="1"/>
  <c r="R4" i="21"/>
  <c r="E240" i="23"/>
  <c r="F4" i="21"/>
  <c r="V4" i="21"/>
  <c r="B242" i="23"/>
  <c r="B226" i="23"/>
  <c r="B234" i="23"/>
  <c r="B232" i="23"/>
  <c r="B231" i="23"/>
  <c r="B246" i="23"/>
  <c r="B230" i="23"/>
  <c r="B241" i="23"/>
  <c r="B252" i="23"/>
  <c r="B258" i="23"/>
  <c r="B257" i="23"/>
  <c r="B256" i="23"/>
  <c r="B222" i="23"/>
  <c r="B244" i="23"/>
  <c r="B250" i="23"/>
  <c r="F263" i="23"/>
  <c r="G263" i="23" s="1"/>
  <c r="B223" i="23"/>
  <c r="B245" i="23"/>
  <c r="B251" i="23"/>
  <c r="B224" i="23"/>
  <c r="B253" i="23"/>
  <c r="F264" i="23"/>
  <c r="G264" i="23" s="1"/>
  <c r="F268" i="23"/>
  <c r="G268" i="23" s="1"/>
  <c r="B225" i="23"/>
  <c r="B254" i="23"/>
  <c r="B227" i="23"/>
  <c r="C221" i="23"/>
  <c r="B255" i="23"/>
  <c r="E262" i="23"/>
  <c r="F262" i="23" s="1"/>
  <c r="G262" i="23" s="1"/>
  <c r="E265" i="23"/>
  <c r="E268" i="23"/>
  <c r="E261" i="23"/>
  <c r="E264" i="23"/>
  <c r="E267" i="23"/>
  <c r="F267" i="23" s="1"/>
  <c r="G267" i="23" s="1"/>
  <c r="E263" i="23"/>
  <c r="E266" i="23"/>
  <c r="F266" i="23" s="1"/>
  <c r="G266" i="23" s="1"/>
  <c r="N4" i="21"/>
  <c r="B228" i="23"/>
  <c r="D233" i="23" l="1"/>
  <c r="D239" i="23"/>
  <c r="C239" i="23"/>
  <c r="C233" i="23"/>
  <c r="D243" i="23"/>
  <c r="F243" i="23" s="1"/>
  <c r="C243" i="23"/>
  <c r="Z4" i="21"/>
  <c r="AE4" i="21"/>
  <c r="A232" i="8"/>
  <c r="A197" i="8"/>
  <c r="AA4" i="21"/>
  <c r="A95" i="8"/>
  <c r="A149" i="8"/>
  <c r="A242" i="8"/>
  <c r="C235" i="23"/>
  <c r="D235" i="23"/>
  <c r="F235" i="23" s="1"/>
  <c r="G221" i="23"/>
  <c r="A120" i="8"/>
  <c r="A171" i="8"/>
  <c r="A258" i="8"/>
  <c r="A161" i="8"/>
  <c r="A227" i="8"/>
  <c r="A199" i="8"/>
  <c r="C238" i="23"/>
  <c r="A183" i="8"/>
  <c r="A32" i="8"/>
  <c r="A76" i="8"/>
  <c r="A217" i="8"/>
  <c r="A243" i="8"/>
  <c r="A102" i="8"/>
  <c r="A235" i="8"/>
  <c r="A48" i="8"/>
  <c r="A131" i="8"/>
  <c r="A225" i="8"/>
  <c r="E236" i="23"/>
  <c r="F236" i="23" s="1"/>
  <c r="A56" i="8"/>
  <c r="A239" i="8"/>
  <c r="A228" i="8"/>
  <c r="AD4" i="21"/>
  <c r="A248" i="8"/>
  <c r="C236" i="23"/>
  <c r="A23" i="8"/>
  <c r="A35" i="8"/>
  <c r="A260" i="8"/>
  <c r="A92" i="8"/>
  <c r="A219" i="8"/>
  <c r="A259" i="8"/>
  <c r="A109" i="8"/>
  <c r="A244" i="8"/>
  <c r="A43" i="8"/>
  <c r="A61" i="8"/>
  <c r="A62" i="8"/>
  <c r="A63" i="8"/>
  <c r="A113" i="8"/>
  <c r="A105" i="8"/>
  <c r="A163" i="8"/>
  <c r="A203" i="8"/>
  <c r="A128" i="8"/>
  <c r="D229" i="23"/>
  <c r="F229" i="23" s="1"/>
  <c r="E238" i="23"/>
  <c r="F238" i="23" s="1"/>
  <c r="A221" i="8"/>
  <c r="A129" i="8"/>
  <c r="A179" i="8"/>
  <c r="C229" i="23"/>
  <c r="A178" i="8"/>
  <c r="A154" i="8"/>
  <c r="A198" i="8"/>
  <c r="E237" i="23"/>
  <c r="D237" i="23"/>
  <c r="A186" i="8"/>
  <c r="A210" i="8"/>
  <c r="A241" i="8"/>
  <c r="D220" i="23"/>
  <c r="F220" i="23" s="1"/>
  <c r="A204" i="8"/>
  <c r="A166" i="8"/>
  <c r="A223" i="8"/>
  <c r="A39" i="8"/>
  <c r="A96" i="8"/>
  <c r="A57" i="8"/>
  <c r="A229" i="8"/>
  <c r="A124" i="8"/>
  <c r="A75" i="8"/>
  <c r="A10" i="8"/>
  <c r="A80" i="8"/>
  <c r="A168" i="8"/>
  <c r="A251" i="8"/>
  <c r="A34" i="8"/>
  <c r="A72" i="8"/>
  <c r="A84" i="8"/>
  <c r="A255" i="8"/>
  <c r="A218" i="8"/>
  <c r="A29" i="8"/>
  <c r="A87" i="8"/>
  <c r="A145" i="8"/>
  <c r="A82" i="8"/>
  <c r="A257" i="8"/>
  <c r="A153" i="8"/>
  <c r="A99" i="8"/>
  <c r="A30" i="8"/>
  <c r="A101" i="8"/>
  <c r="A188" i="8"/>
  <c r="A15" i="8"/>
  <c r="A53" i="8"/>
  <c r="A89" i="8"/>
  <c r="A100" i="8"/>
  <c r="A78" i="8"/>
  <c r="A146" i="8"/>
  <c r="A18" i="8"/>
  <c r="A21" i="8"/>
  <c r="A245" i="8"/>
  <c r="C220" i="23"/>
  <c r="A159" i="8"/>
  <c r="A115" i="8"/>
  <c r="A172" i="8"/>
  <c r="A233" i="8"/>
  <c r="A49" i="8"/>
  <c r="A28" i="8"/>
  <c r="A202" i="8"/>
  <c r="A97" i="8"/>
  <c r="A46" i="8"/>
  <c r="A60" i="8"/>
  <c r="A147" i="8"/>
  <c r="A231" i="8"/>
  <c r="A16" i="8"/>
  <c r="A55" i="8"/>
  <c r="A68" i="8"/>
  <c r="I4" i="21"/>
  <c r="A11" i="8"/>
  <c r="A25" i="8"/>
  <c r="A79" i="8"/>
  <c r="A137" i="8"/>
  <c r="A195" i="8"/>
  <c r="A112" i="8"/>
  <c r="A9" i="8"/>
  <c r="A182" i="8"/>
  <c r="A130" i="8"/>
  <c r="A50" i="8"/>
  <c r="A121" i="8"/>
  <c r="A209" i="8"/>
  <c r="A33" i="8"/>
  <c r="A71" i="8"/>
  <c r="A106" i="8"/>
  <c r="A116" i="8"/>
  <c r="A59" i="8"/>
  <c r="A67" i="8"/>
  <c r="A133" i="8"/>
  <c r="A190" i="8"/>
  <c r="A246" i="8"/>
  <c r="A138" i="8"/>
  <c r="A37" i="8"/>
  <c r="A207" i="8"/>
  <c r="A156" i="8"/>
  <c r="A74" i="8"/>
  <c r="A142" i="8"/>
  <c r="A230" i="8"/>
  <c r="A51" i="8"/>
  <c r="A90" i="8"/>
  <c r="A123" i="8"/>
  <c r="A132" i="8"/>
  <c r="A220" i="8"/>
  <c r="A111" i="8"/>
  <c r="A117" i="8"/>
  <c r="A177" i="8"/>
  <c r="A236" i="8"/>
  <c r="A6" i="8"/>
  <c r="A167" i="8"/>
  <c r="A65" i="8"/>
  <c r="A237" i="8"/>
  <c r="A184" i="8"/>
  <c r="A94" i="8"/>
  <c r="A165" i="8"/>
  <c r="A250" i="8"/>
  <c r="A70" i="8"/>
  <c r="A108" i="8"/>
  <c r="A140" i="8"/>
  <c r="A148" i="8"/>
  <c r="CM1" i="6"/>
  <c r="A91" i="8"/>
  <c r="A205" i="8"/>
  <c r="A256" i="8"/>
  <c r="A26" i="8"/>
  <c r="A81" i="8"/>
  <c r="A139" i="8"/>
  <c r="A151" i="8"/>
  <c r="A249" i="8"/>
  <c r="A150" i="8"/>
  <c r="A73" i="8"/>
  <c r="A19" i="8"/>
  <c r="A155" i="8"/>
  <c r="A226" i="8"/>
  <c r="A64" i="8"/>
  <c r="A125" i="8"/>
  <c r="A162" i="8"/>
  <c r="A191" i="8"/>
  <c r="A196" i="8"/>
  <c r="A7" i="8"/>
  <c r="A215" i="8"/>
  <c r="A27" i="8"/>
  <c r="A86" i="8"/>
  <c r="A141" i="8"/>
  <c r="A152" i="8"/>
  <c r="A118" i="8"/>
  <c r="A13" i="8"/>
  <c r="A211" i="8"/>
  <c r="A158" i="8"/>
  <c r="A261" i="8"/>
  <c r="A83" i="8"/>
  <c r="A169" i="8"/>
  <c r="A216" i="8"/>
  <c r="A253" i="8"/>
  <c r="A20" i="8"/>
  <c r="A58" i="8"/>
  <c r="A22" i="8"/>
  <c r="A136" i="8"/>
  <c r="A193" i="8"/>
  <c r="A201" i="8"/>
  <c r="A42" i="8"/>
  <c r="A238" i="8"/>
  <c r="A104" i="8"/>
  <c r="A189" i="8"/>
  <c r="A234" i="8"/>
  <c r="A36" i="8"/>
  <c r="A110" i="8"/>
  <c r="A66" i="8"/>
  <c r="A122" i="8"/>
  <c r="A187" i="8"/>
  <c r="A254" i="8"/>
  <c r="A173" i="8"/>
  <c r="A69" i="8"/>
  <c r="A17" i="8"/>
  <c r="A214" i="8"/>
  <c r="A40" i="8"/>
  <c r="A127" i="8"/>
  <c r="A252" i="8"/>
  <c r="A38" i="8"/>
  <c r="A52" i="8"/>
  <c r="A160" i="8"/>
  <c r="A170" i="8"/>
  <c r="A224" i="8"/>
  <c r="A41" i="8"/>
  <c r="A54" i="8"/>
  <c r="A194" i="8"/>
  <c r="A93" i="8"/>
  <c r="A14" i="8"/>
  <c r="A213" i="8"/>
  <c r="A114" i="8"/>
  <c r="A185" i="8"/>
  <c r="A24" i="8"/>
  <c r="A88" i="8"/>
  <c r="A126" i="8"/>
  <c r="A157" i="8"/>
  <c r="A164" i="8"/>
  <c r="K4" i="8"/>
  <c r="L4" i="8" s="1"/>
  <c r="A206" i="8"/>
  <c r="A31" i="8"/>
  <c r="A103" i="8"/>
  <c r="A222" i="8"/>
  <c r="A119" i="8"/>
  <c r="A45" i="8"/>
  <c r="A240" i="8"/>
  <c r="A135" i="8"/>
  <c r="A44" i="8"/>
  <c r="A107" i="8"/>
  <c r="A144" i="8"/>
  <c r="A174" i="8"/>
  <c r="A180" i="8"/>
  <c r="A12" i="8"/>
  <c r="A77" i="8"/>
  <c r="A134" i="8"/>
  <c r="A192" i="8"/>
  <c r="A200" i="8"/>
  <c r="A8" i="8"/>
  <c r="A175" i="8"/>
  <c r="A98" i="8"/>
  <c r="A47" i="8"/>
  <c r="A176" i="8"/>
  <c r="A247" i="8"/>
  <c r="A85" i="8"/>
  <c r="A143" i="8"/>
  <c r="A181" i="8"/>
  <c r="A208" i="8"/>
  <c r="AY68" i="6"/>
  <c r="AY45" i="6"/>
  <c r="AY134" i="6"/>
  <c r="AY6" i="6"/>
  <c r="AY218" i="6"/>
  <c r="BT93" i="6"/>
  <c r="BS93" i="6"/>
  <c r="AY4" i="6"/>
  <c r="AY128" i="6"/>
  <c r="BS161" i="6"/>
  <c r="BT161" i="6"/>
  <c r="BT38" i="6"/>
  <c r="BS38" i="6"/>
  <c r="BS201" i="6"/>
  <c r="BT201" i="6"/>
  <c r="BT12" i="6"/>
  <c r="BS12" i="6"/>
  <c r="C227" i="23"/>
  <c r="E227" i="23"/>
  <c r="D227" i="23"/>
  <c r="E253" i="23"/>
  <c r="D253" i="23"/>
  <c r="C253" i="23"/>
  <c r="E234" i="23"/>
  <c r="D234" i="23"/>
  <c r="C234" i="23"/>
  <c r="BM170" i="6"/>
  <c r="BU170" i="6"/>
  <c r="BU211" i="6"/>
  <c r="BM211" i="6"/>
  <c r="BM163" i="6"/>
  <c r="BS163" i="6" s="1"/>
  <c r="BU163" i="6"/>
  <c r="BM68" i="6"/>
  <c r="BU68" i="6"/>
  <c r="BM40" i="6"/>
  <c r="BU40" i="6"/>
  <c r="AY56" i="6"/>
  <c r="BT207" i="6"/>
  <c r="BS207" i="6"/>
  <c r="BT137" i="6"/>
  <c r="BS137" i="6"/>
  <c r="AY30" i="6"/>
  <c r="AY165" i="6"/>
  <c r="AY39" i="6"/>
  <c r="AY158" i="6"/>
  <c r="AY211" i="6"/>
  <c r="BT136" i="6"/>
  <c r="BS136" i="6"/>
  <c r="AY5" i="6"/>
  <c r="BT47" i="6"/>
  <c r="BS47" i="6"/>
  <c r="BT123" i="6"/>
  <c r="BS123" i="6"/>
  <c r="E245" i="23"/>
  <c r="D245" i="23"/>
  <c r="C245" i="23"/>
  <c r="BU97" i="6"/>
  <c r="BM97" i="6"/>
  <c r="BU49" i="6"/>
  <c r="BM49" i="6"/>
  <c r="BU9" i="6"/>
  <c r="BM9" i="6"/>
  <c r="BS9" i="6" s="1"/>
  <c r="E223" i="23"/>
  <c r="D223" i="23"/>
  <c r="C223" i="23"/>
  <c r="AY200" i="6"/>
  <c r="AY204" i="6"/>
  <c r="AY212" i="6"/>
  <c r="AY28" i="6"/>
  <c r="BT153" i="6"/>
  <c r="BS153" i="6"/>
  <c r="AY84" i="6"/>
  <c r="AY36" i="6"/>
  <c r="AY167" i="6"/>
  <c r="BT197" i="6"/>
  <c r="AY73" i="6"/>
  <c r="BT21" i="6"/>
  <c r="BS21" i="6"/>
  <c r="BT7" i="6"/>
  <c r="BT160" i="6"/>
  <c r="BS160" i="6"/>
  <c r="BS237" i="6"/>
  <c r="BT237" i="6"/>
  <c r="E225" i="23"/>
  <c r="D225" i="23"/>
  <c r="C225" i="23"/>
  <c r="E232" i="23"/>
  <c r="D232" i="23"/>
  <c r="C232" i="23"/>
  <c r="BU172" i="6"/>
  <c r="BM172" i="6"/>
  <c r="BS172" i="6" s="1"/>
  <c r="BU204" i="6"/>
  <c r="BM204" i="6"/>
  <c r="E226" i="23"/>
  <c r="D226" i="23"/>
  <c r="C226" i="23"/>
  <c r="BU217" i="6"/>
  <c r="BM217" i="6"/>
  <c r="BU202" i="6"/>
  <c r="BM202" i="6"/>
  <c r="BS202" i="6" s="1"/>
  <c r="BU104" i="6"/>
  <c r="BM104" i="6"/>
  <c r="BT163" i="6"/>
  <c r="BT95" i="6"/>
  <c r="BM78" i="6"/>
  <c r="BU78" i="6"/>
  <c r="E251" i="23"/>
  <c r="D251" i="23"/>
  <c r="C251" i="23"/>
  <c r="E242" i="23"/>
  <c r="D242" i="23"/>
  <c r="C242" i="23"/>
  <c r="F239" i="23"/>
  <c r="G239" i="23" s="1"/>
  <c r="AM202" i="6"/>
  <c r="BT202" i="6"/>
  <c r="BT9" i="6"/>
  <c r="AY104" i="6"/>
  <c r="AY126" i="6"/>
  <c r="AY242" i="6"/>
  <c r="AY106" i="6"/>
  <c r="AY26" i="6"/>
  <c r="AY189" i="6"/>
  <c r="AY213" i="6"/>
  <c r="BT127" i="6"/>
  <c r="BS127" i="6"/>
  <c r="BT166" i="6"/>
  <c r="BS166" i="6"/>
  <c r="BS228" i="6"/>
  <c r="BT228" i="6"/>
  <c r="E224" i="23"/>
  <c r="D224" i="23"/>
  <c r="C224" i="23"/>
  <c r="BM28" i="6"/>
  <c r="BU28" i="6"/>
  <c r="AY71" i="6"/>
  <c r="AY138" i="6"/>
  <c r="BT173" i="6"/>
  <c r="BS173" i="6"/>
  <c r="AY139" i="6"/>
  <c r="AY17" i="6"/>
  <c r="AY29" i="6"/>
  <c r="BT19" i="6"/>
  <c r="BS19" i="6"/>
  <c r="AY229" i="6"/>
  <c r="AY152" i="6"/>
  <c r="AY63" i="6"/>
  <c r="AY33" i="6"/>
  <c r="AY77" i="6"/>
  <c r="BS89" i="6"/>
  <c r="BT89" i="6"/>
  <c r="AY61" i="6"/>
  <c r="AY133" i="6"/>
  <c r="BS44" i="6"/>
  <c r="BT44" i="6"/>
  <c r="BT198" i="6"/>
  <c r="BS198" i="6"/>
  <c r="F240" i="23"/>
  <c r="G240" i="23" s="1"/>
  <c r="BU65" i="6"/>
  <c r="BM65" i="6"/>
  <c r="BM63" i="6"/>
  <c r="BU63" i="6"/>
  <c r="BM29" i="6"/>
  <c r="BU29" i="6"/>
  <c r="AY176" i="6"/>
  <c r="AY99" i="6"/>
  <c r="BT76" i="6"/>
  <c r="BS76" i="6"/>
  <c r="AY53" i="6"/>
  <c r="BT60" i="6"/>
  <c r="BS60" i="6"/>
  <c r="AY22" i="6"/>
  <c r="AY58" i="6"/>
  <c r="AY31" i="6"/>
  <c r="BT46" i="6"/>
  <c r="BS46" i="6"/>
  <c r="BT168" i="6"/>
  <c r="BS151" i="6"/>
  <c r="BT151" i="6"/>
  <c r="BS171" i="6"/>
  <c r="BT171" i="6"/>
  <c r="BU4" i="6"/>
  <c r="BM4" i="6"/>
  <c r="AY64" i="6"/>
  <c r="AY32" i="6"/>
  <c r="AY120" i="6"/>
  <c r="AY177" i="6"/>
  <c r="BT164" i="6"/>
  <c r="BS164" i="6"/>
  <c r="AY51" i="6"/>
  <c r="AY52" i="6"/>
  <c r="AY157" i="6"/>
  <c r="AY81" i="6"/>
  <c r="BS208" i="6"/>
  <c r="BT208" i="6"/>
  <c r="BT182" i="6"/>
  <c r="BS182" i="6"/>
  <c r="BS27" i="6"/>
  <c r="BT27" i="6"/>
  <c r="CQ1" i="6"/>
  <c r="AY186" i="6"/>
  <c r="AY190" i="6"/>
  <c r="AY80" i="6"/>
  <c r="AY210" i="6"/>
  <c r="AY3" i="6"/>
  <c r="AY40" i="6"/>
  <c r="AY67" i="6"/>
  <c r="AY70" i="6"/>
  <c r="AY230" i="6"/>
  <c r="AY196" i="6"/>
  <c r="AY54" i="6"/>
  <c r="BT118" i="6"/>
  <c r="BS118" i="6"/>
  <c r="BT101" i="6"/>
  <c r="BS101" i="6"/>
  <c r="BT141" i="6"/>
  <c r="BS141" i="6"/>
  <c r="AY18" i="6"/>
  <c r="AY191" i="6"/>
  <c r="BS113" i="6"/>
  <c r="BT113" i="6"/>
  <c r="AY209" i="6"/>
  <c r="BS131" i="6"/>
  <c r="BT131" i="6"/>
  <c r="AY243" i="6"/>
  <c r="AY55" i="6"/>
  <c r="AY219" i="6"/>
  <c r="AY94" i="6"/>
  <c r="AY231" i="6"/>
  <c r="BT217" i="6"/>
  <c r="BS217" i="6"/>
  <c r="AY83" i="6"/>
  <c r="AY225" i="6"/>
  <c r="BT116" i="6"/>
  <c r="BS116" i="6"/>
  <c r="BS233" i="6"/>
  <c r="BT233" i="6"/>
  <c r="BU54" i="6"/>
  <c r="BM54" i="6"/>
  <c r="E228" i="23"/>
  <c r="D228" i="23"/>
  <c r="C228" i="23"/>
  <c r="E250" i="23"/>
  <c r="D250" i="23"/>
  <c r="C250" i="23"/>
  <c r="AY124" i="6"/>
  <c r="AY235" i="6"/>
  <c r="AY65" i="6"/>
  <c r="AY214" i="6"/>
  <c r="AY111" i="6"/>
  <c r="AY105" i="6"/>
  <c r="AY112" i="6"/>
  <c r="BT215" i="6"/>
  <c r="BS215" i="6"/>
  <c r="AY42" i="6"/>
  <c r="AY35" i="6"/>
  <c r="AY135" i="6"/>
  <c r="BT109" i="6"/>
  <c r="BS109" i="6"/>
  <c r="BT25" i="6"/>
  <c r="BS25" i="6"/>
  <c r="BT221" i="6"/>
  <c r="BS221" i="6"/>
  <c r="BT78" i="6"/>
  <c r="BS78" i="6"/>
  <c r="E256" i="23"/>
  <c r="D256" i="23"/>
  <c r="C256" i="23"/>
  <c r="BU168" i="6"/>
  <c r="BM168" i="6"/>
  <c r="BS168" i="6" s="1"/>
  <c r="BU197" i="6"/>
  <c r="BM197" i="6"/>
  <c r="BS197" i="6" s="1"/>
  <c r="BU139" i="6"/>
  <c r="BM139" i="6"/>
  <c r="AY169" i="6"/>
  <c r="AY132" i="6"/>
  <c r="BT86" i="6"/>
  <c r="AY85" i="6"/>
  <c r="AY100" i="6"/>
  <c r="AY37" i="6"/>
  <c r="AY49" i="6"/>
  <c r="BT194" i="6"/>
  <c r="BS194" i="6"/>
  <c r="AY14" i="6"/>
  <c r="AY10" i="6"/>
  <c r="BT226" i="6"/>
  <c r="BS226" i="6"/>
  <c r="BT223" i="6"/>
  <c r="BM7" i="6"/>
  <c r="BS7" i="6" s="1"/>
  <c r="BU7" i="6"/>
  <c r="BE240" i="6"/>
  <c r="BE224" i="6"/>
  <c r="BE208" i="6"/>
  <c r="BE192" i="6"/>
  <c r="BE176" i="6"/>
  <c r="BE160" i="6"/>
  <c r="BI1" i="6" s="1"/>
  <c r="BE144" i="6"/>
  <c r="BE128" i="6"/>
  <c r="BE112" i="6"/>
  <c r="BE96" i="6"/>
  <c r="BE80" i="6"/>
  <c r="BE64" i="6"/>
  <c r="BE48" i="6"/>
  <c r="BE32" i="6"/>
  <c r="BE16" i="6"/>
  <c r="BE235" i="6"/>
  <c r="BE219" i="6"/>
  <c r="BE203" i="6"/>
  <c r="BE187" i="6"/>
  <c r="BE171" i="6"/>
  <c r="BE155" i="6"/>
  <c r="BE139" i="6"/>
  <c r="BE123" i="6"/>
  <c r="BE107" i="6"/>
  <c r="BE91" i="6"/>
  <c r="BE75" i="6"/>
  <c r="BE59" i="6"/>
  <c r="BE43" i="6"/>
  <c r="BE27" i="6"/>
  <c r="BE11" i="6"/>
  <c r="BE231" i="6"/>
  <c r="BE213" i="6"/>
  <c r="BE195" i="6"/>
  <c r="BE177" i="6"/>
  <c r="BE158" i="6"/>
  <c r="BE140" i="6"/>
  <c r="BE121" i="6"/>
  <c r="CA121" i="6" s="1"/>
  <c r="CC121" i="6" s="1"/>
  <c r="BE103" i="6"/>
  <c r="BE85" i="6"/>
  <c r="BE67" i="6"/>
  <c r="BE49" i="6"/>
  <c r="BE30" i="6"/>
  <c r="BE12" i="6"/>
  <c r="BE227" i="6"/>
  <c r="BE209" i="6"/>
  <c r="BE190" i="6"/>
  <c r="BE172" i="6"/>
  <c r="BE153" i="6"/>
  <c r="BE135" i="6"/>
  <c r="BE117" i="6"/>
  <c r="BE99" i="6"/>
  <c r="BE81" i="6"/>
  <c r="BE62" i="6"/>
  <c r="BE44" i="6"/>
  <c r="BE25" i="6"/>
  <c r="BE7" i="6"/>
  <c r="BE239" i="6"/>
  <c r="BE221" i="6"/>
  <c r="BE202" i="6"/>
  <c r="BE184" i="6"/>
  <c r="BE166" i="6"/>
  <c r="BE148" i="6"/>
  <c r="BE130" i="6"/>
  <c r="BE111" i="6"/>
  <c r="BE93" i="6"/>
  <c r="BE74" i="6"/>
  <c r="BE56" i="6"/>
  <c r="BE38" i="6"/>
  <c r="BE20" i="6"/>
  <c r="BE3" i="6"/>
  <c r="BE238" i="6"/>
  <c r="BE220" i="6"/>
  <c r="BE201" i="6"/>
  <c r="BE183" i="6"/>
  <c r="BE165" i="6"/>
  <c r="CA165" i="6" s="1"/>
  <c r="CC165" i="6" s="1"/>
  <c r="BE147" i="6"/>
  <c r="BE129" i="6"/>
  <c r="CA129" i="6" s="1"/>
  <c r="CC129" i="6" s="1"/>
  <c r="BE110" i="6"/>
  <c r="BE92" i="6"/>
  <c r="BE73" i="6"/>
  <c r="BE55" i="6"/>
  <c r="BE37" i="6"/>
  <c r="BE19" i="6"/>
  <c r="BE237" i="6"/>
  <c r="BE218" i="6"/>
  <c r="BE200" i="6"/>
  <c r="BE182" i="6"/>
  <c r="BE164" i="6"/>
  <c r="BE146" i="6"/>
  <c r="BE127" i="6"/>
  <c r="BE109" i="6"/>
  <c r="BE90" i="6"/>
  <c r="BE72" i="6"/>
  <c r="BE54" i="6"/>
  <c r="BE36" i="6"/>
  <c r="BE18" i="6"/>
  <c r="BE236" i="6"/>
  <c r="BE217" i="6"/>
  <c r="BE199" i="6"/>
  <c r="BE181" i="6"/>
  <c r="CA181" i="6" s="1"/>
  <c r="CC181" i="6" s="1"/>
  <c r="BE163" i="6"/>
  <c r="BE145" i="6"/>
  <c r="BE126" i="6"/>
  <c r="BE108" i="6"/>
  <c r="BE89" i="6"/>
  <c r="BE71" i="6"/>
  <c r="BE53" i="6"/>
  <c r="BE35" i="6"/>
  <c r="BE17" i="6"/>
  <c r="BE241" i="6"/>
  <c r="BE210" i="6"/>
  <c r="BE179" i="6"/>
  <c r="BE151" i="6"/>
  <c r="BE120" i="6"/>
  <c r="BE94" i="6"/>
  <c r="BE63" i="6"/>
  <c r="BE33" i="6"/>
  <c r="BE5" i="6"/>
  <c r="BE232" i="6"/>
  <c r="BE205" i="6"/>
  <c r="BE174" i="6"/>
  <c r="BE143" i="6"/>
  <c r="BE116" i="6"/>
  <c r="CA116" i="6" s="1"/>
  <c r="CC116" i="6" s="1"/>
  <c r="BE86" i="6"/>
  <c r="BE58" i="6"/>
  <c r="BE28" i="6"/>
  <c r="BE230" i="6"/>
  <c r="BE204" i="6"/>
  <c r="BE173" i="6"/>
  <c r="CA173" i="6" s="1"/>
  <c r="CC173" i="6" s="1"/>
  <c r="BE142" i="6"/>
  <c r="BE115" i="6"/>
  <c r="BE84" i="6"/>
  <c r="BE57" i="6"/>
  <c r="BE26" i="6"/>
  <c r="BE229" i="6"/>
  <c r="BE198" i="6"/>
  <c r="BE170" i="6"/>
  <c r="BE141" i="6"/>
  <c r="BE114" i="6"/>
  <c r="BE83" i="6"/>
  <c r="BE52" i="6"/>
  <c r="BE24" i="6"/>
  <c r="BE226" i="6"/>
  <c r="BE196" i="6"/>
  <c r="BE168" i="6"/>
  <c r="BE137" i="6"/>
  <c r="BE106" i="6"/>
  <c r="BE79" i="6"/>
  <c r="BE50" i="6"/>
  <c r="BE22" i="6"/>
  <c r="BE223" i="6"/>
  <c r="BE185" i="6"/>
  <c r="BE136" i="6"/>
  <c r="BE98" i="6"/>
  <c r="BE51" i="6"/>
  <c r="CA51" i="6" s="1"/>
  <c r="CC51" i="6" s="1"/>
  <c r="BE10" i="6"/>
  <c r="BE216" i="6"/>
  <c r="BE178" i="6"/>
  <c r="BE133" i="6"/>
  <c r="BE95" i="6"/>
  <c r="BE46" i="6"/>
  <c r="BE8" i="6"/>
  <c r="BE215" i="6"/>
  <c r="BE175" i="6"/>
  <c r="BE132" i="6"/>
  <c r="CA132" i="6" s="1"/>
  <c r="CC132" i="6" s="1"/>
  <c r="BE88" i="6"/>
  <c r="BE45" i="6"/>
  <c r="BE6" i="6"/>
  <c r="BE212" i="6"/>
  <c r="BE167" i="6"/>
  <c r="BE125" i="6"/>
  <c r="CA125" i="6" s="1"/>
  <c r="CC125" i="6" s="1"/>
  <c r="BE82" i="6"/>
  <c r="BE41" i="6"/>
  <c r="BE243" i="6"/>
  <c r="BE194" i="6"/>
  <c r="BE156" i="6"/>
  <c r="BE113" i="6"/>
  <c r="BE69" i="6"/>
  <c r="BE29" i="6"/>
  <c r="BE206" i="6"/>
  <c r="BE149" i="6"/>
  <c r="BE77" i="6"/>
  <c r="BE15" i="6"/>
  <c r="BE197" i="6"/>
  <c r="CA197" i="6" s="1"/>
  <c r="CC197" i="6" s="1"/>
  <c r="BE138" i="6"/>
  <c r="BE76" i="6"/>
  <c r="CA76" i="6" s="1"/>
  <c r="CC76" i="6" s="1"/>
  <c r="BE14" i="6"/>
  <c r="BE193" i="6"/>
  <c r="CA193" i="6" s="1"/>
  <c r="CC193" i="6" s="1"/>
  <c r="BE134" i="6"/>
  <c r="BE70" i="6"/>
  <c r="BE13" i="6"/>
  <c r="BE191" i="6"/>
  <c r="BE131" i="6"/>
  <c r="BE68" i="6"/>
  <c r="BE9" i="6"/>
  <c r="BE189" i="6"/>
  <c r="BE124" i="6"/>
  <c r="BE66" i="6"/>
  <c r="BE4" i="6"/>
  <c r="BE188" i="6"/>
  <c r="BE122" i="6"/>
  <c r="BE65" i="6"/>
  <c r="BE186" i="6"/>
  <c r="BE119" i="6"/>
  <c r="BE61" i="6"/>
  <c r="BE234" i="6"/>
  <c r="BE169" i="6"/>
  <c r="BE105" i="6"/>
  <c r="BE47" i="6"/>
  <c r="BE233" i="6"/>
  <c r="BE162" i="6"/>
  <c r="BE104" i="6"/>
  <c r="BE42" i="6"/>
  <c r="BE228" i="6"/>
  <c r="BE161" i="6"/>
  <c r="BE102" i="6"/>
  <c r="BE40" i="6"/>
  <c r="BE211" i="6"/>
  <c r="BE152" i="6"/>
  <c r="BE87" i="6"/>
  <c r="BE23" i="6"/>
  <c r="BE207" i="6"/>
  <c r="BE150" i="6"/>
  <c r="BE78" i="6"/>
  <c r="BE21" i="6"/>
  <c r="BE60" i="6"/>
  <c r="CA60" i="6" s="1"/>
  <c r="CC60" i="6" s="1"/>
  <c r="BE39" i="6"/>
  <c r="BE34" i="6"/>
  <c r="BE31" i="6"/>
  <c r="BE242" i="6"/>
  <c r="BE225" i="6"/>
  <c r="BE222" i="6"/>
  <c r="BE214" i="6"/>
  <c r="BE180" i="6"/>
  <c r="BE157" i="6"/>
  <c r="BE118" i="6"/>
  <c r="BE101" i="6"/>
  <c r="BE100" i="6"/>
  <c r="BE97" i="6"/>
  <c r="BE159" i="6"/>
  <c r="BE154" i="6"/>
  <c r="CA154" i="6" s="1"/>
  <c r="CC154" i="6" s="1"/>
  <c r="AY154" i="6"/>
  <c r="AY121" i="6"/>
  <c r="AY234" i="6"/>
  <c r="AY203" i="6"/>
  <c r="AY155" i="6"/>
  <c r="AY108" i="6"/>
  <c r="AY20" i="6"/>
  <c r="AY180" i="6"/>
  <c r="AY188" i="6"/>
  <c r="BT239" i="6"/>
  <c r="BS239" i="6"/>
  <c r="AY57" i="6"/>
  <c r="AY8" i="6"/>
  <c r="BT115" i="6"/>
  <c r="BS115" i="6"/>
  <c r="BT96" i="6"/>
  <c r="BS96" i="6"/>
  <c r="BT147" i="6"/>
  <c r="BS147" i="6"/>
  <c r="BS48" i="6"/>
  <c r="BT48" i="6"/>
  <c r="D244" i="23"/>
  <c r="C244" i="23"/>
  <c r="E244" i="23"/>
  <c r="D257" i="23"/>
  <c r="E257" i="23"/>
  <c r="C257" i="23"/>
  <c r="F233" i="23"/>
  <c r="G233" i="23" s="1"/>
  <c r="BU43" i="6"/>
  <c r="BM43" i="6"/>
  <c r="BM39" i="6"/>
  <c r="BU39" i="6"/>
  <c r="AJ196" i="20"/>
  <c r="AL196" i="20" s="1"/>
  <c r="AJ180" i="20"/>
  <c r="AL180" i="20" s="1"/>
  <c r="AJ164" i="20"/>
  <c r="AL164" i="20" s="1"/>
  <c r="AJ148" i="20"/>
  <c r="AL148" i="20" s="1"/>
  <c r="AJ132" i="20"/>
  <c r="AL132" i="20" s="1"/>
  <c r="AJ116" i="20"/>
  <c r="AL116" i="20" s="1"/>
  <c r="AJ100" i="20"/>
  <c r="AL100" i="20" s="1"/>
  <c r="AJ84" i="20"/>
  <c r="AL84" i="20" s="1"/>
  <c r="AJ68" i="20"/>
  <c r="AL68" i="20" s="1"/>
  <c r="AJ52" i="20"/>
  <c r="AL52" i="20" s="1"/>
  <c r="AJ36" i="20"/>
  <c r="AL36" i="20" s="1"/>
  <c r="AJ20" i="20"/>
  <c r="AL20" i="20" s="1"/>
  <c r="AJ4" i="20"/>
  <c r="AL4" i="20" s="1"/>
  <c r="AJ204" i="20"/>
  <c r="AL204" i="20" s="1"/>
  <c r="AJ188" i="20"/>
  <c r="AL188" i="20" s="1"/>
  <c r="AJ172" i="20"/>
  <c r="AL172" i="20" s="1"/>
  <c r="AJ156" i="20"/>
  <c r="AL156" i="20" s="1"/>
  <c r="AJ140" i="20"/>
  <c r="AL140" i="20" s="1"/>
  <c r="AJ124" i="20"/>
  <c r="AL124" i="20" s="1"/>
  <c r="AJ108" i="20"/>
  <c r="AL108" i="20" s="1"/>
  <c r="AJ92" i="20"/>
  <c r="AL92" i="20" s="1"/>
  <c r="AJ76" i="20"/>
  <c r="AL76" i="20" s="1"/>
  <c r="AJ60" i="20"/>
  <c r="AL60" i="20" s="1"/>
  <c r="AJ44" i="20"/>
  <c r="AL44" i="20" s="1"/>
  <c r="AJ28" i="20"/>
  <c r="AL28" i="20" s="1"/>
  <c r="AJ12" i="20"/>
  <c r="AL12" i="20" s="1"/>
  <c r="AJ201" i="20"/>
  <c r="AL201" i="20" s="1"/>
  <c r="AJ185" i="20"/>
  <c r="AL185" i="20" s="1"/>
  <c r="AJ169" i="20"/>
  <c r="AL169" i="20" s="1"/>
  <c r="AJ153" i="20"/>
  <c r="AL153" i="20" s="1"/>
  <c r="AJ137" i="20"/>
  <c r="AL137" i="20" s="1"/>
  <c r="AJ121" i="20"/>
  <c r="AL121" i="20" s="1"/>
  <c r="AJ105" i="20"/>
  <c r="AL105" i="20" s="1"/>
  <c r="AJ89" i="20"/>
  <c r="AL89" i="20" s="1"/>
  <c r="AJ73" i="20"/>
  <c r="AL73" i="20" s="1"/>
  <c r="AJ57" i="20"/>
  <c r="AL57" i="20" s="1"/>
  <c r="AJ41" i="20"/>
  <c r="AL41" i="20" s="1"/>
  <c r="AJ25" i="20"/>
  <c r="AL25" i="20" s="1"/>
  <c r="AJ9" i="20"/>
  <c r="AL9" i="20" s="1"/>
  <c r="AJ200" i="20"/>
  <c r="AL200" i="20" s="1"/>
  <c r="AJ184" i="20"/>
  <c r="AL184" i="20" s="1"/>
  <c r="AJ168" i="20"/>
  <c r="AL168" i="20" s="1"/>
  <c r="AJ152" i="20"/>
  <c r="AL152" i="20" s="1"/>
  <c r="AJ136" i="20"/>
  <c r="AL136" i="20" s="1"/>
  <c r="AJ120" i="20"/>
  <c r="AL120" i="20" s="1"/>
  <c r="AJ104" i="20"/>
  <c r="AL104" i="20" s="1"/>
  <c r="AJ88" i="20"/>
  <c r="AL88" i="20" s="1"/>
  <c r="AJ72" i="20"/>
  <c r="AL72" i="20" s="1"/>
  <c r="AJ56" i="20"/>
  <c r="AL56" i="20" s="1"/>
  <c r="AJ40" i="20"/>
  <c r="AL40" i="20" s="1"/>
  <c r="AJ24" i="20"/>
  <c r="AL24" i="20" s="1"/>
  <c r="AJ8" i="20"/>
  <c r="AL8" i="20" s="1"/>
  <c r="AJ203" i="20"/>
  <c r="AL203" i="20" s="1"/>
  <c r="AJ181" i="20"/>
  <c r="AL181" i="20" s="1"/>
  <c r="AJ160" i="20"/>
  <c r="AL160" i="20" s="1"/>
  <c r="AJ139" i="20"/>
  <c r="AL139" i="20" s="1"/>
  <c r="AJ117" i="20"/>
  <c r="AL117" i="20" s="1"/>
  <c r="AJ96" i="20"/>
  <c r="AL96" i="20" s="1"/>
  <c r="AJ75" i="20"/>
  <c r="AL75" i="20" s="1"/>
  <c r="AJ53" i="20"/>
  <c r="AL53" i="20" s="1"/>
  <c r="AJ32" i="20"/>
  <c r="AL32" i="20" s="1"/>
  <c r="AJ11" i="20"/>
  <c r="AL11" i="20" s="1"/>
  <c r="AJ202" i="20"/>
  <c r="AL202" i="20" s="1"/>
  <c r="AJ179" i="20"/>
  <c r="AL179" i="20" s="1"/>
  <c r="AJ159" i="20"/>
  <c r="AL159" i="20" s="1"/>
  <c r="AJ138" i="20"/>
  <c r="AL138" i="20" s="1"/>
  <c r="AJ115" i="20"/>
  <c r="AL115" i="20" s="1"/>
  <c r="AJ95" i="20"/>
  <c r="AL95" i="20" s="1"/>
  <c r="AJ74" i="20"/>
  <c r="AL74" i="20" s="1"/>
  <c r="AJ51" i="20"/>
  <c r="AL51" i="20" s="1"/>
  <c r="AJ31" i="20"/>
  <c r="AL31" i="20" s="1"/>
  <c r="AJ10" i="20"/>
  <c r="AL10" i="20" s="1"/>
  <c r="AJ199" i="20"/>
  <c r="AL199" i="20" s="1"/>
  <c r="AJ178" i="20"/>
  <c r="AL178" i="20" s="1"/>
  <c r="AJ158" i="20"/>
  <c r="AL158" i="20" s="1"/>
  <c r="AJ135" i="20"/>
  <c r="AL135" i="20" s="1"/>
  <c r="AJ114" i="20"/>
  <c r="AL114" i="20" s="1"/>
  <c r="AJ94" i="20"/>
  <c r="AL94" i="20" s="1"/>
  <c r="AJ71" i="20"/>
  <c r="AL71" i="20" s="1"/>
  <c r="AJ50" i="20"/>
  <c r="AL50" i="20" s="1"/>
  <c r="AJ30" i="20"/>
  <c r="AL30" i="20" s="1"/>
  <c r="AJ7" i="20"/>
  <c r="AL7" i="20" s="1"/>
  <c r="AJ198" i="20"/>
  <c r="AL198" i="20" s="1"/>
  <c r="AJ177" i="20"/>
  <c r="AL177" i="20" s="1"/>
  <c r="AJ157" i="20"/>
  <c r="AL157" i="20" s="1"/>
  <c r="AJ134" i="20"/>
  <c r="AL134" i="20" s="1"/>
  <c r="AJ113" i="20"/>
  <c r="AL113" i="20" s="1"/>
  <c r="AJ93" i="20"/>
  <c r="AL93" i="20" s="1"/>
  <c r="AJ70" i="20"/>
  <c r="AL70" i="20" s="1"/>
  <c r="AJ49" i="20"/>
  <c r="AL49" i="20" s="1"/>
  <c r="AJ29" i="20"/>
  <c r="AL29" i="20" s="1"/>
  <c r="AJ6" i="20"/>
  <c r="AL6" i="20" s="1"/>
  <c r="AJ197" i="20"/>
  <c r="AL197" i="20" s="1"/>
  <c r="AJ176" i="20"/>
  <c r="AL176" i="20" s="1"/>
  <c r="AJ155" i="20"/>
  <c r="AL155" i="20" s="1"/>
  <c r="AJ133" i="20"/>
  <c r="AL133" i="20" s="1"/>
  <c r="AJ112" i="20"/>
  <c r="AL112" i="20" s="1"/>
  <c r="AJ91" i="20"/>
  <c r="AL91" i="20" s="1"/>
  <c r="AJ69" i="20"/>
  <c r="AL69" i="20" s="1"/>
  <c r="AJ48" i="20"/>
  <c r="AL48" i="20" s="1"/>
  <c r="AJ27" i="20"/>
  <c r="AL27" i="20" s="1"/>
  <c r="AJ5" i="20"/>
  <c r="AL5" i="20" s="1"/>
  <c r="AJ195" i="20"/>
  <c r="AL195" i="20" s="1"/>
  <c r="AJ175" i="20"/>
  <c r="AL175" i="20" s="1"/>
  <c r="AJ154" i="20"/>
  <c r="AL154" i="20" s="1"/>
  <c r="AJ131" i="20"/>
  <c r="AL131" i="20" s="1"/>
  <c r="AJ111" i="20"/>
  <c r="AL111" i="20" s="1"/>
  <c r="AJ90" i="20"/>
  <c r="AL90" i="20" s="1"/>
  <c r="AJ67" i="20"/>
  <c r="AL67" i="20" s="1"/>
  <c r="AJ47" i="20"/>
  <c r="AL47" i="20" s="1"/>
  <c r="AJ26" i="20"/>
  <c r="AL26" i="20" s="1"/>
  <c r="AJ3" i="20"/>
  <c r="AL3" i="20" s="1"/>
  <c r="AJ194" i="20"/>
  <c r="AL194" i="20" s="1"/>
  <c r="AJ174" i="20"/>
  <c r="AL174" i="20" s="1"/>
  <c r="AJ151" i="20"/>
  <c r="AL151" i="20" s="1"/>
  <c r="AJ130" i="20"/>
  <c r="AL130" i="20" s="1"/>
  <c r="AJ110" i="20"/>
  <c r="AL110" i="20" s="1"/>
  <c r="AJ87" i="20"/>
  <c r="AL87" i="20" s="1"/>
  <c r="AJ66" i="20"/>
  <c r="AL66" i="20" s="1"/>
  <c r="AJ46" i="20"/>
  <c r="AL46" i="20" s="1"/>
  <c r="AJ23" i="20"/>
  <c r="AL23" i="20" s="1"/>
  <c r="AJ193" i="20"/>
  <c r="AL193" i="20" s="1"/>
  <c r="AJ173" i="20"/>
  <c r="AL173" i="20" s="1"/>
  <c r="AJ150" i="20"/>
  <c r="AL150" i="20" s="1"/>
  <c r="AJ129" i="20"/>
  <c r="AL129" i="20" s="1"/>
  <c r="AJ109" i="20"/>
  <c r="AL109" i="20" s="1"/>
  <c r="AJ86" i="20"/>
  <c r="AL86" i="20" s="1"/>
  <c r="AJ65" i="20"/>
  <c r="AL65" i="20" s="1"/>
  <c r="AJ45" i="20"/>
  <c r="AL45" i="20" s="1"/>
  <c r="AJ22" i="20"/>
  <c r="AL22" i="20" s="1"/>
  <c r="AJ2" i="20"/>
  <c r="AL2" i="20" s="1"/>
  <c r="AJ192" i="20"/>
  <c r="AL192" i="20" s="1"/>
  <c r="AJ171" i="20"/>
  <c r="AL171" i="20" s="1"/>
  <c r="AJ149" i="20"/>
  <c r="AL149" i="20" s="1"/>
  <c r="AJ128" i="20"/>
  <c r="AL128" i="20" s="1"/>
  <c r="AJ107" i="20"/>
  <c r="AL107" i="20" s="1"/>
  <c r="AJ85" i="20"/>
  <c r="AL85" i="20" s="1"/>
  <c r="AJ64" i="20"/>
  <c r="AL64" i="20" s="1"/>
  <c r="AJ43" i="20"/>
  <c r="AL43" i="20" s="1"/>
  <c r="AJ21" i="20"/>
  <c r="AL21" i="20" s="1"/>
  <c r="AJ191" i="20"/>
  <c r="AL191" i="20" s="1"/>
  <c r="AJ170" i="20"/>
  <c r="AL170" i="20" s="1"/>
  <c r="AJ147" i="20"/>
  <c r="AL147" i="20" s="1"/>
  <c r="AJ127" i="20"/>
  <c r="AL127" i="20" s="1"/>
  <c r="AJ106" i="20"/>
  <c r="AL106" i="20" s="1"/>
  <c r="AJ83" i="20"/>
  <c r="AL83" i="20" s="1"/>
  <c r="AJ63" i="20"/>
  <c r="AL63" i="20" s="1"/>
  <c r="AJ42" i="20"/>
  <c r="AL42" i="20" s="1"/>
  <c r="AJ19" i="20"/>
  <c r="AL19" i="20" s="1"/>
  <c r="AJ190" i="20"/>
  <c r="AL190" i="20" s="1"/>
  <c r="AJ167" i="20"/>
  <c r="AL167" i="20" s="1"/>
  <c r="AJ146" i="20"/>
  <c r="AL146" i="20" s="1"/>
  <c r="AJ126" i="20"/>
  <c r="AL126" i="20" s="1"/>
  <c r="AJ103" i="20"/>
  <c r="AL103" i="20" s="1"/>
  <c r="AJ82" i="20"/>
  <c r="AL82" i="20" s="1"/>
  <c r="AJ62" i="20"/>
  <c r="AL62" i="20" s="1"/>
  <c r="AJ39" i="20"/>
  <c r="AL39" i="20" s="1"/>
  <c r="AJ18" i="20"/>
  <c r="AL18" i="20" s="1"/>
  <c r="AJ189" i="20"/>
  <c r="AL189" i="20" s="1"/>
  <c r="AJ166" i="20"/>
  <c r="AL166" i="20" s="1"/>
  <c r="AJ145" i="20"/>
  <c r="AL145" i="20" s="1"/>
  <c r="AJ125" i="20"/>
  <c r="AL125" i="20" s="1"/>
  <c r="AJ102" i="20"/>
  <c r="AL102" i="20" s="1"/>
  <c r="AJ81" i="20"/>
  <c r="AL81" i="20" s="1"/>
  <c r="AJ61" i="20"/>
  <c r="AL61" i="20" s="1"/>
  <c r="AJ38" i="20"/>
  <c r="AL38" i="20" s="1"/>
  <c r="AJ17" i="20"/>
  <c r="AL17" i="20" s="1"/>
  <c r="AJ187" i="20"/>
  <c r="AL187" i="20" s="1"/>
  <c r="AJ165" i="20"/>
  <c r="AL165" i="20" s="1"/>
  <c r="AJ144" i="20"/>
  <c r="AL144" i="20" s="1"/>
  <c r="AJ123" i="20"/>
  <c r="AL123" i="20" s="1"/>
  <c r="AJ101" i="20"/>
  <c r="AL101" i="20" s="1"/>
  <c r="AJ80" i="20"/>
  <c r="AL80" i="20" s="1"/>
  <c r="AJ59" i="20"/>
  <c r="AL59" i="20" s="1"/>
  <c r="AJ37" i="20"/>
  <c r="AL37" i="20" s="1"/>
  <c r="AJ16" i="20"/>
  <c r="AL16" i="20" s="1"/>
  <c r="AJ186" i="20"/>
  <c r="AL186" i="20" s="1"/>
  <c r="AJ163" i="20"/>
  <c r="AL163" i="20" s="1"/>
  <c r="AJ143" i="20"/>
  <c r="AL143" i="20" s="1"/>
  <c r="AJ122" i="20"/>
  <c r="AL122" i="20" s="1"/>
  <c r="AJ99" i="20"/>
  <c r="AL99" i="20" s="1"/>
  <c r="AJ79" i="20"/>
  <c r="AL79" i="20" s="1"/>
  <c r="AJ58" i="20"/>
  <c r="AL58" i="20" s="1"/>
  <c r="AJ35" i="20"/>
  <c r="AL35" i="20" s="1"/>
  <c r="AJ15" i="20"/>
  <c r="AL15" i="20" s="1"/>
  <c r="AJ183" i="20"/>
  <c r="AL183" i="20" s="1"/>
  <c r="AJ162" i="20"/>
  <c r="AL162" i="20" s="1"/>
  <c r="AJ142" i="20"/>
  <c r="AL142" i="20" s="1"/>
  <c r="AJ119" i="20"/>
  <c r="AL119" i="20" s="1"/>
  <c r="AJ98" i="20"/>
  <c r="AL98" i="20" s="1"/>
  <c r="AJ78" i="20"/>
  <c r="AL78" i="20" s="1"/>
  <c r="AJ55" i="20"/>
  <c r="AL55" i="20" s="1"/>
  <c r="AJ34" i="20"/>
  <c r="AL34" i="20" s="1"/>
  <c r="AJ14" i="20"/>
  <c r="AL14" i="20" s="1"/>
  <c r="AJ205" i="20"/>
  <c r="AL205" i="20" s="1"/>
  <c r="AJ182" i="20"/>
  <c r="AL182" i="20" s="1"/>
  <c r="AJ161" i="20"/>
  <c r="AL161" i="20" s="1"/>
  <c r="AJ141" i="20"/>
  <c r="AL141" i="20" s="1"/>
  <c r="AJ118" i="20"/>
  <c r="AL118" i="20" s="1"/>
  <c r="AJ97" i="20"/>
  <c r="AL97" i="20" s="1"/>
  <c r="AJ77" i="20"/>
  <c r="AL77" i="20" s="1"/>
  <c r="AJ54" i="20"/>
  <c r="AL54" i="20" s="1"/>
  <c r="AJ33" i="20"/>
  <c r="AL33" i="20" s="1"/>
  <c r="AJ13" i="20"/>
  <c r="AL13" i="20" s="1"/>
  <c r="AY16" i="6"/>
  <c r="AY175" i="6"/>
  <c r="AY41" i="6"/>
  <c r="AY156" i="6"/>
  <c r="AY146" i="6"/>
  <c r="AY193" i="6"/>
  <c r="BT129" i="6"/>
  <c r="BS129" i="6"/>
  <c r="BT110" i="6"/>
  <c r="BS110" i="6"/>
  <c r="BT50" i="6"/>
  <c r="BS50" i="6"/>
  <c r="BT205" i="6"/>
  <c r="BS205" i="6"/>
  <c r="D222" i="23"/>
  <c r="E222" i="23"/>
  <c r="C222" i="23"/>
  <c r="E258" i="23"/>
  <c r="D258" i="23"/>
  <c r="C258" i="23"/>
  <c r="E241" i="23"/>
  <c r="D241" i="23"/>
  <c r="C241" i="23"/>
  <c r="BU222" i="6"/>
  <c r="BM222" i="6"/>
  <c r="BU149" i="6"/>
  <c r="BM149" i="6"/>
  <c r="AY69" i="6"/>
  <c r="AY222" i="6"/>
  <c r="AY15" i="6"/>
  <c r="BT62" i="6"/>
  <c r="BS62" i="6"/>
  <c r="AY125" i="6"/>
  <c r="AY149" i="6"/>
  <c r="AY185" i="6"/>
  <c r="AY13" i="6"/>
  <c r="AY98" i="6"/>
  <c r="AY181" i="6"/>
  <c r="BT75" i="6"/>
  <c r="BS75" i="6"/>
  <c r="AY227" i="6"/>
  <c r="AY142" i="6"/>
  <c r="BT23" i="6"/>
  <c r="BS23" i="6"/>
  <c r="BT159" i="6"/>
  <c r="BS159" i="6"/>
  <c r="BS150" i="6"/>
  <c r="BT150" i="6"/>
  <c r="CR1" i="6"/>
  <c r="E252" i="23"/>
  <c r="C252" i="23"/>
  <c r="D252" i="23"/>
  <c r="D230" i="23"/>
  <c r="E230" i="23"/>
  <c r="C230" i="23"/>
  <c r="F249" i="23"/>
  <c r="G249" i="23" s="1"/>
  <c r="AY170" i="6"/>
  <c r="AY240" i="6"/>
  <c r="AY87" i="6"/>
  <c r="AY43" i="6"/>
  <c r="AY92" i="6"/>
  <c r="AY97" i="6"/>
  <c r="AY114" i="6"/>
  <c r="AY66" i="6"/>
  <c r="BT145" i="6"/>
  <c r="BS145" i="6"/>
  <c r="BT122" i="6"/>
  <c r="BS122" i="6"/>
  <c r="BS216" i="6"/>
  <c r="BT216" i="6"/>
  <c r="BT238" i="6"/>
  <c r="BS238" i="6"/>
  <c r="BS88" i="6"/>
  <c r="BT88" i="6"/>
  <c r="D246" i="23"/>
  <c r="E246" i="23"/>
  <c r="C246" i="23"/>
  <c r="BM223" i="6"/>
  <c r="BS223" i="6" s="1"/>
  <c r="BU223" i="6"/>
  <c r="BM20" i="6"/>
  <c r="BU20" i="6"/>
  <c r="BT102" i="6"/>
  <c r="D255" i="23"/>
  <c r="C255" i="23"/>
  <c r="E255" i="23"/>
  <c r="C254" i="23"/>
  <c r="E254" i="23"/>
  <c r="D254" i="23"/>
  <c r="E231" i="23"/>
  <c r="D231" i="23"/>
  <c r="C231" i="23"/>
  <c r="AY91" i="6"/>
  <c r="AY199" i="6"/>
  <c r="AY119" i="6"/>
  <c r="BT79" i="6"/>
  <c r="BS79" i="6"/>
  <c r="BT148" i="6"/>
  <c r="BS148" i="6"/>
  <c r="AY187" i="6"/>
  <c r="BT195" i="6"/>
  <c r="BS195" i="6"/>
  <c r="AY11" i="6"/>
  <c r="AY82" i="6"/>
  <c r="AY59" i="6"/>
  <c r="BS72" i="6"/>
  <c r="BT72" i="6"/>
  <c r="BS24" i="6"/>
  <c r="BT24" i="6"/>
  <c r="BT74" i="6"/>
  <c r="BS74" i="6"/>
  <c r="G243" i="23" l="1"/>
  <c r="G236" i="23"/>
  <c r="G229" i="23"/>
  <c r="G235" i="23"/>
  <c r="G238" i="23"/>
  <c r="F237" i="23"/>
  <c r="G237" i="23" s="1"/>
  <c r="F223" i="23"/>
  <c r="G223" i="23" s="1"/>
  <c r="F225" i="23"/>
  <c r="G225" i="23" s="1"/>
  <c r="G220" i="23"/>
  <c r="F256" i="23"/>
  <c r="G256" i="23" s="1"/>
  <c r="F228" i="23"/>
  <c r="G228" i="23" s="1"/>
  <c r="F254" i="23"/>
  <c r="G254" i="23" s="1"/>
  <c r="F253" i="23"/>
  <c r="G253" i="23" s="1"/>
  <c r="F257" i="23"/>
  <c r="G257" i="23" s="1"/>
  <c r="F231" i="23"/>
  <c r="G231" i="23" s="1"/>
  <c r="BS222" i="6"/>
  <c r="BT222" i="6"/>
  <c r="BT10" i="6"/>
  <c r="BS10" i="6"/>
  <c r="BT219" i="6"/>
  <c r="BS219" i="6"/>
  <c r="BT18" i="6"/>
  <c r="BS18" i="6"/>
  <c r="BT64" i="6"/>
  <c r="BS64" i="6"/>
  <c r="BS71" i="6"/>
  <c r="BT71" i="6"/>
  <c r="BS104" i="6"/>
  <c r="BT104" i="6"/>
  <c r="BT28" i="6"/>
  <c r="BS28" i="6"/>
  <c r="BT158" i="6"/>
  <c r="BS158" i="6"/>
  <c r="F227" i="23"/>
  <c r="G227" i="23" s="1"/>
  <c r="BT114" i="6"/>
  <c r="BS114" i="6"/>
  <c r="BS156" i="6"/>
  <c r="BT156" i="6"/>
  <c r="BT121" i="6"/>
  <c r="BS121" i="6"/>
  <c r="BS169" i="6"/>
  <c r="BT169" i="6"/>
  <c r="BS124" i="6"/>
  <c r="BT124" i="6"/>
  <c r="BT230" i="6"/>
  <c r="BS230" i="6"/>
  <c r="BT186" i="6"/>
  <c r="BS186" i="6"/>
  <c r="BT157" i="6"/>
  <c r="BS157" i="6"/>
  <c r="BT31" i="6"/>
  <c r="BS31" i="6"/>
  <c r="BS229" i="6"/>
  <c r="BT229" i="6"/>
  <c r="F245" i="23"/>
  <c r="G245" i="23" s="1"/>
  <c r="F246" i="23"/>
  <c r="G246" i="23" s="1"/>
  <c r="BT97" i="6"/>
  <c r="BS97" i="6"/>
  <c r="F222" i="23"/>
  <c r="G222" i="23" s="1"/>
  <c r="BS41" i="6"/>
  <c r="BT41" i="6"/>
  <c r="F244" i="23"/>
  <c r="G244" i="23" s="1"/>
  <c r="BT188" i="6"/>
  <c r="BS188" i="6"/>
  <c r="BT154" i="6"/>
  <c r="BS154" i="6"/>
  <c r="BS70" i="6"/>
  <c r="BT70" i="6"/>
  <c r="BT58" i="6"/>
  <c r="BS58" i="6"/>
  <c r="BT133" i="6"/>
  <c r="BS133" i="6"/>
  <c r="BS149" i="6"/>
  <c r="BT149" i="6"/>
  <c r="BT112" i="6"/>
  <c r="BS112" i="6"/>
  <c r="BT243" i="6"/>
  <c r="BS243" i="6"/>
  <c r="BT52" i="6"/>
  <c r="BS52" i="6"/>
  <c r="BS213" i="6"/>
  <c r="BT213" i="6"/>
  <c r="BS73" i="6"/>
  <c r="BT73" i="6"/>
  <c r="BT204" i="6"/>
  <c r="BS204" i="6"/>
  <c r="BT165" i="6"/>
  <c r="BS165" i="6"/>
  <c r="BT6" i="6"/>
  <c r="BS6" i="6"/>
  <c r="BS170" i="6"/>
  <c r="BT170" i="6"/>
  <c r="BS218" i="6"/>
  <c r="BT218" i="6"/>
  <c r="BS142" i="6"/>
  <c r="BT142" i="6"/>
  <c r="BT175" i="6"/>
  <c r="BS175" i="6"/>
  <c r="BT180" i="6"/>
  <c r="BS180" i="6"/>
  <c r="BS67" i="6"/>
  <c r="BT67" i="6"/>
  <c r="BT22" i="6"/>
  <c r="BS22" i="6"/>
  <c r="BS61" i="6"/>
  <c r="BT61" i="6"/>
  <c r="F232" i="23"/>
  <c r="G232" i="23" s="1"/>
  <c r="BT49" i="6"/>
  <c r="BS49" i="6"/>
  <c r="BT105" i="6"/>
  <c r="BS105" i="6"/>
  <c r="BT225" i="6"/>
  <c r="BS225" i="6"/>
  <c r="BS51" i="6"/>
  <c r="BT51" i="6"/>
  <c r="BS29" i="6"/>
  <c r="BT29" i="6"/>
  <c r="BT189" i="6"/>
  <c r="BS189" i="6"/>
  <c r="BT200" i="6"/>
  <c r="BS200" i="6"/>
  <c r="BT30" i="6"/>
  <c r="BS30" i="6"/>
  <c r="BS134" i="6"/>
  <c r="BT134" i="6"/>
  <c r="BT20" i="6"/>
  <c r="BS20" i="6"/>
  <c r="F250" i="23"/>
  <c r="G250" i="23" s="1"/>
  <c r="BT40" i="6"/>
  <c r="BS40" i="6"/>
  <c r="BT37" i="6"/>
  <c r="BS37" i="6"/>
  <c r="BT111" i="6"/>
  <c r="BS111" i="6"/>
  <c r="BS83" i="6"/>
  <c r="BT83" i="6"/>
  <c r="BT17" i="6"/>
  <c r="BS17" i="6"/>
  <c r="BS26" i="6"/>
  <c r="BT26" i="6"/>
  <c r="BT167" i="6"/>
  <c r="BS167" i="6"/>
  <c r="BT45" i="6"/>
  <c r="BS45" i="6"/>
  <c r="BT14" i="6"/>
  <c r="BS14" i="6"/>
  <c r="BT92" i="6"/>
  <c r="BS92" i="6"/>
  <c r="F255" i="23"/>
  <c r="G255" i="23" s="1"/>
  <c r="BT43" i="6"/>
  <c r="BS43" i="6"/>
  <c r="F230" i="23"/>
  <c r="G230" i="23" s="1"/>
  <c r="BT108" i="6"/>
  <c r="BS108" i="6"/>
  <c r="BT3" i="6"/>
  <c r="BS3" i="6"/>
  <c r="BS53" i="6"/>
  <c r="BT53" i="6"/>
  <c r="BS77" i="6"/>
  <c r="BT77" i="6"/>
  <c r="BT187" i="6"/>
  <c r="BS187" i="6"/>
  <c r="BS125" i="6"/>
  <c r="BT125" i="6"/>
  <c r="BS227" i="6"/>
  <c r="BT227" i="6"/>
  <c r="BT16" i="6"/>
  <c r="BS16" i="6"/>
  <c r="BT59" i="6"/>
  <c r="BS59" i="6"/>
  <c r="F252" i="23"/>
  <c r="G252" i="23" s="1"/>
  <c r="BT15" i="6"/>
  <c r="BS15" i="6"/>
  <c r="BS100" i="6"/>
  <c r="BT100" i="6"/>
  <c r="BS214" i="6"/>
  <c r="BT214" i="6"/>
  <c r="BT209" i="6"/>
  <c r="BS209" i="6"/>
  <c r="BT177" i="6"/>
  <c r="BS177" i="6"/>
  <c r="BT139" i="6"/>
  <c r="BS139" i="6"/>
  <c r="BT106" i="6"/>
  <c r="BS106" i="6"/>
  <c r="BT36" i="6"/>
  <c r="BS36" i="6"/>
  <c r="BT5" i="6"/>
  <c r="BS5" i="6"/>
  <c r="BT68" i="6"/>
  <c r="BS68" i="6"/>
  <c r="BS69" i="6"/>
  <c r="BT69" i="6"/>
  <c r="BS55" i="6"/>
  <c r="BT55" i="6"/>
  <c r="BT39" i="6"/>
  <c r="BS39" i="6"/>
  <c r="BT119" i="6"/>
  <c r="BS119" i="6"/>
  <c r="BS87" i="6"/>
  <c r="BT87" i="6"/>
  <c r="BT181" i="6"/>
  <c r="BS181" i="6"/>
  <c r="BT155" i="6"/>
  <c r="BS155" i="6"/>
  <c r="BT135" i="6"/>
  <c r="BS135" i="6"/>
  <c r="BT210" i="6"/>
  <c r="BS210" i="6"/>
  <c r="BS33" i="6"/>
  <c r="BT33" i="6"/>
  <c r="F224" i="23"/>
  <c r="G224" i="23" s="1"/>
  <c r="F234" i="23"/>
  <c r="G234" i="23" s="1"/>
  <c r="BT185" i="6"/>
  <c r="BS185" i="6"/>
  <c r="BT212" i="6"/>
  <c r="BS212" i="6"/>
  <c r="BS199" i="6"/>
  <c r="BT199" i="6"/>
  <c r="BT82" i="6"/>
  <c r="BS82" i="6"/>
  <c r="BT91" i="6"/>
  <c r="BS91" i="6"/>
  <c r="F241" i="23"/>
  <c r="G241" i="23" s="1"/>
  <c r="BT85" i="6"/>
  <c r="BS85" i="6"/>
  <c r="BT65" i="6"/>
  <c r="BS65" i="6"/>
  <c r="BT231" i="6"/>
  <c r="BS231" i="6"/>
  <c r="BS120" i="6"/>
  <c r="BT120" i="6"/>
  <c r="BT242" i="6"/>
  <c r="BS242" i="6"/>
  <c r="F242" i="23"/>
  <c r="G242" i="23" s="1"/>
  <c r="BT84" i="6"/>
  <c r="BS84" i="6"/>
  <c r="BS128" i="6"/>
  <c r="BT128" i="6"/>
  <c r="BT98" i="6"/>
  <c r="BS98" i="6"/>
  <c r="BS193" i="6"/>
  <c r="BT193" i="6"/>
  <c r="BT8" i="6"/>
  <c r="BS8" i="6"/>
  <c r="BS203" i="6"/>
  <c r="BT203" i="6"/>
  <c r="BT35" i="6"/>
  <c r="BS35" i="6"/>
  <c r="BS54" i="6"/>
  <c r="BT54" i="6"/>
  <c r="BT80" i="6"/>
  <c r="BS80" i="6"/>
  <c r="BT99" i="6"/>
  <c r="BS99" i="6"/>
  <c r="BS63" i="6"/>
  <c r="BT63" i="6"/>
  <c r="F226" i="23"/>
  <c r="G226" i="23" s="1"/>
  <c r="BT56" i="6"/>
  <c r="BS56" i="6"/>
  <c r="BT11" i="6"/>
  <c r="BS11" i="6"/>
  <c r="BS240" i="6"/>
  <c r="BT240" i="6"/>
  <c r="BT94" i="6"/>
  <c r="BS94" i="6"/>
  <c r="BT191" i="6"/>
  <c r="BS191" i="6"/>
  <c r="BT32" i="6"/>
  <c r="BS32" i="6"/>
  <c r="BT138" i="6"/>
  <c r="BS138" i="6"/>
  <c r="BT126" i="6"/>
  <c r="BS126" i="6"/>
  <c r="BT211" i="6"/>
  <c r="BS211" i="6"/>
  <c r="BT4" i="6"/>
  <c r="BS4" i="6"/>
  <c r="BS66" i="6"/>
  <c r="BT66" i="6"/>
  <c r="BT13" i="6"/>
  <c r="BS13" i="6"/>
  <c r="F258" i="23"/>
  <c r="G258" i="23" s="1"/>
  <c r="BT146" i="6"/>
  <c r="BS146" i="6"/>
  <c r="BT57" i="6"/>
  <c r="BS57" i="6"/>
  <c r="BS234" i="6"/>
  <c r="BT234" i="6"/>
  <c r="BS132" i="6"/>
  <c r="BT132" i="6"/>
  <c r="BT42" i="6"/>
  <c r="BS42" i="6"/>
  <c r="BT235" i="6"/>
  <c r="BS235" i="6"/>
  <c r="BT196" i="6"/>
  <c r="BS196" i="6"/>
  <c r="BT190" i="6"/>
  <c r="BS190" i="6"/>
  <c r="BT81" i="6"/>
  <c r="BS81" i="6"/>
  <c r="BS176" i="6"/>
  <c r="BT176" i="6"/>
  <c r="BS152" i="6"/>
  <c r="BT152" i="6"/>
  <c r="F251" i="23"/>
  <c r="G251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" authorId="0" shapeId="0" xr:uid="{00000000-0006-0000-0500-000008000000}">
      <text>
        <r>
          <rPr>
            <sz val="10"/>
            <color rgb="FF000000"/>
            <rFont val="Arial"/>
            <scheme val="minor"/>
          </rPr>
          <t>he has not working after 15 of april to July</t>
        </r>
      </text>
    </comment>
    <comment ref="BD22" authorId="0" shapeId="0" xr:uid="{00000000-0006-0000-0500-000003000000}">
      <text>
        <r>
          <rPr>
            <sz val="10"/>
            <color rgb="FF000000"/>
            <rFont val="Arial"/>
            <scheme val="minor"/>
          </rPr>
          <t>After 15th April his not working till July</t>
        </r>
      </text>
    </comment>
    <comment ref="AG47" authorId="0" shapeId="0" xr:uid="{00000000-0006-0000-0500-000004000000}">
      <text>
        <r>
          <rPr>
            <sz val="10"/>
            <color rgb="FF000000"/>
            <rFont val="Arial"/>
            <scheme val="minor"/>
          </rPr>
          <t xml:space="preserve">26+25+22+25+22+23+22+21+23+23+21+23
</t>
        </r>
      </text>
    </comment>
    <comment ref="AJ88" authorId="0" shapeId="0" xr:uid="{00000000-0006-0000-0500-000007000000}">
      <text>
        <r>
          <rPr>
            <sz val="10"/>
            <color rgb="FF000000"/>
            <rFont val="Arial"/>
            <scheme val="minor"/>
          </rPr>
          <t>From Aug Month 49810</t>
        </r>
      </text>
    </comment>
    <comment ref="BD88" authorId="0" shapeId="0" xr:uid="{00000000-0006-0000-0500-000001000000}">
      <text>
        <r>
          <rPr>
            <sz val="10"/>
            <color rgb="FF000000"/>
            <rFont val="Arial"/>
            <scheme val="minor"/>
          </rPr>
          <t>=(AJ88*4)+(49810*8)</t>
        </r>
      </text>
    </comment>
    <comment ref="BV88" authorId="0" shapeId="0" xr:uid="{00000000-0006-0000-0500-000005000000}">
      <text>
        <r>
          <rPr>
            <sz val="10"/>
            <color rgb="FF000000"/>
            <rFont val="Arial"/>
            <scheme val="minor"/>
          </rPr>
          <t>From Aug Month 49810</t>
        </r>
      </text>
    </comment>
    <comment ref="BD151" authorId="0" shapeId="0" xr:uid="{00000000-0006-0000-0500-000002000000}">
      <text>
        <r>
          <rPr>
            <sz val="10"/>
            <color rgb="FF000000"/>
            <rFont val="Arial"/>
            <scheme val="minor"/>
          </rPr>
          <t>On leave after 18th July to 31st Aug Due to Heart Attacke</t>
        </r>
      </text>
    </comment>
    <comment ref="BE195" authorId="0" shapeId="0" xr:uid="{00000000-0006-0000-0500-000006000000}">
      <text>
        <r>
          <rPr>
            <sz val="10"/>
            <color rgb="FF000000"/>
            <rFont val="Arial"/>
            <scheme val="minor"/>
          </rPr>
          <t xml:space="preserve">Monthly Sec Target 2000000
</t>
        </r>
      </text>
    </comment>
  </commentList>
</comments>
</file>

<file path=xl/sharedStrings.xml><?xml version="1.0" encoding="utf-8"?>
<sst xmlns="http://schemas.openxmlformats.org/spreadsheetml/2006/main" count="9878" uniqueCount="858">
  <si>
    <t>PTMT (Cistern seat cover)</t>
  </si>
  <si>
    <t>Sink (Cocaroach Traps)</t>
  </si>
  <si>
    <t>HARDWARE</t>
  </si>
  <si>
    <t>SANITARYWARE</t>
  </si>
  <si>
    <t>Geyser</t>
  </si>
  <si>
    <t>Water Tank</t>
  </si>
  <si>
    <t>Name</t>
  </si>
  <si>
    <t>AGRITEC</t>
  </si>
  <si>
    <t>C.P-CDA</t>
  </si>
  <si>
    <t>C.P. 6000 SERIES</t>
  </si>
  <si>
    <t>C.P. 7000 SERIES</t>
  </si>
  <si>
    <t>C.P. 8000 SERIES</t>
  </si>
  <si>
    <t>C.P. 9000 SERIES</t>
  </si>
  <si>
    <t>CISTERNS &amp; SEAT COVERS</t>
  </si>
  <si>
    <t>COCKROACH TRAPS &amp; GRATINGS</t>
  </si>
  <si>
    <t>P.T.M.T. SYMET</t>
  </si>
  <si>
    <t>S.STEEL SINK</t>
  </si>
  <si>
    <t>SWR DRAINTECH</t>
  </si>
  <si>
    <t>UPVC AQUAFRESH</t>
  </si>
  <si>
    <t>WATER HEATER</t>
  </si>
  <si>
    <t>WATER TANKS</t>
  </si>
  <si>
    <t>P.V.C. GARDEN PIPE</t>
  </si>
  <si>
    <t>VIGNETTE</t>
  </si>
  <si>
    <t>C.P. 5000 SERIES</t>
  </si>
  <si>
    <t>Secondary / Primary</t>
  </si>
  <si>
    <t>Total Order</t>
  </si>
  <si>
    <t>Arijit Roychowdhury</t>
  </si>
  <si>
    <t>Debasish Adhikary</t>
  </si>
  <si>
    <t>Kailash Ch. Ghadei</t>
  </si>
  <si>
    <t>Monmon Paul</t>
  </si>
  <si>
    <t>State Head</t>
  </si>
  <si>
    <t>State</t>
  </si>
  <si>
    <t>Headquarter</t>
  </si>
  <si>
    <t>Sasikant Prasad</t>
  </si>
  <si>
    <t>D.O.J</t>
  </si>
  <si>
    <t>Working State</t>
  </si>
  <si>
    <t>Sale 24-25</t>
  </si>
  <si>
    <t>Direct Dealer Target</t>
  </si>
  <si>
    <t>Pravat Kumar Dash</t>
  </si>
  <si>
    <t>Target</t>
  </si>
  <si>
    <t>Order Booking</t>
  </si>
  <si>
    <t>Direct Dealers Order</t>
  </si>
  <si>
    <t>Sale Report 25-26</t>
  </si>
  <si>
    <t>Target Achievement (%)</t>
  </si>
  <si>
    <t>Direct Dealer/Primary target achievement (%)</t>
  </si>
  <si>
    <t>Priyabrata Biswas</t>
  </si>
  <si>
    <t>Target Achievement (%) (Sale)</t>
  </si>
  <si>
    <t>Total Old Retailers</t>
  </si>
  <si>
    <t>Visited Parties</t>
  </si>
  <si>
    <t>New Retailers</t>
  </si>
  <si>
    <t>Number of New Retailers Orders Received</t>
  </si>
  <si>
    <t>Sarbjit Singh Chawla</t>
  </si>
  <si>
    <t>Total Retailers</t>
  </si>
  <si>
    <t>Non Visited Retailers</t>
  </si>
  <si>
    <t>Old Party Business Order Booking</t>
  </si>
  <si>
    <t>New Party Order Booking</t>
  </si>
  <si>
    <t>Business  Achieved  By No. of Old Parties</t>
  </si>
  <si>
    <t>Business  Achieved  By No. of New Parties</t>
  </si>
  <si>
    <t>Business Achieved By</t>
  </si>
  <si>
    <t>Business Achieved By Direct Dealer</t>
  </si>
  <si>
    <t>Total Lead Counters</t>
  </si>
  <si>
    <t>Total Lead Visits</t>
  </si>
  <si>
    <t>Total Non Lead Visits</t>
  </si>
  <si>
    <t>Distributor Counter</t>
  </si>
  <si>
    <t>Distributor Visits</t>
  </si>
  <si>
    <t>Direct Dealer Counter</t>
  </si>
  <si>
    <t>Direct Dealer Visits</t>
  </si>
  <si>
    <t>Soumen Ghosh</t>
  </si>
  <si>
    <t>Distributor/Direct Dealer Lead Counter</t>
  </si>
  <si>
    <t>Distributor/Direct Dealer Lead Visits</t>
  </si>
  <si>
    <t>Active Parties Visits</t>
  </si>
  <si>
    <t>Total Visits</t>
  </si>
  <si>
    <t>Working Days</t>
  </si>
  <si>
    <t>Average Order Per Day</t>
  </si>
  <si>
    <t>Average Visit Per Day</t>
  </si>
  <si>
    <t>CTC</t>
  </si>
  <si>
    <t>T.A. Bill ST. Cost</t>
  </si>
  <si>
    <t>Cost Ratio (%)</t>
  </si>
  <si>
    <t>Business Per Retailer</t>
  </si>
  <si>
    <t>No of Orders</t>
  </si>
  <si>
    <t>Total Working Hours</t>
  </si>
  <si>
    <t>Sudipta Thom</t>
  </si>
  <si>
    <t>Total GPS KM</t>
  </si>
  <si>
    <t>Avg Distance (KM)</t>
  </si>
  <si>
    <t>Business Received Parties Visits</t>
  </si>
  <si>
    <t>Sujan Ghata</t>
  </si>
  <si>
    <t>Visited But No Business Received</t>
  </si>
  <si>
    <t>No Visit No Business Received</t>
  </si>
  <si>
    <t>Left Date</t>
  </si>
  <si>
    <t>REMARKS</t>
  </si>
  <si>
    <t>Difference</t>
  </si>
  <si>
    <t>Surojit Mondal</t>
  </si>
  <si>
    <t>Suven Sengupta</t>
  </si>
  <si>
    <t>Sujeet Singh</t>
  </si>
  <si>
    <t>TOTAL</t>
  </si>
  <si>
    <t>S.Tirumala Rao</t>
  </si>
  <si>
    <t>Jithender Reddy Katukuri</t>
  </si>
  <si>
    <t>Shaik Jani basha</t>
  </si>
  <si>
    <t>Amey Deodhar</t>
  </si>
  <si>
    <t>Devdutt Joshi</t>
  </si>
  <si>
    <t>No. Of Active Team Members</t>
  </si>
  <si>
    <t>Left Team Members</t>
  </si>
  <si>
    <t>Total</t>
  </si>
  <si>
    <t>Sudip Guha Roy</t>
  </si>
  <si>
    <t>Rajan Srivastava</t>
  </si>
  <si>
    <t>Vishal Dheer</t>
  </si>
  <si>
    <t>Ravi Kumar Verma</t>
  </si>
  <si>
    <t>Jitender Birla</t>
  </si>
  <si>
    <t>Biju C.O</t>
  </si>
  <si>
    <t>70%-90%</t>
  </si>
  <si>
    <t>Faraz Khan</t>
  </si>
  <si>
    <t>M. Raman</t>
  </si>
  <si>
    <t>Sunil Kumar Pani</t>
  </si>
  <si>
    <t>Pramod Kumar</t>
  </si>
  <si>
    <t>Litan Saha</t>
  </si>
  <si>
    <t>Order Booked</t>
  </si>
  <si>
    <t>K.V.THAMIZHSELVAN</t>
  </si>
  <si>
    <t>Sunil Patel</t>
  </si>
  <si>
    <t>Sandeep Dadheech</t>
  </si>
  <si>
    <t>Suresh Kumar Nair</t>
  </si>
  <si>
    <t>Anant Singh</t>
  </si>
  <si>
    <t>Aqil Rizvi</t>
  </si>
  <si>
    <t>Pradeep Kumar</t>
  </si>
  <si>
    <t>Akash kumar gulhare</t>
  </si>
  <si>
    <t>Lalan Kumar</t>
  </si>
  <si>
    <t>90%-100%</t>
  </si>
  <si>
    <t>Ravi Kumar P (Off Roll)</t>
  </si>
  <si>
    <t>Total Order 24-25</t>
  </si>
  <si>
    <t>Rajesh NN</t>
  </si>
  <si>
    <t>CTC Monthly</t>
  </si>
  <si>
    <t>Target monthly</t>
  </si>
  <si>
    <t>Secondary Target</t>
  </si>
  <si>
    <t>Ashutosh Kumar</t>
  </si>
  <si>
    <t>Dipak Sharma</t>
  </si>
  <si>
    <t>Nitin prasad baghel</t>
  </si>
  <si>
    <t>Hemant kumar srivastava</t>
  </si>
  <si>
    <t>Nasir Hussain Khan</t>
  </si>
  <si>
    <t>Above 100%</t>
  </si>
  <si>
    <t>Prabhakar Pratap Singh</t>
  </si>
  <si>
    <t>Ravinder Puri</t>
  </si>
  <si>
    <t>Rakesh Kumar Sinha</t>
  </si>
  <si>
    <t>Ghaziabad</t>
  </si>
  <si>
    <t>Tejas Lunawat</t>
  </si>
  <si>
    <t>K.Hussain Babu</t>
  </si>
  <si>
    <t>Santanu Kalita</t>
  </si>
  <si>
    <t>Himanshu Sable</t>
  </si>
  <si>
    <t>Arun kumar.S</t>
  </si>
  <si>
    <t>Siddharth Shanker Singh</t>
  </si>
  <si>
    <t>Chandrakant Mandave</t>
  </si>
  <si>
    <t>Satish Shete</t>
  </si>
  <si>
    <t>Neel Kamal choure</t>
  </si>
  <si>
    <t>YOGESH KUMAR</t>
  </si>
  <si>
    <t>PAWAN KUMAR</t>
  </si>
  <si>
    <t>Sandeep Amrut Sonawane</t>
  </si>
  <si>
    <t>Pawan Sharma</t>
  </si>
  <si>
    <t>Below 50%</t>
  </si>
  <si>
    <t>PRATHEESH CC</t>
  </si>
  <si>
    <t>Taninki Ramesh Babu</t>
  </si>
  <si>
    <t>Bhavesh N Ranpara</t>
  </si>
  <si>
    <t>Shiv Kumar Patel</t>
  </si>
  <si>
    <t>Prashant Onam Naik</t>
  </si>
  <si>
    <t>No Target</t>
  </si>
  <si>
    <t>Amit Damodhar Jadhav</t>
  </si>
  <si>
    <t>Delhi</t>
  </si>
  <si>
    <t>Om dutt Dwivedi</t>
  </si>
  <si>
    <t>Jagdish Palani</t>
  </si>
  <si>
    <t>J.Kamal Kishore</t>
  </si>
  <si>
    <t>Subhajit Koley</t>
  </si>
  <si>
    <t>Shanker Singh</t>
  </si>
  <si>
    <t>RAVI KUMAR .</t>
  </si>
  <si>
    <t>Prasun Chatterjee</t>
  </si>
  <si>
    <t>Santosh Kumar dixit</t>
  </si>
  <si>
    <t>Ranveer Singh</t>
  </si>
  <si>
    <t>Vikash Kumar Singh</t>
  </si>
  <si>
    <t>Akash Santra</t>
  </si>
  <si>
    <t>Tushar Ravindra Kanthale</t>
  </si>
  <si>
    <t>Vibhor Mathur</t>
  </si>
  <si>
    <t>Sulinder Pal</t>
  </si>
  <si>
    <t>S. Thiyagarajan</t>
  </si>
  <si>
    <t>Gonesh Dey</t>
  </si>
  <si>
    <t>Jagdev</t>
  </si>
  <si>
    <t>Roni Gupta</t>
  </si>
  <si>
    <t>Mathura</t>
  </si>
  <si>
    <t>SUMANTA SINGHA</t>
  </si>
  <si>
    <t>Rajkumar Dari</t>
  </si>
  <si>
    <t>Gourav Trivedi</t>
  </si>
  <si>
    <t>Rajesh Chakraborty</t>
  </si>
  <si>
    <t>Saurav Kumar</t>
  </si>
  <si>
    <t>Gulab singh</t>
  </si>
  <si>
    <t>Sujit Das</t>
  </si>
  <si>
    <t>ARUPANANDA MANDAL</t>
  </si>
  <si>
    <t>Unnam Nivas</t>
  </si>
  <si>
    <t>Tafazul Nazir</t>
  </si>
  <si>
    <t>Rounak Mehla</t>
  </si>
  <si>
    <t>Dinesh Kumar Kaushik</t>
  </si>
  <si>
    <t>Siddharth Srivastava</t>
  </si>
  <si>
    <t>Pawan Kumar Sharma</t>
  </si>
  <si>
    <t>Vikash Kumar Paswan</t>
  </si>
  <si>
    <t>Kailash Verma</t>
  </si>
  <si>
    <t>Dikart Kumar Borah</t>
  </si>
  <si>
    <t>Sourav Samanta</t>
  </si>
  <si>
    <t>Syed Aqil Rizvi</t>
  </si>
  <si>
    <t>Biswajit Roy</t>
  </si>
  <si>
    <t>Nandkishor Upadhyay</t>
  </si>
  <si>
    <t>Ajeet Yadav</t>
  </si>
  <si>
    <t>Vishal Kumar Gaurav</t>
  </si>
  <si>
    <t>West U.P</t>
  </si>
  <si>
    <t>Manish Gupta</t>
  </si>
  <si>
    <t>AMAN KHAN</t>
  </si>
  <si>
    <t>South East Delhi</t>
  </si>
  <si>
    <t>Rajat Chowdhury</t>
  </si>
  <si>
    <t>Saqib juned</t>
  </si>
  <si>
    <t>Vijay Dnyaneshwar</t>
  </si>
  <si>
    <t>VIVEK SHANKAR</t>
  </si>
  <si>
    <t>prashant Singh Chauhan</t>
  </si>
  <si>
    <t>Sudhanshu Kumar</t>
  </si>
  <si>
    <t>Ranjeet Kumar</t>
  </si>
  <si>
    <t>Arun Sharma</t>
  </si>
  <si>
    <t>Christopher Swamy</t>
  </si>
  <si>
    <t>DIBYENDU SAHA</t>
  </si>
  <si>
    <t>Vishant Bandhral</t>
  </si>
  <si>
    <t>AVINASH KUMAR</t>
  </si>
  <si>
    <t>Kumar Avinish</t>
  </si>
  <si>
    <t>Gaurav Kumar</t>
  </si>
  <si>
    <t>SRAVAN KUMAR SHARMA</t>
  </si>
  <si>
    <t>Navshaver Singh</t>
  </si>
  <si>
    <t>Hrusikesh Satapathy</t>
  </si>
  <si>
    <t>Tankeswor Barman</t>
  </si>
  <si>
    <t>Karuppasamy R</t>
  </si>
  <si>
    <t>Ashok Das</t>
  </si>
  <si>
    <t>Rinku</t>
  </si>
  <si>
    <t>Ranjit Kumar</t>
  </si>
  <si>
    <t>NARAYAN BAISHYA</t>
  </si>
  <si>
    <t>Moradabad</t>
  </si>
  <si>
    <t>Kaushal Sharma</t>
  </si>
  <si>
    <t>ATANU PAUL</t>
  </si>
  <si>
    <t>Dhiraj Ravindra Patle</t>
  </si>
  <si>
    <t>Amit Tangri</t>
  </si>
  <si>
    <t>Prashant Kumar</t>
  </si>
  <si>
    <t>NIkhil Patial</t>
  </si>
  <si>
    <t>SHYAM KUMAR MISHRA</t>
  </si>
  <si>
    <t>Manas Ranjan Das</t>
  </si>
  <si>
    <t>ANAND BHAGWAN MORE</t>
  </si>
  <si>
    <t>Ajay Morthad</t>
  </si>
  <si>
    <t>Basit Ahmad Pala</t>
  </si>
  <si>
    <t>Sudip Sarkar</t>
  </si>
  <si>
    <t>D. Chand Basha</t>
  </si>
  <si>
    <t>Arif Khan</t>
  </si>
  <si>
    <t>Sandeep Mishra</t>
  </si>
  <si>
    <t>A.Prasath</t>
  </si>
  <si>
    <t>Wasim Ahmad</t>
  </si>
  <si>
    <t>Syed Sohel Hashmi</t>
  </si>
  <si>
    <t>Mithun N.</t>
  </si>
  <si>
    <t>Girish B</t>
  </si>
  <si>
    <t>Adarsh Gaurav</t>
  </si>
  <si>
    <t>Roshan Srivastava</t>
  </si>
  <si>
    <t>Ashutosh Kumar (Rudrapur)</t>
  </si>
  <si>
    <t>Madan Joshi</t>
  </si>
  <si>
    <t>Ram Shankar Mishra</t>
  </si>
  <si>
    <t>Rudrapur</t>
  </si>
  <si>
    <t>Himanshu Sharma</t>
  </si>
  <si>
    <t>Kunal Sanjay Sasane</t>
  </si>
  <si>
    <t>Chauhan B M B</t>
  </si>
  <si>
    <t>Kanhaiya Lal Salvi</t>
  </si>
  <si>
    <t>Prashantha M</t>
  </si>
  <si>
    <t>Shashishekar J.P.</t>
  </si>
  <si>
    <t>Deependra Singh</t>
  </si>
  <si>
    <t>Ankur Srivastava</t>
  </si>
  <si>
    <t>Malay Paul</t>
  </si>
  <si>
    <t>Dasari Adiseshu</t>
  </si>
  <si>
    <t>Saibulla S.</t>
  </si>
  <si>
    <t>Sandeep Kanaujiya</t>
  </si>
  <si>
    <t>RUDRAPRAKASH JANA</t>
  </si>
  <si>
    <t>Nikhil Kumar</t>
  </si>
  <si>
    <t>Vijay Kumar</t>
  </si>
  <si>
    <t>Dinesh Kumar</t>
  </si>
  <si>
    <t>Pradip Laxman Biradar</t>
  </si>
  <si>
    <t>Manoj Yadav</t>
  </si>
  <si>
    <t>C Navaneetha Krishnan</t>
  </si>
  <si>
    <t>Ritesh Thakur</t>
  </si>
  <si>
    <t>Arvind Kumar</t>
  </si>
  <si>
    <t>Sushanta Barman</t>
  </si>
  <si>
    <t>MOHAMMED HASHIR PACHEERI</t>
  </si>
  <si>
    <t>Ameerali Ek (Off Roll)</t>
  </si>
  <si>
    <t>Akash Deep</t>
  </si>
  <si>
    <t>Ravi (Faridabad)</t>
  </si>
  <si>
    <t>Uttarakhand</t>
  </si>
  <si>
    <t>Vikash Gour</t>
  </si>
  <si>
    <t>Pawan Kumar.</t>
  </si>
  <si>
    <t>Subhash</t>
  </si>
  <si>
    <t>Arjunkumar K M</t>
  </si>
  <si>
    <t>Faridabad</t>
  </si>
  <si>
    <t>Anil Kant Dadhich</t>
  </si>
  <si>
    <t>Jagdeep Singh</t>
  </si>
  <si>
    <t>Irfan Ahmad Wani</t>
  </si>
  <si>
    <t>Susovan Singha</t>
  </si>
  <si>
    <t>Brinder Singh</t>
  </si>
  <si>
    <t>Riyas V</t>
  </si>
  <si>
    <t>Ranjeet Kumar.</t>
  </si>
  <si>
    <t>Ravi Kant Mahato</t>
  </si>
  <si>
    <t>Ashok Kumar</t>
  </si>
  <si>
    <t>Ganesh Kumar</t>
  </si>
  <si>
    <t>Durgesh Kumar Jangid</t>
  </si>
  <si>
    <t>Rathod Vijaybhai</t>
  </si>
  <si>
    <t>Indrajit Ghosh</t>
  </si>
  <si>
    <t>Mrityunjoy Das</t>
  </si>
  <si>
    <t>V. Rajesh</t>
  </si>
  <si>
    <t>Kartik Kumar</t>
  </si>
  <si>
    <t>Paramjeet</t>
  </si>
  <si>
    <t>Ashokraj A.</t>
  </si>
  <si>
    <t>Jitendra Kumar Yadav</t>
  </si>
  <si>
    <t>Pradeep Rajak</t>
  </si>
  <si>
    <t>Riyas Khan Y</t>
  </si>
  <si>
    <t>Shafeeq Parengal</t>
  </si>
  <si>
    <t>Rahul (Tohana)</t>
  </si>
  <si>
    <t>Shuvadip Ghosh</t>
  </si>
  <si>
    <t>Rohit Kumar</t>
  </si>
  <si>
    <t>SANOJ M.</t>
  </si>
  <si>
    <t>RAMESH PARSHURAM OAK</t>
  </si>
  <si>
    <t>KARAN SINGH PANWAR</t>
  </si>
  <si>
    <t>SHOYKARAN NAI</t>
  </si>
  <si>
    <t>AKASH SHARAN</t>
  </si>
  <si>
    <t>Sudip Banerjee</t>
  </si>
  <si>
    <t>Shivam Chauhan</t>
  </si>
  <si>
    <t>Rahul Ramchandra Bhosale</t>
  </si>
  <si>
    <t>SREERAJ PV</t>
  </si>
  <si>
    <t>JAHIR ABBAS HALDER</t>
  </si>
  <si>
    <t>Praveen Pandey</t>
  </si>
  <si>
    <t>ADITYA YADAV</t>
  </si>
  <si>
    <t>CHANGAL CHANDEEP</t>
  </si>
  <si>
    <t>Swapnil Rajput</t>
  </si>
  <si>
    <t>Jijo</t>
  </si>
  <si>
    <t>Rajeev Kumar (HP)</t>
  </si>
  <si>
    <t>Pradeep Kumar Dwivedi</t>
  </si>
  <si>
    <t>Vikas Kumar (Bareilly)</t>
  </si>
  <si>
    <t>Sachin Yadav</t>
  </si>
  <si>
    <t>Rajesh Patel</t>
  </si>
  <si>
    <t>Sathish Kumar A</t>
  </si>
  <si>
    <t>Ishant</t>
  </si>
  <si>
    <t>Manish Kumar Trivedi</t>
  </si>
  <si>
    <t>Neeraj</t>
  </si>
  <si>
    <t>Sunil Kumar</t>
  </si>
  <si>
    <t>Ankit Kumar</t>
  </si>
  <si>
    <t>Shubham Shukla</t>
  </si>
  <si>
    <t>Dhaval Parmar</t>
  </si>
  <si>
    <t>Aniket Maheshwari</t>
  </si>
  <si>
    <t>Milind Ashok Sadanand</t>
  </si>
  <si>
    <t>Anirban Biswas</t>
  </si>
  <si>
    <t>Tarun Giri</t>
  </si>
  <si>
    <t>K Suresh Kumar</t>
  </si>
  <si>
    <t>Deep Kumar</t>
  </si>
  <si>
    <t>Aditya Dasgupta</t>
  </si>
  <si>
    <t>Pawan Kumar Pareek (Off-Roll)</t>
  </si>
  <si>
    <t>Amruth Shivappa Banakar</t>
  </si>
  <si>
    <t>Shakti Raj</t>
  </si>
  <si>
    <t>Suman Mondal</t>
  </si>
  <si>
    <t>Delhi NCR</t>
  </si>
  <si>
    <t>Haridwar</t>
  </si>
  <si>
    <t>Aligarh</t>
  </si>
  <si>
    <t>Odisha</t>
  </si>
  <si>
    <t>Meerut</t>
  </si>
  <si>
    <t>Abohar</t>
  </si>
  <si>
    <t>West Bengal</t>
  </si>
  <si>
    <t>Active</t>
  </si>
  <si>
    <t>Punjab</t>
  </si>
  <si>
    <t>Ludhiana</t>
  </si>
  <si>
    <t>Bharatpur</t>
  </si>
  <si>
    <t>Rajasthan</t>
  </si>
  <si>
    <t>Chittorgarh</t>
  </si>
  <si>
    <t>Karnal</t>
  </si>
  <si>
    <t>Haryana</t>
  </si>
  <si>
    <t>Neemrana</t>
  </si>
  <si>
    <t>Bihar</t>
  </si>
  <si>
    <t>Churu</t>
  </si>
  <si>
    <t>Sonipat</t>
  </si>
  <si>
    <t>Andhra Pradesh</t>
  </si>
  <si>
    <t>Ateli-Mahendragarh</t>
  </si>
  <si>
    <t>Jaipur</t>
  </si>
  <si>
    <t>Telangana</t>
  </si>
  <si>
    <t>Jammu</t>
  </si>
  <si>
    <t>Salary month / target count</t>
  </si>
  <si>
    <t>Order Booking 2024-2025</t>
  </si>
  <si>
    <t>Primary Target</t>
  </si>
  <si>
    <t>Achievement</t>
  </si>
  <si>
    <t>Direct Dealers order</t>
  </si>
  <si>
    <t>Visited in a Month</t>
  </si>
  <si>
    <t>Business Achived By No. of Old Parties</t>
  </si>
  <si>
    <t>Business Achived By No. of New Parties</t>
  </si>
  <si>
    <t>Average Sales Per Day</t>
  </si>
  <si>
    <t>New Party Orders</t>
  </si>
  <si>
    <t>Active/ Left</t>
  </si>
  <si>
    <t>old new</t>
  </si>
  <si>
    <t>Target range</t>
  </si>
  <si>
    <t>mar</t>
  </si>
  <si>
    <t>days calculation</t>
  </si>
  <si>
    <t>Monthy Direct Dealer Primary Target</t>
  </si>
  <si>
    <t xml:space="preserve">Direct Dealer Primary Target </t>
  </si>
  <si>
    <t>Total target</t>
  </si>
  <si>
    <t>rEMARKS</t>
  </si>
  <si>
    <t>q1</t>
  </si>
  <si>
    <t>q2</t>
  </si>
  <si>
    <t>q3</t>
  </si>
  <si>
    <t>q4</t>
  </si>
  <si>
    <t>Cost Ratio (%)Sale</t>
  </si>
  <si>
    <t>ctc  2025</t>
  </si>
  <si>
    <t>designation</t>
  </si>
  <si>
    <t>emp code</t>
  </si>
  <si>
    <t>Old</t>
  </si>
  <si>
    <t>New</t>
  </si>
  <si>
    <t>Left</t>
  </si>
  <si>
    <t>BELOW 60 DEALER</t>
  </si>
  <si>
    <t>BUSINESS Achieved 50% AND ABOVE</t>
  </si>
  <si>
    <t>BUSINESS RECEIVED  TOTAL VISITS</t>
  </si>
  <si>
    <t>VISITED BUT BUSINESS NOT RECEIVED TOTAL VISITS</t>
  </si>
  <si>
    <t>PARTIES NOT VISITED</t>
  </si>
  <si>
    <t>Varitaion</t>
  </si>
  <si>
    <t>Remarks</t>
  </si>
  <si>
    <t>Secon</t>
  </si>
  <si>
    <t>prima</t>
  </si>
  <si>
    <t>WEST BENGAL</t>
  </si>
  <si>
    <t>KOLKATA</t>
  </si>
  <si>
    <t>JAMMU AND KASHMIR</t>
  </si>
  <si>
    <t>Srinagar</t>
  </si>
  <si>
    <t>Primary</t>
  </si>
  <si>
    <t>Udhampur</t>
  </si>
  <si>
    <t>Sr. Area Sales Manager</t>
  </si>
  <si>
    <t>Apr</t>
  </si>
  <si>
    <t>Anantnag</t>
  </si>
  <si>
    <t>Secondary</t>
  </si>
  <si>
    <t>Area Sales Manager</t>
  </si>
  <si>
    <t>May</t>
  </si>
  <si>
    <t>East U.P</t>
  </si>
  <si>
    <t>East U.P, MADHYA PRADESH</t>
  </si>
  <si>
    <t>Varanasi</t>
  </si>
  <si>
    <t>Regional Sales Manager</t>
  </si>
  <si>
    <t>Jun</t>
  </si>
  <si>
    <t>Tamil Nadu</t>
  </si>
  <si>
    <t>Trichy</t>
  </si>
  <si>
    <t>Chattisgarh</t>
  </si>
  <si>
    <t>ANDAL</t>
  </si>
  <si>
    <t>Jul</t>
  </si>
  <si>
    <t>Aug</t>
  </si>
  <si>
    <t>ODISHA</t>
  </si>
  <si>
    <t>Maharashtra</t>
  </si>
  <si>
    <t>CUTTACK</t>
  </si>
  <si>
    <t>Sr. Executive - Sales &amp; Mktg.</t>
  </si>
  <si>
    <t>Sep</t>
  </si>
  <si>
    <t>BIHAR</t>
  </si>
  <si>
    <t>Motihari</t>
  </si>
  <si>
    <t>Madurai</t>
  </si>
  <si>
    <t>Gujarat</t>
  </si>
  <si>
    <t>Oct</t>
  </si>
  <si>
    <t>MEDNIPORE</t>
  </si>
  <si>
    <t>Virudhunagar</t>
  </si>
  <si>
    <t>Nov</t>
  </si>
  <si>
    <t>BALASORE</t>
  </si>
  <si>
    <t>Hubli</t>
  </si>
  <si>
    <t>Dec</t>
  </si>
  <si>
    <t>Himachal Pradesh</t>
  </si>
  <si>
    <t>Faizbad</t>
  </si>
  <si>
    <t>Karnataka</t>
  </si>
  <si>
    <t>PALAKKAD</t>
  </si>
  <si>
    <t>Assistant Area Sales Manager</t>
  </si>
  <si>
    <t>Jan</t>
  </si>
  <si>
    <t>BANKURA</t>
  </si>
  <si>
    <t>Kerala</t>
  </si>
  <si>
    <t>Feb</t>
  </si>
  <si>
    <t>Kasaragod</t>
  </si>
  <si>
    <t>Jharkhand</t>
  </si>
  <si>
    <t>Madhya Pradesh</t>
  </si>
  <si>
    <t>MADHYA PRADESH</t>
  </si>
  <si>
    <t>Indore</t>
  </si>
  <si>
    <t>Mar</t>
  </si>
  <si>
    <t>ANDHRA PRADESH</t>
  </si>
  <si>
    <t>Srikakulam</t>
  </si>
  <si>
    <t>Malappuram</t>
  </si>
  <si>
    <t>Executive - Sales &amp; Mkt.</t>
  </si>
  <si>
    <t>BHUBANESWAR</t>
  </si>
  <si>
    <t>Pattambi</t>
  </si>
  <si>
    <t>KARNATAKA, MAHARASHTRA</t>
  </si>
  <si>
    <t>Miraj (Mh)</t>
  </si>
  <si>
    <t>Maharashtra 2</t>
  </si>
  <si>
    <t>GUJARAT</t>
  </si>
  <si>
    <t>Baroda</t>
  </si>
  <si>
    <t>North East</t>
  </si>
  <si>
    <t>MECHADA</t>
  </si>
  <si>
    <t>TELANGANA</t>
  </si>
  <si>
    <t>Warangal</t>
  </si>
  <si>
    <t>On leave after 15th April to 5th Aug Due to Accident</t>
  </si>
  <si>
    <t>Manjeri</t>
  </si>
  <si>
    <t>Andal</t>
  </si>
  <si>
    <t>Bhopal</t>
  </si>
  <si>
    <t>Vijayawada</t>
  </si>
  <si>
    <t>Balasore</t>
  </si>
  <si>
    <t>PONDICHERRY, TAMIL NADU</t>
  </si>
  <si>
    <t>Purnea</t>
  </si>
  <si>
    <t>Raurkela</t>
  </si>
  <si>
    <t>ARUNACHAL PRADESH, ASSAM, MANIPUR, MEGHALAYA, MIZORAM, NAGALAND, SIKKIM, TRIPURA</t>
  </si>
  <si>
    <t>Agartala</t>
  </si>
  <si>
    <t>TAMIL NADU</t>
  </si>
  <si>
    <t>VELLORE</t>
  </si>
  <si>
    <t>Sr. Executive</t>
  </si>
  <si>
    <t>Kakinada</t>
  </si>
  <si>
    <t>Aurangabad</t>
  </si>
  <si>
    <t>CHATTISGARH</t>
  </si>
  <si>
    <t>Bilaspur</t>
  </si>
  <si>
    <t>KERALA</t>
  </si>
  <si>
    <t>Palakkad</t>
  </si>
  <si>
    <t>Tirupati</t>
  </si>
  <si>
    <t>JHARKHAND</t>
  </si>
  <si>
    <t>Dhanbad</t>
  </si>
  <si>
    <t>Raipur</t>
  </si>
  <si>
    <t>Nizamabad</t>
  </si>
  <si>
    <t>Gorakhpur</t>
  </si>
  <si>
    <t>Patna</t>
  </si>
  <si>
    <t>BIHAR, JHARKHAND</t>
  </si>
  <si>
    <t>Deoghar</t>
  </si>
  <si>
    <t>MAHARASHTRA</t>
  </si>
  <si>
    <t>Pune</t>
  </si>
  <si>
    <t>Hyderabad</t>
  </si>
  <si>
    <t>Tezpur</t>
  </si>
  <si>
    <t>Amravati</t>
  </si>
  <si>
    <t>Salem</t>
  </si>
  <si>
    <t>Prayagraj (Allahabad)</t>
  </si>
  <si>
    <t>Latur</t>
  </si>
  <si>
    <t>Jabalpur</t>
  </si>
  <si>
    <t>JAMMU</t>
  </si>
  <si>
    <t>Dhule</t>
  </si>
  <si>
    <t>Rewa</t>
  </si>
  <si>
    <t>ARUNACHAL PRADESH, ASSAM, MANIPUR, MEGHALAYA, MIZORAM, NAGALAND, ODISHA, SIKKIM, TRIPURA</t>
  </si>
  <si>
    <t>Silchar</t>
  </si>
  <si>
    <t>Lucknow</t>
  </si>
  <si>
    <t>Palanpur</t>
  </si>
  <si>
    <t>Mecheda</t>
  </si>
  <si>
    <t>DELHI</t>
  </si>
  <si>
    <t>Farrukhabad</t>
  </si>
  <si>
    <t>Palamu</t>
  </si>
  <si>
    <t>Mumbai</t>
  </si>
  <si>
    <t>Burdwan</t>
  </si>
  <si>
    <t>Kolkata</t>
  </si>
  <si>
    <t>Bankura</t>
  </si>
  <si>
    <t>Kanpur</t>
  </si>
  <si>
    <t>HARYANA</t>
  </si>
  <si>
    <t>Ghazipur</t>
  </si>
  <si>
    <t>West Burdwan</t>
  </si>
  <si>
    <t>Ongole</t>
  </si>
  <si>
    <t>Azamgarh</t>
  </si>
  <si>
    <t>Ranaghat</t>
  </si>
  <si>
    <t>ARUNACHAL PRADESH, ASSAM, MANIPUR, MEGHALAYA, MIZORAM, NAGALAND, SIKKIM</t>
  </si>
  <si>
    <t>Nagaon</t>
  </si>
  <si>
    <t>Akola</t>
  </si>
  <si>
    <t>Macheda</t>
  </si>
  <si>
    <t>CHHATARPUR</t>
  </si>
  <si>
    <t>Nadia</t>
  </si>
  <si>
    <t>Jalgaon</t>
  </si>
  <si>
    <t>Ranchi</t>
  </si>
  <si>
    <t>East U.P, UTTARAKHAND</t>
  </si>
  <si>
    <t>Bareilly</t>
  </si>
  <si>
    <t>Hazaribag</t>
  </si>
  <si>
    <t>JHARKHAND, WEST BENGAL</t>
  </si>
  <si>
    <t>Asansol</t>
  </si>
  <si>
    <t>Sultanpur</t>
  </si>
  <si>
    <t>Gaya</t>
  </si>
  <si>
    <t>Gondia</t>
  </si>
  <si>
    <t>Muzaffarpur</t>
  </si>
  <si>
    <t>Chapra</t>
  </si>
  <si>
    <t>Dumka</t>
  </si>
  <si>
    <t>ANDHRA PRADESH, TELANGANA</t>
  </si>
  <si>
    <t>CHANDIGARH, PUNJAB</t>
  </si>
  <si>
    <t>Amritsar</t>
  </si>
  <si>
    <t>Territory Sales Officer</t>
  </si>
  <si>
    <t>Berhampur</t>
  </si>
  <si>
    <t>ASSAM</t>
  </si>
  <si>
    <t>Bongaigaon</t>
  </si>
  <si>
    <t>ASSAM, MEGHALAYA</t>
  </si>
  <si>
    <t>Guwahati</t>
  </si>
  <si>
    <t>PUNJAB</t>
  </si>
  <si>
    <t>RAJASTHAN</t>
  </si>
  <si>
    <t>Hanumangarh</t>
  </si>
  <si>
    <t>JAYANAGAR</t>
  </si>
  <si>
    <t>Bareill</t>
  </si>
  <si>
    <t>HIMACHAL PRADESH</t>
  </si>
  <si>
    <t>Hamirpur</t>
  </si>
  <si>
    <t>Karauli</t>
  </si>
  <si>
    <t>Mandsaur</t>
  </si>
  <si>
    <t>Jamshedpur</t>
  </si>
  <si>
    <t>Bhubaneswar</t>
  </si>
  <si>
    <t>Vizianagaram</t>
  </si>
  <si>
    <t>Gwalior</t>
  </si>
  <si>
    <t>Distributor wise order booking Apr- Mar 2026</t>
  </si>
  <si>
    <t>STATE</t>
  </si>
  <si>
    <t>Birbhum</t>
  </si>
  <si>
    <t>Distributor Count</t>
  </si>
  <si>
    <t>Executive - Sales &amp; Mktg.</t>
  </si>
  <si>
    <t>Anantpur</t>
  </si>
  <si>
    <t>S.NO</t>
  </si>
  <si>
    <t>Distributor Name</t>
  </si>
  <si>
    <t>Assigned Team Member count</t>
  </si>
  <si>
    <t>Team Members Name</t>
  </si>
  <si>
    <t>AVG ORDER Booking</t>
  </si>
  <si>
    <t>Per Person per month</t>
  </si>
  <si>
    <t>Sale 25-26</t>
  </si>
  <si>
    <t>Difference (Order Vs Sale)</t>
  </si>
  <si>
    <t>Difference %</t>
  </si>
  <si>
    <t>Ambikapur</t>
  </si>
  <si>
    <t>Trivandrum</t>
  </si>
  <si>
    <t>Coimbatore</t>
  </si>
  <si>
    <t>Nanded</t>
  </si>
  <si>
    <t>Delhi NCR, HARYANA</t>
  </si>
  <si>
    <t>Rewari</t>
  </si>
  <si>
    <t>Bhagalpur</t>
  </si>
  <si>
    <t>Bikaner</t>
  </si>
  <si>
    <t>Jaunpur</t>
  </si>
  <si>
    <t>Rourkela</t>
  </si>
  <si>
    <t>Kolhapur</t>
  </si>
  <si>
    <t>KARNATAKA</t>
  </si>
  <si>
    <t>Bangalore</t>
  </si>
  <si>
    <t>DELHI, West U.P</t>
  </si>
  <si>
    <t>UTTARAKHAND, West U.P</t>
  </si>
  <si>
    <t>Mangalore</t>
  </si>
  <si>
    <t>Chitradurga</t>
  </si>
  <si>
    <t>KERALA, PONDICHERRY</t>
  </si>
  <si>
    <t>Mahe</t>
  </si>
  <si>
    <t>BIHAR, WEST BENGAL</t>
  </si>
  <si>
    <t>Silliguri</t>
  </si>
  <si>
    <t>Darbhanga</t>
  </si>
  <si>
    <t>On leave after 18th July to 31st Aug Due to Heart Attack</t>
  </si>
  <si>
    <t>Paschim Medinipur</t>
  </si>
  <si>
    <t>Rajkot</t>
  </si>
  <si>
    <t>Katihar</t>
  </si>
  <si>
    <t>Ramanathapuram</t>
  </si>
  <si>
    <t>UTTARAKHAND</t>
  </si>
  <si>
    <t>Dindigul</t>
  </si>
  <si>
    <t>Mandi</t>
  </si>
  <si>
    <t>Kangra</t>
  </si>
  <si>
    <t>South Kolkata</t>
  </si>
  <si>
    <t>Jhunjhunu</t>
  </si>
  <si>
    <t>Sri GangaNagar</t>
  </si>
  <si>
    <t>HARYANA, RAJASTHAN</t>
  </si>
  <si>
    <t>Calicut</t>
  </si>
  <si>
    <t>SIRSA</t>
  </si>
  <si>
    <t>Hoshiarpur</t>
  </si>
  <si>
    <t>Asstt. Regional Sales Manager</t>
  </si>
  <si>
    <t>East Midnapore</t>
  </si>
  <si>
    <t>Mahendergarh</t>
  </si>
  <si>
    <t>Howrah</t>
  </si>
  <si>
    <t>Ayodhya</t>
  </si>
  <si>
    <t>Surat</t>
  </si>
  <si>
    <t>Tirunelveli</t>
  </si>
  <si>
    <t>Telanagana</t>
  </si>
  <si>
    <t>North 24 Parganas</t>
  </si>
  <si>
    <t>Chennai</t>
  </si>
  <si>
    <t>North Delhi</t>
  </si>
  <si>
    <t>Jammu &amp; kashmir</t>
  </si>
  <si>
    <t>Kollam</t>
  </si>
  <si>
    <t>Tohana</t>
  </si>
  <si>
    <t>West Midnapore</t>
  </si>
  <si>
    <t>Chiplun</t>
  </si>
  <si>
    <t>Pali</t>
  </si>
  <si>
    <t>Agra</t>
  </si>
  <si>
    <t>Kannur</t>
  </si>
  <si>
    <t>Hooghly</t>
  </si>
  <si>
    <t>Dadri</t>
  </si>
  <si>
    <t>Nashik</t>
  </si>
  <si>
    <t>Una</t>
  </si>
  <si>
    <t>Ateli</t>
  </si>
  <si>
    <t>He has joined under GVT Department, in 19th Nov his trasfered in the Retail Sales.</t>
  </si>
  <si>
    <t>Mehsana</t>
  </si>
  <si>
    <t>Mandvi</t>
  </si>
  <si>
    <t>Bengaluru</t>
  </si>
  <si>
    <t>Tribeni</t>
  </si>
  <si>
    <t>Agroha</t>
  </si>
  <si>
    <t>Siliguri</t>
  </si>
  <si>
    <t>ARUNACHAL PRADESH, ASSAM</t>
  </si>
  <si>
    <t>Balipara</t>
  </si>
  <si>
    <t>Shivamogga</t>
  </si>
  <si>
    <t>Krishna Nagar</t>
  </si>
  <si>
    <t>New Joinee</t>
  </si>
  <si>
    <t>No. Of Team Members</t>
  </si>
  <si>
    <t>On leave after 15th April to till Date Due to Accident</t>
  </si>
  <si>
    <t>25-26</t>
  </si>
  <si>
    <t>Sate head</t>
  </si>
  <si>
    <t>Reporting Manager</t>
  </si>
  <si>
    <t>31-01-2026</t>
  </si>
  <si>
    <t>0000-00-00</t>
  </si>
  <si>
    <t>16-10-2013</t>
  </si>
  <si>
    <t>15-02-2009</t>
  </si>
  <si>
    <t>17-10-2016</t>
  </si>
  <si>
    <t>19-01-2018</t>
  </si>
  <si>
    <t>21-03-2014</t>
  </si>
  <si>
    <t>30-11-2025</t>
  </si>
  <si>
    <t>26-03-2018</t>
  </si>
  <si>
    <t>20-11-2018</t>
  </si>
  <si>
    <t>GOA, KARNATAKA, MAHARASHTRA</t>
  </si>
  <si>
    <t>15-09-2017</t>
  </si>
  <si>
    <t>16-12-2016</t>
  </si>
  <si>
    <t>30-04-2025</t>
  </si>
  <si>
    <t>31-03-2026</t>
  </si>
  <si>
    <t>28-01-2021</t>
  </si>
  <si>
    <t>27-04-2025</t>
  </si>
  <si>
    <t>18-02-2021</t>
  </si>
  <si>
    <t>20-02-2021</t>
  </si>
  <si>
    <t>19-07-2021</t>
  </si>
  <si>
    <t>16-08-2021</t>
  </si>
  <si>
    <t>GOA, MAHARASHTRA</t>
  </si>
  <si>
    <t>20-09-2021</t>
  </si>
  <si>
    <t>15-07-2025</t>
  </si>
  <si>
    <t>15-03-2022</t>
  </si>
  <si>
    <t>30-08-2025</t>
  </si>
  <si>
    <t>16-05-2022</t>
  </si>
  <si>
    <t>13-09-2025</t>
  </si>
  <si>
    <t>21-09-2022</t>
  </si>
  <si>
    <t>16-12-2022</t>
  </si>
  <si>
    <t>27-01-2023</t>
  </si>
  <si>
    <t>15-07-2024</t>
  </si>
  <si>
    <t>30-09-2025</t>
  </si>
  <si>
    <t>15-03-2023</t>
  </si>
  <si>
    <t>31-08-2025</t>
  </si>
  <si>
    <t>19-03-2025</t>
  </si>
  <si>
    <t>24-04-2023</t>
  </si>
  <si>
    <t>31-10-2025</t>
  </si>
  <si>
    <t>24-05-2025</t>
  </si>
  <si>
    <t>31-07-2025</t>
  </si>
  <si>
    <t>Gangapur</t>
  </si>
  <si>
    <t>16-05-2024</t>
  </si>
  <si>
    <t>20-11-2025</t>
  </si>
  <si>
    <t>15-05-2023</t>
  </si>
  <si>
    <t>23-05-2023</t>
  </si>
  <si>
    <t>25-05-2023</t>
  </si>
  <si>
    <t>31-05-2025</t>
  </si>
  <si>
    <t>22-05-2023</t>
  </si>
  <si>
    <t>17-05-2025</t>
  </si>
  <si>
    <t>21-01-2026</t>
  </si>
  <si>
    <t>17-07-2023</t>
  </si>
  <si>
    <t>14-07-2023</t>
  </si>
  <si>
    <t>15-07-2023</t>
  </si>
  <si>
    <t>31-12-2025</t>
  </si>
  <si>
    <t>14-08-2023</t>
  </si>
  <si>
    <t>21-08-2023</t>
  </si>
  <si>
    <t>15-09-2023</t>
  </si>
  <si>
    <t>18-09-2023</t>
  </si>
  <si>
    <t>13-10-2025</t>
  </si>
  <si>
    <t>18-12-2023</t>
  </si>
  <si>
    <t>20-01-2024</t>
  </si>
  <si>
    <t>18-01-2024</t>
  </si>
  <si>
    <t>22-01-2024</t>
  </si>
  <si>
    <t>21-04-2025</t>
  </si>
  <si>
    <t>29-04-2024</t>
  </si>
  <si>
    <t>18-08-2025</t>
  </si>
  <si>
    <t>20-05-2024</t>
  </si>
  <si>
    <t>22-05-2024</t>
  </si>
  <si>
    <t>17-06-2024</t>
  </si>
  <si>
    <t>19-06-2024</t>
  </si>
  <si>
    <t>30-06-2025</t>
  </si>
  <si>
    <t>21-06-2024</t>
  </si>
  <si>
    <t>24-06-2024</t>
  </si>
  <si>
    <t>28-02-2026</t>
  </si>
  <si>
    <t>29-07-2024</t>
  </si>
  <si>
    <t>13-08-2025</t>
  </si>
  <si>
    <t>19-08-2024</t>
  </si>
  <si>
    <t>14-08-2024</t>
  </si>
  <si>
    <t>16-09-2024</t>
  </si>
  <si>
    <t>18-07-2025</t>
  </si>
  <si>
    <t>18-11-2024</t>
  </si>
  <si>
    <t>13-12-2024</t>
  </si>
  <si>
    <t>14-12-2024</t>
  </si>
  <si>
    <t>20-12-2024</t>
  </si>
  <si>
    <t>15-04-2025</t>
  </si>
  <si>
    <t>25-12-2024</t>
  </si>
  <si>
    <t>13-01-2025</t>
  </si>
  <si>
    <t>DELHI, Delhi NCR</t>
  </si>
  <si>
    <t>20-03-2025</t>
  </si>
  <si>
    <t>17-03-2025</t>
  </si>
  <si>
    <t>19-09-2025</t>
  </si>
  <si>
    <t>14-04-2025</t>
  </si>
  <si>
    <t>24-04-2025</t>
  </si>
  <si>
    <t>18-04-2025</t>
  </si>
  <si>
    <t>14-10-2025</t>
  </si>
  <si>
    <t>16-05-2025</t>
  </si>
  <si>
    <t>20-05-2025</t>
  </si>
  <si>
    <t>19-05-2025</t>
  </si>
  <si>
    <t>27-05-2025</t>
  </si>
  <si>
    <t>17-12-2025</t>
  </si>
  <si>
    <t>16-06-2025</t>
  </si>
  <si>
    <t>14-07-2025</t>
  </si>
  <si>
    <t>18-12-2025</t>
  </si>
  <si>
    <t>20-06-2025</t>
  </si>
  <si>
    <t>23-06-2025</t>
  </si>
  <si>
    <t>13-01-2026</t>
  </si>
  <si>
    <t>24-11-2025</t>
  </si>
  <si>
    <t>21-07-2025</t>
  </si>
  <si>
    <t>24-07-2025</t>
  </si>
  <si>
    <t>16-12-2025</t>
  </si>
  <si>
    <t>23-07-2025</t>
  </si>
  <si>
    <t>21-08-2025</t>
  </si>
  <si>
    <t>25-08-2025</t>
  </si>
  <si>
    <t>17-09-2025</t>
  </si>
  <si>
    <t>22-09-2025</t>
  </si>
  <si>
    <t>24-02-2026</t>
  </si>
  <si>
    <t>Alirajpur</t>
  </si>
  <si>
    <t>17-07-2025</t>
  </si>
  <si>
    <t>19-12-2025</t>
  </si>
  <si>
    <t>18-11-2025</t>
  </si>
  <si>
    <t>19-01-2026</t>
  </si>
  <si>
    <t>16-02-2026</t>
  </si>
  <si>
    <t>18-03-2026</t>
  </si>
  <si>
    <t>20-03-2026</t>
  </si>
  <si>
    <t>State:- Himachal Pradesh</t>
  </si>
  <si>
    <t>Total Team Members</t>
  </si>
  <si>
    <t>Prmary Team Members</t>
  </si>
  <si>
    <t>District</t>
  </si>
  <si>
    <t>Vacant District</t>
  </si>
  <si>
    <t>Secondary Team Members</t>
  </si>
  <si>
    <t>S. No.</t>
  </si>
  <si>
    <t>Active Team Member Count</t>
  </si>
  <si>
    <t>Active Team Member Name</t>
  </si>
  <si>
    <t>Business Recieved User Count</t>
  </si>
  <si>
    <t>Business Recieved User Name</t>
  </si>
  <si>
    <t>Total Dealer</t>
  </si>
  <si>
    <t>Active Dealer</t>
  </si>
  <si>
    <t>QUAA</t>
  </si>
  <si>
    <t>SS HARDWARE</t>
  </si>
  <si>
    <t>THERMEX by PRAYAG</t>
  </si>
  <si>
    <t>CP (6000+7000+8000+9000+ assesories)</t>
  </si>
  <si>
    <t>Plumbing (SWR+AGRi+ UPVC+CPVC PVC Garden)</t>
  </si>
  <si>
    <t>Quaa</t>
  </si>
  <si>
    <t>Bilaspur (HP)</t>
  </si>
  <si>
    <t>NIkhil Patial,Ritesh Thakur,Jagdeep Singh</t>
  </si>
  <si>
    <t>Jagdeep SingH,NIkhil Patial</t>
  </si>
  <si>
    <t>Chamba</t>
  </si>
  <si>
    <t>Hamirpur(HP)</t>
  </si>
  <si>
    <t>Jagdeep Singh,NIkhil Patial</t>
  </si>
  <si>
    <t>NIkhil Patial,Arvind Kumar</t>
  </si>
  <si>
    <t>Arvind Kumar ,NIkhil Patial</t>
  </si>
  <si>
    <t>Kinnaur</t>
  </si>
  <si>
    <t>Kullu</t>
  </si>
  <si>
    <t>Lahul &amp; Spiti</t>
  </si>
  <si>
    <t>Shimla</t>
  </si>
  <si>
    <t>Sirmaur</t>
  </si>
  <si>
    <t>Solan</t>
  </si>
  <si>
    <t>NIkhil Patial,Ritesh Thakur</t>
  </si>
  <si>
    <t>Row Labels</t>
  </si>
  <si>
    <t>Distributor Counters</t>
  </si>
  <si>
    <t>Direct Dealer Counters</t>
  </si>
  <si>
    <t>Distributor/Direct Dealer Lead Counters</t>
  </si>
  <si>
    <t>Active/ left</t>
  </si>
  <si>
    <t>Executive wise Target plan 25-26</t>
  </si>
  <si>
    <t>April</t>
  </si>
  <si>
    <t>June</t>
  </si>
  <si>
    <t>July</t>
  </si>
  <si>
    <r>
      <rPr>
        <u/>
        <sz val="10"/>
        <color rgb="FF1155CC"/>
        <rFont val="Arial, sans-serif"/>
      </rPr>
      <t>Arjunkumar K M</t>
    </r>
  </si>
  <si>
    <t>Riyas Khan</t>
  </si>
  <si>
    <t>shafeek</t>
  </si>
  <si>
    <t>Sreeraj</t>
  </si>
  <si>
    <t>Sanoj</t>
  </si>
  <si>
    <t>Jijo, Ameerali,Riyas, Pratheesh targets is 15 lakhs per month from novemeber onwards</t>
  </si>
  <si>
    <t>Q2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</si>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</sst>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6" formatCode="d\-mmm\-yy"/>
    <numFmt numFmtId="167" formatCode="dd&quot;-&quot;mmm&quot;-&quot;yy"/>
    <numFmt numFmtId="169" formatCode="0.000"/>
    <numFmt numFmtId="170" formatCode="dd\-mmmm\-yy"/>
    <numFmt numFmtId="171" formatCode="d\-mmmm\-yy"/>
    <numFmt numFmtId="172" formatCode="mm\-dd\-yyyy"/>
    <numFmt numFmtId="173" formatCode="m\-d\-yyyy"/>
  </numFmts>
  <fonts count="24">
    <font>
      <sz val="10"/>
      <color rgb="FF000000"/>
      <name val="Arial"/>
      <scheme val="minor"/>
    </font>
    <font>
      <sz val="12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theme="1"/>
      <name val="Arial"/>
    </font>
    <font>
      <b/>
      <sz val="10"/>
      <color theme="1"/>
      <name val="Arial"/>
    </font>
    <font>
      <b/>
      <sz val="12"/>
      <color rgb="FF000000"/>
      <name val="Calibri"/>
    </font>
    <font>
      <b/>
      <sz val="12"/>
      <color theme="1"/>
      <name val="Arial"/>
      <scheme val="minor"/>
    </font>
    <font>
      <sz val="12"/>
      <color theme="1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4"/>
      <color rgb="FF000000"/>
      <name val="Arial"/>
      <scheme val="minor"/>
    </font>
    <font>
      <sz val="9"/>
      <color rgb="FF000000"/>
      <name val="Roboto"/>
    </font>
    <font>
      <b/>
      <sz val="10"/>
      <color theme="1"/>
      <name val="Arial"/>
    </font>
    <font>
      <sz val="11"/>
      <color rgb="FF000000"/>
      <name val="Calibri"/>
    </font>
    <font>
      <b/>
      <sz val="9"/>
      <color theme="1"/>
      <name val="Arial"/>
      <scheme val="minor"/>
    </font>
    <font>
      <sz val="9"/>
      <color rgb="FF000000"/>
      <name val="Calibri"/>
    </font>
    <font>
      <b/>
      <sz val="9"/>
      <color rgb="FF000000"/>
      <name val="Calibri"/>
    </font>
    <font>
      <sz val="10"/>
      <color rgb="FF000000"/>
      <name val="Arial"/>
    </font>
    <font>
      <u/>
      <sz val="10"/>
      <color rgb="FF0000FF"/>
      <name val="Arial"/>
    </font>
    <font>
      <b/>
      <i/>
      <sz val="11"/>
      <color theme="1"/>
      <name val="Calibri"/>
    </font>
    <font>
      <b/>
      <i/>
      <sz val="11"/>
      <color rgb="FF000000"/>
      <name val="Calibri"/>
    </font>
    <font>
      <u/>
      <sz val="10"/>
      <color rgb="FF1155CC"/>
      <name val="Arial, sans-serif"/>
    </font>
  </fonts>
  <fills count="2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E1E9F7"/>
        <bgColor rgb="FFE1E9F7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8DFFAC"/>
        <bgColor rgb="FF8DFFA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CE6F1"/>
        <bgColor rgb="FFDCE6F1"/>
      </patternFill>
    </fill>
    <fill>
      <patternFill patternType="solid">
        <fgColor rgb="FFFFE699"/>
        <bgColor rgb="FFFFE6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0" fontId="1" fillId="0" borderId="0" xfId="0" applyFont="1" applyAlignment="1">
      <alignment horizontal="right"/>
    </xf>
    <xf numFmtId="10" fontId="3" fillId="0" borderId="0" xfId="0" applyNumberFormat="1" applyFont="1"/>
    <xf numFmtId="0" fontId="3" fillId="6" borderId="0" xfId="0" applyFont="1" applyFill="1"/>
    <xf numFmtId="0" fontId="4" fillId="7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0" xfId="0" applyFont="1"/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10" fontId="7" fillId="0" borderId="1" xfId="0" applyNumberFormat="1" applyFont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1" fontId="7" fillId="6" borderId="1" xfId="0" applyNumberFormat="1" applyFont="1" applyFill="1" applyBorder="1" applyAlignment="1">
      <alignment horizontal="center" wrapText="1"/>
    </xf>
    <xf numFmtId="9" fontId="7" fillId="6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/>
    <xf numFmtId="0" fontId="9" fillId="0" borderId="1" xfId="0" applyFont="1" applyBorder="1"/>
    <xf numFmtId="0" fontId="3" fillId="0" borderId="1" xfId="0" applyFont="1" applyBorder="1"/>
    <xf numFmtId="166" fontId="2" fillId="0" borderId="1" xfId="0" applyNumberFormat="1" applyFont="1" applyBorder="1"/>
    <xf numFmtId="3" fontId="10" fillId="0" borderId="1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6" borderId="1" xfId="0" applyFont="1" applyFill="1" applyBorder="1"/>
    <xf numFmtId="1" fontId="3" fillId="0" borderId="1" xfId="0" applyNumberFormat="1" applyFont="1" applyBorder="1"/>
    <xf numFmtId="167" fontId="3" fillId="0" borderId="1" xfId="0" applyNumberFormat="1" applyFont="1" applyBorder="1"/>
    <xf numFmtId="3" fontId="3" fillId="0" borderId="1" xfId="0" applyNumberFormat="1" applyFont="1" applyBorder="1"/>
    <xf numFmtId="0" fontId="5" fillId="9" borderId="0" xfId="0" applyFont="1" applyFill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1" fillId="6" borderId="0" xfId="0" applyFont="1" applyFill="1"/>
    <xf numFmtId="10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9" fontId="1" fillId="0" borderId="0" xfId="0" applyNumberFormat="1" applyFont="1"/>
    <xf numFmtId="1" fontId="1" fillId="0" borderId="0" xfId="0" applyNumberFormat="1" applyFont="1"/>
    <xf numFmtId="0" fontId="7" fillId="10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1" fontId="3" fillId="6" borderId="1" xfId="0" applyNumberFormat="1" applyFont="1" applyFill="1" applyBorder="1"/>
    <xf numFmtId="3" fontId="3" fillId="0" borderId="0" xfId="0" applyNumberFormat="1" applyFont="1"/>
    <xf numFmtId="166" fontId="3" fillId="0" borderId="1" xfId="0" applyNumberFormat="1" applyFont="1" applyBorder="1"/>
    <xf numFmtId="167" fontId="3" fillId="0" borderId="0" xfId="0" applyNumberFormat="1" applyFont="1"/>
    <xf numFmtId="0" fontId="3" fillId="0" borderId="0" xfId="0" applyFont="1" applyAlignment="1">
      <alignment wrapText="1"/>
    </xf>
    <xf numFmtId="169" fontId="1" fillId="0" borderId="0" xfId="0" applyNumberFormat="1" applyFont="1"/>
    <xf numFmtId="166" fontId="1" fillId="0" borderId="0" xfId="0" applyNumberFormat="1" applyFont="1" applyAlignment="1">
      <alignment horizontal="right"/>
    </xf>
    <xf numFmtId="0" fontId="1" fillId="6" borderId="0" xfId="0" applyFont="1" applyFill="1" applyAlignment="1">
      <alignment horizontal="right"/>
    </xf>
    <xf numFmtId="1" fontId="1" fillId="12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13" borderId="0" xfId="0" applyNumberFormat="1" applyFont="1" applyFill="1" applyAlignment="1">
      <alignment horizontal="right"/>
    </xf>
    <xf numFmtId="1" fontId="1" fillId="14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center" vertical="center"/>
    </xf>
    <xf numFmtId="1" fontId="1" fillId="16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3" fontId="1" fillId="15" borderId="0" xfId="0" applyNumberFormat="1" applyFont="1" applyFill="1" applyAlignment="1">
      <alignment horizontal="center" vertical="center" wrapText="1"/>
    </xf>
    <xf numFmtId="1" fontId="1" fillId="15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wrapText="1"/>
    </xf>
    <xf numFmtId="1" fontId="1" fillId="6" borderId="0" xfId="0" applyNumberFormat="1" applyFont="1" applyFill="1" applyAlignment="1">
      <alignment wrapText="1"/>
    </xf>
    <xf numFmtId="1" fontId="1" fillId="0" borderId="0" xfId="0" applyNumberFormat="1" applyFont="1" applyAlignment="1">
      <alignment wrapText="1"/>
    </xf>
    <xf numFmtId="0" fontId="1" fillId="6" borderId="0" xfId="0" applyFont="1" applyFill="1" applyAlignment="1">
      <alignment wrapText="1"/>
    </xf>
    <xf numFmtId="0" fontId="1" fillId="15" borderId="0" xfId="0" applyFont="1" applyFill="1" applyAlignment="1">
      <alignment wrapText="1"/>
    </xf>
    <xf numFmtId="10" fontId="1" fillId="6" borderId="0" xfId="0" applyNumberFormat="1" applyFont="1" applyFill="1" applyAlignment="1">
      <alignment wrapText="1"/>
    </xf>
    <xf numFmtId="10" fontId="1" fillId="17" borderId="0" xfId="0" applyNumberFormat="1" applyFont="1" applyFill="1" applyAlignment="1">
      <alignment wrapText="1"/>
    </xf>
    <xf numFmtId="167" fontId="1" fillId="18" borderId="0" xfId="0" applyNumberFormat="1" applyFont="1" applyFill="1" applyAlignment="1">
      <alignment wrapText="1"/>
    </xf>
    <xf numFmtId="1" fontId="1" fillId="12" borderId="0" xfId="0" applyNumberFormat="1" applyFont="1" applyFill="1" applyAlignment="1">
      <alignment wrapText="1"/>
    </xf>
    <xf numFmtId="1" fontId="1" fillId="13" borderId="0" xfId="0" applyNumberFormat="1" applyFont="1" applyFill="1" applyAlignment="1">
      <alignment wrapText="1"/>
    </xf>
    <xf numFmtId="1" fontId="1" fillId="14" borderId="0" xfId="0" applyNumberFormat="1" applyFont="1" applyFill="1" applyAlignment="1">
      <alignment wrapText="1"/>
    </xf>
    <xf numFmtId="1" fontId="1" fillId="15" borderId="0" xfId="0" applyNumberFormat="1" applyFont="1" applyFill="1" applyAlignment="1">
      <alignment wrapText="1"/>
    </xf>
    <xf numFmtId="1" fontId="1" fillId="16" borderId="0" xfId="0" applyNumberFormat="1" applyFont="1" applyFill="1" applyAlignment="1">
      <alignment wrapText="1"/>
    </xf>
    <xf numFmtId="3" fontId="3" fillId="15" borderId="0" xfId="0" applyNumberFormat="1" applyFont="1" applyFill="1"/>
    <xf numFmtId="0" fontId="1" fillId="0" borderId="0" xfId="0" applyFont="1" applyAlignment="1">
      <alignment horizontal="left" wrapText="1"/>
    </xf>
    <xf numFmtId="1" fontId="1" fillId="6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15" borderId="0" xfId="0" applyNumberFormat="1" applyFont="1" applyFill="1" applyAlignment="1">
      <alignment horizontal="right"/>
    </xf>
    <xf numFmtId="3" fontId="1" fillId="6" borderId="0" xfId="0" applyNumberFormat="1" applyFont="1" applyFill="1" applyAlignment="1">
      <alignment horizontal="right"/>
    </xf>
    <xf numFmtId="10" fontId="3" fillId="6" borderId="1" xfId="0" applyNumberFormat="1" applyFont="1" applyFill="1" applyBorder="1"/>
    <xf numFmtId="1" fontId="11" fillId="6" borderId="1" xfId="0" applyNumberFormat="1" applyFont="1" applyFill="1" applyBorder="1" applyAlignment="1">
      <alignment horizontal="center"/>
    </xf>
    <xf numFmtId="10" fontId="1" fillId="17" borderId="0" xfId="0" applyNumberFormat="1" applyFont="1" applyFill="1" applyAlignment="1">
      <alignment horizontal="right"/>
    </xf>
    <xf numFmtId="0" fontId="11" fillId="6" borderId="1" xfId="0" applyFont="1" applyFill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" fillId="6" borderId="0" xfId="0" applyNumberFormat="1" applyFont="1" applyFill="1"/>
    <xf numFmtId="167" fontId="1" fillId="18" borderId="0" xfId="0" applyNumberFormat="1" applyFont="1" applyFill="1"/>
    <xf numFmtId="0" fontId="1" fillId="12" borderId="0" xfId="0" applyFont="1" applyFill="1"/>
    <xf numFmtId="1" fontId="1" fillId="13" borderId="0" xfId="0" applyNumberFormat="1" applyFont="1" applyFill="1"/>
    <xf numFmtId="1" fontId="1" fillId="14" borderId="0" xfId="0" applyNumberFormat="1" applyFont="1" applyFill="1"/>
    <xf numFmtId="1" fontId="1" fillId="12" borderId="0" xfId="0" applyNumberFormat="1" applyFont="1" applyFill="1"/>
    <xf numFmtId="1" fontId="1" fillId="15" borderId="0" xfId="0" applyNumberFormat="1" applyFont="1" applyFill="1"/>
    <xf numFmtId="10" fontId="1" fillId="0" borderId="0" xfId="0" applyNumberFormat="1" applyFont="1"/>
    <xf numFmtId="1" fontId="1" fillId="16" borderId="0" xfId="0" applyNumberFormat="1" applyFont="1" applyFill="1"/>
    <xf numFmtId="3" fontId="1" fillId="15" borderId="0" xfId="0" applyNumberFormat="1" applyFont="1" applyFill="1" applyAlignment="1">
      <alignment horizontal="right"/>
    </xf>
    <xf numFmtId="3" fontId="4" fillId="15" borderId="0" xfId="0" applyNumberFormat="1" applyFont="1" applyFill="1"/>
    <xf numFmtId="0" fontId="4" fillId="15" borderId="0" xfId="0" applyFont="1" applyFill="1" applyAlignment="1">
      <alignment wrapText="1"/>
    </xf>
    <xf numFmtId="0" fontId="4" fillId="0" borderId="0" xfId="0" applyFont="1"/>
    <xf numFmtId="166" fontId="1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10" fontId="1" fillId="6" borderId="0" xfId="0" applyNumberFormat="1" applyFont="1" applyFill="1" applyAlignment="1">
      <alignment horizontal="right"/>
    </xf>
    <xf numFmtId="0" fontId="1" fillId="15" borderId="0" xfId="0" applyFont="1" applyFill="1" applyAlignment="1">
      <alignment horizontal="right" wrapText="1"/>
    </xf>
    <xf numFmtId="15" fontId="1" fillId="0" borderId="0" xfId="0" applyNumberFormat="1" applyFont="1" applyAlignment="1">
      <alignment horizontal="right"/>
    </xf>
    <xf numFmtId="3" fontId="1" fillId="15" borderId="0" xfId="0" applyNumberFormat="1" applyFont="1" applyFill="1"/>
    <xf numFmtId="10" fontId="1" fillId="15" borderId="0" xfId="0" applyNumberFormat="1" applyFont="1" applyFill="1" applyAlignment="1">
      <alignment wrapText="1"/>
    </xf>
    <xf numFmtId="10" fontId="1" fillId="0" borderId="0" xfId="0" applyNumberFormat="1" applyFont="1" applyAlignment="1">
      <alignment horizontal="left"/>
    </xf>
    <xf numFmtId="170" fontId="1" fillId="0" borderId="0" xfId="0" applyNumberFormat="1" applyFont="1" applyAlignment="1">
      <alignment horizontal="right"/>
    </xf>
    <xf numFmtId="2" fontId="1" fillId="14" borderId="0" xfId="0" applyNumberFormat="1" applyFont="1" applyFill="1"/>
    <xf numFmtId="3" fontId="1" fillId="0" borderId="0" xfId="0" applyNumberFormat="1" applyFont="1"/>
    <xf numFmtId="167" fontId="1" fillId="18" borderId="0" xfId="0" applyNumberFormat="1" applyFont="1" applyFill="1" applyAlignment="1">
      <alignment horizontal="right"/>
    </xf>
    <xf numFmtId="0" fontId="1" fillId="15" borderId="0" xfId="0" applyFont="1" applyFill="1" applyAlignment="1">
      <alignment horizontal="right"/>
    </xf>
    <xf numFmtId="2" fontId="1" fillId="12" borderId="0" xfId="0" applyNumberFormat="1" applyFont="1" applyFill="1"/>
    <xf numFmtId="0" fontId="1" fillId="10" borderId="0" xfId="0" applyFont="1" applyFill="1"/>
    <xf numFmtId="171" fontId="1" fillId="0" borderId="0" xfId="0" applyNumberFormat="1" applyFont="1" applyAlignment="1">
      <alignment horizontal="right"/>
    </xf>
    <xf numFmtId="10" fontId="3" fillId="0" borderId="1" xfId="0" applyNumberFormat="1" applyFont="1" applyBorder="1"/>
    <xf numFmtId="0" fontId="9" fillId="8" borderId="1" xfId="0" applyFont="1" applyFill="1" applyBorder="1"/>
    <xf numFmtId="2" fontId="1" fillId="6" borderId="0" xfId="0" applyNumberFormat="1" applyFont="1" applyFill="1"/>
    <xf numFmtId="0" fontId="6" fillId="0" borderId="0" xfId="0" applyFont="1"/>
    <xf numFmtId="0" fontId="13" fillId="0" borderId="0" xfId="0" applyFont="1"/>
    <xf numFmtId="0" fontId="4" fillId="5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" fontId="4" fillId="0" borderId="1" xfId="0" applyNumberFormat="1" applyFont="1" applyBorder="1"/>
    <xf numFmtId="10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1" fillId="6" borderId="0" xfId="0" applyNumberFormat="1" applyFont="1" applyFill="1"/>
    <xf numFmtId="0" fontId="7" fillId="0" borderId="0" xfId="0" applyFont="1" applyAlignment="1">
      <alignment wrapText="1"/>
    </xf>
    <xf numFmtId="0" fontId="7" fillId="11" borderId="0" xfId="0" applyFont="1" applyFill="1" applyAlignment="1">
      <alignment horizontal="center"/>
    </xf>
    <xf numFmtId="9" fontId="1" fillId="6" borderId="0" xfId="0" applyNumberFormat="1" applyFont="1" applyFill="1"/>
    <xf numFmtId="15" fontId="1" fillId="0" borderId="0" xfId="0" applyNumberFormat="1" applyFont="1"/>
    <xf numFmtId="166" fontId="1" fillId="0" borderId="0" xfId="0" applyNumberFormat="1" applyFont="1"/>
    <xf numFmtId="164" fontId="1" fillId="14" borderId="0" xfId="0" applyNumberFormat="1" applyFont="1" applyFill="1"/>
    <xf numFmtId="2" fontId="1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0" fontId="6" fillId="19" borderId="0" xfId="0" applyFont="1" applyFill="1"/>
    <xf numFmtId="0" fontId="6" fillId="3" borderId="0" xfId="0" applyFont="1" applyFill="1"/>
    <xf numFmtId="0" fontId="5" fillId="3" borderId="0" xfId="0" applyFont="1" applyFill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3" fillId="8" borderId="0" xfId="0" applyFont="1" applyFill="1"/>
    <xf numFmtId="172" fontId="3" fillId="0" borderId="0" xfId="0" applyNumberFormat="1" applyFont="1"/>
    <xf numFmtId="173" fontId="3" fillId="0" borderId="0" xfId="0" applyNumberFormat="1" applyFont="1"/>
    <xf numFmtId="0" fontId="16" fillId="0" borderId="1" xfId="0" applyFont="1" applyBorder="1"/>
    <xf numFmtId="0" fontId="11" fillId="6" borderId="0" xfId="0" applyFont="1" applyFill="1"/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wrapText="1"/>
    </xf>
    <xf numFmtId="0" fontId="16" fillId="6" borderId="0" xfId="0" applyFont="1" applyFill="1" applyAlignment="1">
      <alignment wrapText="1"/>
    </xf>
    <xf numFmtId="0" fontId="16" fillId="0" borderId="0" xfId="0" applyFont="1" applyAlignment="1">
      <alignment horizontal="center" wrapText="1"/>
    </xf>
    <xf numFmtId="0" fontId="16" fillId="6" borderId="1" xfId="0" applyFont="1" applyFill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1" fillId="6" borderId="1" xfId="0" applyFont="1" applyFill="1" applyBorder="1"/>
    <xf numFmtId="1" fontId="11" fillId="0" borderId="1" xfId="0" applyNumberFormat="1" applyFont="1" applyBorder="1" applyAlignment="1">
      <alignment horizontal="center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wrapText="1"/>
    </xf>
    <xf numFmtId="0" fontId="11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20" borderId="4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2" xfId="0" applyFont="1" applyFill="1" applyBorder="1"/>
    <xf numFmtId="0" fontId="17" fillId="6" borderId="0" xfId="0" applyFont="1" applyFill="1"/>
    <xf numFmtId="0" fontId="17" fillId="6" borderId="0" xfId="0" applyFont="1" applyFill="1" applyAlignment="1">
      <alignment horizontal="center"/>
    </xf>
    <xf numFmtId="0" fontId="17" fillId="6" borderId="0" xfId="0" applyFont="1" applyFill="1" applyAlignment="1">
      <alignment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6" borderId="0" xfId="0" applyFont="1" applyFill="1" applyAlignment="1">
      <alignment horizontal="right" wrapText="1"/>
    </xf>
    <xf numFmtId="10" fontId="3" fillId="6" borderId="0" xfId="0" applyNumberFormat="1" applyFont="1" applyFill="1"/>
    <xf numFmtId="9" fontId="3" fillId="0" borderId="0" xfId="0" applyNumberFormat="1" applyFont="1"/>
    <xf numFmtId="1" fontId="3" fillId="0" borderId="1" xfId="0" applyNumberFormat="1" applyFont="1" applyBorder="1" applyAlignment="1">
      <alignment horizontal="center" wrapText="1"/>
    </xf>
    <xf numFmtId="166" fontId="3" fillId="0" borderId="0" xfId="0" applyNumberFormat="1" applyFont="1"/>
    <xf numFmtId="15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10" fontId="4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7" fontId="4" fillId="0" borderId="1" xfId="0" applyNumberFormat="1" applyFont="1" applyBorder="1"/>
    <xf numFmtId="10" fontId="3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166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5" fillId="0" borderId="0" xfId="0" applyFont="1"/>
    <xf numFmtId="0" fontId="19" fillId="0" borderId="0" xfId="0" applyFont="1"/>
    <xf numFmtId="0" fontId="15" fillId="0" borderId="0" xfId="0" applyFont="1" applyAlignment="1">
      <alignment horizontal="right"/>
    </xf>
    <xf numFmtId="0" fontId="19" fillId="6" borderId="0" xfId="0" applyFont="1" applyFill="1"/>
    <xf numFmtId="0" fontId="20" fillId="0" borderId="0" xfId="0" applyFont="1"/>
    <xf numFmtId="0" fontId="21" fillId="8" borderId="1" xfId="0" applyFont="1" applyFill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0" fontId="22" fillId="21" borderId="1" xfId="0" applyFont="1" applyFill="1" applyBorder="1" applyAlignment="1">
      <alignment horizontal="center"/>
    </xf>
    <xf numFmtId="0" fontId="0" fillId="0" borderId="0" xfId="0"/>
    <xf numFmtId="1" fontId="1" fillId="15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19" borderId="0" xfId="0" applyFont="1" applyFill="1" applyAlignment="1">
      <alignment horizontal="center"/>
    </xf>
    <xf numFmtId="0" fontId="17" fillId="6" borderId="0" xfId="0" applyFont="1" applyFill="1"/>
  </cellXfs>
  <cellStyles count="1">
    <cellStyle name="Normal" xfId="0" builtinId="0"/>
  </cellStyles>
  <dxfs count="15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amprayag.prayagindi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Z2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6640625" defaultRowHeight="15.75" customHeight="1"/>
  <cols>
    <col min="1" max="1" width="16" customWidth="1"/>
    <col min="2" max="2" width="11.33203125" customWidth="1"/>
    <col min="3" max="3" width="19.44140625" customWidth="1"/>
    <col min="4" max="4" width="26" customWidth="1"/>
    <col min="5" max="5" width="18.21875" customWidth="1"/>
    <col min="6" max="6" width="9.77734375" customWidth="1"/>
    <col min="7" max="8" width="11.6640625" customWidth="1"/>
    <col min="9" max="9" width="9.109375" customWidth="1"/>
    <col min="10" max="10" width="8.109375" customWidth="1"/>
    <col min="11" max="11" width="8.21875" customWidth="1"/>
    <col min="12" max="15" width="5.44140625" customWidth="1"/>
    <col min="16" max="16" width="9.109375" customWidth="1"/>
    <col min="17" max="17" width="9.33203125" customWidth="1"/>
    <col min="18" max="18" width="9.88671875" customWidth="1"/>
    <col min="19" max="19" width="10.109375" customWidth="1"/>
    <col min="20" max="21" width="8.33203125" customWidth="1"/>
    <col min="22" max="22" width="8.21875" customWidth="1"/>
    <col min="23" max="24" width="5.21875" customWidth="1"/>
    <col min="25" max="25" width="7.44140625" customWidth="1"/>
    <col min="26" max="26" width="6.33203125" customWidth="1"/>
    <col min="27" max="27" width="7.44140625" customWidth="1"/>
    <col min="28" max="28" width="6.33203125" customWidth="1"/>
    <col min="29" max="30" width="10.6640625" customWidth="1"/>
    <col min="31" max="31" width="6.44140625" customWidth="1"/>
    <col min="32" max="32" width="5.21875" customWidth="1"/>
    <col min="33" max="33" width="7.77734375" customWidth="1"/>
    <col min="34" max="34" width="8.21875" customWidth="1"/>
    <col min="35" max="35" width="7.6640625" customWidth="1"/>
    <col min="36" max="36" width="7.109375" customWidth="1"/>
    <col min="37" max="37" width="11.6640625" customWidth="1"/>
    <col min="38" max="38" width="7.21875" customWidth="1"/>
    <col min="39" max="39" width="8.21875" customWidth="1"/>
    <col min="40" max="40" width="8.109375" customWidth="1"/>
    <col min="41" max="41" width="10" customWidth="1"/>
    <col min="42" max="42" width="11.44140625" customWidth="1"/>
    <col min="43" max="43" width="6.44140625" customWidth="1"/>
    <col min="44" max="44" width="7.77734375" customWidth="1"/>
    <col min="45" max="45" width="8.6640625" customWidth="1"/>
    <col min="46" max="46" width="5.21875" customWidth="1"/>
    <col min="47" max="48" width="8" customWidth="1"/>
    <col min="49" max="49" width="8.21875" customWidth="1"/>
    <col min="50" max="50" width="10.109375" customWidth="1"/>
    <col min="51" max="51" width="11.6640625" customWidth="1"/>
    <col min="52" max="52" width="9.77734375" customWidth="1"/>
    <col min="53" max="53" width="6.77734375" customWidth="1"/>
    <col min="54" max="54" width="9.6640625" customWidth="1"/>
    <col min="55" max="61" width="9.77734375" customWidth="1"/>
    <col min="62" max="62" width="7.77734375" customWidth="1"/>
    <col min="63" max="63" width="11.6640625" customWidth="1"/>
    <col min="64" max="64" width="11.44140625" customWidth="1"/>
    <col min="65" max="73" width="9.77734375" customWidth="1"/>
    <col min="74" max="74" width="7.44140625" customWidth="1"/>
    <col min="75" max="75" width="23.6640625" customWidth="1"/>
    <col min="76" max="76" width="11.6640625" customWidth="1"/>
    <col min="77" max="87" width="9.77734375" customWidth="1"/>
    <col min="88" max="104" width="13.109375" customWidth="1"/>
  </cols>
  <sheetData>
    <row r="1" spans="1:104" ht="31.5" customHeight="1">
      <c r="A1" s="2">
        <f>((1200000/30)*14)+1200000</f>
        <v>1760000</v>
      </c>
      <c r="B1" s="1">
        <f>12/30</f>
        <v>0.4</v>
      </c>
      <c r="C1" s="47">
        <f>10/31</f>
        <v>0.32258064516129031</v>
      </c>
      <c r="D1" s="1">
        <v>2</v>
      </c>
      <c r="E1" s="1">
        <v>3</v>
      </c>
      <c r="F1" s="1"/>
      <c r="G1" s="33">
        <v>5</v>
      </c>
      <c r="H1" s="33">
        <v>6</v>
      </c>
      <c r="I1" s="1">
        <v>7</v>
      </c>
      <c r="J1" s="37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37">
        <v>14</v>
      </c>
      <c r="Q1" s="37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37">
        <v>35</v>
      </c>
      <c r="AL1" s="1">
        <v>36</v>
      </c>
      <c r="AM1" s="1">
        <v>37</v>
      </c>
      <c r="AN1" s="33">
        <v>38</v>
      </c>
      <c r="AO1" s="1">
        <v>39</v>
      </c>
      <c r="AP1" s="1">
        <v>39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/>
      <c r="AW1" s="1"/>
      <c r="AX1" s="1"/>
      <c r="AY1" s="37">
        <v>46</v>
      </c>
      <c r="AZ1" s="1">
        <v>47</v>
      </c>
      <c r="BA1" s="1"/>
      <c r="BB1" s="48">
        <v>45747</v>
      </c>
      <c r="BC1" s="4"/>
      <c r="BD1" s="49" t="s">
        <v>380</v>
      </c>
      <c r="BE1" s="50"/>
      <c r="BF1" s="48"/>
      <c r="BG1" s="51"/>
      <c r="BH1" s="52"/>
      <c r="BI1" s="52" t="e">
        <f>BE160*3</f>
        <v>#VALUE!</v>
      </c>
      <c r="BJ1" s="53"/>
      <c r="BK1" s="50"/>
      <c r="BL1" s="50"/>
      <c r="BM1" s="50"/>
      <c r="BN1" s="50"/>
      <c r="BO1" s="206" t="s">
        <v>381</v>
      </c>
      <c r="BP1" s="205"/>
      <c r="BQ1" s="205"/>
      <c r="BR1" s="205"/>
      <c r="BS1" s="54"/>
      <c r="BT1" s="54"/>
      <c r="BU1" s="54"/>
      <c r="BV1" s="55"/>
      <c r="BW1" s="55"/>
      <c r="BX1" s="55"/>
      <c r="BY1" s="54"/>
      <c r="BZ1" s="54"/>
      <c r="CA1" s="54"/>
      <c r="CB1" s="54"/>
      <c r="CC1" s="54"/>
      <c r="CD1" s="207"/>
      <c r="CE1" s="205"/>
      <c r="CF1" s="56"/>
      <c r="CG1" s="56"/>
      <c r="CH1" s="56"/>
      <c r="CI1" s="56"/>
      <c r="CJ1" s="57"/>
      <c r="CK1" s="57"/>
      <c r="CL1" s="57"/>
      <c r="CM1" s="58">
        <f ca="1">COUNTIF(CM3:CM243,"&gt;0")</f>
        <v>26</v>
      </c>
      <c r="CN1" s="58"/>
      <c r="CO1" s="56"/>
      <c r="CP1" s="59"/>
      <c r="CQ1" s="60">
        <f t="shared" ref="CQ1:CR1" si="0">SUM(CQ3:CQ29)</f>
        <v>148</v>
      </c>
      <c r="CR1" s="60">
        <f t="shared" si="0"/>
        <v>12</v>
      </c>
      <c r="CS1" s="56"/>
      <c r="CT1" s="56"/>
      <c r="CU1" s="56"/>
      <c r="CV1" s="56"/>
      <c r="CW1" s="60"/>
      <c r="CX1" s="51"/>
      <c r="CY1" s="56"/>
      <c r="CZ1" s="56"/>
    </row>
    <row r="2" spans="1:104" ht="69" customHeight="1">
      <c r="A2" s="61" t="s">
        <v>30</v>
      </c>
      <c r="B2" s="61" t="s">
        <v>31</v>
      </c>
      <c r="C2" s="61" t="s">
        <v>6</v>
      </c>
      <c r="D2" s="61" t="s">
        <v>35</v>
      </c>
      <c r="E2" s="61" t="s">
        <v>32</v>
      </c>
      <c r="F2" s="61" t="s">
        <v>34</v>
      </c>
      <c r="G2" s="62" t="s">
        <v>382</v>
      </c>
      <c r="H2" s="62" t="s">
        <v>39</v>
      </c>
      <c r="I2" s="63" t="s">
        <v>383</v>
      </c>
      <c r="J2" s="63" t="s">
        <v>384</v>
      </c>
      <c r="K2" s="61" t="s">
        <v>47</v>
      </c>
      <c r="L2" s="61" t="s">
        <v>385</v>
      </c>
      <c r="M2" s="61" t="s">
        <v>49</v>
      </c>
      <c r="N2" s="61" t="s">
        <v>52</v>
      </c>
      <c r="O2" s="61" t="s">
        <v>53</v>
      </c>
      <c r="P2" s="63" t="s">
        <v>54</v>
      </c>
      <c r="Q2" s="63" t="s">
        <v>55</v>
      </c>
      <c r="R2" s="61" t="s">
        <v>386</v>
      </c>
      <c r="S2" s="61" t="s">
        <v>387</v>
      </c>
      <c r="T2" s="61" t="s">
        <v>58</v>
      </c>
      <c r="U2" s="61" t="s">
        <v>59</v>
      </c>
      <c r="V2" s="61" t="s">
        <v>60</v>
      </c>
      <c r="W2" s="61" t="s">
        <v>61</v>
      </c>
      <c r="X2" s="61" t="s">
        <v>62</v>
      </c>
      <c r="Y2" s="61" t="s">
        <v>63</v>
      </c>
      <c r="Z2" s="61" t="s">
        <v>64</v>
      </c>
      <c r="AA2" s="61" t="s">
        <v>65</v>
      </c>
      <c r="AB2" s="61" t="s">
        <v>66</v>
      </c>
      <c r="AC2" s="61" t="s">
        <v>68</v>
      </c>
      <c r="AD2" s="61" t="s">
        <v>69</v>
      </c>
      <c r="AE2" s="61" t="s">
        <v>70</v>
      </c>
      <c r="AF2" s="61" t="s">
        <v>71</v>
      </c>
      <c r="AG2" s="61" t="s">
        <v>72</v>
      </c>
      <c r="AH2" s="64" t="s">
        <v>388</v>
      </c>
      <c r="AI2" s="64" t="s">
        <v>74</v>
      </c>
      <c r="AJ2" s="65" t="s">
        <v>129</v>
      </c>
      <c r="AK2" s="62" t="s">
        <v>75</v>
      </c>
      <c r="AL2" s="64" t="s">
        <v>76</v>
      </c>
      <c r="AM2" s="66" t="s">
        <v>77</v>
      </c>
      <c r="AN2" s="64" t="s">
        <v>78</v>
      </c>
      <c r="AO2" s="66" t="s">
        <v>43</v>
      </c>
      <c r="AP2" s="67" t="s">
        <v>44</v>
      </c>
      <c r="AQ2" s="61" t="s">
        <v>79</v>
      </c>
      <c r="AR2" s="61" t="s">
        <v>80</v>
      </c>
      <c r="AS2" s="61" t="s">
        <v>82</v>
      </c>
      <c r="AT2" s="61" t="s">
        <v>389</v>
      </c>
      <c r="AU2" s="61" t="s">
        <v>83</v>
      </c>
      <c r="AV2" s="61" t="s">
        <v>84</v>
      </c>
      <c r="AW2" s="61" t="s">
        <v>86</v>
      </c>
      <c r="AX2" s="61" t="s">
        <v>87</v>
      </c>
      <c r="AY2" s="62" t="s">
        <v>42</v>
      </c>
      <c r="AZ2" s="68" t="s">
        <v>88</v>
      </c>
      <c r="BA2" s="61" t="s">
        <v>390</v>
      </c>
      <c r="BB2" s="61" t="s">
        <v>391</v>
      </c>
      <c r="BC2" s="61" t="s">
        <v>392</v>
      </c>
      <c r="BD2" s="64" t="s">
        <v>393</v>
      </c>
      <c r="BE2" s="69" t="s">
        <v>130</v>
      </c>
      <c r="BF2" s="61"/>
      <c r="BG2" s="61" t="s">
        <v>24</v>
      </c>
      <c r="BH2" s="70" t="s">
        <v>36</v>
      </c>
      <c r="BI2" s="70" t="s">
        <v>127</v>
      </c>
      <c r="BJ2" s="71" t="s">
        <v>394</v>
      </c>
      <c r="BK2" s="69" t="s">
        <v>395</v>
      </c>
      <c r="BL2" s="69" t="s">
        <v>396</v>
      </c>
      <c r="BM2" s="69" t="s">
        <v>397</v>
      </c>
      <c r="BN2" s="69" t="s">
        <v>398</v>
      </c>
      <c r="BO2" s="72" t="s">
        <v>399</v>
      </c>
      <c r="BP2" s="72" t="s">
        <v>400</v>
      </c>
      <c r="BQ2" s="72" t="s">
        <v>401</v>
      </c>
      <c r="BR2" s="72" t="s">
        <v>402</v>
      </c>
      <c r="BS2" s="12" t="s">
        <v>46</v>
      </c>
      <c r="BT2" s="63" t="s">
        <v>403</v>
      </c>
      <c r="BU2" s="63"/>
      <c r="BV2" s="73" t="s">
        <v>404</v>
      </c>
      <c r="BW2" s="73" t="s">
        <v>405</v>
      </c>
      <c r="BX2" s="73" t="s">
        <v>406</v>
      </c>
      <c r="BY2" s="63"/>
      <c r="BZ2" s="63"/>
      <c r="CA2" s="63"/>
      <c r="CB2" s="63" t="s">
        <v>407</v>
      </c>
      <c r="CC2" s="63" t="s">
        <v>408</v>
      </c>
      <c r="CD2" s="11" t="s">
        <v>409</v>
      </c>
      <c r="CE2" s="11" t="s">
        <v>102</v>
      </c>
      <c r="CG2" s="11" t="s">
        <v>410</v>
      </c>
      <c r="CH2" s="11" t="s">
        <v>411</v>
      </c>
      <c r="CJ2" s="74" t="s">
        <v>412</v>
      </c>
      <c r="CK2" s="74" t="s">
        <v>413</v>
      </c>
      <c r="CL2" s="74" t="s">
        <v>414</v>
      </c>
      <c r="CM2" s="65" t="s">
        <v>415</v>
      </c>
      <c r="CN2" s="65" t="s">
        <v>416</v>
      </c>
      <c r="CO2" s="61" t="s">
        <v>30</v>
      </c>
      <c r="CP2" s="75" t="s">
        <v>31</v>
      </c>
      <c r="CQ2" s="11" t="s">
        <v>417</v>
      </c>
      <c r="CR2" s="11" t="s">
        <v>418</v>
      </c>
      <c r="CW2" s="43"/>
      <c r="CX2" s="51"/>
    </row>
    <row r="3" spans="1:104" ht="15.6">
      <c r="A3" s="1" t="s">
        <v>118</v>
      </c>
      <c r="B3" s="1" t="s">
        <v>362</v>
      </c>
      <c r="C3" s="1" t="s">
        <v>29</v>
      </c>
      <c r="D3" s="1" t="s">
        <v>419</v>
      </c>
      <c r="E3" s="1" t="s">
        <v>420</v>
      </c>
      <c r="F3" s="48">
        <v>39859</v>
      </c>
      <c r="G3" s="76">
        <v>0</v>
      </c>
      <c r="H3" s="62">
        <v>0</v>
      </c>
      <c r="I3" s="77">
        <v>1199546.82</v>
      </c>
      <c r="J3" s="77">
        <v>0</v>
      </c>
      <c r="K3" s="4">
        <v>194</v>
      </c>
      <c r="L3" s="4">
        <v>185</v>
      </c>
      <c r="M3" s="4">
        <v>11</v>
      </c>
      <c r="N3" s="4">
        <v>205</v>
      </c>
      <c r="O3" s="4">
        <v>20</v>
      </c>
      <c r="P3" s="77">
        <v>1199546.82</v>
      </c>
      <c r="Q3" s="77">
        <v>0</v>
      </c>
      <c r="R3" s="4">
        <v>12</v>
      </c>
      <c r="S3" s="4">
        <v>0</v>
      </c>
      <c r="T3" s="4">
        <v>12</v>
      </c>
      <c r="U3" s="4">
        <v>0</v>
      </c>
      <c r="V3" s="4">
        <v>13</v>
      </c>
      <c r="W3" s="4">
        <v>19</v>
      </c>
      <c r="X3" s="4">
        <v>75</v>
      </c>
      <c r="Y3" s="4">
        <v>10</v>
      </c>
      <c r="Z3" s="4">
        <v>228</v>
      </c>
      <c r="AA3" s="4">
        <v>1</v>
      </c>
      <c r="AB3" s="4">
        <v>34</v>
      </c>
      <c r="AC3" s="4">
        <v>1</v>
      </c>
      <c r="AD3" s="4">
        <v>16</v>
      </c>
      <c r="AE3" s="4">
        <v>862</v>
      </c>
      <c r="AF3" s="4">
        <v>1159</v>
      </c>
      <c r="AG3" s="4">
        <v>297</v>
      </c>
      <c r="AH3" s="76">
        <f t="shared" ref="AH3:AH243" si="1">IFERROR(SUM(I3:J3)/AG3,"")</f>
        <v>4038.8781818181819</v>
      </c>
      <c r="AI3" s="76">
        <f t="shared" ref="AI3:AI243" si="2">IFERROR(AF3/AG3,"")</f>
        <v>3.9023569023569022</v>
      </c>
      <c r="AJ3" s="78">
        <v>70400</v>
      </c>
      <c r="AK3" s="76">
        <f t="shared" ref="AK3:AK21" si="3">AJ3*BD3</f>
        <v>844800</v>
      </c>
      <c r="AL3" s="79">
        <v>263642</v>
      </c>
      <c r="AM3" s="80">
        <f t="shared" ref="AM3:AM243" si="4">IFERROR(SUM(AK3:AL3)/SUM(I3:J3),"")</f>
        <v>0.92405063438874357</v>
      </c>
      <c r="AN3" s="76">
        <f t="shared" ref="AN3:AN243" si="5">IFERROR(I3/T3,"")</f>
        <v>99962.235000000001</v>
      </c>
      <c r="AO3" s="49" t="s">
        <v>161</v>
      </c>
      <c r="AP3" s="82">
        <v>0</v>
      </c>
      <c r="AQ3" s="4">
        <v>21</v>
      </c>
      <c r="AR3" s="4">
        <v>3515</v>
      </c>
      <c r="AS3" s="4">
        <v>4573.5600000000004</v>
      </c>
      <c r="AT3" s="4">
        <v>0</v>
      </c>
      <c r="AU3" s="4">
        <v>25</v>
      </c>
      <c r="AV3" s="1">
        <v>12</v>
      </c>
      <c r="AW3" s="1">
        <v>173</v>
      </c>
      <c r="AX3" s="1">
        <v>20</v>
      </c>
      <c r="AY3" s="86" t="str">
        <f>IFERROR(VLOOKUP(C3,#REF!,13,0),"")</f>
        <v/>
      </c>
      <c r="AZ3" s="87"/>
      <c r="BA3" s="1" t="str">
        <f t="shared" ref="BA3:BA243" si="6">IF(ISBLANK(AZ3),"Active","LEFT" )</f>
        <v>Active</v>
      </c>
      <c r="BB3" s="1" t="e">
        <f t="shared" ref="BB3:BB243" ca="1" si="7">_xludf.ifs(F3&lt;$BB$1,"Old",F3&gt;$BB$1,"New")</f>
        <v>#NAME?</v>
      </c>
      <c r="BC3" s="4" t="s">
        <v>161</v>
      </c>
      <c r="BD3" s="33">
        <f t="shared" ref="BD3:BD9" si="8">MATCH($BD$2,{"Apr","May","Jun","Jul","Aug","Sep","Oct","Nov","Dec","Jan","Feb","Mar"},0)</f>
        <v>12</v>
      </c>
      <c r="BE3" s="88" t="str">
        <f t="array" ref="BE3:BE243">IFERROR(VLOOKUP($C$3:$C243,#REF!,8,0),"")</f>
        <v/>
      </c>
      <c r="BF3" s="1">
        <f t="shared" ref="BF3:BF212" si="9">M3-AT3</f>
        <v>11</v>
      </c>
      <c r="BG3" s="1" t="s">
        <v>423</v>
      </c>
      <c r="BH3" s="89">
        <f ca="1">IFERROR(__xludf.DUMMYFUNCTION("iferror(ArrayFormula(VLOOKUP($C$3:$C243,importrange(""1MwNMVzWE3QBVOyJjKr3eFX-Sq1Ng0Q1sghWJbgbE_8g"",""ORDER BOOKING REPORT 2024-25!C:O""),13,0)))"),28690782.84)</f>
        <v>28690782.84</v>
      </c>
      <c r="BI3" s="89">
        <f ca="1">IFERROR(__xludf.DUMMYFUNCTION("iferror(ArrayFormula(VLOOKUP($C$3:$C243,importrange(""1MwNMVzWE3QBVOyJjKr3eFX-Sq1Ng0Q1sghWJbgbE_8g"",""ORDER BOOKING REPORT 2024-25!C:O""),11,0)))"),32790753.08)</f>
        <v>32790753.079999998</v>
      </c>
      <c r="BJ3" s="90"/>
      <c r="BK3" s="91"/>
      <c r="BL3" s="91">
        <f t="shared" ref="BL3:BL50" si="10">BK3*BD3</f>
        <v>0</v>
      </c>
      <c r="BM3" s="91">
        <f t="shared" ref="BM3:BM243" si="11">H3+BL3</f>
        <v>0</v>
      </c>
      <c r="BN3" s="91"/>
      <c r="BO3" s="92">
        <f ca="1">IFERROR(__xludf.DUMMYFUNCTION("IFERROR(ArrayFormula(SUM(VLOOKUP($C3,importrange(""1MwNMVzWE3QBVOyJjKr3eFX-Sq1Ng0Q1sghWJbgbE_8g"",""ORDER BOOKING REPORT 2024-25!C:CV""),{16,23,30},0))))"),6963375.6)</f>
        <v>6963375.5999999996</v>
      </c>
      <c r="BP3" s="92">
        <f ca="1">IFERROR(__xludf.DUMMYFUNCTION("IFERROR(ArrayFormula(SUM(VLOOKUP($C3,importrange(""1MwNMVzWE3QBVOyJjKr3eFX-Sq1Ng0Q1sghWJbgbE_8g"",""ORDER BOOKING REPORT 2024-25!C:CV""),{37,44,51},0))))"),9095913.7)</f>
        <v>9095913.6999999993</v>
      </c>
      <c r="BQ3" s="92">
        <f ca="1">IFERROR(__xludf.DUMMYFUNCTION("IFERROR(ArrayFormula(SUM(VLOOKUP($C3,importrange(""1MwNMVzWE3QBVOyJjKr3eFX-Sq1Ng0Q1sghWJbgbE_8g"",""ORDER BOOKING REPORT 2024-25!C:CV""),{58,65,72},0))))"),7698254.58)</f>
        <v>7698254.5800000001</v>
      </c>
      <c r="BR3" s="92">
        <f ca="1">IFERROR(__xludf.DUMMYFUNCTION("IFERROR(ArrayFormula(SUM(VLOOKUP($C3,importrange(""1MwNMVzWE3QBVOyJjKr3eFX-Sq1Ng0Q1sghWJbgbE_8g"",""ORDER BOOKING REPORT 2024-25!C:CV""),{79,86,93},0))))"),9033209.2)</f>
        <v>9033209.1999999993</v>
      </c>
      <c r="BS3" s="93" t="str">
        <f t="shared" ref="BS3:BS243" si="12">IFERROR(AY3/BM3,"")</f>
        <v/>
      </c>
      <c r="BT3" s="93" t="str">
        <f t="shared" ref="BT3:BT223" si="13">IFERROR(SUM(AK3:AL3)/AY3,"")</f>
        <v/>
      </c>
      <c r="BU3" s="37">
        <f t="shared" ref="BU3:BU243" si="14">BL3-G3</f>
        <v>0</v>
      </c>
      <c r="BV3" s="94">
        <v>70400</v>
      </c>
      <c r="BW3" s="94" t="s">
        <v>425</v>
      </c>
      <c r="BX3" s="94">
        <v>535</v>
      </c>
      <c r="BY3" s="37">
        <f t="shared" ref="BY3:BY236" si="15">BV3-AJ3</f>
        <v>0</v>
      </c>
      <c r="BZ3" s="37"/>
      <c r="CA3" s="37" t="s">
        <v>426</v>
      </c>
      <c r="CB3" s="37">
        <f>COUNTIF($F:$F, "&lt;=" &amp; DATE(2025,3,30))</f>
        <v>170</v>
      </c>
      <c r="CC3" s="37">
        <f>COUNTIFS(F:F, "&gt;=" &amp; DATE(2025,4,1), F:F, "&lt;=" &amp; DATE(2025,4,30))</f>
        <v>4</v>
      </c>
      <c r="CD3" s="37">
        <f>COUNTIFS(AZ:AZ, "&gt;=" &amp; DATE(2025,4,1), AZ:AZ, "&lt;=" &amp; DATE(2025,4,30))</f>
        <v>7</v>
      </c>
      <c r="CE3" s="37">
        <f t="shared" ref="CE3:CE14" si="16">CB3+CC3</f>
        <v>174</v>
      </c>
      <c r="CF3" s="37">
        <f t="shared" ref="CF3:CF14" si="17">SUM(CB3:CD3)</f>
        <v>181</v>
      </c>
      <c r="CG3" s="37" t="str">
        <f t="shared" ref="CG3:CG236" si="18">IF(N3&lt;60,"Below 60"," ")</f>
        <v xml:space="preserve"> </v>
      </c>
      <c r="CH3" s="37" t="str">
        <f>IF(T3 = 0, "Not 50%", IF(T3 &gt;= 0.5 * N3, "Business Achieved EXACT 50%", "Not 50%"))</f>
        <v>Not 50%</v>
      </c>
      <c r="CI3" s="93">
        <f t="shared" ref="CI3:CI236" si="19">IFERROR((T3/N3),)</f>
        <v>5.8536585365853662E-2</v>
      </c>
      <c r="CJ3" s="95">
        <f ca="1">IFERROR(__xludf.DUMMYFUNCTION("IFERROR(ArrayFormula(VLOOKUP($C$3:$C243,IMPORTRANGE(""https://docs.google.com/spreadsheets/d/1OkdrCquHuVNXRsEZ16AzawxA5ZUvzmc454rG7C6Xzg0/edit?gid=548125645#gid=548125645"",""Sheet8!B:U""),{6,8,10},0)))"),100)</f>
        <v>100</v>
      </c>
      <c r="CK3" s="95">
        <f ca="1">IFERROR(__xludf.DUMMYFUNCTION("""COMPUTED_VALUE"""),743)</f>
        <v>743</v>
      </c>
      <c r="CL3" s="95">
        <f ca="1">IFERROR(__xludf.DUMMYFUNCTION("""COMPUTED_VALUE"""),0)</f>
        <v>0</v>
      </c>
      <c r="CM3" s="96">
        <f t="shared" ref="CM3:CM243" ca="1" si="20">AE3-SUM(CJ3:CL3)</f>
        <v>19</v>
      </c>
      <c r="CN3" s="97" t="str">
        <f ca="1">IFERROR(__xludf.DUMMYFUNCTION("IFERROR(ArrayFormula(VLOOKUP($C$3:$C243,IMPORTRANGE(""https://docs.google.com/spreadsheets/d/1OkdrCquHuVNXRsEZ16AzawxA5ZUvzmc454rG7C6Xzg0/edit?gid=548125645#gid=548125645"",""Sheet8!B:U""),20,0)))"),"")</f>
        <v/>
      </c>
      <c r="CO3" s="98"/>
      <c r="CP3" s="100" t="s">
        <v>375</v>
      </c>
      <c r="CQ3" s="101">
        <f t="shared" ref="CQ3:CQ27" si="21">COUNTIFS($B:$B,$CP3,$BG:$BG,"Secondary",$BA:$BA,"Active")</f>
        <v>3</v>
      </c>
      <c r="CR3" s="101">
        <f t="shared" ref="CR3:CR27" si="22">COUNTIFS($B:$B,$CP3,$BG:$BG,"Primary",$BA:$BA,"Active")</f>
        <v>0</v>
      </c>
      <c r="CS3" s="4" t="e">
        <f t="array" aca="1" ref="CS3:CS13" ca="1">_xludf.UNIQUE(A3:A243)</f>
        <v>#NAME?</v>
      </c>
      <c r="CT3" s="4">
        <f t="shared" ref="CT3:CT29" ca="1" si="23">COUNTIFS(A:A,CS3,BA:BA,"Active")</f>
        <v>0</v>
      </c>
      <c r="CU3" s="4"/>
      <c r="CV3" s="4"/>
      <c r="CW3" s="101"/>
      <c r="CX3" s="51"/>
      <c r="CY3" s="4"/>
      <c r="CZ3" s="4"/>
    </row>
    <row r="4" spans="1:104" ht="15.6">
      <c r="A4" s="1" t="s">
        <v>118</v>
      </c>
      <c r="B4" s="1" t="s">
        <v>362</v>
      </c>
      <c r="C4" s="1" t="s">
        <v>85</v>
      </c>
      <c r="D4" s="1" t="s">
        <v>419</v>
      </c>
      <c r="E4" s="1" t="s">
        <v>420</v>
      </c>
      <c r="F4" s="48">
        <v>39859</v>
      </c>
      <c r="G4" s="76">
        <v>0</v>
      </c>
      <c r="H4" s="76">
        <v>60600000</v>
      </c>
      <c r="I4" s="77">
        <v>41352929.729999997</v>
      </c>
      <c r="J4" s="77">
        <v>0</v>
      </c>
      <c r="K4" s="4">
        <v>111</v>
      </c>
      <c r="L4" s="4">
        <v>106</v>
      </c>
      <c r="M4" s="4">
        <v>13</v>
      </c>
      <c r="N4" s="4">
        <v>124</v>
      </c>
      <c r="O4" s="4">
        <v>18</v>
      </c>
      <c r="P4" s="77">
        <v>36872572.880000003</v>
      </c>
      <c r="Q4" s="77">
        <v>4480356.8499999996</v>
      </c>
      <c r="R4" s="4">
        <v>85</v>
      </c>
      <c r="S4" s="4">
        <v>11</v>
      </c>
      <c r="T4" s="4">
        <v>96</v>
      </c>
      <c r="U4" s="4">
        <v>0</v>
      </c>
      <c r="V4" s="4">
        <v>9</v>
      </c>
      <c r="W4" s="4">
        <v>9</v>
      </c>
      <c r="X4" s="4">
        <v>79</v>
      </c>
      <c r="Y4" s="4">
        <v>9</v>
      </c>
      <c r="Z4" s="4">
        <v>121</v>
      </c>
      <c r="AA4" s="4">
        <v>0</v>
      </c>
      <c r="AB4" s="4">
        <v>0</v>
      </c>
      <c r="AC4" s="4">
        <v>0</v>
      </c>
      <c r="AD4" s="4">
        <v>0</v>
      </c>
      <c r="AE4" s="4">
        <v>1023</v>
      </c>
      <c r="AF4" s="4">
        <v>1153</v>
      </c>
      <c r="AG4" s="4">
        <v>291</v>
      </c>
      <c r="AH4" s="76">
        <f t="shared" si="1"/>
        <v>142106.28773195876</v>
      </c>
      <c r="AI4" s="76">
        <f t="shared" si="2"/>
        <v>3.9621993127147768</v>
      </c>
      <c r="AJ4" s="78">
        <v>60500</v>
      </c>
      <c r="AK4" s="76">
        <f t="shared" si="3"/>
        <v>726000</v>
      </c>
      <c r="AL4" s="79">
        <v>91425</v>
      </c>
      <c r="AM4" s="80">
        <f t="shared" si="4"/>
        <v>1.976703961090788E-2</v>
      </c>
      <c r="AN4" s="76">
        <f t="shared" si="5"/>
        <v>430759.68468749995</v>
      </c>
      <c r="AO4" s="102">
        <f t="shared" ref="AO4:AO8" si="24">IFERROR(SUM(I4:J4)/SUM(G4:H4),"")</f>
        <v>0.68239157970297026</v>
      </c>
      <c r="AP4" s="82">
        <v>0</v>
      </c>
      <c r="AQ4" s="4">
        <v>466</v>
      </c>
      <c r="AR4" s="4">
        <v>3035</v>
      </c>
      <c r="AS4" s="4">
        <v>4088.66</v>
      </c>
      <c r="AT4" s="4">
        <v>11</v>
      </c>
      <c r="AU4" s="4">
        <v>39</v>
      </c>
      <c r="AV4" s="1">
        <v>96</v>
      </c>
      <c r="AW4" s="1">
        <v>19</v>
      </c>
      <c r="AX4" s="1">
        <v>9</v>
      </c>
      <c r="AY4" s="86" t="str">
        <f>IFERROR(VLOOKUP(C4,#REF!,13,0),"")</f>
        <v/>
      </c>
      <c r="AZ4" s="87"/>
      <c r="BA4" s="1" t="str">
        <f t="shared" si="6"/>
        <v>Active</v>
      </c>
      <c r="BB4" s="1" t="e">
        <f t="shared" ca="1" si="7"/>
        <v>#NAME?</v>
      </c>
      <c r="BC4" s="1" t="e">
        <f t="shared" ref="BC4:BC8" ca="1" si="25">_xludf.ifs(AO4&lt;50%,"Below 50%",AO4&lt;70%,"50%-70%",AO4&lt;90%,"70%-90%",AO4&lt;100%,"90%-100%",AO4&gt;100%,"Above 100%")</f>
        <v>#NAME?</v>
      </c>
      <c r="BD4" s="33">
        <f t="shared" si="8"/>
        <v>12</v>
      </c>
      <c r="BE4" s="88" t="str">
        <v/>
      </c>
      <c r="BF4" s="1">
        <f t="shared" si="9"/>
        <v>2</v>
      </c>
      <c r="BG4" s="1" t="s">
        <v>428</v>
      </c>
      <c r="BH4" s="89">
        <f ca="1">IFERROR(__xludf.DUMMYFUNCTION("""COMPUTED_VALUE"""),38475930.54)</f>
        <v>38475930.539999999</v>
      </c>
      <c r="BI4" s="89">
        <f ca="1">IFERROR(__xludf.DUMMYFUNCTION("""COMPUTED_VALUE"""),37705783.88)</f>
        <v>37705783.880000003</v>
      </c>
      <c r="BJ4" s="90"/>
      <c r="BK4" s="91"/>
      <c r="BL4" s="91">
        <f t="shared" si="10"/>
        <v>0</v>
      </c>
      <c r="BM4" s="91">
        <f t="shared" si="11"/>
        <v>60600000</v>
      </c>
      <c r="BN4" s="91"/>
      <c r="BO4" s="92">
        <f ca="1">IFERROR(__xludf.DUMMYFUNCTION("IFERROR(ArrayFormula(SUM(VLOOKUP($C4,importrange(""1MwNMVzWE3QBVOyJjKr3eFX-Sq1Ng0Q1sghWJbgbE_8g"",""ORDER BOOKING REPORT 2024-25!C:CV""),{16,23,30},0))))"),7373008.92)</f>
        <v>7373008.9199999999</v>
      </c>
      <c r="BP4" s="92">
        <f ca="1">IFERROR(__xludf.DUMMYFUNCTION("IFERROR(ArrayFormula(SUM(VLOOKUP($C4,importrange(""1MwNMVzWE3QBVOyJjKr3eFX-Sq1Ng0Q1sghWJbgbE_8g"",""ORDER BOOKING REPORT 2024-25!C:CV""),{37,44,51},0))))"),9026880)</f>
        <v>9026880</v>
      </c>
      <c r="BQ4" s="92">
        <f ca="1">IFERROR(__xludf.DUMMYFUNCTION("IFERROR(ArrayFormula(SUM(VLOOKUP($C4,importrange(""1MwNMVzWE3QBVOyJjKr3eFX-Sq1Ng0Q1sghWJbgbE_8g"",""ORDER BOOKING REPORT 2024-25!C:CV""),{58,65,72},0))))"),8248527.6)</f>
        <v>8248527.5999999996</v>
      </c>
      <c r="BR4" s="92">
        <f ca="1">IFERROR(__xludf.DUMMYFUNCTION("IFERROR(ArrayFormula(SUM(VLOOKUP($C4,importrange(""1MwNMVzWE3QBVOyJjKr3eFX-Sq1Ng0Q1sghWJbgbE_8g"",""ORDER BOOKING REPORT 2024-25!C:CV""),{79,86,93},0))))"),13057367.36)</f>
        <v>13057367.359999999</v>
      </c>
      <c r="BS4" s="93" t="str">
        <f t="shared" si="12"/>
        <v/>
      </c>
      <c r="BT4" s="93" t="str">
        <f t="shared" si="13"/>
        <v/>
      </c>
      <c r="BU4" s="37">
        <f t="shared" si="14"/>
        <v>0</v>
      </c>
      <c r="BV4" s="94">
        <v>60500</v>
      </c>
      <c r="BW4" s="94" t="s">
        <v>429</v>
      </c>
      <c r="BX4" s="94">
        <v>536</v>
      </c>
      <c r="BY4" s="37">
        <f t="shared" si="15"/>
        <v>0</v>
      </c>
      <c r="BZ4" s="37"/>
      <c r="CA4" s="37" t="s">
        <v>430</v>
      </c>
      <c r="CB4" s="37">
        <f>COUNTIF($F:$F, "&lt;=" &amp; DATE(2025,4,30))-COUNTIFS(AZ:AZ, "&gt;=" &amp; DATE(2025,4,1), AZ:AZ, "&lt;=" &amp; DATE(2025,4,30))</f>
        <v>167</v>
      </c>
      <c r="CC4" s="37">
        <f>COUNTIFS(F:F, "&gt;=" &amp; DATE(2025,5,1), F:F, "&lt;=" &amp; DATE(2025,5,31))</f>
        <v>9</v>
      </c>
      <c r="CD4" s="37">
        <f>COUNTIFS(AZ:AZ, "&gt;=" &amp; DATE(2025,5,1), AZ:AZ, "&lt;=" &amp; DATE(2025,5,31))</f>
        <v>5</v>
      </c>
      <c r="CE4" s="37">
        <f t="shared" si="16"/>
        <v>176</v>
      </c>
      <c r="CF4" s="37">
        <f t="shared" si="17"/>
        <v>181</v>
      </c>
      <c r="CG4" s="37" t="str">
        <f t="shared" si="18"/>
        <v xml:space="preserve"> </v>
      </c>
      <c r="CH4" s="37" t="str">
        <f t="shared" ref="CH4:CH236" si="26">IF(T4 = 0, "Not 50%", IF(T4 &gt;= 0.5 * N4, "Business Achieved 50%", "Not 50%"))</f>
        <v>Business Achieved 50%</v>
      </c>
      <c r="CI4" s="93">
        <f t="shared" si="19"/>
        <v>0.77419354838709675</v>
      </c>
      <c r="CJ4" s="95">
        <f ca="1">IFERROR(__xludf.DUMMYFUNCTION("""COMPUTED_VALUE"""),955)</f>
        <v>955</v>
      </c>
      <c r="CK4" s="95">
        <f ca="1">IFERROR(__xludf.DUMMYFUNCTION("""COMPUTED_VALUE"""),68)</f>
        <v>68</v>
      </c>
      <c r="CL4" s="95">
        <f ca="1">IFERROR(__xludf.DUMMYFUNCTION("""COMPUTED_VALUE"""),0)</f>
        <v>0</v>
      </c>
      <c r="CM4" s="96">
        <f t="shared" ca="1" si="20"/>
        <v>0</v>
      </c>
      <c r="CN4" s="103"/>
      <c r="CO4" s="4"/>
      <c r="CP4" s="100" t="s">
        <v>372</v>
      </c>
      <c r="CQ4" s="101">
        <f t="shared" si="21"/>
        <v>8</v>
      </c>
      <c r="CR4" s="101">
        <f t="shared" si="22"/>
        <v>1</v>
      </c>
      <c r="CS4" s="4" t="e">
        <f ca="1"/>
        <v>#NAME?</v>
      </c>
      <c r="CT4" s="4">
        <f t="shared" ca="1" si="23"/>
        <v>0</v>
      </c>
      <c r="CU4" s="4"/>
      <c r="CV4" s="4"/>
      <c r="CW4" s="101"/>
      <c r="CX4" s="51"/>
      <c r="CY4" s="4"/>
      <c r="CZ4" s="4"/>
    </row>
    <row r="5" spans="1:104" ht="46.8">
      <c r="A5" s="1" t="s">
        <v>201</v>
      </c>
      <c r="B5" s="1" t="s">
        <v>431</v>
      </c>
      <c r="C5" s="1" t="s">
        <v>104</v>
      </c>
      <c r="D5" s="1" t="s">
        <v>432</v>
      </c>
      <c r="E5" s="1" t="s">
        <v>433</v>
      </c>
      <c r="F5" s="104">
        <v>41004</v>
      </c>
      <c r="G5" s="76">
        <v>3600000</v>
      </c>
      <c r="H5" s="76">
        <v>46400004</v>
      </c>
      <c r="I5" s="77">
        <v>39826983.490000002</v>
      </c>
      <c r="J5" s="77">
        <v>3804037.1</v>
      </c>
      <c r="K5" s="4">
        <v>59</v>
      </c>
      <c r="L5" s="4">
        <v>70</v>
      </c>
      <c r="M5" s="4">
        <v>15</v>
      </c>
      <c r="N5" s="4">
        <v>74</v>
      </c>
      <c r="O5" s="4">
        <v>4</v>
      </c>
      <c r="P5" s="77">
        <v>32519279.460000001</v>
      </c>
      <c r="Q5" s="77">
        <v>7307704.0300000003</v>
      </c>
      <c r="R5" s="4">
        <v>41</v>
      </c>
      <c r="S5" s="4">
        <v>11</v>
      </c>
      <c r="T5" s="4">
        <v>52</v>
      </c>
      <c r="U5" s="4">
        <v>8</v>
      </c>
      <c r="V5" s="4">
        <v>14</v>
      </c>
      <c r="W5" s="4">
        <v>21</v>
      </c>
      <c r="X5" s="4">
        <v>19</v>
      </c>
      <c r="Y5" s="4">
        <v>11</v>
      </c>
      <c r="Z5" s="4">
        <v>408</v>
      </c>
      <c r="AA5" s="4">
        <v>9</v>
      </c>
      <c r="AB5" s="4">
        <v>118</v>
      </c>
      <c r="AC5" s="4">
        <v>3</v>
      </c>
      <c r="AD5" s="4">
        <v>6</v>
      </c>
      <c r="AE5" s="4">
        <v>619</v>
      </c>
      <c r="AF5" s="4">
        <v>1172</v>
      </c>
      <c r="AG5" s="4">
        <v>254</v>
      </c>
      <c r="AH5" s="76">
        <f t="shared" si="1"/>
        <v>171775.67161417325</v>
      </c>
      <c r="AI5" s="76">
        <f t="shared" si="2"/>
        <v>4.6141732283464565</v>
      </c>
      <c r="AJ5" s="78">
        <f>BV5</f>
        <v>95834</v>
      </c>
      <c r="AK5" s="76">
        <f t="shared" si="3"/>
        <v>1150008</v>
      </c>
      <c r="AL5" s="49">
        <v>239916</v>
      </c>
      <c r="AM5" s="80">
        <f t="shared" si="4"/>
        <v>3.185632564182015E-2</v>
      </c>
      <c r="AN5" s="76">
        <f t="shared" si="5"/>
        <v>765903.52865384624</v>
      </c>
      <c r="AO5" s="102">
        <f t="shared" si="24"/>
        <v>0.87262034199037275</v>
      </c>
      <c r="AP5" s="82">
        <v>1.06</v>
      </c>
      <c r="AQ5" s="4">
        <v>578</v>
      </c>
      <c r="AR5" s="4">
        <v>1986</v>
      </c>
      <c r="AS5" s="4">
        <v>2254.73</v>
      </c>
      <c r="AT5" s="4">
        <v>11</v>
      </c>
      <c r="AU5" s="4">
        <v>32</v>
      </c>
      <c r="AV5" s="1">
        <v>52</v>
      </c>
      <c r="AW5" s="1">
        <v>18</v>
      </c>
      <c r="AX5" s="1">
        <v>4</v>
      </c>
      <c r="AY5" s="86" t="str">
        <f>IFERROR(VLOOKUP(C5,#REF!,13,0),"")</f>
        <v/>
      </c>
      <c r="AZ5" s="87"/>
      <c r="BA5" s="1" t="str">
        <f t="shared" si="6"/>
        <v>Active</v>
      </c>
      <c r="BB5" s="1" t="e">
        <f t="shared" ca="1" si="7"/>
        <v>#NAME?</v>
      </c>
      <c r="BC5" s="1" t="e">
        <f t="shared" ca="1" si="25"/>
        <v>#NAME?</v>
      </c>
      <c r="BD5" s="33">
        <f t="shared" si="8"/>
        <v>12</v>
      </c>
      <c r="BE5" s="88" t="str">
        <v/>
      </c>
      <c r="BF5" s="1">
        <f t="shared" si="9"/>
        <v>4</v>
      </c>
      <c r="BG5" s="1" t="s">
        <v>428</v>
      </c>
      <c r="BH5" s="89">
        <f ca="1">IFERROR(__xludf.DUMMYFUNCTION("""COMPUTED_VALUE"""),45381670)</f>
        <v>45381670</v>
      </c>
      <c r="BI5" s="89">
        <f ca="1">IFERROR(__xludf.DUMMYFUNCTION("""COMPUTED_VALUE"""),44623264.94)</f>
        <v>44623264.939999998</v>
      </c>
      <c r="BJ5" s="90"/>
      <c r="BK5" s="91">
        <v>300000</v>
      </c>
      <c r="BL5" s="91">
        <f t="shared" si="10"/>
        <v>3600000</v>
      </c>
      <c r="BM5" s="91">
        <f t="shared" si="11"/>
        <v>50000004</v>
      </c>
      <c r="BN5" s="91"/>
      <c r="BO5" s="92">
        <f ca="1">IFERROR(__xludf.DUMMYFUNCTION("IFERROR(ArrayFormula(SUM(VLOOKUP($C5,importrange(""1MwNMVzWE3QBVOyJjKr3eFX-Sq1Ng0Q1sghWJbgbE_8g"",""ORDER BOOKING REPORT 2024-25!C:CV""),{16,23,30},0))))"),13609862.56)</f>
        <v>13609862.560000001</v>
      </c>
      <c r="BP5" s="92">
        <f ca="1">IFERROR(__xludf.DUMMYFUNCTION("IFERROR(ArrayFormula(SUM(VLOOKUP($C5,importrange(""1MwNMVzWE3QBVOyJjKr3eFX-Sq1Ng0Q1sghWJbgbE_8g"",""ORDER BOOKING REPORT 2024-25!C:CV""),{37,44,51},0))))"),7145309.5)</f>
        <v>7145309.5</v>
      </c>
      <c r="BQ5" s="92">
        <f ca="1">IFERROR(__xludf.DUMMYFUNCTION("IFERROR(ArrayFormula(SUM(VLOOKUP($C5,importrange(""1MwNMVzWE3QBVOyJjKr3eFX-Sq1Ng0Q1sghWJbgbE_8g"",""ORDER BOOKING REPORT 2024-25!C:CV""),{58,65,72},0))))"),11508289.34)</f>
        <v>11508289.34</v>
      </c>
      <c r="BR5" s="92">
        <f ca="1">IFERROR(__xludf.DUMMYFUNCTION("IFERROR(ArrayFormula(SUM(VLOOKUP($C5,importrange(""1MwNMVzWE3QBVOyJjKr3eFX-Sq1Ng0Q1sghWJbgbE_8g"",""ORDER BOOKING REPORT 2024-25!C:CV""),{79,86,93},0))))"),12359803.54)</f>
        <v>12359803.539999999</v>
      </c>
      <c r="BS5" s="93" t="str">
        <f t="shared" si="12"/>
        <v/>
      </c>
      <c r="BT5" s="93" t="str">
        <f t="shared" si="13"/>
        <v/>
      </c>
      <c r="BU5" s="37">
        <f t="shared" si="14"/>
        <v>0</v>
      </c>
      <c r="BV5" s="94">
        <v>95834</v>
      </c>
      <c r="BW5" s="94" t="s">
        <v>434</v>
      </c>
      <c r="BX5" s="94">
        <v>15</v>
      </c>
      <c r="BY5" s="37">
        <f t="shared" si="15"/>
        <v>0</v>
      </c>
      <c r="BZ5" s="37"/>
      <c r="CA5" s="37" t="s">
        <v>435</v>
      </c>
      <c r="CB5" s="37">
        <f>COUNTIF($F:$F, "&lt;=" &amp; DATE(2025,5,31))-COUNTIFS(AZ:AZ, "&gt;=" &amp; DATE(2025,4,1), AZ:AZ, "&lt;=" &amp; DATE(2025,5,31))</f>
        <v>171</v>
      </c>
      <c r="CC5" s="37">
        <f>COUNTIFS(F:F, "&gt;=" &amp; DATE(2025,6,1), F:F, "&lt;=" &amp; DATE(2025,6,30))</f>
        <v>9</v>
      </c>
      <c r="CD5" s="37">
        <f>COUNTIFS(AZ:AZ, "&gt;=" &amp; DATE(2025,6,1), AZ:AZ, "&lt;=" &amp; DATE(2025,6,30))</f>
        <v>4</v>
      </c>
      <c r="CE5" s="37">
        <f t="shared" si="16"/>
        <v>180</v>
      </c>
      <c r="CF5" s="37">
        <f t="shared" si="17"/>
        <v>184</v>
      </c>
      <c r="CG5" s="37" t="str">
        <f t="shared" si="18"/>
        <v xml:space="preserve"> </v>
      </c>
      <c r="CH5" s="37" t="str">
        <f t="shared" si="26"/>
        <v>Business Achieved 50%</v>
      </c>
      <c r="CI5" s="93">
        <f t="shared" si="19"/>
        <v>0.70270270270270274</v>
      </c>
      <c r="CJ5" s="105">
        <f ca="1">IFERROR(__xludf.DUMMYFUNCTION("""COMPUTED_VALUE"""),590)</f>
        <v>590</v>
      </c>
      <c r="CK5" s="105">
        <f ca="1">IFERROR(__xludf.DUMMYFUNCTION("""COMPUTED_VALUE"""),28)</f>
        <v>28</v>
      </c>
      <c r="CL5" s="105">
        <f ca="1">IFERROR(__xludf.DUMMYFUNCTION("""COMPUTED_VALUE"""),0)</f>
        <v>0</v>
      </c>
      <c r="CM5" s="96">
        <f t="shared" ca="1" si="20"/>
        <v>1</v>
      </c>
      <c r="CN5" s="106" t="str">
        <f ca="1">IFERROR(__xludf.DUMMYFUNCTION("""COMPUTED_VALUE"""),"Retailer Convert as a direct dealer")</f>
        <v>Retailer Convert as a direct dealer</v>
      </c>
      <c r="CO5" s="93"/>
      <c r="CP5" s="107" t="s">
        <v>438</v>
      </c>
      <c r="CQ5" s="101">
        <f t="shared" si="21"/>
        <v>2</v>
      </c>
      <c r="CR5" s="101">
        <f t="shared" si="22"/>
        <v>0</v>
      </c>
      <c r="CS5" s="93" t="e">
        <f ca="1"/>
        <v>#NAME?</v>
      </c>
      <c r="CT5" s="4">
        <f t="shared" ca="1" si="23"/>
        <v>0</v>
      </c>
      <c r="CU5" s="93"/>
      <c r="CV5" s="93"/>
      <c r="CW5" s="93"/>
      <c r="CX5" s="51"/>
      <c r="CY5" s="93"/>
      <c r="CZ5" s="93"/>
    </row>
    <row r="6" spans="1:104" ht="15.6">
      <c r="A6" s="1" t="s">
        <v>118</v>
      </c>
      <c r="B6" s="1" t="s">
        <v>362</v>
      </c>
      <c r="C6" s="1" t="s">
        <v>91</v>
      </c>
      <c r="D6" s="1" t="s">
        <v>419</v>
      </c>
      <c r="E6" s="1" t="s">
        <v>439</v>
      </c>
      <c r="F6" s="104">
        <v>41159</v>
      </c>
      <c r="G6" s="76">
        <v>0</v>
      </c>
      <c r="H6" s="76">
        <v>81999996</v>
      </c>
      <c r="I6" s="77">
        <v>34910047.329999998</v>
      </c>
      <c r="J6" s="77">
        <v>0</v>
      </c>
      <c r="K6" s="4">
        <v>149</v>
      </c>
      <c r="L6" s="4">
        <v>143</v>
      </c>
      <c r="M6" s="4">
        <v>4</v>
      </c>
      <c r="N6" s="4">
        <v>153</v>
      </c>
      <c r="O6" s="4">
        <v>10</v>
      </c>
      <c r="P6" s="77">
        <v>33231269.739999998</v>
      </c>
      <c r="Q6" s="77">
        <v>1678777.59</v>
      </c>
      <c r="R6" s="4">
        <v>78</v>
      </c>
      <c r="S6" s="4">
        <v>3</v>
      </c>
      <c r="T6" s="4">
        <v>81</v>
      </c>
      <c r="U6" s="4">
        <v>0</v>
      </c>
      <c r="V6" s="4">
        <v>51</v>
      </c>
      <c r="W6" s="4">
        <v>124</v>
      </c>
      <c r="X6" s="4">
        <v>22</v>
      </c>
      <c r="Y6" s="4">
        <v>3</v>
      </c>
      <c r="Z6" s="4">
        <v>37</v>
      </c>
      <c r="AA6" s="4">
        <v>0</v>
      </c>
      <c r="AB6" s="4">
        <v>0</v>
      </c>
      <c r="AC6" s="4">
        <v>0</v>
      </c>
      <c r="AD6" s="4">
        <v>0</v>
      </c>
      <c r="AE6" s="4">
        <v>1386</v>
      </c>
      <c r="AF6" s="4">
        <v>1547</v>
      </c>
      <c r="AG6" s="4">
        <v>301</v>
      </c>
      <c r="AH6" s="76">
        <f t="shared" si="1"/>
        <v>115980.22368770764</v>
      </c>
      <c r="AI6" s="76">
        <f t="shared" si="2"/>
        <v>5.1395348837209305</v>
      </c>
      <c r="AJ6" s="78">
        <v>78125</v>
      </c>
      <c r="AK6" s="76">
        <f t="shared" si="3"/>
        <v>937500</v>
      </c>
      <c r="AL6" s="79">
        <v>243987</v>
      </c>
      <c r="AM6" s="80">
        <f t="shared" si="4"/>
        <v>3.3843752454173488E-2</v>
      </c>
      <c r="AN6" s="76">
        <f t="shared" si="5"/>
        <v>430988.23864197527</v>
      </c>
      <c r="AO6" s="102">
        <f t="shared" si="24"/>
        <v>0.42573230527962463</v>
      </c>
      <c r="AP6" s="82">
        <v>0</v>
      </c>
      <c r="AQ6" s="4">
        <v>306</v>
      </c>
      <c r="AR6" s="4">
        <v>3433</v>
      </c>
      <c r="AS6" s="4">
        <v>1481.26</v>
      </c>
      <c r="AT6" s="4">
        <v>3</v>
      </c>
      <c r="AU6" s="4">
        <v>10</v>
      </c>
      <c r="AV6" s="1">
        <v>81</v>
      </c>
      <c r="AW6" s="1">
        <v>62</v>
      </c>
      <c r="AX6" s="1">
        <v>10</v>
      </c>
      <c r="AY6" s="86" t="str">
        <f>IFERROR(VLOOKUP(C6,#REF!,13,0),"")</f>
        <v/>
      </c>
      <c r="AZ6" s="87"/>
      <c r="BA6" s="1" t="str">
        <f t="shared" si="6"/>
        <v>Active</v>
      </c>
      <c r="BB6" s="1" t="e">
        <f t="shared" ca="1" si="7"/>
        <v>#NAME?</v>
      </c>
      <c r="BC6" s="1" t="e">
        <f t="shared" ca="1" si="25"/>
        <v>#NAME?</v>
      </c>
      <c r="BD6" s="33">
        <f t="shared" si="8"/>
        <v>12</v>
      </c>
      <c r="BE6" s="88" t="str">
        <v/>
      </c>
      <c r="BF6" s="1">
        <f t="shared" si="9"/>
        <v>1</v>
      </c>
      <c r="BG6" s="1" t="s">
        <v>428</v>
      </c>
      <c r="BH6" s="89">
        <f ca="1">IFERROR(__xludf.DUMMYFUNCTION("""COMPUTED_VALUE"""),63090460)</f>
        <v>63090460</v>
      </c>
      <c r="BI6" s="89">
        <f ca="1">IFERROR(__xludf.DUMMYFUNCTION("""COMPUTED_VALUE"""),63695685.6)</f>
        <v>63695685.600000001</v>
      </c>
      <c r="BJ6" s="90"/>
      <c r="BK6" s="91"/>
      <c r="BL6" s="91">
        <f t="shared" si="10"/>
        <v>0</v>
      </c>
      <c r="BM6" s="91">
        <f t="shared" si="11"/>
        <v>81999996</v>
      </c>
      <c r="BN6" s="91"/>
      <c r="BO6" s="92">
        <f ca="1">IFERROR(__xludf.DUMMYFUNCTION("IFERROR(ArrayFormula(SUM(VLOOKUP($C6,importrange(""1MwNMVzWE3QBVOyJjKr3eFX-Sq1Ng0Q1sghWJbgbE_8g"",""ORDER BOOKING REPORT 2024-25!C:CV""),{16,23,30},0))))"),15537153.4)</f>
        <v>15537153.4</v>
      </c>
      <c r="BP6" s="92">
        <f ca="1">IFERROR(__xludf.DUMMYFUNCTION("IFERROR(ArrayFormula(SUM(VLOOKUP($C6,importrange(""1MwNMVzWE3QBVOyJjKr3eFX-Sq1Ng0Q1sghWJbgbE_8g"",""ORDER BOOKING REPORT 2024-25!C:CV""),{37,44,51},0))))"),13951117.7)</f>
        <v>13951117.699999999</v>
      </c>
      <c r="BQ6" s="92">
        <f ca="1">IFERROR(__xludf.DUMMYFUNCTION("IFERROR(ArrayFormula(SUM(VLOOKUP($C6,importrange(""1MwNMVzWE3QBVOyJjKr3eFX-Sq1Ng0Q1sghWJbgbE_8g"",""ORDER BOOKING REPORT 2024-25!C:CV""),{58,65,72},0))))"),18425749.8)</f>
        <v>18425749.800000001</v>
      </c>
      <c r="BR6" s="92">
        <f ca="1">IFERROR(__xludf.DUMMYFUNCTION("IFERROR(ArrayFormula(SUM(VLOOKUP($C6,importrange(""1MwNMVzWE3QBVOyJjKr3eFX-Sq1Ng0Q1sghWJbgbE_8g"",""ORDER BOOKING REPORT 2024-25!C:CV""),{79,86,93},0))))"),15781664.7)</f>
        <v>15781664.699999999</v>
      </c>
      <c r="BS6" s="93" t="str">
        <f t="shared" si="12"/>
        <v/>
      </c>
      <c r="BT6" s="93" t="str">
        <f t="shared" si="13"/>
        <v/>
      </c>
      <c r="BU6" s="37">
        <f t="shared" si="14"/>
        <v>0</v>
      </c>
      <c r="BV6" s="94">
        <v>78125</v>
      </c>
      <c r="BW6" s="94" t="s">
        <v>429</v>
      </c>
      <c r="BX6" s="94">
        <v>33</v>
      </c>
      <c r="BY6" s="37">
        <f t="shared" si="15"/>
        <v>0</v>
      </c>
      <c r="BZ6" s="37"/>
      <c r="CA6" s="37" t="s">
        <v>440</v>
      </c>
      <c r="CB6" s="37">
        <f>COUNTIF($F:$F, "&lt;=" &amp; DATE(2025,6,30))-COUNTIFS(AZ:AZ, "&gt;=" &amp; DATE(2025,4,1), AZ:AZ, "&lt;=" &amp; DATE(2025,6,30))</f>
        <v>176</v>
      </c>
      <c r="CC6" s="37">
        <f>COUNTIFS(F:F, "&gt;=" &amp; DATE(2025,7,1), F:F, "&lt;=" &amp; DATE(2025,7,31))</f>
        <v>12</v>
      </c>
      <c r="CD6" s="37">
        <f>COUNTIFS(AZ:AZ, "&gt;=" &amp; DATE(2025,7,1), AZ:AZ, "&lt;=" &amp; DATE(2025,7,31))</f>
        <v>9</v>
      </c>
      <c r="CE6" s="37">
        <f t="shared" si="16"/>
        <v>188</v>
      </c>
      <c r="CF6" s="37">
        <f t="shared" si="17"/>
        <v>197</v>
      </c>
      <c r="CG6" s="37" t="str">
        <f t="shared" si="18"/>
        <v xml:space="preserve"> </v>
      </c>
      <c r="CH6" s="37" t="str">
        <f t="shared" si="26"/>
        <v>Business Achieved 50%</v>
      </c>
      <c r="CI6" s="93">
        <f t="shared" si="19"/>
        <v>0.52941176470588236</v>
      </c>
      <c r="CJ6" s="95">
        <f ca="1">IFERROR(__xludf.DUMMYFUNCTION("""COMPUTED_VALUE"""),991)</f>
        <v>991</v>
      </c>
      <c r="CK6" s="95">
        <f ca="1">IFERROR(__xludf.DUMMYFUNCTION("""COMPUTED_VALUE"""),395)</f>
        <v>395</v>
      </c>
      <c r="CL6" s="95">
        <f ca="1">IFERROR(__xludf.DUMMYFUNCTION("""COMPUTED_VALUE"""),0)</f>
        <v>0</v>
      </c>
      <c r="CM6" s="96">
        <f t="shared" ca="1" si="20"/>
        <v>0</v>
      </c>
      <c r="CN6" s="103"/>
      <c r="CO6" s="4"/>
      <c r="CP6" s="100" t="s">
        <v>163</v>
      </c>
      <c r="CQ6" s="101">
        <f t="shared" si="21"/>
        <v>2</v>
      </c>
      <c r="CR6" s="101">
        <f t="shared" si="22"/>
        <v>0</v>
      </c>
      <c r="CS6" s="4" t="e">
        <f ca="1"/>
        <v>#NAME?</v>
      </c>
      <c r="CT6" s="4">
        <f t="shared" ca="1" si="23"/>
        <v>0</v>
      </c>
      <c r="CU6" s="4"/>
      <c r="CV6" s="4"/>
      <c r="CW6" s="101"/>
      <c r="CX6" s="51"/>
      <c r="CY6" s="4"/>
      <c r="CZ6" s="4"/>
    </row>
    <row r="7" spans="1:104" ht="15.6">
      <c r="A7" s="1" t="s">
        <v>118</v>
      </c>
      <c r="B7" s="1" t="s">
        <v>362</v>
      </c>
      <c r="C7" s="1" t="s">
        <v>92</v>
      </c>
      <c r="D7" s="1" t="s">
        <v>419</v>
      </c>
      <c r="E7" s="1" t="s">
        <v>420</v>
      </c>
      <c r="F7" s="108">
        <v>41400</v>
      </c>
      <c r="G7" s="76">
        <v>0</v>
      </c>
      <c r="H7" s="76">
        <v>102000000</v>
      </c>
      <c r="I7" s="77">
        <v>61300487.740000002</v>
      </c>
      <c r="J7" s="77">
        <v>0</v>
      </c>
      <c r="K7" s="4">
        <v>54</v>
      </c>
      <c r="L7" s="4">
        <v>53</v>
      </c>
      <c r="M7" s="4">
        <v>4</v>
      </c>
      <c r="N7" s="4">
        <v>58</v>
      </c>
      <c r="O7" s="4">
        <v>5</v>
      </c>
      <c r="P7" s="77">
        <v>61245044.740000002</v>
      </c>
      <c r="Q7" s="77">
        <v>55443</v>
      </c>
      <c r="R7" s="4">
        <v>47</v>
      </c>
      <c r="S7" s="4">
        <v>2</v>
      </c>
      <c r="T7" s="4">
        <v>49</v>
      </c>
      <c r="U7" s="4">
        <v>0</v>
      </c>
      <c r="V7" s="4">
        <v>2</v>
      </c>
      <c r="W7" s="4">
        <v>4</v>
      </c>
      <c r="X7" s="4">
        <v>17</v>
      </c>
      <c r="Y7" s="4">
        <v>3</v>
      </c>
      <c r="Z7" s="4">
        <v>174</v>
      </c>
      <c r="AA7" s="4">
        <v>0</v>
      </c>
      <c r="AB7" s="4">
        <v>0</v>
      </c>
      <c r="AC7" s="4">
        <v>0</v>
      </c>
      <c r="AD7" s="4">
        <v>0</v>
      </c>
      <c r="AE7" s="4">
        <v>1633</v>
      </c>
      <c r="AF7" s="4">
        <v>1811</v>
      </c>
      <c r="AG7" s="4">
        <v>245</v>
      </c>
      <c r="AH7" s="76">
        <f t="shared" si="1"/>
        <v>250206.07240816328</v>
      </c>
      <c r="AI7" s="76">
        <f t="shared" si="2"/>
        <v>7.3918367346938778</v>
      </c>
      <c r="AJ7" s="78">
        <v>83075</v>
      </c>
      <c r="AK7" s="76">
        <f t="shared" si="3"/>
        <v>996900</v>
      </c>
      <c r="AL7" s="79">
        <v>72733</v>
      </c>
      <c r="AM7" s="80">
        <f t="shared" si="4"/>
        <v>1.744901287795202E-2</v>
      </c>
      <c r="AN7" s="76">
        <f t="shared" si="5"/>
        <v>1251030.3620408163</v>
      </c>
      <c r="AO7" s="102">
        <f t="shared" si="24"/>
        <v>0.60098517392156869</v>
      </c>
      <c r="AP7" s="82">
        <v>0</v>
      </c>
      <c r="AQ7" s="4">
        <v>1005</v>
      </c>
      <c r="AR7" s="4">
        <v>2357</v>
      </c>
      <c r="AS7" s="4">
        <v>807.74</v>
      </c>
      <c r="AT7" s="4">
        <v>2</v>
      </c>
      <c r="AU7" s="4">
        <v>15</v>
      </c>
      <c r="AV7" s="1">
        <v>49</v>
      </c>
      <c r="AW7" s="1">
        <v>6</v>
      </c>
      <c r="AX7" s="1">
        <v>3</v>
      </c>
      <c r="AY7" s="86" t="str">
        <f>IFERROR(VLOOKUP(C7,#REF!,13,0),"")</f>
        <v/>
      </c>
      <c r="AZ7" s="87"/>
      <c r="BA7" s="1" t="str">
        <f t="shared" si="6"/>
        <v>Active</v>
      </c>
      <c r="BB7" s="1" t="e">
        <f t="shared" ca="1" si="7"/>
        <v>#NAME?</v>
      </c>
      <c r="BC7" s="1" t="e">
        <f t="shared" ca="1" si="25"/>
        <v>#NAME?</v>
      </c>
      <c r="BD7" s="33">
        <f t="shared" si="8"/>
        <v>12</v>
      </c>
      <c r="BE7" s="88" t="str">
        <v/>
      </c>
      <c r="BF7" s="1">
        <f t="shared" si="9"/>
        <v>2</v>
      </c>
      <c r="BG7" s="1" t="s">
        <v>428</v>
      </c>
      <c r="BH7" s="89">
        <f ca="1">IFERROR(__xludf.DUMMYFUNCTION("""COMPUTED_VALUE"""),67969652.42)</f>
        <v>67969652.420000002</v>
      </c>
      <c r="BI7" s="89">
        <f ca="1">IFERROR(__xludf.DUMMYFUNCTION("""COMPUTED_VALUE"""),66863516.29)</f>
        <v>66863516.289999999</v>
      </c>
      <c r="BJ7" s="90"/>
      <c r="BK7" s="91"/>
      <c r="BL7" s="91">
        <f t="shared" si="10"/>
        <v>0</v>
      </c>
      <c r="BM7" s="91">
        <f t="shared" si="11"/>
        <v>102000000</v>
      </c>
      <c r="BN7" s="91"/>
      <c r="BO7" s="92">
        <f ca="1">IFERROR(__xludf.DUMMYFUNCTION("IFERROR(ArrayFormula(SUM(VLOOKUP($C7,importrange(""1MwNMVzWE3QBVOyJjKr3eFX-Sq1Ng0Q1sghWJbgbE_8g"",""ORDER BOOKING REPORT 2024-25!C:CV""),{16,23,30},0))))"),13545550.98)</f>
        <v>13545550.98</v>
      </c>
      <c r="BP7" s="92">
        <f ca="1">IFERROR(__xludf.DUMMYFUNCTION("IFERROR(ArrayFormula(SUM(VLOOKUP($C7,importrange(""1MwNMVzWE3QBVOyJjKr3eFX-Sq1Ng0Q1sghWJbgbE_8g"",""ORDER BOOKING REPORT 2024-25!C:CV""),{37,44,51},0))))"),15540769.1399999)</f>
        <v>15540769.1399999</v>
      </c>
      <c r="BQ7" s="92">
        <f ca="1">IFERROR(__xludf.DUMMYFUNCTION("IFERROR(ArrayFormula(SUM(VLOOKUP($C7,importrange(""1MwNMVzWE3QBVOyJjKr3eFX-Sq1Ng0Q1sghWJbgbE_8g"",""ORDER BOOKING REPORT 2024-25!C:CV""),{58,65,72},0))))"),15171394.53)</f>
        <v>15171394.529999999</v>
      </c>
      <c r="BR7" s="92">
        <f ca="1">IFERROR(__xludf.DUMMYFUNCTION("IFERROR(ArrayFormula(SUM(VLOOKUP($C7,importrange(""1MwNMVzWE3QBVOyJjKr3eFX-Sq1Ng0Q1sghWJbgbE_8g"",""ORDER BOOKING REPORT 2024-25!C:CV""),{79,86,93},0))))"),22605801.64)</f>
        <v>22605801.640000001</v>
      </c>
      <c r="BS7" s="93" t="str">
        <f t="shared" si="12"/>
        <v/>
      </c>
      <c r="BT7" s="93" t="str">
        <f t="shared" si="13"/>
        <v/>
      </c>
      <c r="BU7" s="37">
        <f t="shared" si="14"/>
        <v>0</v>
      </c>
      <c r="BV7" s="94">
        <v>83075</v>
      </c>
      <c r="BW7" s="94" t="s">
        <v>429</v>
      </c>
      <c r="BX7" s="94">
        <v>82</v>
      </c>
      <c r="BY7" s="37">
        <f t="shared" si="15"/>
        <v>0</v>
      </c>
      <c r="BZ7" s="37"/>
      <c r="CA7" s="37" t="s">
        <v>441</v>
      </c>
      <c r="CB7" s="37">
        <f>COUNTIF($F:$F, "&lt;=" &amp; DATE(2025,7,31))-COUNTIFS(AZ:AZ, "&gt;=" &amp; DATE(2025,4,1), AZ:AZ, "&lt;=" &amp; DATE(2025,7,31))</f>
        <v>179</v>
      </c>
      <c r="CC7" s="37">
        <f>COUNTIFS(F:F, "&gt;=" &amp; DATE(2025,8,1), F:F, "&lt;=" &amp; DATE(2025,8,31))</f>
        <v>6</v>
      </c>
      <c r="CD7" s="37">
        <f>COUNTIFS(AZ:AZ, "&gt;=" &amp; DATE(2025,8,1), AZ:AZ, "&lt;=" &amp; DATE(2025,8,31))</f>
        <v>12</v>
      </c>
      <c r="CE7" s="37">
        <f t="shared" si="16"/>
        <v>185</v>
      </c>
      <c r="CF7" s="37">
        <f t="shared" si="17"/>
        <v>197</v>
      </c>
      <c r="CG7" s="37" t="str">
        <f t="shared" si="18"/>
        <v>Below 60</v>
      </c>
      <c r="CH7" s="37" t="str">
        <f t="shared" si="26"/>
        <v>Business Achieved 50%</v>
      </c>
      <c r="CI7" s="93">
        <f t="shared" si="19"/>
        <v>0.84482758620689657</v>
      </c>
      <c r="CJ7" s="95">
        <f ca="1">IFERROR(__xludf.DUMMYFUNCTION("""COMPUTED_VALUE"""),1620)</f>
        <v>1620</v>
      </c>
      <c r="CK7" s="95">
        <f ca="1">IFERROR(__xludf.DUMMYFUNCTION("""COMPUTED_VALUE"""),13)</f>
        <v>13</v>
      </c>
      <c r="CL7" s="95">
        <f ca="1">IFERROR(__xludf.DUMMYFUNCTION("""COMPUTED_VALUE"""),0)</f>
        <v>0</v>
      </c>
      <c r="CM7" s="96">
        <f t="shared" ca="1" si="20"/>
        <v>0</v>
      </c>
      <c r="CN7" s="103"/>
      <c r="CO7" s="4"/>
      <c r="CP7" s="100" t="s">
        <v>356</v>
      </c>
      <c r="CQ7" s="101">
        <f t="shared" si="21"/>
        <v>1</v>
      </c>
      <c r="CR7" s="101">
        <f t="shared" si="22"/>
        <v>0</v>
      </c>
      <c r="CS7" s="4" t="e">
        <f ca="1"/>
        <v>#NAME?</v>
      </c>
      <c r="CT7" s="4">
        <f t="shared" ca="1" si="23"/>
        <v>0</v>
      </c>
      <c r="CU7" s="4"/>
      <c r="CV7" s="4"/>
      <c r="CW7" s="101"/>
      <c r="CX7" s="51"/>
      <c r="CY7" s="4"/>
      <c r="CZ7" s="4"/>
    </row>
    <row r="8" spans="1:104" ht="15.6">
      <c r="A8" s="1" t="s">
        <v>118</v>
      </c>
      <c r="B8" s="1" t="s">
        <v>359</v>
      </c>
      <c r="C8" s="1" t="s">
        <v>28</v>
      </c>
      <c r="D8" s="1" t="s">
        <v>442</v>
      </c>
      <c r="E8" s="1" t="s">
        <v>444</v>
      </c>
      <c r="F8" s="48">
        <v>41563</v>
      </c>
      <c r="G8" s="76">
        <v>0</v>
      </c>
      <c r="H8" s="76">
        <v>25200000</v>
      </c>
      <c r="I8" s="77">
        <v>22853663.039999999</v>
      </c>
      <c r="J8" s="77">
        <v>0</v>
      </c>
      <c r="K8" s="4">
        <v>38</v>
      </c>
      <c r="L8" s="4">
        <v>39</v>
      </c>
      <c r="M8" s="4">
        <v>2</v>
      </c>
      <c r="N8" s="4">
        <v>40</v>
      </c>
      <c r="O8" s="4">
        <v>1</v>
      </c>
      <c r="P8" s="77">
        <v>22820007.039999999</v>
      </c>
      <c r="Q8" s="77">
        <v>33656</v>
      </c>
      <c r="R8" s="4">
        <v>26</v>
      </c>
      <c r="S8" s="4">
        <v>1</v>
      </c>
      <c r="T8" s="4">
        <v>27</v>
      </c>
      <c r="U8" s="4">
        <v>0</v>
      </c>
      <c r="V8" s="4">
        <v>3</v>
      </c>
      <c r="W8" s="4">
        <v>6</v>
      </c>
      <c r="X8" s="4">
        <v>30</v>
      </c>
      <c r="Y8" s="4">
        <v>1</v>
      </c>
      <c r="Z8" s="4">
        <v>17</v>
      </c>
      <c r="AA8" s="4">
        <v>0</v>
      </c>
      <c r="AB8" s="4">
        <v>0</v>
      </c>
      <c r="AC8" s="4">
        <v>0</v>
      </c>
      <c r="AD8" s="4">
        <v>0</v>
      </c>
      <c r="AE8" s="4">
        <v>821</v>
      </c>
      <c r="AF8" s="4">
        <v>844</v>
      </c>
      <c r="AG8" s="4">
        <v>292</v>
      </c>
      <c r="AH8" s="76">
        <f t="shared" si="1"/>
        <v>78265.969315068491</v>
      </c>
      <c r="AI8" s="76">
        <f t="shared" si="2"/>
        <v>2.8904109589041096</v>
      </c>
      <c r="AJ8" s="78">
        <v>48500</v>
      </c>
      <c r="AK8" s="76">
        <f t="shared" si="3"/>
        <v>582000</v>
      </c>
      <c r="AL8" s="79">
        <v>225701</v>
      </c>
      <c r="AM8" s="80">
        <f t="shared" si="4"/>
        <v>3.5342299332334952E-2</v>
      </c>
      <c r="AN8" s="76">
        <f t="shared" si="5"/>
        <v>846431.9644444444</v>
      </c>
      <c r="AO8" s="102">
        <f t="shared" si="24"/>
        <v>0.9068913904761905</v>
      </c>
      <c r="AP8" s="82">
        <v>0</v>
      </c>
      <c r="AQ8" s="4">
        <v>314</v>
      </c>
      <c r="AR8" s="4">
        <v>3477</v>
      </c>
      <c r="AS8" s="4">
        <v>3895.5</v>
      </c>
      <c r="AT8" s="4">
        <v>1</v>
      </c>
      <c r="AU8" s="4">
        <v>100</v>
      </c>
      <c r="AV8" s="1">
        <v>27</v>
      </c>
      <c r="AW8" s="1">
        <v>12</v>
      </c>
      <c r="AX8" s="1">
        <v>1</v>
      </c>
      <c r="AY8" s="86" t="str">
        <f>IFERROR(VLOOKUP(C8,#REF!,13,0),"")</f>
        <v/>
      </c>
      <c r="AZ8" s="87"/>
      <c r="BA8" s="1" t="str">
        <f t="shared" si="6"/>
        <v>Active</v>
      </c>
      <c r="BB8" s="1" t="e">
        <f t="shared" ca="1" si="7"/>
        <v>#NAME?</v>
      </c>
      <c r="BC8" s="1" t="e">
        <f t="shared" ca="1" si="25"/>
        <v>#NAME?</v>
      </c>
      <c r="BD8" s="33">
        <f t="shared" si="8"/>
        <v>12</v>
      </c>
      <c r="BE8" s="88" t="str">
        <v/>
      </c>
      <c r="BF8" s="1">
        <f t="shared" si="9"/>
        <v>1</v>
      </c>
      <c r="BG8" s="1" t="s">
        <v>428</v>
      </c>
      <c r="BH8" s="89">
        <f ca="1">IFERROR(__xludf.DUMMYFUNCTION("""COMPUTED_VALUE"""),17275853.09)</f>
        <v>17275853.09</v>
      </c>
      <c r="BI8" s="89">
        <f ca="1">IFERROR(__xludf.DUMMYFUNCTION("""COMPUTED_VALUE"""),19757187.56)</f>
        <v>19757187.559999999</v>
      </c>
      <c r="BJ8" s="90"/>
      <c r="BK8" s="91"/>
      <c r="BL8" s="91">
        <f t="shared" si="10"/>
        <v>0</v>
      </c>
      <c r="BM8" s="91">
        <f t="shared" si="11"/>
        <v>25200000</v>
      </c>
      <c r="BN8" s="91"/>
      <c r="BO8" s="92">
        <f ca="1">IFERROR(__xludf.DUMMYFUNCTION("IFERROR(ArrayFormula(SUM(VLOOKUP($C8,importrange(""1MwNMVzWE3QBVOyJjKr3eFX-Sq1Ng0Q1sghWJbgbE_8g"",""ORDER BOOKING REPORT 2024-25!C:CV""),{16,23,30},0))))"),4426946.2)</f>
        <v>4426946.2</v>
      </c>
      <c r="BP8" s="92">
        <f ca="1">IFERROR(__xludf.DUMMYFUNCTION("IFERROR(ArrayFormula(SUM(VLOOKUP($C8,importrange(""1MwNMVzWE3QBVOyJjKr3eFX-Sq1Ng0Q1sghWJbgbE_8g"",""ORDER BOOKING REPORT 2024-25!C:CV""),{37,44,51},0))))"),4924133.03999999)</f>
        <v>4924133.0399999898</v>
      </c>
      <c r="BQ8" s="92">
        <f ca="1">IFERROR(__xludf.DUMMYFUNCTION("IFERROR(ArrayFormula(SUM(VLOOKUP($C8,importrange(""1MwNMVzWE3QBVOyJjKr3eFX-Sq1Ng0Q1sghWJbgbE_8g"",""ORDER BOOKING REPORT 2024-25!C:CV""),{58,65,72},0))))"),4739381.66)</f>
        <v>4739381.66</v>
      </c>
      <c r="BR8" s="92">
        <f ca="1">IFERROR(__xludf.DUMMYFUNCTION("IFERROR(ArrayFormula(SUM(VLOOKUP($C8,importrange(""1MwNMVzWE3QBVOyJjKr3eFX-Sq1Ng0Q1sghWJbgbE_8g"",""ORDER BOOKING REPORT 2024-25!C:CV""),{79,86,93},0))))"),5666726.66)</f>
        <v>5666726.6600000001</v>
      </c>
      <c r="BS8" s="93" t="str">
        <f t="shared" si="12"/>
        <v/>
      </c>
      <c r="BT8" s="93" t="str">
        <f t="shared" si="13"/>
        <v/>
      </c>
      <c r="BU8" s="37">
        <f t="shared" si="14"/>
        <v>0</v>
      </c>
      <c r="BV8" s="94">
        <v>48500</v>
      </c>
      <c r="BW8" s="94" t="s">
        <v>445</v>
      </c>
      <c r="BX8" s="94">
        <v>111</v>
      </c>
      <c r="BY8" s="37">
        <f t="shared" si="15"/>
        <v>0</v>
      </c>
      <c r="BZ8" s="37"/>
      <c r="CA8" s="37" t="s">
        <v>446</v>
      </c>
      <c r="CB8" s="37">
        <f>COUNTIF($F:$F, "&lt;=" &amp; DATE(2025,8,31))-COUNTIFS(AZ:AZ, "&gt;=" &amp; DATE(2025,4,1), AZ:AZ, "&lt;=" &amp; DATE(2025,8,31))</f>
        <v>173</v>
      </c>
      <c r="CC8" s="37">
        <f>COUNTIFS(F:F, "&gt;=" &amp; DATE(2025,9,1), F:F, "&lt;=" &amp; DATE(2025,9,30))</f>
        <v>3</v>
      </c>
      <c r="CD8" s="37">
        <f>COUNTIFS(AZ:AZ, "&gt;=" &amp; DATE(2025,9,1), AZ:AZ, "&lt;=" &amp; DATE(2025,9,30))</f>
        <v>7</v>
      </c>
      <c r="CE8" s="37">
        <f t="shared" si="16"/>
        <v>176</v>
      </c>
      <c r="CF8" s="37">
        <f t="shared" si="17"/>
        <v>183</v>
      </c>
      <c r="CG8" s="37" t="str">
        <f t="shared" si="18"/>
        <v>Below 60</v>
      </c>
      <c r="CH8" s="37" t="str">
        <f t="shared" si="26"/>
        <v>Business Achieved 50%</v>
      </c>
      <c r="CI8" s="93">
        <f t="shared" si="19"/>
        <v>0.67500000000000004</v>
      </c>
      <c r="CJ8" s="95">
        <f ca="1">IFERROR(__xludf.DUMMYFUNCTION("""COMPUTED_VALUE"""),654)</f>
        <v>654</v>
      </c>
      <c r="CK8" s="95">
        <f ca="1">IFERROR(__xludf.DUMMYFUNCTION("""COMPUTED_VALUE"""),167)</f>
        <v>167</v>
      </c>
      <c r="CL8" s="95">
        <f ca="1">IFERROR(__xludf.DUMMYFUNCTION("""COMPUTED_VALUE"""),0)</f>
        <v>0</v>
      </c>
      <c r="CM8" s="96">
        <f t="shared" ca="1" si="20"/>
        <v>0</v>
      </c>
      <c r="CN8" s="103"/>
      <c r="CO8" s="4"/>
      <c r="CP8" s="100" t="s">
        <v>431</v>
      </c>
      <c r="CQ8" s="101">
        <f t="shared" si="21"/>
        <v>15</v>
      </c>
      <c r="CR8" s="101">
        <f t="shared" si="22"/>
        <v>0</v>
      </c>
      <c r="CS8" s="4" t="e">
        <f ca="1"/>
        <v>#NAME?</v>
      </c>
      <c r="CT8" s="4">
        <f t="shared" ca="1" si="23"/>
        <v>0</v>
      </c>
      <c r="CU8" s="4"/>
      <c r="CV8" s="4"/>
      <c r="CW8" s="101"/>
      <c r="CX8" s="51"/>
      <c r="CY8" s="4"/>
      <c r="CZ8" s="4"/>
    </row>
    <row r="9" spans="1:104" ht="15.6">
      <c r="A9" s="1" t="s">
        <v>118</v>
      </c>
      <c r="B9" s="1" t="s">
        <v>372</v>
      </c>
      <c r="C9" s="1" t="s">
        <v>93</v>
      </c>
      <c r="D9" s="1" t="s">
        <v>447</v>
      </c>
      <c r="E9" s="1" t="s">
        <v>448</v>
      </c>
      <c r="F9" s="48">
        <v>41719</v>
      </c>
      <c r="G9" s="76">
        <v>0</v>
      </c>
      <c r="H9" s="76">
        <v>0</v>
      </c>
      <c r="I9" s="77">
        <v>0</v>
      </c>
      <c r="J9" s="77">
        <v>0</v>
      </c>
      <c r="K9" s="4">
        <v>167</v>
      </c>
      <c r="L9" s="4">
        <v>79</v>
      </c>
      <c r="M9" s="4">
        <v>17</v>
      </c>
      <c r="N9" s="4">
        <v>184</v>
      </c>
      <c r="O9" s="4">
        <v>105</v>
      </c>
      <c r="P9" s="77">
        <v>0</v>
      </c>
      <c r="Q9" s="77">
        <v>0</v>
      </c>
      <c r="R9" s="4">
        <v>0</v>
      </c>
      <c r="S9" s="4">
        <v>0</v>
      </c>
      <c r="T9" s="4">
        <v>0</v>
      </c>
      <c r="U9" s="4">
        <v>0</v>
      </c>
      <c r="V9" s="4">
        <v>62</v>
      </c>
      <c r="W9" s="4">
        <v>98</v>
      </c>
      <c r="X9" s="4">
        <v>220</v>
      </c>
      <c r="Y9" s="4">
        <v>20</v>
      </c>
      <c r="Z9" s="4">
        <v>263</v>
      </c>
      <c r="AA9" s="4">
        <v>4</v>
      </c>
      <c r="AB9" s="4">
        <v>45</v>
      </c>
      <c r="AC9" s="4">
        <v>9</v>
      </c>
      <c r="AD9" s="4">
        <v>24</v>
      </c>
      <c r="AE9" s="4">
        <v>184</v>
      </c>
      <c r="AF9" s="4">
        <v>614</v>
      </c>
      <c r="AG9" s="4">
        <v>287</v>
      </c>
      <c r="AH9" s="76">
        <f t="shared" si="1"/>
        <v>0</v>
      </c>
      <c r="AI9" s="76">
        <f t="shared" si="2"/>
        <v>2.1393728222996518</v>
      </c>
      <c r="AJ9" s="78">
        <v>88170</v>
      </c>
      <c r="AK9" s="76">
        <f t="shared" si="3"/>
        <v>1058040</v>
      </c>
      <c r="AL9" s="79">
        <v>367576</v>
      </c>
      <c r="AM9" s="80" t="str">
        <f t="shared" si="4"/>
        <v/>
      </c>
      <c r="AN9" s="76" t="str">
        <f t="shared" si="5"/>
        <v/>
      </c>
      <c r="AO9" s="49" t="s">
        <v>161</v>
      </c>
      <c r="AP9" s="82">
        <v>0</v>
      </c>
      <c r="AQ9" s="4">
        <v>0</v>
      </c>
      <c r="AR9" s="4">
        <v>2790</v>
      </c>
      <c r="AS9" s="4">
        <v>1334.02</v>
      </c>
      <c r="AT9" s="4">
        <v>0</v>
      </c>
      <c r="AU9" s="4">
        <v>17</v>
      </c>
      <c r="AV9" s="1">
        <v>0</v>
      </c>
      <c r="AW9" s="1">
        <v>79</v>
      </c>
      <c r="AX9" s="1">
        <v>105</v>
      </c>
      <c r="AY9" s="86" t="str">
        <f>IFERROR(VLOOKUP(C9,#REF!,13,0),"")</f>
        <v/>
      </c>
      <c r="AZ9" s="87"/>
      <c r="BA9" s="1" t="str">
        <f t="shared" si="6"/>
        <v>Active</v>
      </c>
      <c r="BB9" s="1" t="e">
        <f t="shared" ca="1" si="7"/>
        <v>#NAME?</v>
      </c>
      <c r="BC9" s="4" t="s">
        <v>161</v>
      </c>
      <c r="BD9" s="33">
        <f t="shared" si="8"/>
        <v>12</v>
      </c>
      <c r="BE9" s="88" t="str">
        <v/>
      </c>
      <c r="BF9" s="1">
        <f t="shared" si="9"/>
        <v>17</v>
      </c>
      <c r="BG9" s="37" t="s">
        <v>423</v>
      </c>
      <c r="BH9" s="89"/>
      <c r="BI9" s="89"/>
      <c r="BJ9" s="90"/>
      <c r="BK9" s="91"/>
      <c r="BL9" s="91">
        <f t="shared" si="10"/>
        <v>0</v>
      </c>
      <c r="BM9" s="91">
        <f t="shared" si="11"/>
        <v>0</v>
      </c>
      <c r="BN9" s="91"/>
      <c r="BO9" s="92" t="str">
        <f ca="1">IFERROR(__xludf.DUMMYFUNCTION("IFERROR(ArrayFormula(SUM(VLOOKUP($C9,importrange(""1MwNMVzWE3QBVOyJjKr3eFX-Sq1Ng0Q1sghWJbgbE_8g"",""ORDER BOOKING REPORT 2024-25!C:CV""),{16,23,30},0))))"),"")</f>
        <v/>
      </c>
      <c r="BP9" s="92" t="str">
        <f ca="1">IFERROR(__xludf.DUMMYFUNCTION("IFERROR(ArrayFormula(SUM(VLOOKUP($C9,importrange(""1MwNMVzWE3QBVOyJjKr3eFX-Sq1Ng0Q1sghWJbgbE_8g"",""ORDER BOOKING REPORT 2024-25!C:CV""),{37,44,51},0))))"),"")</f>
        <v/>
      </c>
      <c r="BQ9" s="92" t="str">
        <f ca="1">IFERROR(__xludf.DUMMYFUNCTION("IFERROR(ArrayFormula(SUM(VLOOKUP($C9,importrange(""1MwNMVzWE3QBVOyJjKr3eFX-Sq1Ng0Q1sghWJbgbE_8g"",""ORDER BOOKING REPORT 2024-25!C:CV""),{58,65,72},0))))"),"")</f>
        <v/>
      </c>
      <c r="BR9" s="92" t="str">
        <f ca="1">IFERROR(__xludf.DUMMYFUNCTION("IFERROR(ArrayFormula(SUM(VLOOKUP($C9,importrange(""1MwNMVzWE3QBVOyJjKr3eFX-Sq1Ng0Q1sghWJbgbE_8g"",""ORDER BOOKING REPORT 2024-25!C:CV""),{79,86,93},0))))"),"")</f>
        <v/>
      </c>
      <c r="BS9" s="93" t="str">
        <f t="shared" si="12"/>
        <v/>
      </c>
      <c r="BT9" s="93" t="str">
        <f t="shared" si="13"/>
        <v/>
      </c>
      <c r="BU9" s="37">
        <f t="shared" si="14"/>
        <v>0</v>
      </c>
      <c r="BV9" s="94">
        <v>88170</v>
      </c>
      <c r="BW9" s="94" t="s">
        <v>425</v>
      </c>
      <c r="BX9" s="94">
        <v>130</v>
      </c>
      <c r="BY9" s="37">
        <f t="shared" si="15"/>
        <v>0</v>
      </c>
      <c r="BZ9" s="37"/>
      <c r="CA9" s="37" t="s">
        <v>451</v>
      </c>
      <c r="CB9" s="37">
        <f>COUNTIF($F:$F, "&lt;=" &amp; DATE(2025,9,30))-COUNTIFS(AZ:AZ, "&gt;=" &amp; DATE(2025,4,1), AZ:AZ, "&lt;=" &amp; DATE(2025,9,30))</f>
        <v>169</v>
      </c>
      <c r="CC9" s="37">
        <f>COUNTIFS(F:F, "&gt;=" &amp; DATE(2025,10,1), F:F, "&lt;=" &amp; DATE(2025,10,31))</f>
        <v>3</v>
      </c>
      <c r="CD9" s="37">
        <f>COUNTIFS(AZ:AZ, "&gt;=" &amp; DATE(2025,10,1), AZ:AZ, "&lt;=" &amp; DATE(2025,10,31))</f>
        <v>7</v>
      </c>
      <c r="CE9" s="37">
        <f t="shared" si="16"/>
        <v>172</v>
      </c>
      <c r="CF9" s="37">
        <f t="shared" si="17"/>
        <v>179</v>
      </c>
      <c r="CG9" s="37" t="str">
        <f t="shared" si="18"/>
        <v xml:space="preserve"> </v>
      </c>
      <c r="CH9" s="37" t="str">
        <f t="shared" si="26"/>
        <v>Not 50%</v>
      </c>
      <c r="CI9" s="93">
        <f t="shared" si="19"/>
        <v>0</v>
      </c>
      <c r="CJ9" s="95"/>
      <c r="CK9" s="95"/>
      <c r="CL9" s="95"/>
      <c r="CM9" s="96">
        <f t="shared" si="20"/>
        <v>184</v>
      </c>
      <c r="CN9" s="103"/>
      <c r="CO9" s="4"/>
      <c r="CP9" s="100" t="s">
        <v>450</v>
      </c>
      <c r="CQ9" s="101">
        <f t="shared" si="21"/>
        <v>5</v>
      </c>
      <c r="CR9" s="101">
        <f t="shared" si="22"/>
        <v>0</v>
      </c>
      <c r="CS9" s="4" t="e">
        <f ca="1"/>
        <v>#NAME?</v>
      </c>
      <c r="CT9" s="4">
        <f t="shared" ca="1" si="23"/>
        <v>0</v>
      </c>
      <c r="CU9" s="4"/>
      <c r="CV9" s="4"/>
      <c r="CW9" s="101"/>
      <c r="CX9" s="51"/>
      <c r="CY9" s="4"/>
      <c r="CZ9" s="4"/>
    </row>
    <row r="10" spans="1:104" ht="15.6">
      <c r="A10" s="1" t="s">
        <v>118</v>
      </c>
      <c r="B10" s="1" t="s">
        <v>362</v>
      </c>
      <c r="C10" s="1" t="s">
        <v>27</v>
      </c>
      <c r="D10" s="1" t="s">
        <v>419</v>
      </c>
      <c r="E10" s="1" t="s">
        <v>452</v>
      </c>
      <c r="F10" s="104">
        <v>41791</v>
      </c>
      <c r="G10" s="76">
        <v>0</v>
      </c>
      <c r="H10" s="76">
        <v>150000000</v>
      </c>
      <c r="I10" s="77">
        <v>80016577.5</v>
      </c>
      <c r="J10" s="77">
        <v>0</v>
      </c>
      <c r="K10" s="4">
        <v>100</v>
      </c>
      <c r="L10" s="4">
        <v>82</v>
      </c>
      <c r="M10" s="4">
        <v>2</v>
      </c>
      <c r="N10" s="4">
        <v>102</v>
      </c>
      <c r="O10" s="4">
        <v>20</v>
      </c>
      <c r="P10" s="77">
        <v>80016577.5</v>
      </c>
      <c r="Q10" s="77">
        <v>0</v>
      </c>
      <c r="R10" s="4">
        <v>74</v>
      </c>
      <c r="S10" s="4">
        <v>0</v>
      </c>
      <c r="T10" s="4">
        <v>74</v>
      </c>
      <c r="U10" s="4">
        <v>0</v>
      </c>
      <c r="V10" s="4">
        <v>7</v>
      </c>
      <c r="W10" s="4">
        <v>7</v>
      </c>
      <c r="X10" s="4">
        <v>24</v>
      </c>
      <c r="Y10" s="4">
        <v>4</v>
      </c>
      <c r="Z10" s="4">
        <v>160</v>
      </c>
      <c r="AA10" s="4">
        <v>0</v>
      </c>
      <c r="AB10" s="4">
        <v>0</v>
      </c>
      <c r="AC10" s="4">
        <v>0</v>
      </c>
      <c r="AD10" s="4">
        <v>0</v>
      </c>
      <c r="AE10" s="4">
        <v>1021</v>
      </c>
      <c r="AF10" s="4">
        <v>1188</v>
      </c>
      <c r="AG10" s="4">
        <v>269</v>
      </c>
      <c r="AH10" s="76">
        <f t="shared" si="1"/>
        <v>297459.39591078064</v>
      </c>
      <c r="AI10" s="76">
        <f t="shared" si="2"/>
        <v>4.4163568773234196</v>
      </c>
      <c r="AJ10" s="78">
        <v>87460</v>
      </c>
      <c r="AK10" s="76">
        <f t="shared" si="3"/>
        <v>1027655</v>
      </c>
      <c r="AL10" s="79">
        <v>163196</v>
      </c>
      <c r="AM10" s="80">
        <f t="shared" si="4"/>
        <v>1.4882553555855348E-2</v>
      </c>
      <c r="AN10" s="76">
        <f t="shared" si="5"/>
        <v>1081305.1013513512</v>
      </c>
      <c r="AO10" s="102">
        <f t="shared" ref="AO10:AO19" si="27">IFERROR(SUM(I10:J10)/SUM(G10:H10),"")</f>
        <v>0.53344385000000005</v>
      </c>
      <c r="AP10" s="82">
        <v>0</v>
      </c>
      <c r="AQ10" s="4">
        <v>765</v>
      </c>
      <c r="AR10" s="4">
        <v>3246</v>
      </c>
      <c r="AS10" s="4">
        <v>2691.5</v>
      </c>
      <c r="AT10" s="4">
        <v>0</v>
      </c>
      <c r="AU10" s="4">
        <v>33</v>
      </c>
      <c r="AV10" s="1">
        <v>74</v>
      </c>
      <c r="AW10" s="1">
        <v>8</v>
      </c>
      <c r="AX10" s="1">
        <v>20</v>
      </c>
      <c r="AY10" s="86" t="str">
        <f>IFERROR(VLOOKUP(C10,#REF!,13,0),"")</f>
        <v/>
      </c>
      <c r="AZ10" s="87"/>
      <c r="BA10" s="1" t="str">
        <f t="shared" si="6"/>
        <v>Active</v>
      </c>
      <c r="BB10" s="1" t="e">
        <f t="shared" ca="1" si="7"/>
        <v>#NAME?</v>
      </c>
      <c r="BC10" s="1" t="e">
        <f t="shared" ref="BC10:BC19" ca="1" si="28">_xludf.ifs(AO10&lt;50%,"Below 50%",AO10&lt;70%,"50%-70%",AO10&lt;90%,"70%-90%",AO10&lt;100%,"90%-100%",AO10&gt;100%,"Above 100%")</f>
        <v>#NAME?</v>
      </c>
      <c r="BD10" s="33">
        <v>11.75</v>
      </c>
      <c r="BE10" s="88" t="str">
        <v/>
      </c>
      <c r="BF10" s="1">
        <f t="shared" si="9"/>
        <v>2</v>
      </c>
      <c r="BG10" s="1" t="s">
        <v>428</v>
      </c>
      <c r="BH10" s="89">
        <f ca="1">IFERROR(__xludf.DUMMYFUNCTION("""COMPUTED_VALUE"""),103680911.2)</f>
        <v>103680911.2</v>
      </c>
      <c r="BI10" s="89">
        <f ca="1">IFERROR(__xludf.DUMMYFUNCTION("""COMPUTED_VALUE"""),101906858.6)</f>
        <v>101906858.59999999</v>
      </c>
      <c r="BJ10" s="90"/>
      <c r="BK10" s="91"/>
      <c r="BL10" s="91">
        <f t="shared" si="10"/>
        <v>0</v>
      </c>
      <c r="BM10" s="91">
        <f t="shared" si="11"/>
        <v>150000000</v>
      </c>
      <c r="BN10" s="91"/>
      <c r="BO10" s="92">
        <f ca="1">IFERROR(__xludf.DUMMYFUNCTION("IFERROR(ArrayFormula(SUM(VLOOKUP($C10,importrange(""1MwNMVzWE3QBVOyJjKr3eFX-Sq1Ng0Q1sghWJbgbE_8g"",""ORDER BOOKING REPORT 2024-25!C:CV""),{16,23,30},0))))"),22922417.2)</f>
        <v>22922417.199999999</v>
      </c>
      <c r="BP10" s="92">
        <f ca="1">IFERROR(__xludf.DUMMYFUNCTION("IFERROR(ArrayFormula(SUM(VLOOKUP($C10,importrange(""1MwNMVzWE3QBVOyJjKr3eFX-Sq1Ng0Q1sghWJbgbE_8g"",""ORDER BOOKING REPORT 2024-25!C:CV""),{37,44,51},0))))"),25515495.7999999)</f>
        <v>25515495.7999999</v>
      </c>
      <c r="BQ10" s="92">
        <f ca="1">IFERROR(__xludf.DUMMYFUNCTION("IFERROR(ArrayFormula(SUM(VLOOKUP($C10,importrange(""1MwNMVzWE3QBVOyJjKr3eFX-Sq1Ng0Q1sghWJbgbE_8g"",""ORDER BOOKING REPORT 2024-25!C:CV""),{58,65,72},0))))"),23428766.5)</f>
        <v>23428766.5</v>
      </c>
      <c r="BR10" s="92">
        <f ca="1">IFERROR(__xludf.DUMMYFUNCTION("IFERROR(ArrayFormula(SUM(VLOOKUP($C10,importrange(""1MwNMVzWE3QBVOyJjKr3eFX-Sq1Ng0Q1sghWJbgbE_8g"",""ORDER BOOKING REPORT 2024-25!C:CV""),{79,86,93},0))))"),30040179.0999999)</f>
        <v>30040179.099999901</v>
      </c>
      <c r="BS10" s="93" t="str">
        <f t="shared" si="12"/>
        <v/>
      </c>
      <c r="BT10" s="93" t="str">
        <f t="shared" si="13"/>
        <v/>
      </c>
      <c r="BU10" s="37">
        <f t="shared" si="14"/>
        <v>0</v>
      </c>
      <c r="BV10" s="94">
        <v>87460</v>
      </c>
      <c r="BW10" s="94" t="s">
        <v>425</v>
      </c>
      <c r="BX10" s="94">
        <v>148</v>
      </c>
      <c r="BY10" s="37">
        <f t="shared" si="15"/>
        <v>0</v>
      </c>
      <c r="BZ10" s="37"/>
      <c r="CA10" s="37" t="s">
        <v>454</v>
      </c>
      <c r="CB10" s="37">
        <f>COUNTIF($F:$F, "&lt;=" &amp; DATE(2025,10,31))-COUNTIFS(AZ:AZ, "&gt;=" &amp; DATE(2025,4,1), AZ:AZ, "&lt;=" &amp; DATE(2025,10,31))</f>
        <v>165</v>
      </c>
      <c r="CC10" s="37">
        <f>COUNTIFS(F:F, "&gt;=" &amp; DATE(2025,11,1), F:F, "&lt;=" &amp; DATE(2025,11,30))</f>
        <v>6</v>
      </c>
      <c r="CD10" s="37">
        <f>COUNTIFS(AZ:AZ, "&gt;=" &amp; DATE(2025,11,1), AZ:AZ, "&lt;=" &amp; DATE(2025,11,30))</f>
        <v>8</v>
      </c>
      <c r="CE10" s="37">
        <f t="shared" si="16"/>
        <v>171</v>
      </c>
      <c r="CF10" s="37">
        <f t="shared" si="17"/>
        <v>179</v>
      </c>
      <c r="CG10" s="37" t="str">
        <f t="shared" si="18"/>
        <v xml:space="preserve"> </v>
      </c>
      <c r="CH10" s="37" t="str">
        <f t="shared" si="26"/>
        <v>Business Achieved 50%</v>
      </c>
      <c r="CI10" s="93">
        <f t="shared" si="19"/>
        <v>0.72549019607843135</v>
      </c>
      <c r="CJ10" s="95">
        <f ca="1">IFERROR(__xludf.DUMMYFUNCTION("""COMPUTED_VALUE"""),981)</f>
        <v>981</v>
      </c>
      <c r="CK10" s="95">
        <f ca="1">IFERROR(__xludf.DUMMYFUNCTION("""COMPUTED_VALUE"""),40)</f>
        <v>40</v>
      </c>
      <c r="CL10" s="95">
        <f ca="1">IFERROR(__xludf.DUMMYFUNCTION("""COMPUTED_VALUE"""),0)</f>
        <v>0</v>
      </c>
      <c r="CM10" s="96">
        <f t="shared" ca="1" si="20"/>
        <v>0</v>
      </c>
      <c r="CN10" s="103"/>
      <c r="CO10" s="4"/>
      <c r="CP10" s="100" t="s">
        <v>370</v>
      </c>
      <c r="CQ10" s="101">
        <f t="shared" si="21"/>
        <v>4</v>
      </c>
      <c r="CR10" s="101">
        <f t="shared" si="22"/>
        <v>0</v>
      </c>
      <c r="CS10" s="4" t="e">
        <f ca="1"/>
        <v>#NAME?</v>
      </c>
      <c r="CT10" s="4">
        <f t="shared" ca="1" si="23"/>
        <v>0</v>
      </c>
      <c r="CU10" s="4"/>
      <c r="CV10" s="4"/>
      <c r="CW10" s="101"/>
      <c r="CX10" s="51"/>
      <c r="CY10" s="4"/>
      <c r="CZ10" s="4"/>
    </row>
    <row r="11" spans="1:104" ht="15.6">
      <c r="A11" s="1" t="s">
        <v>118</v>
      </c>
      <c r="B11" s="1" t="s">
        <v>359</v>
      </c>
      <c r="C11" s="1" t="s">
        <v>38</v>
      </c>
      <c r="D11" s="1" t="s">
        <v>442</v>
      </c>
      <c r="E11" s="1" t="s">
        <v>455</v>
      </c>
      <c r="F11" s="108">
        <v>42125</v>
      </c>
      <c r="G11" s="76">
        <v>0</v>
      </c>
      <c r="H11" s="76">
        <v>78696000</v>
      </c>
      <c r="I11" s="77">
        <v>72128325.109999999</v>
      </c>
      <c r="J11" s="77">
        <v>0</v>
      </c>
      <c r="K11" s="4">
        <v>125</v>
      </c>
      <c r="L11" s="4">
        <v>137</v>
      </c>
      <c r="M11" s="4">
        <v>13</v>
      </c>
      <c r="N11" s="4">
        <v>138</v>
      </c>
      <c r="O11" s="4">
        <v>1</v>
      </c>
      <c r="P11" s="77">
        <v>69031738.780000001</v>
      </c>
      <c r="Q11" s="77">
        <v>3096586.33</v>
      </c>
      <c r="R11" s="4">
        <v>78</v>
      </c>
      <c r="S11" s="4">
        <v>8</v>
      </c>
      <c r="T11" s="4">
        <v>86</v>
      </c>
      <c r="U11" s="4">
        <v>0</v>
      </c>
      <c r="V11" s="4">
        <v>1</v>
      </c>
      <c r="W11" s="4">
        <v>1</v>
      </c>
      <c r="X11" s="4">
        <v>3</v>
      </c>
      <c r="Y11" s="4">
        <v>5</v>
      </c>
      <c r="Z11" s="4">
        <v>184</v>
      </c>
      <c r="AA11" s="4">
        <v>0</v>
      </c>
      <c r="AB11" s="4">
        <v>0</v>
      </c>
      <c r="AC11" s="4">
        <v>0</v>
      </c>
      <c r="AD11" s="4">
        <v>0</v>
      </c>
      <c r="AE11" s="4">
        <v>1397</v>
      </c>
      <c r="AF11" s="4">
        <v>1582</v>
      </c>
      <c r="AG11" s="4">
        <v>303</v>
      </c>
      <c r="AH11" s="76">
        <f t="shared" si="1"/>
        <v>238047.27759075907</v>
      </c>
      <c r="AI11" s="76">
        <f t="shared" si="2"/>
        <v>5.221122112211221</v>
      </c>
      <c r="AJ11" s="78">
        <v>79340</v>
      </c>
      <c r="AK11" s="76">
        <f t="shared" si="3"/>
        <v>952080</v>
      </c>
      <c r="AL11" s="79">
        <v>219017</v>
      </c>
      <c r="AM11" s="80">
        <f t="shared" si="4"/>
        <v>1.62362982672065E-2</v>
      </c>
      <c r="AN11" s="76">
        <f t="shared" si="5"/>
        <v>838701.45476744184</v>
      </c>
      <c r="AO11" s="102">
        <f t="shared" si="27"/>
        <v>0.91654372661888783</v>
      </c>
      <c r="AP11" s="82">
        <v>0</v>
      </c>
      <c r="AQ11" s="4">
        <v>1469</v>
      </c>
      <c r="AR11" s="4">
        <v>3663</v>
      </c>
      <c r="AS11" s="4">
        <v>2880.47</v>
      </c>
      <c r="AT11" s="4">
        <v>8</v>
      </c>
      <c r="AU11" s="4">
        <v>21</v>
      </c>
      <c r="AV11" s="1">
        <v>86</v>
      </c>
      <c r="AW11" s="1">
        <v>51</v>
      </c>
      <c r="AX11" s="1">
        <v>1</v>
      </c>
      <c r="AY11" s="86" t="str">
        <f>IFERROR(VLOOKUP(C11,#REF!,13,0),"")</f>
        <v/>
      </c>
      <c r="AZ11" s="87"/>
      <c r="BA11" s="1" t="str">
        <f t="shared" si="6"/>
        <v>Active</v>
      </c>
      <c r="BB11" s="1" t="e">
        <f t="shared" ca="1" si="7"/>
        <v>#NAME?</v>
      </c>
      <c r="BC11" s="1" t="e">
        <f t="shared" ca="1" si="28"/>
        <v>#NAME?</v>
      </c>
      <c r="BD11" s="33">
        <f t="shared" ref="BD11:BD14" si="29">MATCH($BD$2,{"Apr","May","Jun","Jul","Aug","Sep","Oct","Nov","Dec","Jan","Feb","Mar"},0)</f>
        <v>12</v>
      </c>
      <c r="BE11" s="88" t="str">
        <v/>
      </c>
      <c r="BF11" s="1">
        <f t="shared" si="9"/>
        <v>5</v>
      </c>
      <c r="BG11" s="1" t="s">
        <v>428</v>
      </c>
      <c r="BH11" s="89">
        <f ca="1">IFERROR(__xludf.DUMMYFUNCTION("""COMPUTED_VALUE"""),60223274.44)</f>
        <v>60223274.439999998</v>
      </c>
      <c r="BI11" s="89">
        <f ca="1">IFERROR(__xludf.DUMMYFUNCTION("""COMPUTED_VALUE"""),61970724.91)</f>
        <v>61970724.909999996</v>
      </c>
      <c r="BJ11" s="90"/>
      <c r="BK11" s="91"/>
      <c r="BL11" s="91">
        <f t="shared" si="10"/>
        <v>0</v>
      </c>
      <c r="BM11" s="91">
        <f t="shared" si="11"/>
        <v>78696000</v>
      </c>
      <c r="BN11" s="91"/>
      <c r="BO11" s="92">
        <f ca="1">IFERROR(__xludf.DUMMYFUNCTION("IFERROR(ArrayFormula(SUM(VLOOKUP($C11,importrange(""1MwNMVzWE3QBVOyJjKr3eFX-Sq1Ng0Q1sghWJbgbE_8g"",""ORDER BOOKING REPORT 2024-25!C:CV""),{16,23,30},0))))"),16487834.6799999)</f>
        <v>16487834.679999899</v>
      </c>
      <c r="BP11" s="92">
        <f ca="1">IFERROR(__xludf.DUMMYFUNCTION("IFERROR(ArrayFormula(SUM(VLOOKUP($C11,importrange(""1MwNMVzWE3QBVOyJjKr3eFX-Sq1Ng0Q1sghWJbgbE_8g"",""ORDER BOOKING REPORT 2024-25!C:CV""),{37,44,51},0))))"),14456037.66)</f>
        <v>14456037.66</v>
      </c>
      <c r="BQ11" s="92">
        <f ca="1">IFERROR(__xludf.DUMMYFUNCTION("IFERROR(ArrayFormula(SUM(VLOOKUP($C11,importrange(""1MwNMVzWE3QBVOyJjKr3eFX-Sq1Ng0Q1sghWJbgbE_8g"",""ORDER BOOKING REPORT 2024-25!C:CV""),{58,65,72},0))))"),14904938.15)</f>
        <v>14904938.15</v>
      </c>
      <c r="BR11" s="92">
        <f ca="1">IFERROR(__xludf.DUMMYFUNCTION("IFERROR(ArrayFormula(SUM(VLOOKUP($C11,importrange(""1MwNMVzWE3QBVOyJjKr3eFX-Sq1Ng0Q1sghWJbgbE_8g"",""ORDER BOOKING REPORT 2024-25!C:CV""),{79,86,93},0))))"),16121914.42)</f>
        <v>16121914.42</v>
      </c>
      <c r="BS11" s="93" t="str">
        <f t="shared" si="12"/>
        <v/>
      </c>
      <c r="BT11" s="93" t="str">
        <f t="shared" si="13"/>
        <v/>
      </c>
      <c r="BU11" s="37">
        <f t="shared" si="14"/>
        <v>0</v>
      </c>
      <c r="BV11" s="94">
        <v>79340</v>
      </c>
      <c r="BW11" s="94" t="s">
        <v>429</v>
      </c>
      <c r="BX11" s="94">
        <v>221</v>
      </c>
      <c r="BY11" s="37">
        <f t="shared" si="15"/>
        <v>0</v>
      </c>
      <c r="BZ11" s="37"/>
      <c r="CA11" s="37" t="s">
        <v>457</v>
      </c>
      <c r="CB11" s="37">
        <f>COUNTIF($F:$F, "&lt;=" &amp; DATE(2025,11,30))-COUNTIFS(AZ:AZ, "&gt;=" &amp; DATE(2025,4,1), AZ:AZ, "&lt;=" &amp; DATE(2025,11,30))</f>
        <v>163</v>
      </c>
      <c r="CC11" s="37">
        <f>COUNTIFS(F:F, "&gt;=" &amp; DATE(2025,12,1), F:F, "&lt;=" &amp; DATE(2025,12,31))</f>
        <v>4</v>
      </c>
      <c r="CD11" s="37">
        <f>COUNTIFS(AZ:AZ, "&gt;=" &amp; DATE(2025,12,1), AZ:AZ, "&lt;=" &amp; DATE(2025,12,31))</f>
        <v>7</v>
      </c>
      <c r="CE11" s="37">
        <f t="shared" si="16"/>
        <v>167</v>
      </c>
      <c r="CF11" s="37">
        <f t="shared" si="17"/>
        <v>174</v>
      </c>
      <c r="CG11" s="37" t="str">
        <f t="shared" si="18"/>
        <v xml:space="preserve"> </v>
      </c>
      <c r="CH11" s="37" t="str">
        <f t="shared" si="26"/>
        <v>Business Achieved 50%</v>
      </c>
      <c r="CI11" s="93">
        <f t="shared" si="19"/>
        <v>0.62318840579710144</v>
      </c>
      <c r="CJ11" s="95">
        <f ca="1">IFERROR(__xludf.DUMMYFUNCTION("""COMPUTED_VALUE"""),1294)</f>
        <v>1294</v>
      </c>
      <c r="CK11" s="95">
        <f ca="1">IFERROR(__xludf.DUMMYFUNCTION("""COMPUTED_VALUE"""),103)</f>
        <v>103</v>
      </c>
      <c r="CL11" s="95">
        <f ca="1">IFERROR(__xludf.DUMMYFUNCTION("""COMPUTED_VALUE"""),0)</f>
        <v>0</v>
      </c>
      <c r="CM11" s="96">
        <f t="shared" ca="1" si="20"/>
        <v>0</v>
      </c>
      <c r="CN11" s="103"/>
      <c r="CO11" s="4"/>
      <c r="CP11" s="100" t="s">
        <v>458</v>
      </c>
      <c r="CQ11" s="101">
        <f t="shared" si="21"/>
        <v>0</v>
      </c>
      <c r="CR11" s="101">
        <f t="shared" si="22"/>
        <v>2</v>
      </c>
      <c r="CS11" s="4" t="e">
        <f ca="1"/>
        <v>#NAME?</v>
      </c>
      <c r="CT11" s="4">
        <f t="shared" ca="1" si="23"/>
        <v>0</v>
      </c>
      <c r="CU11" s="4"/>
      <c r="CV11" s="4"/>
      <c r="CW11" s="101"/>
      <c r="CX11" s="51"/>
      <c r="CY11" s="4"/>
      <c r="CZ11" s="4"/>
    </row>
    <row r="12" spans="1:104" ht="15.6">
      <c r="A12" s="1" t="s">
        <v>201</v>
      </c>
      <c r="B12" s="1" t="s">
        <v>431</v>
      </c>
      <c r="C12" s="1" t="s">
        <v>106</v>
      </c>
      <c r="D12" s="1" t="s">
        <v>431</v>
      </c>
      <c r="E12" s="1" t="s">
        <v>459</v>
      </c>
      <c r="F12" s="104">
        <v>42530</v>
      </c>
      <c r="G12" s="76">
        <v>6000000</v>
      </c>
      <c r="H12" s="76">
        <v>31500000</v>
      </c>
      <c r="I12" s="77">
        <v>20294789.390000001</v>
      </c>
      <c r="J12" s="77">
        <v>0</v>
      </c>
      <c r="K12" s="4">
        <v>75</v>
      </c>
      <c r="L12" s="4">
        <v>92</v>
      </c>
      <c r="M12" s="4">
        <v>29</v>
      </c>
      <c r="N12" s="4">
        <v>104</v>
      </c>
      <c r="O12" s="4">
        <v>12</v>
      </c>
      <c r="P12" s="77">
        <v>18477281.48</v>
      </c>
      <c r="Q12" s="77">
        <v>1817507.91</v>
      </c>
      <c r="R12" s="4">
        <v>48</v>
      </c>
      <c r="S12" s="4">
        <v>10</v>
      </c>
      <c r="T12" s="4">
        <v>58</v>
      </c>
      <c r="U12" s="4">
        <v>0</v>
      </c>
      <c r="V12" s="4">
        <v>97</v>
      </c>
      <c r="W12" s="4">
        <v>158</v>
      </c>
      <c r="X12" s="4">
        <v>104</v>
      </c>
      <c r="Y12" s="4">
        <v>7</v>
      </c>
      <c r="Z12" s="4">
        <v>152</v>
      </c>
      <c r="AA12" s="4">
        <v>0</v>
      </c>
      <c r="AB12" s="4">
        <v>0</v>
      </c>
      <c r="AC12" s="4">
        <v>0</v>
      </c>
      <c r="AD12" s="4">
        <v>0</v>
      </c>
      <c r="AE12" s="4">
        <v>639</v>
      </c>
      <c r="AF12" s="4">
        <v>949</v>
      </c>
      <c r="AG12" s="4">
        <v>281</v>
      </c>
      <c r="AH12" s="76">
        <f t="shared" si="1"/>
        <v>72223.449786476864</v>
      </c>
      <c r="AI12" s="76">
        <f t="shared" si="2"/>
        <v>3.3772241992882561</v>
      </c>
      <c r="AJ12" s="78">
        <f>BV12</f>
        <v>76210</v>
      </c>
      <c r="AK12" s="76">
        <f t="shared" si="3"/>
        <v>914520</v>
      </c>
      <c r="AL12" s="49">
        <v>250348</v>
      </c>
      <c r="AM12" s="80">
        <f t="shared" si="4"/>
        <v>5.7397392878290911E-2</v>
      </c>
      <c r="AN12" s="76">
        <f t="shared" si="5"/>
        <v>349910.16189655173</v>
      </c>
      <c r="AO12" s="102">
        <f t="shared" si="27"/>
        <v>0.5411943837333334</v>
      </c>
      <c r="AP12" s="82">
        <v>0</v>
      </c>
      <c r="AQ12" s="4">
        <v>222</v>
      </c>
      <c r="AR12" s="4">
        <v>2398</v>
      </c>
      <c r="AS12" s="4">
        <v>2080.46</v>
      </c>
      <c r="AT12" s="4">
        <v>10</v>
      </c>
      <c r="AU12" s="4">
        <v>23</v>
      </c>
      <c r="AV12" s="1">
        <v>58</v>
      </c>
      <c r="AW12" s="1">
        <v>36</v>
      </c>
      <c r="AX12" s="1">
        <v>10</v>
      </c>
      <c r="AY12" s="86" t="str">
        <f>IFERROR(VLOOKUP(C12,#REF!,13,0),"")</f>
        <v/>
      </c>
      <c r="AZ12" s="87"/>
      <c r="BA12" s="1" t="str">
        <f t="shared" si="6"/>
        <v>Active</v>
      </c>
      <c r="BB12" s="1" t="e">
        <f t="shared" ca="1" si="7"/>
        <v>#NAME?</v>
      </c>
      <c r="BC12" s="1" t="e">
        <f t="shared" ca="1" si="28"/>
        <v>#NAME?</v>
      </c>
      <c r="BD12" s="33">
        <f t="shared" si="29"/>
        <v>12</v>
      </c>
      <c r="BE12" s="88" t="str">
        <v/>
      </c>
      <c r="BF12" s="1">
        <f t="shared" si="9"/>
        <v>19</v>
      </c>
      <c r="BG12" s="1" t="s">
        <v>428</v>
      </c>
      <c r="BH12" s="89">
        <f ca="1">IFERROR(__xludf.DUMMYFUNCTION("""COMPUTED_VALUE"""),21287274)</f>
        <v>21287274</v>
      </c>
      <c r="BI12" s="89">
        <f ca="1">IFERROR(__xludf.DUMMYFUNCTION("""COMPUTED_VALUE"""),20392999.86)</f>
        <v>20392999.859999999</v>
      </c>
      <c r="BJ12" s="90"/>
      <c r="BK12" s="91">
        <v>500000</v>
      </c>
      <c r="BL12" s="91">
        <f t="shared" si="10"/>
        <v>6000000</v>
      </c>
      <c r="BM12" s="91">
        <f t="shared" si="11"/>
        <v>37500000</v>
      </c>
      <c r="BN12" s="91"/>
      <c r="BO12" s="92">
        <f ca="1">IFERROR(__xludf.DUMMYFUNCTION("IFERROR(ArrayFormula(SUM(VLOOKUP($C12,importrange(""1MwNMVzWE3QBVOyJjKr3eFX-Sq1Ng0Q1sghWJbgbE_8g"",""ORDER BOOKING REPORT 2024-25!C:CV""),{16,23,30},0))))"),3572895.8)</f>
        <v>3572895.8</v>
      </c>
      <c r="BP12" s="92">
        <f ca="1">IFERROR(__xludf.DUMMYFUNCTION("IFERROR(ArrayFormula(SUM(VLOOKUP($C12,importrange(""1MwNMVzWE3QBVOyJjKr3eFX-Sq1Ng0Q1sghWJbgbE_8g"",""ORDER BOOKING REPORT 2024-25!C:CV""),{37,44,51},0))))"),5092431.5)</f>
        <v>5092431.5</v>
      </c>
      <c r="BQ12" s="92">
        <f ca="1">IFERROR(__xludf.DUMMYFUNCTION("IFERROR(ArrayFormula(SUM(VLOOKUP($C12,importrange(""1MwNMVzWE3QBVOyJjKr3eFX-Sq1Ng0Q1sghWJbgbE_8g"",""ORDER BOOKING REPORT 2024-25!C:CV""),{58,65,72},0))))"),4695979.26)</f>
        <v>4695979.26</v>
      </c>
      <c r="BR12" s="92">
        <f ca="1">IFERROR(__xludf.DUMMYFUNCTION("IFERROR(ArrayFormula(SUM(VLOOKUP($C12,importrange(""1MwNMVzWE3QBVOyJjKr3eFX-Sq1Ng0Q1sghWJbgbE_8g"",""ORDER BOOKING REPORT 2024-25!C:CV""),{79,86,93},0))))"),7031693.3)</f>
        <v>7031693.2999999998</v>
      </c>
      <c r="BS12" s="93" t="str">
        <f t="shared" si="12"/>
        <v/>
      </c>
      <c r="BT12" s="93" t="str">
        <f t="shared" si="13"/>
        <v/>
      </c>
      <c r="BU12" s="37">
        <f t="shared" si="14"/>
        <v>0</v>
      </c>
      <c r="BV12" s="94">
        <v>76210</v>
      </c>
      <c r="BW12" s="94" t="s">
        <v>462</v>
      </c>
      <c r="BX12" s="94">
        <v>304</v>
      </c>
      <c r="BY12" s="37">
        <f t="shared" si="15"/>
        <v>0</v>
      </c>
      <c r="BZ12" s="37"/>
      <c r="CA12" s="37" t="s">
        <v>463</v>
      </c>
      <c r="CB12" s="37">
        <f>COUNTIF($F:$F, "&lt;=" &amp; DATE(2025,12,31))-COUNTIFS(AZ:AZ, "&gt;=" &amp; DATE(2025,4,1), AZ:AZ, "&lt;=" &amp; DATE(2025,12,31))</f>
        <v>160</v>
      </c>
      <c r="CC12" s="37">
        <f>COUNTIFS(F:F, "&gt;=" &amp; DATE(2026,1,1), F:F, "&lt;=" &amp; DATE(2026,1,31))</f>
        <v>7</v>
      </c>
      <c r="CD12" s="37">
        <f>COUNTIFS(AZ:AZ, "&gt;=" &amp; DATE(2026,1,1), AZ:AZ, "&lt;=" &amp; DATE(2026,1,31))</f>
        <v>7</v>
      </c>
      <c r="CE12" s="37">
        <f t="shared" si="16"/>
        <v>167</v>
      </c>
      <c r="CF12" s="37">
        <f t="shared" si="17"/>
        <v>174</v>
      </c>
      <c r="CG12" s="37" t="str">
        <f t="shared" si="18"/>
        <v xml:space="preserve"> </v>
      </c>
      <c r="CH12" s="37" t="str">
        <f t="shared" si="26"/>
        <v>Business Achieved 50%</v>
      </c>
      <c r="CI12" s="93">
        <f t="shared" si="19"/>
        <v>0.55769230769230771</v>
      </c>
      <c r="CJ12" s="105">
        <f ca="1">IFERROR(__xludf.DUMMYFUNCTION("""COMPUTED_VALUE"""),510)</f>
        <v>510</v>
      </c>
      <c r="CK12" s="105">
        <f ca="1">IFERROR(__xludf.DUMMYFUNCTION("""COMPUTED_VALUE"""),129)</f>
        <v>129</v>
      </c>
      <c r="CL12" s="105">
        <f ca="1">IFERROR(__xludf.DUMMYFUNCTION("""COMPUTED_VALUE"""),0)</f>
        <v>0</v>
      </c>
      <c r="CM12" s="96">
        <f t="shared" ca="1" si="20"/>
        <v>0</v>
      </c>
      <c r="CN12" s="106"/>
      <c r="CO12" s="93"/>
      <c r="CP12" s="107" t="s">
        <v>421</v>
      </c>
      <c r="CQ12" s="101">
        <f t="shared" si="21"/>
        <v>5</v>
      </c>
      <c r="CR12" s="101">
        <f t="shared" si="22"/>
        <v>0</v>
      </c>
      <c r="CS12" s="93" t="e">
        <f ca="1"/>
        <v>#NAME?</v>
      </c>
      <c r="CT12" s="4">
        <f t="shared" ca="1" si="23"/>
        <v>0</v>
      </c>
      <c r="CU12" s="93"/>
      <c r="CV12" s="93"/>
      <c r="CW12" s="93"/>
      <c r="CX12" s="51"/>
      <c r="CY12" s="93"/>
      <c r="CZ12" s="93"/>
    </row>
    <row r="13" spans="1:104" ht="15.6">
      <c r="A13" s="1" t="s">
        <v>118</v>
      </c>
      <c r="B13" s="1" t="s">
        <v>362</v>
      </c>
      <c r="C13" s="1" t="s">
        <v>45</v>
      </c>
      <c r="D13" s="1" t="s">
        <v>419</v>
      </c>
      <c r="E13" s="1" t="s">
        <v>464</v>
      </c>
      <c r="F13" s="48">
        <v>42660</v>
      </c>
      <c r="G13" s="76">
        <v>0</v>
      </c>
      <c r="H13" s="76">
        <v>40599996</v>
      </c>
      <c r="I13" s="77">
        <v>33140269.710000001</v>
      </c>
      <c r="J13" s="77">
        <v>0</v>
      </c>
      <c r="K13" s="4">
        <v>56</v>
      </c>
      <c r="L13" s="4">
        <v>58</v>
      </c>
      <c r="M13" s="4">
        <v>6</v>
      </c>
      <c r="N13" s="4">
        <v>62</v>
      </c>
      <c r="O13" s="4">
        <v>4</v>
      </c>
      <c r="P13" s="77">
        <v>32421767.41</v>
      </c>
      <c r="Q13" s="77">
        <v>718502.3</v>
      </c>
      <c r="R13" s="4">
        <v>38</v>
      </c>
      <c r="S13" s="4">
        <v>6</v>
      </c>
      <c r="T13" s="4">
        <v>44</v>
      </c>
      <c r="U13" s="4">
        <v>0</v>
      </c>
      <c r="V13" s="4">
        <v>3</v>
      </c>
      <c r="W13" s="4">
        <v>6</v>
      </c>
      <c r="X13" s="4">
        <v>4</v>
      </c>
      <c r="Y13" s="4">
        <v>3</v>
      </c>
      <c r="Z13" s="4">
        <v>264</v>
      </c>
      <c r="AA13" s="4">
        <v>0</v>
      </c>
      <c r="AB13" s="4">
        <v>0</v>
      </c>
      <c r="AC13" s="4">
        <v>0</v>
      </c>
      <c r="AD13" s="4">
        <v>0</v>
      </c>
      <c r="AE13" s="4">
        <v>858</v>
      </c>
      <c r="AF13" s="4">
        <v>1128</v>
      </c>
      <c r="AG13" s="4">
        <v>283</v>
      </c>
      <c r="AH13" s="76">
        <f t="shared" si="1"/>
        <v>117103.42653710248</v>
      </c>
      <c r="AI13" s="76">
        <f t="shared" si="2"/>
        <v>3.9858657243816253</v>
      </c>
      <c r="AJ13" s="78">
        <v>48608</v>
      </c>
      <c r="AK13" s="76">
        <f t="shared" si="3"/>
        <v>583296</v>
      </c>
      <c r="AL13" s="79">
        <v>187741</v>
      </c>
      <c r="AM13" s="80">
        <f t="shared" si="4"/>
        <v>2.3265863758717129E-2</v>
      </c>
      <c r="AN13" s="76">
        <f t="shared" si="5"/>
        <v>753187.9479545455</v>
      </c>
      <c r="AO13" s="102">
        <f t="shared" si="27"/>
        <v>0.81626288115890455</v>
      </c>
      <c r="AP13" s="82">
        <v>0</v>
      </c>
      <c r="AQ13" s="4">
        <v>408</v>
      </c>
      <c r="AR13" s="4">
        <v>3089</v>
      </c>
      <c r="AS13" s="4">
        <v>1927.17</v>
      </c>
      <c r="AT13" s="4">
        <v>6</v>
      </c>
      <c r="AU13" s="4">
        <v>33</v>
      </c>
      <c r="AV13" s="1">
        <v>44</v>
      </c>
      <c r="AW13" s="1">
        <v>15</v>
      </c>
      <c r="AX13" s="1">
        <v>3</v>
      </c>
      <c r="AY13" s="86" t="str">
        <f>IFERROR(VLOOKUP(C13,#REF!,13,0),"")</f>
        <v/>
      </c>
      <c r="AZ13" s="87"/>
      <c r="BA13" s="1" t="str">
        <f t="shared" si="6"/>
        <v>Active</v>
      </c>
      <c r="BB13" s="1" t="e">
        <f t="shared" ca="1" si="7"/>
        <v>#NAME?</v>
      </c>
      <c r="BC13" s="1" t="e">
        <f t="shared" ca="1" si="28"/>
        <v>#NAME?</v>
      </c>
      <c r="BD13" s="33">
        <f t="shared" si="29"/>
        <v>12</v>
      </c>
      <c r="BE13" s="88" t="str">
        <v/>
      </c>
      <c r="BF13" s="1">
        <f t="shared" si="9"/>
        <v>0</v>
      </c>
      <c r="BG13" s="1" t="s">
        <v>428</v>
      </c>
      <c r="BH13" s="89">
        <f ca="1">IFERROR(__xludf.DUMMYFUNCTION("""COMPUTED_VALUE"""),27594897)</f>
        <v>27594897</v>
      </c>
      <c r="BI13" s="89">
        <f ca="1">IFERROR(__xludf.DUMMYFUNCTION("""COMPUTED_VALUE"""),27934642.2)</f>
        <v>27934642.199999999</v>
      </c>
      <c r="BJ13" s="90"/>
      <c r="BK13" s="91"/>
      <c r="BL13" s="91">
        <f t="shared" si="10"/>
        <v>0</v>
      </c>
      <c r="BM13" s="91">
        <f t="shared" si="11"/>
        <v>40599996</v>
      </c>
      <c r="BN13" s="91"/>
      <c r="BO13" s="92">
        <f ca="1">IFERROR(__xludf.DUMMYFUNCTION("IFERROR(ArrayFormula(SUM(VLOOKUP($C13,importrange(""1MwNMVzWE3QBVOyJjKr3eFX-Sq1Ng0Q1sghWJbgbE_8g"",""ORDER BOOKING REPORT 2024-25!C:CV""),{16,23,30},0))))"),6726878.5)</f>
        <v>6726878.5</v>
      </c>
      <c r="BP13" s="92">
        <f ca="1">IFERROR(__xludf.DUMMYFUNCTION("IFERROR(ArrayFormula(SUM(VLOOKUP($C13,importrange(""1MwNMVzWE3QBVOyJjKr3eFX-Sq1Ng0Q1sghWJbgbE_8g"",""ORDER BOOKING REPORT 2024-25!C:CV""),{37,44,51},0))))"),7101797.49999999)</f>
        <v>7101797.4999999898</v>
      </c>
      <c r="BQ13" s="92">
        <f ca="1">IFERROR(__xludf.DUMMYFUNCTION("IFERROR(ArrayFormula(SUM(VLOOKUP($C13,importrange(""1MwNMVzWE3QBVOyJjKr3eFX-Sq1Ng0Q1sghWJbgbE_8g"",""ORDER BOOKING REPORT 2024-25!C:CV""),{58,65,72},0))))"),6808447.79999999)</f>
        <v>6808447.7999999896</v>
      </c>
      <c r="BR13" s="92">
        <f ca="1">IFERROR(__xludf.DUMMYFUNCTION("IFERROR(ArrayFormula(SUM(VLOOKUP($C13,importrange(""1MwNMVzWE3QBVOyJjKr3eFX-Sq1Ng0Q1sghWJbgbE_8g"",""ORDER BOOKING REPORT 2024-25!C:CV""),{79,86,93},0))))"),7297518.4)</f>
        <v>7297518.4000000004</v>
      </c>
      <c r="BS13" s="93" t="str">
        <f t="shared" si="12"/>
        <v/>
      </c>
      <c r="BT13" s="93" t="str">
        <f t="shared" si="13"/>
        <v/>
      </c>
      <c r="BU13" s="37">
        <f t="shared" si="14"/>
        <v>0</v>
      </c>
      <c r="BV13" s="94">
        <v>48608</v>
      </c>
      <c r="BW13" s="94" t="s">
        <v>462</v>
      </c>
      <c r="BX13" s="94">
        <v>438</v>
      </c>
      <c r="BY13" s="37">
        <f t="shared" si="15"/>
        <v>0</v>
      </c>
      <c r="BZ13" s="37"/>
      <c r="CA13" s="37" t="s">
        <v>466</v>
      </c>
      <c r="CB13" s="37">
        <f>COUNTIF($F:$F, "&lt;=" &amp; DATE(2026,1,31))-COUNTIFS(AZ:AZ, "&gt;=" &amp; DATE(2025,4,1), AZ:AZ, "&lt;=" &amp; DATE(2026,1,31))</f>
        <v>160</v>
      </c>
      <c r="CC13" s="37">
        <f>COUNTIFS(F:F, "&gt;=" &amp; DATE(2026,2,1), F:F, "&lt;=" &amp; DATE(2026,2,28))</f>
        <v>1</v>
      </c>
      <c r="CD13" s="37">
        <f>COUNTIFS(AZ:AZ, "&gt;=" &amp; DATE(2026,2,1), AZ:AZ, "&lt;=" &amp; DATE(2026,2,28))</f>
        <v>3</v>
      </c>
      <c r="CE13" s="37">
        <f t="shared" si="16"/>
        <v>161</v>
      </c>
      <c r="CF13" s="37">
        <f t="shared" si="17"/>
        <v>164</v>
      </c>
      <c r="CG13" s="37" t="str">
        <f t="shared" si="18"/>
        <v xml:space="preserve"> </v>
      </c>
      <c r="CH13" s="37" t="str">
        <f t="shared" si="26"/>
        <v>Business Achieved 50%</v>
      </c>
      <c r="CI13" s="93">
        <f t="shared" si="19"/>
        <v>0.70967741935483875</v>
      </c>
      <c r="CJ13" s="95">
        <f ca="1">IFERROR(__xludf.DUMMYFUNCTION("""COMPUTED_VALUE"""),781)</f>
        <v>781</v>
      </c>
      <c r="CK13" s="95">
        <f ca="1">IFERROR(__xludf.DUMMYFUNCTION("""COMPUTED_VALUE"""),77)</f>
        <v>77</v>
      </c>
      <c r="CL13" s="95">
        <f ca="1">IFERROR(__xludf.DUMMYFUNCTION("""COMPUTED_VALUE"""),0)</f>
        <v>0</v>
      </c>
      <c r="CM13" s="96">
        <f t="shared" ca="1" si="20"/>
        <v>0</v>
      </c>
      <c r="CN13" s="103"/>
      <c r="CO13" s="4"/>
      <c r="CP13" s="100" t="s">
        <v>468</v>
      </c>
      <c r="CQ13" s="101">
        <f t="shared" si="21"/>
        <v>7</v>
      </c>
      <c r="CR13" s="101">
        <f t="shared" si="22"/>
        <v>1</v>
      </c>
      <c r="CS13" s="4" t="e">
        <f ca="1"/>
        <v>#NAME?</v>
      </c>
      <c r="CT13" s="4">
        <f t="shared" ca="1" si="23"/>
        <v>0</v>
      </c>
      <c r="CU13" s="4"/>
      <c r="CV13" s="4"/>
      <c r="CW13" s="101"/>
      <c r="CX13" s="51"/>
      <c r="CY13" s="4"/>
      <c r="CZ13" s="4"/>
    </row>
    <row r="14" spans="1:104" ht="15.6">
      <c r="A14" s="1" t="s">
        <v>201</v>
      </c>
      <c r="B14" s="1" t="s">
        <v>469</v>
      </c>
      <c r="C14" s="1" t="s">
        <v>107</v>
      </c>
      <c r="D14" s="1" t="s">
        <v>470</v>
      </c>
      <c r="E14" s="1" t="s">
        <v>471</v>
      </c>
      <c r="F14" s="48">
        <v>42720</v>
      </c>
      <c r="G14" s="76">
        <v>5028000</v>
      </c>
      <c r="H14" s="76">
        <v>32472000</v>
      </c>
      <c r="I14" s="77">
        <v>23497642.84</v>
      </c>
      <c r="J14" s="77">
        <f>2302523.38+1470312.5</f>
        <v>3772835.88</v>
      </c>
      <c r="K14" s="4">
        <v>68</v>
      </c>
      <c r="L14" s="4">
        <v>81</v>
      </c>
      <c r="M14" s="4">
        <v>32</v>
      </c>
      <c r="N14" s="4">
        <v>100</v>
      </c>
      <c r="O14" s="4">
        <v>19</v>
      </c>
      <c r="P14" s="77">
        <v>15192120.869999999</v>
      </c>
      <c r="Q14" s="77">
        <v>8305521.9699999997</v>
      </c>
      <c r="R14" s="4">
        <v>47</v>
      </c>
      <c r="S14" s="4">
        <v>24</v>
      </c>
      <c r="T14" s="4">
        <v>71</v>
      </c>
      <c r="U14" s="4">
        <v>3</v>
      </c>
      <c r="V14" s="4">
        <v>61</v>
      </c>
      <c r="W14" s="4">
        <v>121</v>
      </c>
      <c r="X14" s="4">
        <v>136</v>
      </c>
      <c r="Y14" s="4">
        <v>3</v>
      </c>
      <c r="Z14" s="4">
        <v>82</v>
      </c>
      <c r="AA14" s="4">
        <v>4</v>
      </c>
      <c r="AB14" s="4">
        <v>42</v>
      </c>
      <c r="AC14" s="4">
        <v>1</v>
      </c>
      <c r="AD14" s="4">
        <v>48</v>
      </c>
      <c r="AE14" s="4">
        <v>816</v>
      </c>
      <c r="AF14" s="4">
        <v>1109</v>
      </c>
      <c r="AG14" s="4">
        <v>296</v>
      </c>
      <c r="AH14" s="76">
        <f t="shared" si="1"/>
        <v>92129.995675675673</v>
      </c>
      <c r="AI14" s="76">
        <f t="shared" si="2"/>
        <v>3.7466216216216215</v>
      </c>
      <c r="AJ14" s="78">
        <f t="shared" ref="AJ14:AJ15" si="30">BV14</f>
        <v>61850</v>
      </c>
      <c r="AK14" s="76">
        <f t="shared" si="3"/>
        <v>742200</v>
      </c>
      <c r="AL14" s="49">
        <v>279525</v>
      </c>
      <c r="AM14" s="80">
        <f t="shared" si="4"/>
        <v>3.7466338984752524E-2</v>
      </c>
      <c r="AN14" s="76">
        <f t="shared" si="5"/>
        <v>330952.71605633805</v>
      </c>
      <c r="AO14" s="102">
        <f t="shared" si="27"/>
        <v>0.72721276586666661</v>
      </c>
      <c r="AP14" s="82">
        <v>0.75</v>
      </c>
      <c r="AQ14" s="4">
        <v>528</v>
      </c>
      <c r="AR14" s="4">
        <v>2088</v>
      </c>
      <c r="AS14" s="4">
        <v>3658.44</v>
      </c>
      <c r="AT14" s="4">
        <v>24</v>
      </c>
      <c r="AU14" s="4">
        <v>45</v>
      </c>
      <c r="AV14" s="1">
        <v>71</v>
      </c>
      <c r="AW14" s="1">
        <v>16</v>
      </c>
      <c r="AX14" s="1">
        <v>13</v>
      </c>
      <c r="AY14" s="86" t="str">
        <f>IFERROR(VLOOKUP(C14,#REF!,13,0),"")</f>
        <v/>
      </c>
      <c r="AZ14" s="87"/>
      <c r="BA14" s="1" t="str">
        <f t="shared" si="6"/>
        <v>Active</v>
      </c>
      <c r="BB14" s="1" t="e">
        <f t="shared" ca="1" si="7"/>
        <v>#NAME?</v>
      </c>
      <c r="BC14" s="1" t="e">
        <f t="shared" ca="1" si="28"/>
        <v>#NAME?</v>
      </c>
      <c r="BD14" s="33">
        <f t="shared" si="29"/>
        <v>12</v>
      </c>
      <c r="BE14" s="88" t="str">
        <v/>
      </c>
      <c r="BF14" s="1">
        <f t="shared" si="9"/>
        <v>8</v>
      </c>
      <c r="BG14" s="1" t="s">
        <v>428</v>
      </c>
      <c r="BH14" s="89">
        <f ca="1">IFERROR(__xludf.DUMMYFUNCTION("""COMPUTED_VALUE"""),19644499)</f>
        <v>19644499</v>
      </c>
      <c r="BI14" s="89">
        <f ca="1">IFERROR(__xludf.DUMMYFUNCTION("""COMPUTED_VALUE"""),19561872.2599999)</f>
        <v>19561872.259999901</v>
      </c>
      <c r="BJ14" s="90"/>
      <c r="BK14" s="91">
        <v>419000</v>
      </c>
      <c r="BL14" s="91">
        <f t="shared" si="10"/>
        <v>5028000</v>
      </c>
      <c r="BM14" s="91">
        <f t="shared" si="11"/>
        <v>37500000</v>
      </c>
      <c r="BN14" s="91"/>
      <c r="BO14" s="92">
        <f ca="1">IFERROR(__xludf.DUMMYFUNCTION("IFERROR(ArrayFormula(SUM(VLOOKUP($C14,importrange(""1MwNMVzWE3QBVOyJjKr3eFX-Sq1Ng0Q1sghWJbgbE_8g"",""ORDER BOOKING REPORT 2024-25!C:CV""),{16,23,30},0))))"),4285421.91)</f>
        <v>4285421.91</v>
      </c>
      <c r="BP14" s="92">
        <f ca="1">IFERROR(__xludf.DUMMYFUNCTION("IFERROR(ArrayFormula(SUM(VLOOKUP($C14,importrange(""1MwNMVzWE3QBVOyJjKr3eFX-Sq1Ng0Q1sghWJbgbE_8g"",""ORDER BOOKING REPORT 2024-25!C:CV""),{37,44,51},0))))"),5088733.93999999)</f>
        <v>5088733.9399999902</v>
      </c>
      <c r="BQ14" s="92">
        <f ca="1">IFERROR(__xludf.DUMMYFUNCTION("IFERROR(ArrayFormula(SUM(VLOOKUP($C14,importrange(""1MwNMVzWE3QBVOyJjKr3eFX-Sq1Ng0Q1sghWJbgbE_8g"",""ORDER BOOKING REPORT 2024-25!C:CV""),{58,65,72},0))))"),4523058.39)</f>
        <v>4523058.3899999997</v>
      </c>
      <c r="BR14" s="92">
        <f ca="1">IFERROR(__xludf.DUMMYFUNCTION("IFERROR(ArrayFormula(SUM(VLOOKUP($C14,importrange(""1MwNMVzWE3QBVOyJjKr3eFX-Sq1Ng0Q1sghWJbgbE_8g"",""ORDER BOOKING REPORT 2024-25!C:CV""),{79,86,93},0))))"),5664658.02)</f>
        <v>5664658.0199999996</v>
      </c>
      <c r="BS14" s="93" t="str">
        <f t="shared" si="12"/>
        <v/>
      </c>
      <c r="BT14" s="93" t="str">
        <f t="shared" si="13"/>
        <v/>
      </c>
      <c r="BU14" s="37">
        <f t="shared" si="14"/>
        <v>0</v>
      </c>
      <c r="BV14" s="94">
        <v>61850</v>
      </c>
      <c r="BW14" s="94" t="s">
        <v>425</v>
      </c>
      <c r="BX14" s="94">
        <v>323</v>
      </c>
      <c r="BY14" s="37">
        <f t="shared" si="15"/>
        <v>0</v>
      </c>
      <c r="BZ14" s="37"/>
      <c r="CA14" s="37" t="s">
        <v>472</v>
      </c>
      <c r="CB14" s="37">
        <f>COUNTIF($F:$F, "&lt;=" &amp; DATE(2026,2,28))-COUNTIFS(AZ:AZ, "&gt;=" &amp; DATE(2025,4,1), AZ:AZ, "&lt;=" &amp; DATE(2026,2,28))</f>
        <v>158</v>
      </c>
      <c r="CC14" s="37">
        <f>COUNTIFS(F:F, "&gt;=" &amp; DATE(2026,3,1), F:F, "&lt;=" &amp; DATE(2026,3,31))</f>
        <v>7</v>
      </c>
      <c r="CD14" s="37">
        <f>COUNTIFS(AZ:AZ, "&gt;=" &amp; DATE(2026,3,1), AZ:AZ, "&lt;=" &amp; DATE(2026,3,31))</f>
        <v>5</v>
      </c>
      <c r="CE14" s="37">
        <f t="shared" si="16"/>
        <v>165</v>
      </c>
      <c r="CF14" s="37">
        <f t="shared" si="17"/>
        <v>170</v>
      </c>
      <c r="CG14" s="37" t="str">
        <f t="shared" si="18"/>
        <v xml:space="preserve"> </v>
      </c>
      <c r="CH14" s="37" t="str">
        <f t="shared" si="26"/>
        <v>Business Achieved 50%</v>
      </c>
      <c r="CI14" s="93">
        <f t="shared" si="19"/>
        <v>0.71</v>
      </c>
      <c r="CJ14" s="105">
        <f ca="1">IFERROR(__xludf.DUMMYFUNCTION("""COMPUTED_VALUE"""),764)</f>
        <v>764</v>
      </c>
      <c r="CK14" s="105">
        <f ca="1">IFERROR(__xludf.DUMMYFUNCTION("""COMPUTED_VALUE"""),52)</f>
        <v>52</v>
      </c>
      <c r="CL14" s="105">
        <f ca="1">IFERROR(__xludf.DUMMYFUNCTION("""COMPUTED_VALUE"""),0)</f>
        <v>0</v>
      </c>
      <c r="CM14" s="96">
        <f t="shared" ca="1" si="20"/>
        <v>0</v>
      </c>
      <c r="CN14" s="106"/>
      <c r="CO14" s="93"/>
      <c r="CP14" s="107" t="s">
        <v>460</v>
      </c>
      <c r="CQ14" s="101">
        <f t="shared" si="21"/>
        <v>2</v>
      </c>
      <c r="CR14" s="101">
        <f t="shared" si="22"/>
        <v>2</v>
      </c>
      <c r="CS14" s="93"/>
      <c r="CT14" s="4">
        <f t="shared" si="23"/>
        <v>0</v>
      </c>
      <c r="CU14" s="93"/>
      <c r="CV14" s="93"/>
      <c r="CW14" s="93"/>
      <c r="CX14" s="51"/>
      <c r="CY14" s="93"/>
      <c r="CZ14" s="93"/>
    </row>
    <row r="15" spans="1:104" ht="15.6">
      <c r="A15" s="1" t="s">
        <v>118</v>
      </c>
      <c r="B15" s="1" t="s">
        <v>375</v>
      </c>
      <c r="C15" s="1" t="s">
        <v>95</v>
      </c>
      <c r="D15" s="1" t="s">
        <v>473</v>
      </c>
      <c r="E15" s="1" t="s">
        <v>474</v>
      </c>
      <c r="F15" s="104">
        <v>42769</v>
      </c>
      <c r="G15" s="76">
        <v>0</v>
      </c>
      <c r="H15" s="76">
        <v>11200000</v>
      </c>
      <c r="I15" s="77">
        <v>3645541.28</v>
      </c>
      <c r="J15" s="77">
        <v>0</v>
      </c>
      <c r="K15" s="4">
        <v>44</v>
      </c>
      <c r="L15" s="4">
        <v>45</v>
      </c>
      <c r="M15" s="4">
        <v>1</v>
      </c>
      <c r="N15" s="4">
        <v>45</v>
      </c>
      <c r="O15" s="4">
        <v>0</v>
      </c>
      <c r="P15" s="77">
        <v>3626768.18</v>
      </c>
      <c r="Q15" s="77">
        <v>18773.099999999999</v>
      </c>
      <c r="R15" s="4">
        <v>33</v>
      </c>
      <c r="S15" s="4">
        <v>1</v>
      </c>
      <c r="T15" s="4">
        <v>34</v>
      </c>
      <c r="U15" s="4">
        <v>0</v>
      </c>
      <c r="V15" s="4">
        <v>12</v>
      </c>
      <c r="W15" s="4">
        <v>27</v>
      </c>
      <c r="X15" s="4">
        <v>66</v>
      </c>
      <c r="Y15" s="4">
        <v>2</v>
      </c>
      <c r="Z15" s="4">
        <v>18</v>
      </c>
      <c r="AA15" s="4">
        <v>0</v>
      </c>
      <c r="AB15" s="4">
        <v>0</v>
      </c>
      <c r="AC15" s="4">
        <v>0</v>
      </c>
      <c r="AD15" s="4">
        <v>0</v>
      </c>
      <c r="AE15" s="4">
        <v>812</v>
      </c>
      <c r="AF15" s="4">
        <v>857</v>
      </c>
      <c r="AG15" s="4">
        <v>204</v>
      </c>
      <c r="AH15" s="76">
        <f t="shared" si="1"/>
        <v>17870.300392156863</v>
      </c>
      <c r="AI15" s="76">
        <f t="shared" si="2"/>
        <v>4.2009803921568629</v>
      </c>
      <c r="AJ15" s="78">
        <f t="shared" si="30"/>
        <v>37355</v>
      </c>
      <c r="AK15" s="76">
        <f t="shared" si="3"/>
        <v>298840</v>
      </c>
      <c r="AL15" s="49">
        <v>138168</v>
      </c>
      <c r="AM15" s="80">
        <f t="shared" si="4"/>
        <v>0.11987465411446391</v>
      </c>
      <c r="AN15" s="76">
        <f t="shared" si="5"/>
        <v>107221.80235294117</v>
      </c>
      <c r="AO15" s="102">
        <f t="shared" si="27"/>
        <v>0.32549475714285714</v>
      </c>
      <c r="AP15" s="82">
        <v>0</v>
      </c>
      <c r="AQ15" s="4">
        <v>136</v>
      </c>
      <c r="AR15" s="4">
        <v>2241</v>
      </c>
      <c r="AS15" s="4">
        <v>0</v>
      </c>
      <c r="AT15" s="4">
        <v>1</v>
      </c>
      <c r="AU15" s="4">
        <v>0</v>
      </c>
      <c r="AV15" s="1">
        <v>34</v>
      </c>
      <c r="AW15" s="1">
        <v>11</v>
      </c>
      <c r="AX15" s="1">
        <v>0</v>
      </c>
      <c r="AY15" s="86" t="str">
        <f>IFERROR(VLOOKUP(C15,#REF!,13,0),"")</f>
        <v/>
      </c>
      <c r="AZ15" s="87">
        <v>45991</v>
      </c>
      <c r="BA15" s="1" t="str">
        <f t="shared" si="6"/>
        <v>LEFT</v>
      </c>
      <c r="BB15" s="1" t="e">
        <f t="shared" ca="1" si="7"/>
        <v>#NAME?</v>
      </c>
      <c r="BC15" s="1" t="e">
        <f t="shared" ca="1" si="28"/>
        <v>#NAME?</v>
      </c>
      <c r="BD15" s="33">
        <v>8</v>
      </c>
      <c r="BE15" s="88" t="str">
        <v/>
      </c>
      <c r="BF15" s="1">
        <f t="shared" si="9"/>
        <v>0</v>
      </c>
      <c r="BG15" s="1" t="s">
        <v>428</v>
      </c>
      <c r="BH15" s="89">
        <f ca="1">IFERROR(__xludf.DUMMYFUNCTION("""COMPUTED_VALUE"""),8136889)</f>
        <v>8136889</v>
      </c>
      <c r="BI15" s="89">
        <f ca="1">IFERROR(__xludf.DUMMYFUNCTION("""COMPUTED_VALUE"""),8549887.04)</f>
        <v>8549887.0399999991</v>
      </c>
      <c r="BJ15" s="90"/>
      <c r="BK15" s="91"/>
      <c r="BL15" s="91">
        <f t="shared" si="10"/>
        <v>0</v>
      </c>
      <c r="BM15" s="91">
        <f t="shared" si="11"/>
        <v>11200000</v>
      </c>
      <c r="BN15" s="91"/>
      <c r="BO15" s="92">
        <f ca="1">IFERROR(__xludf.DUMMYFUNCTION("IFERROR(ArrayFormula(SUM(VLOOKUP($C15,importrange(""1MwNMVzWE3QBVOyJjKr3eFX-Sq1Ng0Q1sghWJbgbE_8g"",""ORDER BOOKING REPORT 2024-25!C:CV""),{16,23,30},0))))"),2883632.9)</f>
        <v>2883632.9</v>
      </c>
      <c r="BP15" s="92">
        <f ca="1">IFERROR(__xludf.DUMMYFUNCTION("IFERROR(ArrayFormula(SUM(VLOOKUP($C15,importrange(""1MwNMVzWE3QBVOyJjKr3eFX-Sq1Ng0Q1sghWJbgbE_8g"",""ORDER BOOKING REPORT 2024-25!C:CV""),{37,44,51},0))))"),1822099.32)</f>
        <v>1822099.32</v>
      </c>
      <c r="BQ15" s="92">
        <f ca="1">IFERROR(__xludf.DUMMYFUNCTION("IFERROR(ArrayFormula(SUM(VLOOKUP($C15,importrange(""1MwNMVzWE3QBVOyJjKr3eFX-Sq1Ng0Q1sghWJbgbE_8g"",""ORDER BOOKING REPORT 2024-25!C:CV""),{58,65,72},0))))"),1985247.96)</f>
        <v>1985247.96</v>
      </c>
      <c r="BR15" s="92">
        <f ca="1">IFERROR(__xludf.DUMMYFUNCTION("IFERROR(ArrayFormula(SUM(VLOOKUP($C15,importrange(""1MwNMVzWE3QBVOyJjKr3eFX-Sq1Ng0Q1sghWJbgbE_8g"",""ORDER BOOKING REPORT 2024-25!C:CV""),{79,86,93},0))))"),1858906.86)</f>
        <v>1858906.86</v>
      </c>
      <c r="BS15" s="93" t="str">
        <f t="shared" si="12"/>
        <v/>
      </c>
      <c r="BT15" s="93" t="str">
        <f t="shared" si="13"/>
        <v/>
      </c>
      <c r="BU15" s="37">
        <f t="shared" si="14"/>
        <v>0</v>
      </c>
      <c r="BV15" s="94">
        <v>37355</v>
      </c>
      <c r="BW15" s="94" t="s">
        <v>476</v>
      </c>
      <c r="BX15" s="94">
        <v>341</v>
      </c>
      <c r="BY15" s="37">
        <f t="shared" si="15"/>
        <v>0</v>
      </c>
      <c r="BZ15" s="37"/>
      <c r="CA15" s="37"/>
      <c r="CB15" s="37">
        <f>COUNTIF($F:$F, "&lt;=" &amp; DATE(2026,3,31))-COUNTIFS(AZ:AZ, "&gt;=" &amp; DATE(2025,4,1), AZ:AZ, "&lt;=" &amp; DATE(2026,3,31))</f>
        <v>160</v>
      </c>
      <c r="CC15" s="37"/>
      <c r="CE15" s="37"/>
      <c r="CF15" s="37"/>
      <c r="CG15" s="37" t="str">
        <f t="shared" si="18"/>
        <v>Below 60</v>
      </c>
      <c r="CH15" s="37" t="str">
        <f t="shared" si="26"/>
        <v>Business Achieved 50%</v>
      </c>
      <c r="CI15" s="93">
        <f t="shared" si="19"/>
        <v>0.75555555555555554</v>
      </c>
      <c r="CJ15" s="105">
        <f ca="1">IFERROR(__xludf.DUMMYFUNCTION("""COMPUTED_VALUE"""),632)</f>
        <v>632</v>
      </c>
      <c r="CK15" s="105">
        <f ca="1">IFERROR(__xludf.DUMMYFUNCTION("""COMPUTED_VALUE"""),180)</f>
        <v>180</v>
      </c>
      <c r="CL15" s="105">
        <f ca="1">IFERROR(__xludf.DUMMYFUNCTION("""COMPUTED_VALUE"""),0)</f>
        <v>0</v>
      </c>
      <c r="CM15" s="96">
        <f t="shared" ca="1" si="20"/>
        <v>0</v>
      </c>
      <c r="CN15" s="106"/>
      <c r="CO15" s="93"/>
      <c r="CP15" s="107" t="s">
        <v>465</v>
      </c>
      <c r="CQ15" s="101">
        <f t="shared" si="21"/>
        <v>7</v>
      </c>
      <c r="CR15" s="101">
        <f t="shared" si="22"/>
        <v>0</v>
      </c>
      <c r="CS15" s="93"/>
      <c r="CT15" s="4">
        <f t="shared" si="23"/>
        <v>0</v>
      </c>
      <c r="CU15" s="93"/>
      <c r="CV15" s="93"/>
      <c r="CW15" s="93"/>
      <c r="CX15" s="51"/>
      <c r="CY15" s="93"/>
      <c r="CZ15" s="93"/>
    </row>
    <row r="16" spans="1:104" ht="15.6">
      <c r="A16" s="1" t="s">
        <v>118</v>
      </c>
      <c r="B16" s="1" t="s">
        <v>359</v>
      </c>
      <c r="C16" s="1" t="s">
        <v>26</v>
      </c>
      <c r="D16" s="1" t="s">
        <v>442</v>
      </c>
      <c r="E16" s="1" t="s">
        <v>477</v>
      </c>
      <c r="F16" s="104">
        <v>42826</v>
      </c>
      <c r="G16" s="76">
        <v>0</v>
      </c>
      <c r="H16" s="76">
        <v>24000000</v>
      </c>
      <c r="I16" s="77">
        <v>6304004.2300000004</v>
      </c>
      <c r="J16" s="77">
        <v>0</v>
      </c>
      <c r="K16" s="4">
        <v>73</v>
      </c>
      <c r="L16" s="4">
        <v>86</v>
      </c>
      <c r="M16" s="4">
        <v>21</v>
      </c>
      <c r="N16" s="4">
        <v>94</v>
      </c>
      <c r="O16" s="4">
        <v>8</v>
      </c>
      <c r="P16" s="77">
        <v>4934942.03</v>
      </c>
      <c r="Q16" s="77">
        <v>1369062.2</v>
      </c>
      <c r="R16" s="4">
        <v>49</v>
      </c>
      <c r="S16" s="4">
        <v>21</v>
      </c>
      <c r="T16" s="4">
        <v>70</v>
      </c>
      <c r="U16" s="4">
        <v>0</v>
      </c>
      <c r="V16" s="4">
        <v>2</v>
      </c>
      <c r="W16" s="4">
        <v>6</v>
      </c>
      <c r="X16" s="4">
        <v>9</v>
      </c>
      <c r="Y16" s="4">
        <v>3</v>
      </c>
      <c r="Z16" s="4">
        <v>143</v>
      </c>
      <c r="AA16" s="4">
        <v>0</v>
      </c>
      <c r="AB16" s="4">
        <v>0</v>
      </c>
      <c r="AC16" s="4">
        <v>0</v>
      </c>
      <c r="AD16" s="4">
        <v>0</v>
      </c>
      <c r="AE16" s="4">
        <v>1011</v>
      </c>
      <c r="AF16" s="4">
        <v>1160</v>
      </c>
      <c r="AG16" s="4">
        <v>235</v>
      </c>
      <c r="AH16" s="76">
        <f t="shared" si="1"/>
        <v>26825.549914893618</v>
      </c>
      <c r="AI16" s="76">
        <f t="shared" si="2"/>
        <v>4.9361702127659575</v>
      </c>
      <c r="AJ16" s="78">
        <v>76300</v>
      </c>
      <c r="AK16" s="76">
        <f t="shared" si="3"/>
        <v>763000</v>
      </c>
      <c r="AL16" s="79">
        <v>101548</v>
      </c>
      <c r="AM16" s="80">
        <f t="shared" si="4"/>
        <v>0.13714267447437928</v>
      </c>
      <c r="AN16" s="76">
        <f t="shared" si="5"/>
        <v>90057.203285714291</v>
      </c>
      <c r="AO16" s="102">
        <f t="shared" si="27"/>
        <v>0.2626668429166667</v>
      </c>
      <c r="AP16" s="82">
        <v>0</v>
      </c>
      <c r="AQ16" s="4">
        <v>250</v>
      </c>
      <c r="AR16" s="4">
        <v>2035</v>
      </c>
      <c r="AS16" s="4">
        <v>0</v>
      </c>
      <c r="AT16" s="4">
        <v>21</v>
      </c>
      <c r="AU16" s="4">
        <v>0</v>
      </c>
      <c r="AV16" s="1">
        <v>70</v>
      </c>
      <c r="AW16" s="1">
        <v>17</v>
      </c>
      <c r="AX16" s="1">
        <v>7</v>
      </c>
      <c r="AY16" s="86" t="str">
        <f>IFERROR(VLOOKUP(C16,#REF!,13,0),"")</f>
        <v/>
      </c>
      <c r="AZ16" s="87">
        <v>46053</v>
      </c>
      <c r="BA16" s="1" t="str">
        <f t="shared" si="6"/>
        <v>LEFT</v>
      </c>
      <c r="BB16" s="1" t="e">
        <f t="shared" ca="1" si="7"/>
        <v>#NAME?</v>
      </c>
      <c r="BC16" s="1" t="e">
        <f t="shared" ca="1" si="28"/>
        <v>#NAME?</v>
      </c>
      <c r="BD16" s="33">
        <v>10</v>
      </c>
      <c r="BE16" s="88" t="str">
        <v/>
      </c>
      <c r="BF16" s="1">
        <f t="shared" si="9"/>
        <v>0</v>
      </c>
      <c r="BG16" s="1" t="s">
        <v>428</v>
      </c>
      <c r="BH16" s="89">
        <f ca="1">IFERROR(__xludf.DUMMYFUNCTION("""COMPUTED_VALUE"""),5631228.72)</f>
        <v>5631228.7199999997</v>
      </c>
      <c r="BI16" s="89">
        <f ca="1">IFERROR(__xludf.DUMMYFUNCTION("""COMPUTED_VALUE"""),4942730.67)</f>
        <v>4942730.67</v>
      </c>
      <c r="BJ16" s="90"/>
      <c r="BK16" s="91"/>
      <c r="BL16" s="91">
        <f t="shared" si="10"/>
        <v>0</v>
      </c>
      <c r="BM16" s="91">
        <f t="shared" si="11"/>
        <v>24000000</v>
      </c>
      <c r="BN16" s="91"/>
      <c r="BO16" s="92">
        <f ca="1">IFERROR(__xludf.DUMMYFUNCTION("IFERROR(ArrayFormula(SUM(VLOOKUP($C16,importrange(""1MwNMVzWE3QBVOyJjKr3eFX-Sq1Ng0Q1sghWJbgbE_8g"",""ORDER BOOKING REPORT 2024-25!C:CV""),{16,23,30},0))))"),1698763.63)</f>
        <v>1698763.63</v>
      </c>
      <c r="BP16" s="92">
        <f ca="1">IFERROR(__xludf.DUMMYFUNCTION("IFERROR(ArrayFormula(SUM(VLOOKUP($C16,importrange(""1MwNMVzWE3QBVOyJjKr3eFX-Sq1Ng0Q1sghWJbgbE_8g"",""ORDER BOOKING REPORT 2024-25!C:CV""),{37,44,51},0))))"),399087.1)</f>
        <v>399087.1</v>
      </c>
      <c r="BQ16" s="92">
        <f ca="1">IFERROR(__xludf.DUMMYFUNCTION("IFERROR(ArrayFormula(SUM(VLOOKUP($C16,importrange(""1MwNMVzWE3QBVOyJjKr3eFX-Sq1Ng0Q1sghWJbgbE_8g"",""ORDER BOOKING REPORT 2024-25!C:CV""),{58,65,72},0))))"),1345957.72)</f>
        <v>1345957.72</v>
      </c>
      <c r="BR16" s="92">
        <f ca="1">IFERROR(__xludf.DUMMYFUNCTION("IFERROR(ArrayFormula(SUM(VLOOKUP($C16,importrange(""1MwNMVzWE3QBVOyJjKr3eFX-Sq1Ng0Q1sghWJbgbE_8g"",""ORDER BOOKING REPORT 2024-25!C:CV""),{79,86,93},0))))"),1498922.21999999)</f>
        <v>1498922.21999999</v>
      </c>
      <c r="BS16" s="93" t="str">
        <f t="shared" si="12"/>
        <v/>
      </c>
      <c r="BT16" s="93" t="str">
        <f t="shared" si="13"/>
        <v/>
      </c>
      <c r="BU16" s="37">
        <f t="shared" si="14"/>
        <v>0</v>
      </c>
      <c r="BV16" s="94">
        <v>76300</v>
      </c>
      <c r="BW16" s="94" t="s">
        <v>425</v>
      </c>
      <c r="BX16" s="94">
        <v>354</v>
      </c>
      <c r="BY16" s="37">
        <f t="shared" si="15"/>
        <v>0</v>
      </c>
      <c r="BZ16" s="37"/>
      <c r="CA16" s="37"/>
      <c r="CC16" s="37"/>
      <c r="CD16" s="37"/>
      <c r="CE16" s="37"/>
      <c r="CF16" s="37"/>
      <c r="CG16" s="37" t="str">
        <f t="shared" si="18"/>
        <v xml:space="preserve"> </v>
      </c>
      <c r="CH16" s="37" t="str">
        <f t="shared" si="26"/>
        <v>Business Achieved 50%</v>
      </c>
      <c r="CI16" s="93">
        <f t="shared" si="19"/>
        <v>0.74468085106382975</v>
      </c>
      <c r="CJ16" s="95">
        <f ca="1">IFERROR(__xludf.DUMMYFUNCTION("""COMPUTED_VALUE"""),940)</f>
        <v>940</v>
      </c>
      <c r="CK16" s="95">
        <f ca="1">IFERROR(__xludf.DUMMYFUNCTION("""COMPUTED_VALUE"""),71)</f>
        <v>71</v>
      </c>
      <c r="CL16" s="95">
        <f ca="1">IFERROR(__xludf.DUMMYFUNCTION("""COMPUTED_VALUE"""),0)</f>
        <v>0</v>
      </c>
      <c r="CM16" s="96">
        <f t="shared" ca="1" si="20"/>
        <v>0</v>
      </c>
      <c r="CN16" s="103"/>
      <c r="CO16" s="4"/>
      <c r="CP16" s="100" t="s">
        <v>469</v>
      </c>
      <c r="CQ16" s="101">
        <f t="shared" si="21"/>
        <v>10</v>
      </c>
      <c r="CR16" s="101">
        <f t="shared" si="22"/>
        <v>0</v>
      </c>
      <c r="CS16" s="4"/>
      <c r="CT16" s="4">
        <f t="shared" si="23"/>
        <v>0</v>
      </c>
      <c r="CU16" s="4"/>
      <c r="CV16" s="4"/>
      <c r="CW16" s="101"/>
      <c r="CX16" s="51"/>
      <c r="CY16" s="4"/>
      <c r="CZ16" s="4"/>
    </row>
    <row r="17" spans="1:104" ht="15.6">
      <c r="A17" s="1" t="s">
        <v>118</v>
      </c>
      <c r="B17" s="1" t="s">
        <v>362</v>
      </c>
      <c r="C17" s="1" t="s">
        <v>51</v>
      </c>
      <c r="D17" s="1" t="s">
        <v>419</v>
      </c>
      <c r="E17" s="1" t="s">
        <v>439</v>
      </c>
      <c r="F17" s="104">
        <v>42826</v>
      </c>
      <c r="G17" s="76">
        <v>0</v>
      </c>
      <c r="H17" s="76">
        <v>45600000</v>
      </c>
      <c r="I17" s="77">
        <v>38462588.969999999</v>
      </c>
      <c r="J17" s="77">
        <v>0</v>
      </c>
      <c r="K17" s="4">
        <v>129</v>
      </c>
      <c r="L17" s="4">
        <v>94</v>
      </c>
      <c r="M17" s="4">
        <v>9</v>
      </c>
      <c r="N17" s="4">
        <v>138</v>
      </c>
      <c r="O17" s="4">
        <v>44</v>
      </c>
      <c r="P17" s="77">
        <v>38462588.969999999</v>
      </c>
      <c r="Q17" s="77">
        <v>0</v>
      </c>
      <c r="R17" s="4">
        <v>20</v>
      </c>
      <c r="S17" s="4">
        <v>0</v>
      </c>
      <c r="T17" s="4">
        <v>20</v>
      </c>
      <c r="U17" s="4">
        <v>0</v>
      </c>
      <c r="V17" s="4">
        <v>13</v>
      </c>
      <c r="W17" s="4">
        <v>19</v>
      </c>
      <c r="X17" s="4">
        <v>28</v>
      </c>
      <c r="Y17" s="4">
        <v>4</v>
      </c>
      <c r="Z17" s="4">
        <v>99</v>
      </c>
      <c r="AA17" s="4">
        <v>0</v>
      </c>
      <c r="AB17" s="4">
        <v>0</v>
      </c>
      <c r="AC17" s="4">
        <v>0</v>
      </c>
      <c r="AD17" s="4">
        <v>0</v>
      </c>
      <c r="AE17" s="4">
        <v>852</v>
      </c>
      <c r="AF17" s="4">
        <v>970</v>
      </c>
      <c r="AG17" s="4">
        <v>300</v>
      </c>
      <c r="AH17" s="76">
        <f t="shared" si="1"/>
        <v>128208.6299</v>
      </c>
      <c r="AI17" s="76">
        <f t="shared" si="2"/>
        <v>3.2333333333333334</v>
      </c>
      <c r="AJ17" s="78">
        <v>63250</v>
      </c>
      <c r="AK17" s="76">
        <f t="shared" si="3"/>
        <v>759000</v>
      </c>
      <c r="AL17" s="79">
        <v>264598</v>
      </c>
      <c r="AM17" s="80">
        <f t="shared" si="4"/>
        <v>2.6612821118161979E-2</v>
      </c>
      <c r="AN17" s="76">
        <f t="shared" si="5"/>
        <v>1923129.4484999999</v>
      </c>
      <c r="AO17" s="102">
        <f t="shared" si="27"/>
        <v>0.84347782828947371</v>
      </c>
      <c r="AP17" s="82">
        <v>0</v>
      </c>
      <c r="AQ17" s="4">
        <v>116</v>
      </c>
      <c r="AR17" s="4">
        <v>3649</v>
      </c>
      <c r="AS17" s="4">
        <v>1702.39</v>
      </c>
      <c r="AT17" s="4">
        <v>0</v>
      </c>
      <c r="AU17" s="4">
        <v>18</v>
      </c>
      <c r="AV17" s="1">
        <v>20</v>
      </c>
      <c r="AW17" s="1">
        <v>74</v>
      </c>
      <c r="AX17" s="1">
        <v>44</v>
      </c>
      <c r="AY17" s="86" t="str">
        <f>IFERROR(VLOOKUP(C17,#REF!,13,0),"")</f>
        <v/>
      </c>
      <c r="AZ17" s="87"/>
      <c r="BA17" s="1" t="str">
        <f t="shared" si="6"/>
        <v>Active</v>
      </c>
      <c r="BB17" s="1" t="e">
        <f t="shared" ca="1" si="7"/>
        <v>#NAME?</v>
      </c>
      <c r="BC17" s="1" t="e">
        <f t="shared" ca="1" si="28"/>
        <v>#NAME?</v>
      </c>
      <c r="BD17" s="33">
        <f t="shared" ref="BD17:BD21" si="31">MATCH($BD$2,{"Apr","May","Jun","Jul","Aug","Sep","Oct","Nov","Dec","Jan","Feb","Mar"},0)</f>
        <v>12</v>
      </c>
      <c r="BE17" s="88" t="str">
        <v/>
      </c>
      <c r="BF17" s="1">
        <f t="shared" si="9"/>
        <v>9</v>
      </c>
      <c r="BG17" s="1" t="s">
        <v>428</v>
      </c>
      <c r="BH17" s="89">
        <f ca="1">IFERROR(__xludf.DUMMYFUNCTION("""COMPUTED_VALUE"""),44970678.61)</f>
        <v>44970678.609999999</v>
      </c>
      <c r="BI17" s="89">
        <f ca="1">IFERROR(__xludf.DUMMYFUNCTION("""COMPUTED_VALUE"""),68311270.3)</f>
        <v>68311270.299999997</v>
      </c>
      <c r="BJ17" s="90"/>
      <c r="BK17" s="91"/>
      <c r="BL17" s="91">
        <f t="shared" si="10"/>
        <v>0</v>
      </c>
      <c r="BM17" s="91">
        <f t="shared" si="11"/>
        <v>45600000</v>
      </c>
      <c r="BN17" s="91"/>
      <c r="BO17" s="92">
        <f ca="1">IFERROR(__xludf.DUMMYFUNCTION("IFERROR(ArrayFormula(SUM(VLOOKUP($C17,importrange(""1MwNMVzWE3QBVOyJjKr3eFX-Sq1Ng0Q1sghWJbgbE_8g"",""ORDER BOOKING REPORT 2024-25!C:CV""),{16,23,30},0))))"),16343405)</f>
        <v>16343405</v>
      </c>
      <c r="BP17" s="92">
        <f ca="1">IFERROR(__xludf.DUMMYFUNCTION("IFERROR(ArrayFormula(SUM(VLOOKUP($C17,importrange(""1MwNMVzWE3QBVOyJjKr3eFX-Sq1Ng0Q1sghWJbgbE_8g"",""ORDER BOOKING REPORT 2024-25!C:CV""),{37,44,51},0))))"),15567088.4)</f>
        <v>15567088.4</v>
      </c>
      <c r="BQ17" s="92">
        <f ca="1">IFERROR(__xludf.DUMMYFUNCTION("IFERROR(ArrayFormula(SUM(VLOOKUP($C17,importrange(""1MwNMVzWE3QBVOyJjKr3eFX-Sq1Ng0Q1sghWJbgbE_8g"",""ORDER BOOKING REPORT 2024-25!C:CV""),{58,65,72},0))))"),17148584.3)</f>
        <v>17148584.300000001</v>
      </c>
      <c r="BR17" s="92">
        <f ca="1">IFERROR(__xludf.DUMMYFUNCTION("IFERROR(ArrayFormula(SUM(VLOOKUP($C17,importrange(""1MwNMVzWE3QBVOyJjKr3eFX-Sq1Ng0Q1sghWJbgbE_8g"",""ORDER BOOKING REPORT 2024-25!C:CV""),{79,86,93},0))))"),19252192.6)</f>
        <v>19252192.600000001</v>
      </c>
      <c r="BS17" s="93" t="str">
        <f t="shared" si="12"/>
        <v/>
      </c>
      <c r="BT17" s="93" t="str">
        <f t="shared" si="13"/>
        <v/>
      </c>
      <c r="BU17" s="37">
        <f t="shared" si="14"/>
        <v>0</v>
      </c>
      <c r="BV17" s="94">
        <v>63250</v>
      </c>
      <c r="BW17" s="94" t="s">
        <v>429</v>
      </c>
      <c r="BX17" s="94">
        <v>360</v>
      </c>
      <c r="BY17" s="37">
        <f t="shared" si="15"/>
        <v>0</v>
      </c>
      <c r="BZ17" s="37"/>
      <c r="CA17" s="37"/>
      <c r="CB17" s="37"/>
      <c r="CC17" s="37"/>
      <c r="CD17" s="37"/>
      <c r="CE17" s="37"/>
      <c r="CF17" s="37"/>
      <c r="CG17" s="37" t="str">
        <f t="shared" si="18"/>
        <v xml:space="preserve"> </v>
      </c>
      <c r="CH17" s="37" t="str">
        <f t="shared" si="26"/>
        <v>Not 50%</v>
      </c>
      <c r="CI17" s="93">
        <f t="shared" si="19"/>
        <v>0.14492753623188406</v>
      </c>
      <c r="CJ17" s="95">
        <f ca="1">IFERROR(__xludf.DUMMYFUNCTION("""COMPUTED_VALUE"""),382)</f>
        <v>382</v>
      </c>
      <c r="CK17" s="95">
        <f ca="1">IFERROR(__xludf.DUMMYFUNCTION("""COMPUTED_VALUE"""),470)</f>
        <v>470</v>
      </c>
      <c r="CL17" s="95">
        <f ca="1">IFERROR(__xludf.DUMMYFUNCTION("""COMPUTED_VALUE"""),0)</f>
        <v>0</v>
      </c>
      <c r="CM17" s="96">
        <f t="shared" ca="1" si="20"/>
        <v>0</v>
      </c>
      <c r="CN17" s="103"/>
      <c r="CO17" s="4"/>
      <c r="CP17" s="100" t="s">
        <v>443</v>
      </c>
      <c r="CQ17" s="101">
        <f t="shared" si="21"/>
        <v>12</v>
      </c>
      <c r="CR17" s="101">
        <f t="shared" si="22"/>
        <v>0</v>
      </c>
      <c r="CS17" s="4"/>
      <c r="CT17" s="4">
        <f t="shared" si="23"/>
        <v>0</v>
      </c>
      <c r="CU17" s="4"/>
      <c r="CV17" s="4"/>
      <c r="CW17" s="101"/>
      <c r="CX17" s="51"/>
      <c r="CY17" s="4"/>
      <c r="CZ17" s="4"/>
    </row>
    <row r="18" spans="1:104" ht="15.6">
      <c r="A18" s="1" t="s">
        <v>124</v>
      </c>
      <c r="B18" s="1" t="s">
        <v>443</v>
      </c>
      <c r="C18" s="1" t="s">
        <v>98</v>
      </c>
      <c r="D18" s="1" t="s">
        <v>479</v>
      </c>
      <c r="E18" s="1" t="s">
        <v>480</v>
      </c>
      <c r="F18" s="48">
        <v>42926</v>
      </c>
      <c r="G18" s="76">
        <v>0</v>
      </c>
      <c r="H18" s="76">
        <v>24000000</v>
      </c>
      <c r="I18" s="77">
        <v>20796267.079999998</v>
      </c>
      <c r="J18" s="77">
        <v>0</v>
      </c>
      <c r="K18" s="4">
        <v>156</v>
      </c>
      <c r="L18" s="4">
        <v>134</v>
      </c>
      <c r="M18" s="4">
        <v>16</v>
      </c>
      <c r="N18" s="4">
        <v>172</v>
      </c>
      <c r="O18" s="4">
        <v>38</v>
      </c>
      <c r="P18" s="77">
        <v>20102076.579999998</v>
      </c>
      <c r="Q18" s="77">
        <v>694190.5</v>
      </c>
      <c r="R18" s="4">
        <v>88</v>
      </c>
      <c r="S18" s="4">
        <v>9</v>
      </c>
      <c r="T18" s="4">
        <v>97</v>
      </c>
      <c r="U18" s="4">
        <v>0</v>
      </c>
      <c r="V18" s="4">
        <v>17</v>
      </c>
      <c r="W18" s="4">
        <v>25</v>
      </c>
      <c r="X18" s="4">
        <v>42</v>
      </c>
      <c r="Y18" s="4">
        <v>3</v>
      </c>
      <c r="Z18" s="4">
        <v>106</v>
      </c>
      <c r="AA18" s="4">
        <v>0</v>
      </c>
      <c r="AB18" s="4">
        <v>0</v>
      </c>
      <c r="AC18" s="4">
        <v>0</v>
      </c>
      <c r="AD18" s="4">
        <v>0</v>
      </c>
      <c r="AE18" s="4">
        <v>812</v>
      </c>
      <c r="AF18" s="4">
        <v>943</v>
      </c>
      <c r="AG18" s="4">
        <v>293</v>
      </c>
      <c r="AH18" s="76">
        <f t="shared" si="1"/>
        <v>70977.020750853233</v>
      </c>
      <c r="AI18" s="76">
        <f t="shared" si="2"/>
        <v>3.218430034129693</v>
      </c>
      <c r="AJ18" s="78">
        <v>44575</v>
      </c>
      <c r="AK18" s="76">
        <f t="shared" si="3"/>
        <v>534900</v>
      </c>
      <c r="AL18" s="79">
        <v>284111</v>
      </c>
      <c r="AM18" s="80">
        <f t="shared" si="4"/>
        <v>3.9382596734759766E-2</v>
      </c>
      <c r="AN18" s="76">
        <f t="shared" si="5"/>
        <v>214394.50597938141</v>
      </c>
      <c r="AO18" s="102">
        <f t="shared" si="27"/>
        <v>0.86651112833333321</v>
      </c>
      <c r="AP18" s="82">
        <v>0</v>
      </c>
      <c r="AQ18" s="4">
        <v>665</v>
      </c>
      <c r="AR18" s="4">
        <v>2219</v>
      </c>
      <c r="AS18" s="4">
        <v>4875.51</v>
      </c>
      <c r="AT18" s="4">
        <v>9</v>
      </c>
      <c r="AU18" s="4">
        <v>36</v>
      </c>
      <c r="AV18" s="1">
        <v>97</v>
      </c>
      <c r="AW18" s="1">
        <v>48</v>
      </c>
      <c r="AX18" s="1">
        <v>27</v>
      </c>
      <c r="AY18" s="86" t="str">
        <f>IFERROR(VLOOKUP(C18,#REF!,13,0),"")</f>
        <v/>
      </c>
      <c r="AZ18" s="87"/>
      <c r="BA18" s="1" t="str">
        <f t="shared" si="6"/>
        <v>Active</v>
      </c>
      <c r="BB18" s="1" t="e">
        <f t="shared" ca="1" si="7"/>
        <v>#NAME?</v>
      </c>
      <c r="BC18" s="1" t="e">
        <f t="shared" ca="1" si="28"/>
        <v>#NAME?</v>
      </c>
      <c r="BD18" s="33">
        <f t="shared" si="31"/>
        <v>12</v>
      </c>
      <c r="BE18" s="88" t="str">
        <v/>
      </c>
      <c r="BF18" s="1">
        <f t="shared" si="9"/>
        <v>7</v>
      </c>
      <c r="BG18" s="1" t="s">
        <v>428</v>
      </c>
      <c r="BH18" s="89">
        <f ca="1">IFERROR(__xludf.DUMMYFUNCTION("""COMPUTED_VALUE"""),20081138)</f>
        <v>20081138</v>
      </c>
      <c r="BI18" s="89">
        <f ca="1">IFERROR(__xludf.DUMMYFUNCTION("""COMPUTED_VALUE"""),16655458.01)</f>
        <v>16655458.01</v>
      </c>
      <c r="BJ18" s="90"/>
      <c r="BK18" s="91"/>
      <c r="BL18" s="91">
        <f t="shared" si="10"/>
        <v>0</v>
      </c>
      <c r="BM18" s="91">
        <f t="shared" si="11"/>
        <v>24000000</v>
      </c>
      <c r="BN18" s="91"/>
      <c r="BO18" s="92">
        <f ca="1">IFERROR(__xludf.DUMMYFUNCTION("IFERROR(ArrayFormula(SUM(VLOOKUP($C18,importrange(""1MwNMVzWE3QBVOyJjKr3eFX-Sq1Ng0Q1sghWJbgbE_8g"",""ORDER BOOKING REPORT 2024-25!C:CV""),{16,23,30},0))))"),3414186.4)</f>
        <v>3414186.4</v>
      </c>
      <c r="BP18" s="92">
        <f ca="1">IFERROR(__xludf.DUMMYFUNCTION("IFERROR(ArrayFormula(SUM(VLOOKUP($C18,importrange(""1MwNMVzWE3QBVOyJjKr3eFX-Sq1Ng0Q1sghWJbgbE_8g"",""ORDER BOOKING REPORT 2024-25!C:CV""),{37,44,51},0))))"),3785622.06)</f>
        <v>3785622.06</v>
      </c>
      <c r="BQ18" s="92">
        <f ca="1">IFERROR(__xludf.DUMMYFUNCTION("IFERROR(ArrayFormula(SUM(VLOOKUP($C18,importrange(""1MwNMVzWE3QBVOyJjKr3eFX-Sq1Ng0Q1sghWJbgbE_8g"",""ORDER BOOKING REPORT 2024-25!C:CV""),{58,65,72},0))))"),4615195.56999999)</f>
        <v>4615195.5699999901</v>
      </c>
      <c r="BR18" s="92">
        <f ca="1">IFERROR(__xludf.DUMMYFUNCTION("IFERROR(ArrayFormula(SUM(VLOOKUP($C18,importrange(""1MwNMVzWE3QBVOyJjKr3eFX-Sq1Ng0Q1sghWJbgbE_8g"",""ORDER BOOKING REPORT 2024-25!C:CV""),{79,86,93},0))))"),4840453.98)</f>
        <v>4840453.9800000004</v>
      </c>
      <c r="BS18" s="93" t="str">
        <f t="shared" si="12"/>
        <v/>
      </c>
      <c r="BT18" s="93" t="str">
        <f t="shared" si="13"/>
        <v/>
      </c>
      <c r="BU18" s="37">
        <f t="shared" si="14"/>
        <v>0</v>
      </c>
      <c r="BV18" s="94">
        <v>44575</v>
      </c>
      <c r="BW18" s="94" t="s">
        <v>476</v>
      </c>
      <c r="BX18" s="94">
        <v>371</v>
      </c>
      <c r="BY18" s="37">
        <f t="shared" si="15"/>
        <v>0</v>
      </c>
      <c r="BZ18" s="37"/>
      <c r="CA18" s="37"/>
      <c r="CB18" s="37"/>
      <c r="CC18" s="37"/>
      <c r="CD18" s="37"/>
      <c r="CE18" s="37"/>
      <c r="CF18" s="37"/>
      <c r="CG18" s="37" t="str">
        <f t="shared" si="18"/>
        <v xml:space="preserve"> </v>
      </c>
      <c r="CH18" s="37" t="str">
        <f t="shared" si="26"/>
        <v>Business Achieved 50%</v>
      </c>
      <c r="CI18" s="93">
        <f t="shared" si="19"/>
        <v>0.56395348837209303</v>
      </c>
      <c r="CJ18" s="95">
        <f ca="1">IFERROR(__xludf.DUMMYFUNCTION("""COMPUTED_VALUE"""),710)</f>
        <v>710</v>
      </c>
      <c r="CK18" s="95">
        <f ca="1">IFERROR(__xludf.DUMMYFUNCTION("""COMPUTED_VALUE"""),102)</f>
        <v>102</v>
      </c>
      <c r="CL18" s="95">
        <f ca="1">IFERROR(__xludf.DUMMYFUNCTION("""COMPUTED_VALUE"""),0)</f>
        <v>0</v>
      </c>
      <c r="CM18" s="96">
        <f t="shared" ca="1" si="20"/>
        <v>0</v>
      </c>
      <c r="CN18" s="103"/>
      <c r="CO18" s="4"/>
      <c r="CP18" s="100" t="s">
        <v>481</v>
      </c>
      <c r="CQ18" s="101">
        <f t="shared" si="21"/>
        <v>3</v>
      </c>
      <c r="CR18" s="101">
        <f t="shared" si="22"/>
        <v>0</v>
      </c>
      <c r="CS18" s="4"/>
      <c r="CT18" s="4">
        <f t="shared" si="23"/>
        <v>0</v>
      </c>
      <c r="CU18" s="4"/>
      <c r="CV18" s="4"/>
      <c r="CW18" s="101"/>
      <c r="CX18" s="51"/>
      <c r="CY18" s="4"/>
      <c r="CZ18" s="4"/>
    </row>
    <row r="19" spans="1:104" ht="15.6">
      <c r="A19" s="1" t="s">
        <v>117</v>
      </c>
      <c r="B19" s="1" t="s">
        <v>450</v>
      </c>
      <c r="C19" s="1" t="s">
        <v>99</v>
      </c>
      <c r="D19" s="1" t="s">
        <v>482</v>
      </c>
      <c r="E19" s="1" t="s">
        <v>483</v>
      </c>
      <c r="F19" s="48">
        <v>42993</v>
      </c>
      <c r="G19" s="76">
        <v>0</v>
      </c>
      <c r="H19" s="76">
        <v>15000000</v>
      </c>
      <c r="I19" s="77">
        <v>10971999.779999999</v>
      </c>
      <c r="J19" s="77">
        <v>0</v>
      </c>
      <c r="K19" s="4">
        <v>133</v>
      </c>
      <c r="L19" s="4">
        <v>118</v>
      </c>
      <c r="M19" s="4">
        <v>10</v>
      </c>
      <c r="N19" s="4">
        <v>143</v>
      </c>
      <c r="O19" s="4">
        <v>25</v>
      </c>
      <c r="P19" s="77">
        <v>8655366.6799999997</v>
      </c>
      <c r="Q19" s="77">
        <v>2316633.1</v>
      </c>
      <c r="R19" s="4">
        <v>100</v>
      </c>
      <c r="S19" s="4">
        <v>10</v>
      </c>
      <c r="T19" s="4">
        <v>110</v>
      </c>
      <c r="U19" s="4">
        <v>0</v>
      </c>
      <c r="V19" s="4">
        <v>334</v>
      </c>
      <c r="W19" s="4">
        <v>508</v>
      </c>
      <c r="X19" s="4">
        <v>400</v>
      </c>
      <c r="Y19" s="4">
        <v>8</v>
      </c>
      <c r="Z19" s="4">
        <v>359</v>
      </c>
      <c r="AA19" s="4">
        <v>0</v>
      </c>
      <c r="AB19" s="4">
        <v>0</v>
      </c>
      <c r="AC19" s="4">
        <v>1</v>
      </c>
      <c r="AD19" s="4">
        <v>1</v>
      </c>
      <c r="AE19" s="4">
        <v>732</v>
      </c>
      <c r="AF19" s="4">
        <v>1600</v>
      </c>
      <c r="AG19" s="4">
        <v>300</v>
      </c>
      <c r="AH19" s="76">
        <f t="shared" si="1"/>
        <v>36573.332599999994</v>
      </c>
      <c r="AI19" s="76">
        <f t="shared" si="2"/>
        <v>5.333333333333333</v>
      </c>
      <c r="AJ19" s="78">
        <v>51335</v>
      </c>
      <c r="AK19" s="76">
        <f t="shared" si="3"/>
        <v>616020</v>
      </c>
      <c r="AL19" s="79">
        <v>148141</v>
      </c>
      <c r="AM19" s="80">
        <f t="shared" si="4"/>
        <v>6.9646465122331608E-2</v>
      </c>
      <c r="AN19" s="76">
        <f t="shared" si="5"/>
        <v>99745.452545454536</v>
      </c>
      <c r="AO19" s="102">
        <f t="shared" si="27"/>
        <v>0.73146665199999994</v>
      </c>
      <c r="AP19" s="82">
        <v>0</v>
      </c>
      <c r="AQ19" s="4">
        <v>642</v>
      </c>
      <c r="AR19" s="4">
        <v>2841</v>
      </c>
      <c r="AS19" s="4">
        <v>3497.37</v>
      </c>
      <c r="AT19" s="4">
        <v>10</v>
      </c>
      <c r="AU19" s="4">
        <v>30</v>
      </c>
      <c r="AV19" s="1">
        <v>110</v>
      </c>
      <c r="AW19" s="1">
        <v>17</v>
      </c>
      <c r="AX19" s="1">
        <v>16</v>
      </c>
      <c r="AY19" s="86" t="str">
        <f>IFERROR(VLOOKUP(C19,#REF!,13,0),"")</f>
        <v/>
      </c>
      <c r="AZ19" s="87"/>
      <c r="BA19" s="1" t="str">
        <f t="shared" si="6"/>
        <v>Active</v>
      </c>
      <c r="BB19" s="1" t="e">
        <f t="shared" ca="1" si="7"/>
        <v>#NAME?</v>
      </c>
      <c r="BC19" s="1" t="e">
        <f t="shared" ca="1" si="28"/>
        <v>#NAME?</v>
      </c>
      <c r="BD19" s="33">
        <f t="shared" si="31"/>
        <v>12</v>
      </c>
      <c r="BE19" s="88" t="str">
        <v/>
      </c>
      <c r="BF19" s="1">
        <f t="shared" si="9"/>
        <v>0</v>
      </c>
      <c r="BG19" s="1" t="s">
        <v>428</v>
      </c>
      <c r="BH19" s="89">
        <f ca="1">IFERROR(__xludf.DUMMYFUNCTION("""COMPUTED_VALUE"""),8386751)</f>
        <v>8386751</v>
      </c>
      <c r="BI19" s="89">
        <f ca="1">IFERROR(__xludf.DUMMYFUNCTION("""COMPUTED_VALUE"""),8640560.62)</f>
        <v>8640560.6199999992</v>
      </c>
      <c r="BJ19" s="90"/>
      <c r="BK19" s="91"/>
      <c r="BL19" s="91">
        <f t="shared" si="10"/>
        <v>0</v>
      </c>
      <c r="BM19" s="91">
        <f t="shared" si="11"/>
        <v>15000000</v>
      </c>
      <c r="BN19" s="91"/>
      <c r="BO19" s="92">
        <f ca="1">IFERROR(__xludf.DUMMYFUNCTION("IFERROR(ArrayFormula(SUM(VLOOKUP($C19,importrange(""1MwNMVzWE3QBVOyJjKr3eFX-Sq1Ng0Q1sghWJbgbE_8g"",""ORDER BOOKING REPORT 2024-25!C:CV""),{16,23,30},0))))"),3133686.62)</f>
        <v>3133686.62</v>
      </c>
      <c r="BP19" s="92">
        <f ca="1">IFERROR(__xludf.DUMMYFUNCTION("IFERROR(ArrayFormula(SUM(VLOOKUP($C19,importrange(""1MwNMVzWE3QBVOyJjKr3eFX-Sq1Ng0Q1sghWJbgbE_8g"",""ORDER BOOKING REPORT 2024-25!C:CV""),{37,44,51},0))))"),1494036.87)</f>
        <v>1494036.87</v>
      </c>
      <c r="BQ19" s="92">
        <f ca="1">IFERROR(__xludf.DUMMYFUNCTION("IFERROR(ArrayFormula(SUM(VLOOKUP($C19,importrange(""1MwNMVzWE3QBVOyJjKr3eFX-Sq1Ng0Q1sghWJbgbE_8g"",""ORDER BOOKING REPORT 2024-25!C:CV""),{58,65,72},0))))"),2049835.06)</f>
        <v>2049835.06</v>
      </c>
      <c r="BR19" s="92">
        <f ca="1">IFERROR(__xludf.DUMMYFUNCTION("IFERROR(ArrayFormula(SUM(VLOOKUP($C19,importrange(""1MwNMVzWE3QBVOyJjKr3eFX-Sq1Ng0Q1sghWJbgbE_8g"",""ORDER BOOKING REPORT 2024-25!C:CV""),{79,86,93},0))))"),1963002.06999999)</f>
        <v>1963002.0699999901</v>
      </c>
      <c r="BS19" s="93" t="str">
        <f t="shared" si="12"/>
        <v/>
      </c>
      <c r="BT19" s="93" t="str">
        <f t="shared" si="13"/>
        <v/>
      </c>
      <c r="BU19" s="37">
        <f t="shared" si="14"/>
        <v>0</v>
      </c>
      <c r="BV19" s="94">
        <v>51335</v>
      </c>
      <c r="BW19" s="94" t="s">
        <v>429</v>
      </c>
      <c r="BX19" s="94">
        <v>386</v>
      </c>
      <c r="BY19" s="37">
        <f t="shared" si="15"/>
        <v>0</v>
      </c>
      <c r="BZ19" s="37"/>
      <c r="CA19" s="37"/>
      <c r="CB19" s="37"/>
      <c r="CC19" s="37"/>
      <c r="CD19" s="37"/>
      <c r="CE19" s="37"/>
      <c r="CF19" s="37"/>
      <c r="CG19" s="37" t="str">
        <f t="shared" si="18"/>
        <v xml:space="preserve"> </v>
      </c>
      <c r="CH19" s="37" t="str">
        <f t="shared" si="26"/>
        <v>Business Achieved 50%</v>
      </c>
      <c r="CI19" s="93">
        <f t="shared" si="19"/>
        <v>0.76923076923076927</v>
      </c>
      <c r="CJ19" s="95">
        <f ca="1">IFERROR(__xludf.DUMMYFUNCTION("""COMPUTED_VALUE"""),691)</f>
        <v>691</v>
      </c>
      <c r="CK19" s="95">
        <f ca="1">IFERROR(__xludf.DUMMYFUNCTION("""COMPUTED_VALUE"""),41)</f>
        <v>41</v>
      </c>
      <c r="CL19" s="95">
        <f ca="1">IFERROR(__xludf.DUMMYFUNCTION("""COMPUTED_VALUE"""),0)</f>
        <v>0</v>
      </c>
      <c r="CM19" s="96">
        <f t="shared" ca="1" si="20"/>
        <v>0</v>
      </c>
      <c r="CN19" s="103"/>
      <c r="CO19" s="4"/>
      <c r="CP19" s="100" t="s">
        <v>484</v>
      </c>
      <c r="CQ19" s="101">
        <f t="shared" si="21"/>
        <v>7</v>
      </c>
      <c r="CR19" s="101">
        <f t="shared" si="22"/>
        <v>0</v>
      </c>
      <c r="CS19" s="4"/>
      <c r="CT19" s="4">
        <f t="shared" si="23"/>
        <v>0</v>
      </c>
      <c r="CU19" s="4"/>
      <c r="CV19" s="4"/>
      <c r="CW19" s="101"/>
      <c r="CX19" s="51"/>
      <c r="CY19" s="4"/>
      <c r="CZ19" s="4"/>
    </row>
    <row r="20" spans="1:104" ht="15.6">
      <c r="A20" s="1" t="s">
        <v>118</v>
      </c>
      <c r="B20" s="1" t="s">
        <v>362</v>
      </c>
      <c r="C20" s="1" t="s">
        <v>67</v>
      </c>
      <c r="D20" s="1" t="s">
        <v>419</v>
      </c>
      <c r="E20" s="1" t="s">
        <v>485</v>
      </c>
      <c r="F20" s="104">
        <v>43009</v>
      </c>
      <c r="G20" s="76">
        <v>0</v>
      </c>
      <c r="H20" s="76">
        <v>0</v>
      </c>
      <c r="I20" s="77">
        <v>1259297.28</v>
      </c>
      <c r="J20" s="77">
        <v>0</v>
      </c>
      <c r="K20" s="4">
        <v>199</v>
      </c>
      <c r="L20" s="4">
        <v>162</v>
      </c>
      <c r="M20" s="4">
        <v>27</v>
      </c>
      <c r="N20" s="4">
        <v>226</v>
      </c>
      <c r="O20" s="4">
        <v>64</v>
      </c>
      <c r="P20" s="77">
        <v>966367</v>
      </c>
      <c r="Q20" s="77">
        <v>292930.28000000003</v>
      </c>
      <c r="R20" s="4">
        <v>7</v>
      </c>
      <c r="S20" s="4">
        <v>1</v>
      </c>
      <c r="T20" s="4">
        <v>8</v>
      </c>
      <c r="U20" s="4">
        <v>0</v>
      </c>
      <c r="V20" s="4">
        <v>14</v>
      </c>
      <c r="W20" s="4">
        <v>18</v>
      </c>
      <c r="X20" s="4">
        <v>24</v>
      </c>
      <c r="Y20" s="4">
        <v>3</v>
      </c>
      <c r="Z20" s="4">
        <v>167</v>
      </c>
      <c r="AA20" s="4">
        <v>0</v>
      </c>
      <c r="AB20" s="4">
        <v>0</v>
      </c>
      <c r="AC20" s="4">
        <v>0</v>
      </c>
      <c r="AD20" s="4">
        <v>0</v>
      </c>
      <c r="AE20" s="4">
        <v>814</v>
      </c>
      <c r="AF20" s="4">
        <v>999</v>
      </c>
      <c r="AG20" s="4">
        <v>303</v>
      </c>
      <c r="AH20" s="76">
        <f t="shared" si="1"/>
        <v>4156.0966336633664</v>
      </c>
      <c r="AI20" s="76">
        <f t="shared" si="2"/>
        <v>3.2970297029702968</v>
      </c>
      <c r="AJ20" s="78">
        <v>54455</v>
      </c>
      <c r="AK20" s="76">
        <f t="shared" si="3"/>
        <v>653460</v>
      </c>
      <c r="AL20" s="79">
        <v>186147</v>
      </c>
      <c r="AM20" s="80">
        <f t="shared" si="4"/>
        <v>0.66672660485695645</v>
      </c>
      <c r="AN20" s="76">
        <f t="shared" si="5"/>
        <v>157412.16</v>
      </c>
      <c r="AO20" s="49" t="s">
        <v>161</v>
      </c>
      <c r="AP20" s="82">
        <v>0</v>
      </c>
      <c r="AQ20" s="4">
        <v>11</v>
      </c>
      <c r="AR20" s="4">
        <v>3123</v>
      </c>
      <c r="AS20" s="4">
        <v>3220.77</v>
      </c>
      <c r="AT20" s="4">
        <v>1</v>
      </c>
      <c r="AU20" s="4">
        <v>20</v>
      </c>
      <c r="AV20" s="1">
        <v>8</v>
      </c>
      <c r="AW20" s="1">
        <v>154</v>
      </c>
      <c r="AX20" s="1">
        <v>64</v>
      </c>
      <c r="AY20" s="86" t="str">
        <f>IFERROR(VLOOKUP(C20,#REF!,13,0),"")</f>
        <v/>
      </c>
      <c r="AZ20" s="87"/>
      <c r="BA20" s="1" t="str">
        <f t="shared" si="6"/>
        <v>Active</v>
      </c>
      <c r="BB20" s="1" t="e">
        <f t="shared" ca="1" si="7"/>
        <v>#NAME?</v>
      </c>
      <c r="BC20" s="4" t="s">
        <v>161</v>
      </c>
      <c r="BD20" s="33">
        <f t="shared" si="31"/>
        <v>12</v>
      </c>
      <c r="BE20" s="88" t="str">
        <v/>
      </c>
      <c r="BF20" s="1">
        <f t="shared" si="9"/>
        <v>26</v>
      </c>
      <c r="BG20" s="37" t="s">
        <v>423</v>
      </c>
      <c r="BH20" s="89">
        <f ca="1">IFERROR(__xludf.DUMMYFUNCTION("""COMPUTED_VALUE"""),131748574.1)</f>
        <v>131748574.09999999</v>
      </c>
      <c r="BI20" s="89">
        <f ca="1">IFERROR(__xludf.DUMMYFUNCTION("""COMPUTED_VALUE"""),92290520.9)</f>
        <v>92290520.900000006</v>
      </c>
      <c r="BJ20" s="90"/>
      <c r="BK20" s="91"/>
      <c r="BL20" s="91">
        <f t="shared" si="10"/>
        <v>0</v>
      </c>
      <c r="BM20" s="91">
        <f t="shared" si="11"/>
        <v>0</v>
      </c>
      <c r="BN20" s="91"/>
      <c r="BO20" s="92">
        <f ca="1">IFERROR(__xludf.DUMMYFUNCTION("IFERROR(ArrayFormula(SUM(VLOOKUP($C20,importrange(""1MwNMVzWE3QBVOyJjKr3eFX-Sq1Ng0Q1sghWJbgbE_8g"",""ORDER BOOKING REPORT 2024-25!C:CV""),{16,23,30},0))))"),18653492.3)</f>
        <v>18653492.300000001</v>
      </c>
      <c r="BP20" s="92">
        <f ca="1">IFERROR(__xludf.DUMMYFUNCTION("IFERROR(ArrayFormula(SUM(VLOOKUP($C20,importrange(""1MwNMVzWE3QBVOyJjKr3eFX-Sq1Ng0Q1sghWJbgbE_8g"",""ORDER BOOKING REPORT 2024-25!C:CV""),{37,44,51},0))))"),20690039.2)</f>
        <v>20690039.199999999</v>
      </c>
      <c r="BQ20" s="92">
        <f ca="1">IFERROR(__xludf.DUMMYFUNCTION("IFERROR(ArrayFormula(SUM(VLOOKUP($C20,importrange(""1MwNMVzWE3QBVOyJjKr3eFX-Sq1Ng0Q1sghWJbgbE_8g"",""ORDER BOOKING REPORT 2024-25!C:CV""),{58,65,72},0))))"),22893689.2999999)</f>
        <v>22893689.2999999</v>
      </c>
      <c r="BR20" s="92">
        <f ca="1">IFERROR(__xludf.DUMMYFUNCTION("IFERROR(ArrayFormula(SUM(VLOOKUP($C20,importrange(""1MwNMVzWE3QBVOyJjKr3eFX-Sq1Ng0Q1sghWJbgbE_8g"",""ORDER BOOKING REPORT 2024-25!C:CV""),{79,86,93},0))))"),30053300.1)</f>
        <v>30053300.100000001</v>
      </c>
      <c r="BS20" s="93" t="str">
        <f t="shared" si="12"/>
        <v/>
      </c>
      <c r="BT20" s="93" t="str">
        <f t="shared" si="13"/>
        <v/>
      </c>
      <c r="BU20" s="37">
        <f t="shared" si="14"/>
        <v>0</v>
      </c>
      <c r="BV20" s="94">
        <v>54455</v>
      </c>
      <c r="BW20" s="94" t="s">
        <v>429</v>
      </c>
      <c r="BX20" s="94">
        <v>439</v>
      </c>
      <c r="BY20" s="37">
        <f t="shared" si="15"/>
        <v>0</v>
      </c>
      <c r="BZ20" s="37"/>
      <c r="CA20" s="37"/>
      <c r="CB20" s="37"/>
      <c r="CC20" s="37"/>
      <c r="CD20" s="37"/>
      <c r="CE20" s="37"/>
      <c r="CF20" s="37"/>
      <c r="CG20" s="37" t="str">
        <f t="shared" si="18"/>
        <v xml:space="preserve"> </v>
      </c>
      <c r="CH20" s="37" t="str">
        <f t="shared" si="26"/>
        <v>Not 50%</v>
      </c>
      <c r="CI20" s="93">
        <f t="shared" si="19"/>
        <v>3.5398230088495575E-2</v>
      </c>
      <c r="CJ20" s="95">
        <f ca="1">IFERROR(__xludf.DUMMYFUNCTION("""COMPUTED_VALUE"""),88)</f>
        <v>88</v>
      </c>
      <c r="CK20" s="95">
        <f ca="1">IFERROR(__xludf.DUMMYFUNCTION("""COMPUTED_VALUE"""),726)</f>
        <v>726</v>
      </c>
      <c r="CL20" s="95">
        <f ca="1">IFERROR(__xludf.DUMMYFUNCTION("""COMPUTED_VALUE"""),0)</f>
        <v>0</v>
      </c>
      <c r="CM20" s="96">
        <f t="shared" ca="1" si="20"/>
        <v>0</v>
      </c>
      <c r="CN20" s="103"/>
      <c r="CO20" s="4"/>
      <c r="CP20" s="100" t="s">
        <v>359</v>
      </c>
      <c r="CQ20" s="101">
        <f t="shared" si="21"/>
        <v>6</v>
      </c>
      <c r="CR20" s="101">
        <f t="shared" si="22"/>
        <v>0</v>
      </c>
      <c r="CS20" s="4"/>
      <c r="CT20" s="4">
        <f t="shared" si="23"/>
        <v>0</v>
      </c>
      <c r="CU20" s="4"/>
      <c r="CV20" s="4"/>
      <c r="CW20" s="101"/>
      <c r="CX20" s="51"/>
      <c r="CY20" s="4"/>
      <c r="CZ20" s="4"/>
    </row>
    <row r="21" spans="1:104" ht="15.6">
      <c r="A21" s="1" t="s">
        <v>118</v>
      </c>
      <c r="B21" s="1" t="s">
        <v>362</v>
      </c>
      <c r="C21" s="1" t="s">
        <v>81</v>
      </c>
      <c r="D21" s="1" t="s">
        <v>419</v>
      </c>
      <c r="E21" s="1" t="s">
        <v>439</v>
      </c>
      <c r="F21" s="48">
        <v>43119</v>
      </c>
      <c r="G21" s="76">
        <v>0</v>
      </c>
      <c r="H21" s="76">
        <v>45999996</v>
      </c>
      <c r="I21" s="77">
        <v>22746837.140000001</v>
      </c>
      <c r="J21" s="77">
        <v>0</v>
      </c>
      <c r="K21" s="4">
        <v>60</v>
      </c>
      <c r="L21" s="4">
        <v>41</v>
      </c>
      <c r="M21" s="4">
        <v>8</v>
      </c>
      <c r="N21" s="4">
        <v>68</v>
      </c>
      <c r="O21" s="4">
        <v>27</v>
      </c>
      <c r="P21" s="77">
        <v>21992735.300000001</v>
      </c>
      <c r="Q21" s="77">
        <v>754101.84</v>
      </c>
      <c r="R21" s="4">
        <v>8</v>
      </c>
      <c r="S21" s="4">
        <v>1</v>
      </c>
      <c r="T21" s="4">
        <v>9</v>
      </c>
      <c r="U21" s="4">
        <v>0</v>
      </c>
      <c r="V21" s="4">
        <v>11</v>
      </c>
      <c r="W21" s="4">
        <v>18</v>
      </c>
      <c r="X21" s="4">
        <v>66</v>
      </c>
      <c r="Y21" s="4">
        <v>4</v>
      </c>
      <c r="Z21" s="4">
        <v>89</v>
      </c>
      <c r="AA21" s="4">
        <v>0</v>
      </c>
      <c r="AB21" s="4">
        <v>0</v>
      </c>
      <c r="AC21" s="4">
        <v>0</v>
      </c>
      <c r="AD21" s="4">
        <v>0</v>
      </c>
      <c r="AE21" s="4">
        <v>336</v>
      </c>
      <c r="AF21" s="4">
        <v>443</v>
      </c>
      <c r="AG21" s="4">
        <v>282</v>
      </c>
      <c r="AH21" s="76">
        <f t="shared" si="1"/>
        <v>80662.543049645392</v>
      </c>
      <c r="AI21" s="76">
        <f t="shared" si="2"/>
        <v>1.5709219858156029</v>
      </c>
      <c r="AJ21" s="78">
        <v>56700</v>
      </c>
      <c r="AK21" s="76">
        <f t="shared" si="3"/>
        <v>680400</v>
      </c>
      <c r="AL21" s="79">
        <v>199030</v>
      </c>
      <c r="AM21" s="80">
        <f t="shared" si="4"/>
        <v>3.8661638740690431E-2</v>
      </c>
      <c r="AN21" s="76">
        <f t="shared" si="5"/>
        <v>2527426.348888889</v>
      </c>
      <c r="AO21" s="102">
        <f t="shared" ref="AO21:AO32" si="32">IFERROR(SUM(I21:J21)/SUM(G21:H21),"")</f>
        <v>0.49449650256491329</v>
      </c>
      <c r="AP21" s="82">
        <v>0</v>
      </c>
      <c r="AQ21" s="4">
        <v>25</v>
      </c>
      <c r="AR21" s="4">
        <v>2327</v>
      </c>
      <c r="AS21" s="4">
        <v>2468.5700000000002</v>
      </c>
      <c r="AT21" s="4">
        <v>1</v>
      </c>
      <c r="AU21" s="4">
        <v>60</v>
      </c>
      <c r="AV21" s="1">
        <v>9</v>
      </c>
      <c r="AW21" s="1">
        <v>32</v>
      </c>
      <c r="AX21" s="1">
        <v>27</v>
      </c>
      <c r="AY21" s="86" t="str">
        <f>IFERROR(VLOOKUP(C21,#REF!,13,0),"")</f>
        <v/>
      </c>
      <c r="AZ21" s="87"/>
      <c r="BA21" s="1" t="str">
        <f t="shared" si="6"/>
        <v>Active</v>
      </c>
      <c r="BB21" s="1" t="e">
        <f t="shared" ca="1" si="7"/>
        <v>#NAME?</v>
      </c>
      <c r="BC21" s="1" t="e">
        <f t="shared" ref="BC21:BC32" ca="1" si="33">_xludf.ifs(AO21&lt;50%,"Below 50%",AO21&lt;70%,"50%-70%",AO21&lt;90%,"70%-90%",AO21&lt;100%,"90%-100%",AO21&gt;100%,"Above 100%")</f>
        <v>#NAME?</v>
      </c>
      <c r="BD21" s="33">
        <f t="shared" si="31"/>
        <v>12</v>
      </c>
      <c r="BE21" s="88" t="str">
        <v/>
      </c>
      <c r="BF21" s="1">
        <f t="shared" si="9"/>
        <v>7</v>
      </c>
      <c r="BG21" s="1" t="s">
        <v>428</v>
      </c>
      <c r="BH21" s="89">
        <f ca="1">IFERROR(__xludf.DUMMYFUNCTION("""COMPUTED_VALUE"""),83333921.83)</f>
        <v>83333921.829999998</v>
      </c>
      <c r="BI21" s="89">
        <f ca="1">IFERROR(__xludf.DUMMYFUNCTION("""COMPUTED_VALUE"""),51201429.4)</f>
        <v>51201429.399999999</v>
      </c>
      <c r="BJ21" s="90"/>
      <c r="BK21" s="91"/>
      <c r="BL21" s="91">
        <f t="shared" si="10"/>
        <v>0</v>
      </c>
      <c r="BM21" s="91">
        <f t="shared" si="11"/>
        <v>45999996</v>
      </c>
      <c r="BN21" s="91"/>
      <c r="BO21" s="92">
        <f ca="1">IFERROR(__xludf.DUMMYFUNCTION("IFERROR(ArrayFormula(SUM(VLOOKUP($C21,importrange(""1MwNMVzWE3QBVOyJjKr3eFX-Sq1Ng0Q1sghWJbgbE_8g"",""ORDER BOOKING REPORT 2024-25!C:CV""),{16,23,30},0))))"),8987476.7)</f>
        <v>8987476.6999999993</v>
      </c>
      <c r="BP21" s="92">
        <f ca="1">IFERROR(__xludf.DUMMYFUNCTION("IFERROR(ArrayFormula(SUM(VLOOKUP($C21,importrange(""1MwNMVzWE3QBVOyJjKr3eFX-Sq1Ng0Q1sghWJbgbE_8g"",""ORDER BOOKING REPORT 2024-25!C:CV""),{37,44,51},0))))"),9986998.8)</f>
        <v>9986998.8000000007</v>
      </c>
      <c r="BQ21" s="92">
        <f ca="1">IFERROR(__xludf.DUMMYFUNCTION("IFERROR(ArrayFormula(SUM(VLOOKUP($C21,importrange(""1MwNMVzWE3QBVOyJjKr3eFX-Sq1Ng0Q1sghWJbgbE_8g"",""ORDER BOOKING REPORT 2024-25!C:CV""),{58,65,72},0))))"),19759840.9)</f>
        <v>19759840.899999999</v>
      </c>
      <c r="BR21" s="92">
        <f ca="1">IFERROR(__xludf.DUMMYFUNCTION("IFERROR(ArrayFormula(SUM(VLOOKUP($C21,importrange(""1MwNMVzWE3QBVOyJjKr3eFX-Sq1Ng0Q1sghWJbgbE_8g"",""ORDER BOOKING REPORT 2024-25!C:CV""),{79,86,93},0))))"),12467113)</f>
        <v>12467113</v>
      </c>
      <c r="BS21" s="93" t="str">
        <f t="shared" si="12"/>
        <v/>
      </c>
      <c r="BT21" s="93" t="str">
        <f t="shared" si="13"/>
        <v/>
      </c>
      <c r="BU21" s="37">
        <f t="shared" si="14"/>
        <v>0</v>
      </c>
      <c r="BV21" s="94">
        <v>56700</v>
      </c>
      <c r="BW21" s="94" t="s">
        <v>429</v>
      </c>
      <c r="BX21" s="94">
        <v>437</v>
      </c>
      <c r="BY21" s="37">
        <f t="shared" si="15"/>
        <v>0</v>
      </c>
      <c r="BZ21" s="37"/>
      <c r="CA21" s="37"/>
      <c r="CB21" s="37"/>
      <c r="CC21" s="37"/>
      <c r="CD21" s="37"/>
      <c r="CE21" s="37"/>
      <c r="CF21" s="37"/>
      <c r="CG21" s="37" t="str">
        <f t="shared" si="18"/>
        <v xml:space="preserve"> </v>
      </c>
      <c r="CH21" s="37" t="str">
        <f t="shared" si="26"/>
        <v>Not 50%</v>
      </c>
      <c r="CI21" s="93">
        <f t="shared" si="19"/>
        <v>0.13235294117647059</v>
      </c>
      <c r="CJ21" s="95">
        <f ca="1">IFERROR(__xludf.DUMMYFUNCTION("""COMPUTED_VALUE"""),242)</f>
        <v>242</v>
      </c>
      <c r="CK21" s="95">
        <f ca="1">IFERROR(__xludf.DUMMYFUNCTION("""COMPUTED_VALUE"""),94)</f>
        <v>94</v>
      </c>
      <c r="CL21" s="95">
        <f ca="1">IFERROR(__xludf.DUMMYFUNCTION("""COMPUTED_VALUE"""),0)</f>
        <v>0</v>
      </c>
      <c r="CM21" s="96">
        <f t="shared" ca="1" si="20"/>
        <v>0</v>
      </c>
      <c r="CN21" s="103"/>
      <c r="CO21" s="4"/>
      <c r="CP21" s="100" t="s">
        <v>364</v>
      </c>
      <c r="CQ21" s="101">
        <f t="shared" si="21"/>
        <v>2</v>
      </c>
      <c r="CR21" s="101">
        <f t="shared" si="22"/>
        <v>1</v>
      </c>
      <c r="CS21" s="4"/>
      <c r="CT21" s="4">
        <f t="shared" si="23"/>
        <v>0</v>
      </c>
      <c r="CU21" s="4"/>
      <c r="CV21" s="4"/>
      <c r="CW21" s="101"/>
      <c r="CX21" s="51"/>
      <c r="CY21" s="4"/>
      <c r="CZ21" s="4"/>
    </row>
    <row r="22" spans="1:104" ht="15.6">
      <c r="A22" s="1" t="s">
        <v>118</v>
      </c>
      <c r="B22" s="1" t="s">
        <v>378</v>
      </c>
      <c r="C22" s="1" t="s">
        <v>96</v>
      </c>
      <c r="D22" s="1" t="s">
        <v>486</v>
      </c>
      <c r="E22" s="1" t="s">
        <v>487</v>
      </c>
      <c r="F22" s="48">
        <v>43185</v>
      </c>
      <c r="G22" s="76">
        <v>3541667</v>
      </c>
      <c r="H22" s="76">
        <v>12600000</v>
      </c>
      <c r="I22" s="77">
        <v>4732528.91</v>
      </c>
      <c r="J22" s="77">
        <v>0</v>
      </c>
      <c r="K22" s="4">
        <v>109</v>
      </c>
      <c r="L22" s="4">
        <v>105</v>
      </c>
      <c r="M22" s="4">
        <v>7</v>
      </c>
      <c r="N22" s="4">
        <v>116</v>
      </c>
      <c r="O22" s="4">
        <v>11</v>
      </c>
      <c r="P22" s="77">
        <v>4523552.37</v>
      </c>
      <c r="Q22" s="77">
        <v>208976.54</v>
      </c>
      <c r="R22" s="4">
        <v>57</v>
      </c>
      <c r="S22" s="4">
        <v>4</v>
      </c>
      <c r="T22" s="4">
        <v>61</v>
      </c>
      <c r="U22" s="4">
        <v>0</v>
      </c>
      <c r="V22" s="4">
        <v>22</v>
      </c>
      <c r="W22" s="4">
        <v>46</v>
      </c>
      <c r="X22" s="4">
        <v>88</v>
      </c>
      <c r="Y22" s="4">
        <v>1</v>
      </c>
      <c r="Z22" s="4">
        <v>1</v>
      </c>
      <c r="AA22" s="4">
        <v>1</v>
      </c>
      <c r="AB22" s="4">
        <v>6</v>
      </c>
      <c r="AC22" s="4">
        <v>0</v>
      </c>
      <c r="AD22" s="4">
        <v>0</v>
      </c>
      <c r="AE22" s="4">
        <v>858</v>
      </c>
      <c r="AF22" s="4">
        <v>911</v>
      </c>
      <c r="AG22" s="4">
        <v>166</v>
      </c>
      <c r="AH22" s="76">
        <f t="shared" si="1"/>
        <v>28509.210301204821</v>
      </c>
      <c r="AI22" s="76">
        <f t="shared" si="2"/>
        <v>5.4879518072289155</v>
      </c>
      <c r="AJ22" s="78">
        <f>BV22</f>
        <v>34650</v>
      </c>
      <c r="AK22" s="76">
        <f>AJ22*0.5</f>
        <v>17325</v>
      </c>
      <c r="AL22" s="49">
        <v>112040</v>
      </c>
      <c r="AM22" s="80">
        <f t="shared" si="4"/>
        <v>2.7335279395049695E-2</v>
      </c>
      <c r="AN22" s="76">
        <f t="shared" si="5"/>
        <v>77582.441147540987</v>
      </c>
      <c r="AO22" s="102">
        <f t="shared" si="32"/>
        <v>0.2931871231143599</v>
      </c>
      <c r="AP22" s="82">
        <v>0</v>
      </c>
      <c r="AQ22" s="4">
        <v>147</v>
      </c>
      <c r="AR22" s="4">
        <v>1699</v>
      </c>
      <c r="AS22" s="4">
        <v>2370.92</v>
      </c>
      <c r="AT22" s="4">
        <v>4</v>
      </c>
      <c r="AU22" s="4">
        <v>23</v>
      </c>
      <c r="AV22" s="1">
        <v>61</v>
      </c>
      <c r="AW22" s="1">
        <v>44</v>
      </c>
      <c r="AX22" s="1">
        <v>11</v>
      </c>
      <c r="AY22" s="86" t="str">
        <f>IFERROR(VLOOKUP(C22,#REF!,13,0),"")</f>
        <v/>
      </c>
      <c r="AZ22" s="87"/>
      <c r="BA22" s="1" t="str">
        <f t="shared" si="6"/>
        <v>Active</v>
      </c>
      <c r="BB22" s="1" t="e">
        <f t="shared" ca="1" si="7"/>
        <v>#NAME?</v>
      </c>
      <c r="BC22" s="1" t="e">
        <f t="shared" ca="1" si="33"/>
        <v>#NAME?</v>
      </c>
      <c r="BD22" s="33">
        <v>8.5</v>
      </c>
      <c r="BE22" s="91" t="str">
        <v/>
      </c>
      <c r="BF22" s="1">
        <f t="shared" si="9"/>
        <v>3</v>
      </c>
      <c r="BG22" s="1" t="s">
        <v>428</v>
      </c>
      <c r="BH22" s="89">
        <f ca="1">IFERROR(__xludf.DUMMYFUNCTION("""COMPUTED_VALUE"""),7359568.47)</f>
        <v>7359568.4699999997</v>
      </c>
      <c r="BI22" s="89">
        <f ca="1">IFERROR(__xludf.DUMMYFUNCTION("""COMPUTED_VALUE"""),8371547.44999999)</f>
        <v>8371547.4499999899</v>
      </c>
      <c r="BJ22" s="109">
        <f>15/30</f>
        <v>0.5</v>
      </c>
      <c r="BK22" s="91">
        <v>416666.6667</v>
      </c>
      <c r="BL22" s="91">
        <f t="shared" si="10"/>
        <v>3541666.66695</v>
      </c>
      <c r="BM22" s="91">
        <f t="shared" si="11"/>
        <v>16141666.66695</v>
      </c>
      <c r="BN22" s="91" t="s">
        <v>488</v>
      </c>
      <c r="BO22" s="92">
        <f ca="1">IFERROR(__xludf.DUMMYFUNCTION("IFERROR(ArrayFormula(SUM(VLOOKUP($C22,importrange(""1MwNMVzWE3QBVOyJjKr3eFX-Sq1Ng0Q1sghWJbgbE_8g"",""ORDER BOOKING REPORT 2024-25!C:CV""),{16,23,30},0))))"),3121686.5)</f>
        <v>3121686.5</v>
      </c>
      <c r="BP22" s="92">
        <f ca="1">IFERROR(__xludf.DUMMYFUNCTION("IFERROR(ArrayFormula(SUM(VLOOKUP($C22,importrange(""1MwNMVzWE3QBVOyJjKr3eFX-Sq1Ng0Q1sghWJbgbE_8g"",""ORDER BOOKING REPORT 2024-25!C:CV""),{37,44,51},0))))"),1406274.7)</f>
        <v>1406274.7</v>
      </c>
      <c r="BQ22" s="92">
        <f ca="1">IFERROR(__xludf.DUMMYFUNCTION("IFERROR(ArrayFormula(SUM(VLOOKUP($C22,importrange(""1MwNMVzWE3QBVOyJjKr3eFX-Sq1Ng0Q1sghWJbgbE_8g"",""ORDER BOOKING REPORT 2024-25!C:CV""),{58,65,72},0))))"),2098338.44999999)</f>
        <v>2098338.4499999899</v>
      </c>
      <c r="BR22" s="92">
        <f ca="1">IFERROR(__xludf.DUMMYFUNCTION("IFERROR(ArrayFormula(SUM(VLOOKUP($C22,importrange(""1MwNMVzWE3QBVOyJjKr3eFX-Sq1Ng0Q1sghWJbgbE_8g"",""ORDER BOOKING REPORT 2024-25!C:CV""),{79,86,93},0))))"),1745247.79999999)</f>
        <v>1745247.79999999</v>
      </c>
      <c r="BS22" s="93" t="str">
        <f t="shared" si="12"/>
        <v/>
      </c>
      <c r="BT22" s="93" t="str">
        <f t="shared" si="13"/>
        <v/>
      </c>
      <c r="BU22" s="37">
        <f t="shared" si="14"/>
        <v>-0.33305000001564622</v>
      </c>
      <c r="BV22" s="94">
        <v>34650</v>
      </c>
      <c r="BW22" s="94" t="s">
        <v>476</v>
      </c>
      <c r="BX22" s="94">
        <v>427</v>
      </c>
      <c r="BY22" s="37">
        <f t="shared" si="15"/>
        <v>0</v>
      </c>
      <c r="BZ22" s="37"/>
      <c r="CA22" s="37"/>
      <c r="CB22" s="37"/>
      <c r="CC22" s="37"/>
      <c r="CD22" s="37"/>
      <c r="CE22" s="37"/>
      <c r="CF22" s="37"/>
      <c r="CG22" s="37" t="str">
        <f t="shared" si="18"/>
        <v xml:space="preserve"> </v>
      </c>
      <c r="CH22" s="37" t="str">
        <f t="shared" si="26"/>
        <v>Business Achieved 50%</v>
      </c>
      <c r="CI22" s="93">
        <f t="shared" si="19"/>
        <v>0.52586206896551724</v>
      </c>
      <c r="CJ22" s="105">
        <f ca="1">IFERROR(__xludf.DUMMYFUNCTION("""COMPUTED_VALUE"""),497)</f>
        <v>497</v>
      </c>
      <c r="CK22" s="105">
        <f ca="1">IFERROR(__xludf.DUMMYFUNCTION("""COMPUTED_VALUE"""),361)</f>
        <v>361</v>
      </c>
      <c r="CL22" s="105">
        <f ca="1">IFERROR(__xludf.DUMMYFUNCTION("""COMPUTED_VALUE"""),0)</f>
        <v>0</v>
      </c>
      <c r="CM22" s="96">
        <f t="shared" ca="1" si="20"/>
        <v>0</v>
      </c>
      <c r="CN22" s="106"/>
      <c r="CO22" s="93"/>
      <c r="CP22" s="107" t="s">
        <v>367</v>
      </c>
      <c r="CQ22" s="101">
        <f t="shared" si="21"/>
        <v>5</v>
      </c>
      <c r="CR22" s="101">
        <f t="shared" si="22"/>
        <v>1</v>
      </c>
      <c r="CS22" s="93"/>
      <c r="CT22" s="4">
        <f t="shared" si="23"/>
        <v>0</v>
      </c>
      <c r="CU22" s="93"/>
      <c r="CV22" s="93"/>
      <c r="CW22" s="93"/>
      <c r="CX22" s="51"/>
      <c r="CY22" s="93"/>
      <c r="CZ22" s="93"/>
    </row>
    <row r="23" spans="1:104" ht="15.6">
      <c r="A23" s="1" t="s">
        <v>118</v>
      </c>
      <c r="B23" s="1" t="s">
        <v>362</v>
      </c>
      <c r="C23" s="1" t="s">
        <v>103</v>
      </c>
      <c r="D23" s="1" t="s">
        <v>419</v>
      </c>
      <c r="E23" s="1" t="s">
        <v>490</v>
      </c>
      <c r="F23" s="104">
        <v>43255</v>
      </c>
      <c r="G23" s="76">
        <v>0</v>
      </c>
      <c r="H23" s="76">
        <v>63999996</v>
      </c>
      <c r="I23" s="77">
        <v>32017275.859999999</v>
      </c>
      <c r="J23" s="77">
        <v>0</v>
      </c>
      <c r="K23" s="4">
        <v>145</v>
      </c>
      <c r="L23" s="4">
        <v>135</v>
      </c>
      <c r="M23" s="4">
        <v>6</v>
      </c>
      <c r="N23" s="4">
        <v>151</v>
      </c>
      <c r="O23" s="4">
        <v>16</v>
      </c>
      <c r="P23" s="77">
        <v>30960553.859999999</v>
      </c>
      <c r="Q23" s="77">
        <v>1056722</v>
      </c>
      <c r="R23" s="4">
        <v>49</v>
      </c>
      <c r="S23" s="4">
        <v>6</v>
      </c>
      <c r="T23" s="4">
        <v>55</v>
      </c>
      <c r="U23" s="4">
        <v>0</v>
      </c>
      <c r="V23" s="4">
        <v>17</v>
      </c>
      <c r="W23" s="4">
        <v>34</v>
      </c>
      <c r="X23" s="4">
        <v>33</v>
      </c>
      <c r="Y23" s="4">
        <v>3</v>
      </c>
      <c r="Z23" s="4">
        <v>62</v>
      </c>
      <c r="AA23" s="4">
        <v>0</v>
      </c>
      <c r="AB23" s="4">
        <v>0</v>
      </c>
      <c r="AC23" s="4">
        <v>0</v>
      </c>
      <c r="AD23" s="4">
        <v>0</v>
      </c>
      <c r="AE23" s="4">
        <v>1242</v>
      </c>
      <c r="AF23" s="4">
        <v>1338</v>
      </c>
      <c r="AG23" s="4">
        <v>299</v>
      </c>
      <c r="AH23" s="76">
        <f t="shared" si="1"/>
        <v>107081.19016722408</v>
      </c>
      <c r="AI23" s="76">
        <f t="shared" si="2"/>
        <v>4.4749163879598663</v>
      </c>
      <c r="AJ23" s="78">
        <v>46670</v>
      </c>
      <c r="AK23" s="76">
        <f t="shared" ref="AK23:AK87" si="34">AJ23*BD23</f>
        <v>560040</v>
      </c>
      <c r="AL23" s="79">
        <v>266780</v>
      </c>
      <c r="AM23" s="80">
        <f t="shared" si="4"/>
        <v>2.5824183282031416E-2</v>
      </c>
      <c r="AN23" s="76">
        <f t="shared" si="5"/>
        <v>582132.28836363635</v>
      </c>
      <c r="AO23" s="102">
        <f t="shared" si="32"/>
        <v>0.50026996657937295</v>
      </c>
      <c r="AP23" s="82">
        <v>0</v>
      </c>
      <c r="AQ23" s="4">
        <v>304</v>
      </c>
      <c r="AR23" s="4">
        <v>3183</v>
      </c>
      <c r="AS23" s="4">
        <v>1060.31</v>
      </c>
      <c r="AT23" s="4">
        <v>6</v>
      </c>
      <c r="AU23" s="4">
        <v>8</v>
      </c>
      <c r="AV23" s="1">
        <v>55</v>
      </c>
      <c r="AW23" s="1">
        <v>80</v>
      </c>
      <c r="AX23" s="1">
        <v>16</v>
      </c>
      <c r="AY23" s="86" t="str">
        <f>IFERROR(VLOOKUP(C23,#REF!,13,0),"")</f>
        <v/>
      </c>
      <c r="AZ23" s="87"/>
      <c r="BA23" s="1" t="str">
        <f t="shared" si="6"/>
        <v>Active</v>
      </c>
      <c r="BB23" s="1" t="e">
        <f t="shared" ca="1" si="7"/>
        <v>#NAME?</v>
      </c>
      <c r="BC23" s="1" t="e">
        <f t="shared" ca="1" si="33"/>
        <v>#NAME?</v>
      </c>
      <c r="BD23" s="33">
        <f t="shared" ref="BD23:BD32" si="35">MATCH($BD$2,{"Apr","May","Jun","Jul","Aug","Sep","Oct","Nov","Dec","Jan","Feb","Mar"},0)</f>
        <v>12</v>
      </c>
      <c r="BE23" s="88" t="str">
        <v/>
      </c>
      <c r="BF23" s="1">
        <f t="shared" si="9"/>
        <v>0</v>
      </c>
      <c r="BG23" s="1" t="s">
        <v>428</v>
      </c>
      <c r="BH23" s="89">
        <f ca="1">IFERROR(__xludf.DUMMYFUNCTION("""COMPUTED_VALUE"""),42903046)</f>
        <v>42903046</v>
      </c>
      <c r="BI23" s="89">
        <f ca="1">IFERROR(__xludf.DUMMYFUNCTION("""COMPUTED_VALUE"""),39910377.05)</f>
        <v>39910377.049999997</v>
      </c>
      <c r="BJ23" s="90"/>
      <c r="BK23" s="91"/>
      <c r="BL23" s="91">
        <f t="shared" si="10"/>
        <v>0</v>
      </c>
      <c r="BM23" s="91">
        <f t="shared" si="11"/>
        <v>63999996</v>
      </c>
      <c r="BN23" s="91"/>
      <c r="BO23" s="92">
        <f ca="1">IFERROR(__xludf.DUMMYFUNCTION("IFERROR(ArrayFormula(SUM(VLOOKUP($C23,importrange(""1MwNMVzWE3QBVOyJjKr3eFX-Sq1Ng0Q1sghWJbgbE_8g"",""ORDER BOOKING REPORT 2024-25!C:CV""),{16,23,30},0))))"),6376634.3)</f>
        <v>6376634.2999999998</v>
      </c>
      <c r="BP23" s="92">
        <f ca="1">IFERROR(__xludf.DUMMYFUNCTION("IFERROR(ArrayFormula(SUM(VLOOKUP($C23,importrange(""1MwNMVzWE3QBVOyJjKr3eFX-Sq1Ng0Q1sghWJbgbE_8g"",""ORDER BOOKING REPORT 2024-25!C:CV""),{37,44,51},0))))"),9433170.5)</f>
        <v>9433170.5</v>
      </c>
      <c r="BQ23" s="92">
        <f ca="1">IFERROR(__xludf.DUMMYFUNCTION("IFERROR(ArrayFormula(SUM(VLOOKUP($C23,importrange(""1MwNMVzWE3QBVOyJjKr3eFX-Sq1Ng0Q1sghWJbgbE_8g"",""ORDER BOOKING REPORT 2024-25!C:CV""),{58,65,72},0))))"),12909662.55)</f>
        <v>12909662.550000001</v>
      </c>
      <c r="BR23" s="92">
        <f ca="1">IFERROR(__xludf.DUMMYFUNCTION("IFERROR(ArrayFormula(SUM(VLOOKUP($C23,importrange(""1MwNMVzWE3QBVOyJjKr3eFX-Sq1Ng0Q1sghWJbgbE_8g"",""ORDER BOOKING REPORT 2024-25!C:CV""),{79,86,93},0))))"),11190909.7)</f>
        <v>11190909.699999999</v>
      </c>
      <c r="BS23" s="93" t="str">
        <f t="shared" si="12"/>
        <v/>
      </c>
      <c r="BT23" s="93" t="str">
        <f t="shared" si="13"/>
        <v/>
      </c>
      <c r="BU23" s="37">
        <f t="shared" si="14"/>
        <v>0</v>
      </c>
      <c r="BV23" s="94">
        <v>46670</v>
      </c>
      <c r="BW23" s="94" t="s">
        <v>462</v>
      </c>
      <c r="BX23" s="94">
        <v>477</v>
      </c>
      <c r="BY23" s="37">
        <f t="shared" si="15"/>
        <v>0</v>
      </c>
      <c r="BZ23" s="37"/>
      <c r="CA23" s="37"/>
      <c r="CB23" s="37"/>
      <c r="CC23" s="37"/>
      <c r="CD23" s="37"/>
      <c r="CE23" s="37"/>
      <c r="CF23" s="37"/>
      <c r="CG23" s="37" t="str">
        <f t="shared" si="18"/>
        <v xml:space="preserve"> </v>
      </c>
      <c r="CH23" s="37" t="str">
        <f t="shared" si="26"/>
        <v>Not 50%</v>
      </c>
      <c r="CI23" s="93">
        <f t="shared" si="19"/>
        <v>0.36423841059602646</v>
      </c>
      <c r="CJ23" s="95">
        <f ca="1">IFERROR(__xludf.DUMMYFUNCTION("""COMPUTED_VALUE"""),696)</f>
        <v>696</v>
      </c>
      <c r="CK23" s="95">
        <f ca="1">IFERROR(__xludf.DUMMYFUNCTION("""COMPUTED_VALUE"""),546)</f>
        <v>546</v>
      </c>
      <c r="CL23" s="95">
        <f ca="1">IFERROR(__xludf.DUMMYFUNCTION("""COMPUTED_VALUE"""),0)</f>
        <v>0</v>
      </c>
      <c r="CM23" s="96">
        <f t="shared" ca="1" si="20"/>
        <v>0</v>
      </c>
      <c r="CN23" s="103"/>
      <c r="CO23" s="4"/>
      <c r="CP23" s="100" t="s">
        <v>436</v>
      </c>
      <c r="CQ23" s="101">
        <f t="shared" si="21"/>
        <v>4</v>
      </c>
      <c r="CR23" s="101">
        <f t="shared" si="22"/>
        <v>0</v>
      </c>
      <c r="CS23" s="4"/>
      <c r="CT23" s="4">
        <f t="shared" si="23"/>
        <v>0</v>
      </c>
      <c r="CU23" s="4"/>
      <c r="CV23" s="4"/>
      <c r="CW23" s="101"/>
      <c r="CX23" s="51"/>
      <c r="CY23" s="4"/>
      <c r="CZ23" s="4"/>
    </row>
    <row r="24" spans="1:104" ht="15.6">
      <c r="A24" s="1" t="s">
        <v>201</v>
      </c>
      <c r="B24" s="1" t="s">
        <v>469</v>
      </c>
      <c r="C24" s="1" t="s">
        <v>110</v>
      </c>
      <c r="D24" s="1" t="s">
        <v>470</v>
      </c>
      <c r="E24" s="1" t="s">
        <v>491</v>
      </c>
      <c r="F24" s="104">
        <v>43315</v>
      </c>
      <c r="G24" s="76">
        <v>3600000</v>
      </c>
      <c r="H24" s="76">
        <v>46400004</v>
      </c>
      <c r="I24" s="77">
        <v>47014464.649999999</v>
      </c>
      <c r="J24" s="77">
        <v>298483.24</v>
      </c>
      <c r="K24" s="4">
        <v>106</v>
      </c>
      <c r="L24" s="4">
        <v>122</v>
      </c>
      <c r="M24" s="4">
        <v>21</v>
      </c>
      <c r="N24" s="4">
        <v>127</v>
      </c>
      <c r="O24" s="4">
        <v>5</v>
      </c>
      <c r="P24" s="77">
        <v>45115570.409999996</v>
      </c>
      <c r="Q24" s="77">
        <v>1898894.24</v>
      </c>
      <c r="R24" s="4">
        <v>85</v>
      </c>
      <c r="S24" s="4">
        <v>15</v>
      </c>
      <c r="T24" s="4">
        <v>100</v>
      </c>
      <c r="U24" s="4">
        <v>2</v>
      </c>
      <c r="V24" s="4">
        <v>14</v>
      </c>
      <c r="W24" s="4">
        <v>18</v>
      </c>
      <c r="X24" s="4">
        <v>11</v>
      </c>
      <c r="Y24" s="4">
        <v>10</v>
      </c>
      <c r="Z24" s="4">
        <v>63</v>
      </c>
      <c r="AA24" s="4">
        <v>2</v>
      </c>
      <c r="AB24" s="4">
        <v>2</v>
      </c>
      <c r="AC24" s="4">
        <v>3</v>
      </c>
      <c r="AD24" s="4">
        <v>3</v>
      </c>
      <c r="AE24" s="4">
        <v>1288</v>
      </c>
      <c r="AF24" s="4">
        <v>1374</v>
      </c>
      <c r="AG24" s="4">
        <v>294</v>
      </c>
      <c r="AH24" s="76">
        <f t="shared" si="1"/>
        <v>160928.39418367346</v>
      </c>
      <c r="AI24" s="76">
        <f t="shared" si="2"/>
        <v>4.6734693877551017</v>
      </c>
      <c r="AJ24" s="78">
        <f t="shared" ref="AJ24:AJ25" si="36">BV24</f>
        <v>140000</v>
      </c>
      <c r="AK24" s="76">
        <f t="shared" si="34"/>
        <v>1680000</v>
      </c>
      <c r="AL24" s="49">
        <v>290356</v>
      </c>
      <c r="AM24" s="80">
        <f t="shared" si="4"/>
        <v>4.164517511318401E-2</v>
      </c>
      <c r="AN24" s="76">
        <f t="shared" si="5"/>
        <v>470144.64649999997</v>
      </c>
      <c r="AO24" s="102">
        <f t="shared" si="32"/>
        <v>0.94625888209928943</v>
      </c>
      <c r="AP24" s="82">
        <v>0.08</v>
      </c>
      <c r="AQ24" s="4">
        <v>1348</v>
      </c>
      <c r="AR24" s="4">
        <v>2273</v>
      </c>
      <c r="AS24" s="4">
        <v>1239.02</v>
      </c>
      <c r="AT24" s="4">
        <v>15</v>
      </c>
      <c r="AU24" s="4">
        <v>10</v>
      </c>
      <c r="AV24" s="1">
        <v>100</v>
      </c>
      <c r="AW24" s="1">
        <v>23</v>
      </c>
      <c r="AX24" s="1">
        <v>4</v>
      </c>
      <c r="AY24" s="86" t="str">
        <f>IFERROR(VLOOKUP(C24,#REF!,13,0),"")</f>
        <v/>
      </c>
      <c r="AZ24" s="87"/>
      <c r="BA24" s="1" t="str">
        <f t="shared" si="6"/>
        <v>Active</v>
      </c>
      <c r="BB24" s="1" t="e">
        <f t="shared" ca="1" si="7"/>
        <v>#NAME?</v>
      </c>
      <c r="BC24" s="1" t="e">
        <f t="shared" ca="1" si="33"/>
        <v>#NAME?</v>
      </c>
      <c r="BD24" s="33">
        <f t="shared" si="35"/>
        <v>12</v>
      </c>
      <c r="BE24" s="88" t="str">
        <v/>
      </c>
      <c r="BF24" s="1">
        <f t="shared" si="9"/>
        <v>6</v>
      </c>
      <c r="BG24" s="1" t="s">
        <v>428</v>
      </c>
      <c r="BH24" s="89">
        <f ca="1">IFERROR(__xludf.DUMMYFUNCTION("""COMPUTED_VALUE"""),42196144)</f>
        <v>42196144</v>
      </c>
      <c r="BI24" s="89">
        <f ca="1">IFERROR(__xludf.DUMMYFUNCTION("""COMPUTED_VALUE"""),44050491.0099999)</f>
        <v>44050491.009999901</v>
      </c>
      <c r="BJ24" s="90"/>
      <c r="BK24" s="91">
        <v>300000</v>
      </c>
      <c r="BL24" s="91">
        <f t="shared" si="10"/>
        <v>3600000</v>
      </c>
      <c r="BM24" s="91">
        <f t="shared" si="11"/>
        <v>50000004</v>
      </c>
      <c r="BN24" s="91"/>
      <c r="BO24" s="92">
        <f ca="1">IFERROR(__xludf.DUMMYFUNCTION("IFERROR(ArrayFormula(SUM(VLOOKUP($C24,importrange(""1MwNMVzWE3QBVOyJjKr3eFX-Sq1Ng0Q1sghWJbgbE_8g"",""ORDER BOOKING REPORT 2024-25!C:CV""),{16,23,30},0))))"),11035728.9299999)</f>
        <v>11035728.929999899</v>
      </c>
      <c r="BP24" s="92">
        <f ca="1">IFERROR(__xludf.DUMMYFUNCTION("IFERROR(ArrayFormula(SUM(VLOOKUP($C24,importrange(""1MwNMVzWE3QBVOyJjKr3eFX-Sq1Ng0Q1sghWJbgbE_8g"",""ORDER BOOKING REPORT 2024-25!C:CV""),{37,44,51},0))))"),10533376.48)</f>
        <v>10533376.48</v>
      </c>
      <c r="BQ24" s="92">
        <f ca="1">IFERROR(__xludf.DUMMYFUNCTION("IFERROR(ArrayFormula(SUM(VLOOKUP($C24,importrange(""1MwNMVzWE3QBVOyJjKr3eFX-Sq1Ng0Q1sghWJbgbE_8g"",""ORDER BOOKING REPORT 2024-25!C:CV""),{58,65,72},0))))"),10290973.34)</f>
        <v>10290973.34</v>
      </c>
      <c r="BR24" s="92">
        <f ca="1">IFERROR(__xludf.DUMMYFUNCTION("IFERROR(ArrayFormula(SUM(VLOOKUP($C24,importrange(""1MwNMVzWE3QBVOyJjKr3eFX-Sq1Ng0Q1sghWJbgbE_8g"",""ORDER BOOKING REPORT 2024-25!C:CV""),{79,86,93},0))))"),12190412.2599999)</f>
        <v>12190412.259999899</v>
      </c>
      <c r="BS24" s="93" t="str">
        <f t="shared" si="12"/>
        <v/>
      </c>
      <c r="BT24" s="93" t="str">
        <f t="shared" si="13"/>
        <v/>
      </c>
      <c r="BU24" s="37">
        <f t="shared" si="14"/>
        <v>0</v>
      </c>
      <c r="BV24" s="94">
        <v>140000</v>
      </c>
      <c r="BW24" s="94" t="s">
        <v>434</v>
      </c>
      <c r="BX24" s="94">
        <v>464</v>
      </c>
      <c r="BY24" s="37">
        <f t="shared" si="15"/>
        <v>0</v>
      </c>
      <c r="BZ24" s="37"/>
      <c r="CA24" s="37"/>
      <c r="CB24" s="37"/>
      <c r="CC24" s="37"/>
      <c r="CD24" s="37"/>
      <c r="CE24" s="37"/>
      <c r="CF24" s="37"/>
      <c r="CG24" s="37" t="str">
        <f t="shared" si="18"/>
        <v xml:space="preserve"> </v>
      </c>
      <c r="CH24" s="37" t="str">
        <f t="shared" si="26"/>
        <v>Business Achieved 50%</v>
      </c>
      <c r="CI24" s="93">
        <f t="shared" si="19"/>
        <v>0.78740157480314965</v>
      </c>
      <c r="CJ24" s="105">
        <f ca="1">IFERROR(__xludf.DUMMYFUNCTION("""COMPUTED_VALUE"""),1250)</f>
        <v>1250</v>
      </c>
      <c r="CK24" s="105">
        <f ca="1">IFERROR(__xludf.DUMMYFUNCTION("""COMPUTED_VALUE"""),38)</f>
        <v>38</v>
      </c>
      <c r="CL24" s="105">
        <f ca="1">IFERROR(__xludf.DUMMYFUNCTION("""COMPUTED_VALUE"""),0)</f>
        <v>0</v>
      </c>
      <c r="CM24" s="96">
        <f t="shared" ca="1" si="20"/>
        <v>0</v>
      </c>
      <c r="CN24" s="106"/>
      <c r="CO24" s="93"/>
      <c r="CP24" s="107" t="s">
        <v>378</v>
      </c>
      <c r="CQ24" s="101">
        <f t="shared" si="21"/>
        <v>3</v>
      </c>
      <c r="CR24" s="101">
        <f t="shared" si="22"/>
        <v>0</v>
      </c>
      <c r="CS24" s="93"/>
      <c r="CT24" s="4">
        <f t="shared" si="23"/>
        <v>0</v>
      </c>
      <c r="CU24" s="93"/>
      <c r="CV24" s="93"/>
      <c r="CW24" s="93"/>
      <c r="CX24" s="51"/>
      <c r="CY24" s="93"/>
      <c r="CZ24" s="93"/>
    </row>
    <row r="25" spans="1:104" ht="15.6">
      <c r="A25" s="1" t="s">
        <v>118</v>
      </c>
      <c r="B25" s="1" t="s">
        <v>375</v>
      </c>
      <c r="C25" s="1" t="s">
        <v>97</v>
      </c>
      <c r="D25" s="1" t="s">
        <v>473</v>
      </c>
      <c r="E25" s="1" t="s">
        <v>492</v>
      </c>
      <c r="F25" s="48">
        <v>43424</v>
      </c>
      <c r="G25" s="76">
        <v>9999996</v>
      </c>
      <c r="H25" s="76">
        <v>25200000</v>
      </c>
      <c r="I25" s="77">
        <v>12739177.460000001</v>
      </c>
      <c r="J25" s="77">
        <v>550029.48</v>
      </c>
      <c r="K25" s="4">
        <v>124</v>
      </c>
      <c r="L25" s="4">
        <v>96</v>
      </c>
      <c r="M25" s="4">
        <v>10</v>
      </c>
      <c r="N25" s="4">
        <v>134</v>
      </c>
      <c r="O25" s="4">
        <v>38</v>
      </c>
      <c r="P25" s="77">
        <v>11851445.75</v>
      </c>
      <c r="Q25" s="77">
        <v>887731.71</v>
      </c>
      <c r="R25" s="4">
        <v>91</v>
      </c>
      <c r="S25" s="4">
        <v>10</v>
      </c>
      <c r="T25" s="4">
        <v>101</v>
      </c>
      <c r="U25" s="4">
        <v>2</v>
      </c>
      <c r="V25" s="4">
        <v>3</v>
      </c>
      <c r="W25" s="4">
        <v>7</v>
      </c>
      <c r="X25" s="4">
        <v>16</v>
      </c>
      <c r="Y25" s="4">
        <v>8</v>
      </c>
      <c r="Z25" s="4">
        <v>123</v>
      </c>
      <c r="AA25" s="4">
        <v>3</v>
      </c>
      <c r="AB25" s="4">
        <v>63</v>
      </c>
      <c r="AC25" s="4">
        <v>0</v>
      </c>
      <c r="AD25" s="4">
        <v>0</v>
      </c>
      <c r="AE25" s="4">
        <v>1108</v>
      </c>
      <c r="AF25" s="4">
        <v>1301</v>
      </c>
      <c r="AG25" s="4">
        <v>276</v>
      </c>
      <c r="AH25" s="76">
        <f t="shared" si="1"/>
        <v>48149.300507246378</v>
      </c>
      <c r="AI25" s="76">
        <f t="shared" si="2"/>
        <v>4.7137681159420293</v>
      </c>
      <c r="AJ25" s="78">
        <f t="shared" si="36"/>
        <v>41430</v>
      </c>
      <c r="AK25" s="76">
        <f t="shared" si="34"/>
        <v>497160</v>
      </c>
      <c r="AL25" s="49">
        <v>183012</v>
      </c>
      <c r="AM25" s="80">
        <f t="shared" si="4"/>
        <v>5.1182286728691725E-2</v>
      </c>
      <c r="AN25" s="76">
        <f t="shared" si="5"/>
        <v>126130.46990099011</v>
      </c>
      <c r="AO25" s="102">
        <f t="shared" si="32"/>
        <v>0.37753433096981037</v>
      </c>
      <c r="AP25" s="82">
        <v>0.05</v>
      </c>
      <c r="AQ25" s="4">
        <v>658</v>
      </c>
      <c r="AR25" s="4">
        <v>2300</v>
      </c>
      <c r="AS25" s="4">
        <v>2131.73</v>
      </c>
      <c r="AT25" s="4">
        <v>10</v>
      </c>
      <c r="AU25" s="4">
        <v>22</v>
      </c>
      <c r="AV25" s="1">
        <v>101</v>
      </c>
      <c r="AW25" s="1">
        <v>23</v>
      </c>
      <c r="AX25" s="1">
        <v>10</v>
      </c>
      <c r="AY25" s="86" t="str">
        <f>IFERROR(VLOOKUP(C25,#REF!,13,0),"")</f>
        <v/>
      </c>
      <c r="AZ25" s="87"/>
      <c r="BA25" s="1" t="str">
        <f t="shared" si="6"/>
        <v>Active</v>
      </c>
      <c r="BB25" s="1" t="e">
        <f t="shared" ca="1" si="7"/>
        <v>#NAME?</v>
      </c>
      <c r="BC25" s="1" t="e">
        <f t="shared" ca="1" si="33"/>
        <v>#NAME?</v>
      </c>
      <c r="BD25" s="33">
        <f t="shared" si="35"/>
        <v>12</v>
      </c>
      <c r="BE25" s="88" t="str">
        <v/>
      </c>
      <c r="BF25" s="1">
        <f t="shared" si="9"/>
        <v>0</v>
      </c>
      <c r="BG25" s="1" t="s">
        <v>428</v>
      </c>
      <c r="BH25" s="89">
        <f ca="1">IFERROR(__xludf.DUMMYFUNCTION("""COMPUTED_VALUE"""),11767268.16)</f>
        <v>11767268.16</v>
      </c>
      <c r="BI25" s="89">
        <f ca="1">IFERROR(__xludf.DUMMYFUNCTION("""COMPUTED_VALUE"""),11100724.15)</f>
        <v>11100724.15</v>
      </c>
      <c r="BJ25" s="90"/>
      <c r="BK25" s="91">
        <v>833333.33330000006</v>
      </c>
      <c r="BL25" s="91">
        <f t="shared" si="10"/>
        <v>9999999.9996000007</v>
      </c>
      <c r="BM25" s="91">
        <f t="shared" si="11"/>
        <v>35199999.999600001</v>
      </c>
      <c r="BN25" s="91"/>
      <c r="BO25" s="92">
        <f ca="1">IFERROR(__xludf.DUMMYFUNCTION("IFERROR(ArrayFormula(SUM(VLOOKUP($C25,importrange(""1MwNMVzWE3QBVOyJjKr3eFX-Sq1Ng0Q1sghWJbgbE_8g"",""ORDER BOOKING REPORT 2024-25!C:CV""),{16,23,30},0))))"),2692764.63999999)</f>
        <v>2692764.6399999899</v>
      </c>
      <c r="BP25" s="92">
        <f ca="1">IFERROR(__xludf.DUMMYFUNCTION("IFERROR(ArrayFormula(SUM(VLOOKUP($C25,importrange(""1MwNMVzWE3QBVOyJjKr3eFX-Sq1Ng0Q1sghWJbgbE_8g"",""ORDER BOOKING REPORT 2024-25!C:CV""),{37,44,51},0))))"),2815892.24)</f>
        <v>2815892.24</v>
      </c>
      <c r="BQ25" s="92">
        <f ca="1">IFERROR(__xludf.DUMMYFUNCTION("IFERROR(ArrayFormula(SUM(VLOOKUP($C25,importrange(""1MwNMVzWE3QBVOyJjKr3eFX-Sq1Ng0Q1sghWJbgbE_8g"",""ORDER BOOKING REPORT 2024-25!C:CV""),{58,65,72},0))))"),3100280.98)</f>
        <v>3100280.98</v>
      </c>
      <c r="BR25" s="92">
        <f ca="1">IFERROR(__xludf.DUMMYFUNCTION("IFERROR(ArrayFormula(SUM(VLOOKUP($C25,importrange(""1MwNMVzWE3QBVOyJjKr3eFX-Sq1Ng0Q1sghWJbgbE_8g"",""ORDER BOOKING REPORT 2024-25!C:CV""),{79,86,93},0))))"),2491786.29)</f>
        <v>2491786.29</v>
      </c>
      <c r="BS25" s="93" t="str">
        <f t="shared" si="12"/>
        <v/>
      </c>
      <c r="BT25" s="93" t="str">
        <f t="shared" si="13"/>
        <v/>
      </c>
      <c r="BU25" s="37">
        <f t="shared" si="14"/>
        <v>3.999600000679493</v>
      </c>
      <c r="BV25" s="94">
        <v>41430</v>
      </c>
      <c r="BW25" s="94" t="s">
        <v>429</v>
      </c>
      <c r="BX25" s="94">
        <v>485</v>
      </c>
      <c r="BY25" s="37">
        <f t="shared" si="15"/>
        <v>0</v>
      </c>
      <c r="BZ25" s="37"/>
      <c r="CA25" s="37"/>
      <c r="CB25" s="37"/>
      <c r="CC25" s="37"/>
      <c r="CD25" s="37"/>
      <c r="CE25" s="37"/>
      <c r="CF25" s="37"/>
      <c r="CG25" s="37" t="str">
        <f t="shared" si="18"/>
        <v xml:space="preserve"> </v>
      </c>
      <c r="CH25" s="37" t="str">
        <f t="shared" si="26"/>
        <v>Business Achieved 50%</v>
      </c>
      <c r="CI25" s="93">
        <f t="shared" si="19"/>
        <v>0.75373134328358204</v>
      </c>
      <c r="CJ25" s="105">
        <f ca="1">IFERROR(__xludf.DUMMYFUNCTION("""COMPUTED_VALUE"""),1028)</f>
        <v>1028</v>
      </c>
      <c r="CK25" s="105">
        <f ca="1">IFERROR(__xludf.DUMMYFUNCTION("""COMPUTED_VALUE"""),80)</f>
        <v>80</v>
      </c>
      <c r="CL25" s="105">
        <f ca="1">IFERROR(__xludf.DUMMYFUNCTION("""COMPUTED_VALUE"""),0)</f>
        <v>0</v>
      </c>
      <c r="CM25" s="96">
        <f t="shared" ca="1" si="20"/>
        <v>0</v>
      </c>
      <c r="CN25" s="106"/>
      <c r="CO25" s="93"/>
      <c r="CP25" s="107" t="s">
        <v>286</v>
      </c>
      <c r="CQ25" s="101">
        <f t="shared" si="21"/>
        <v>2</v>
      </c>
      <c r="CR25" s="101">
        <f t="shared" si="22"/>
        <v>0</v>
      </c>
      <c r="CS25" s="93"/>
      <c r="CT25" s="4">
        <f t="shared" si="23"/>
        <v>0</v>
      </c>
      <c r="CU25" s="93"/>
      <c r="CV25" s="93"/>
      <c r="CW25" s="93"/>
      <c r="CX25" s="51"/>
      <c r="CY25" s="93"/>
      <c r="CZ25" s="93"/>
    </row>
    <row r="26" spans="1:104" ht="15.6">
      <c r="A26" s="1" t="s">
        <v>118</v>
      </c>
      <c r="B26" s="1" t="s">
        <v>359</v>
      </c>
      <c r="C26" s="1" t="s">
        <v>112</v>
      </c>
      <c r="D26" s="1" t="s">
        <v>442</v>
      </c>
      <c r="E26" s="1" t="s">
        <v>493</v>
      </c>
      <c r="F26" s="104">
        <v>43556</v>
      </c>
      <c r="G26" s="76">
        <v>0</v>
      </c>
      <c r="H26" s="76">
        <v>24000000</v>
      </c>
      <c r="I26" s="77">
        <v>19321509.190000001</v>
      </c>
      <c r="J26" s="77">
        <v>0</v>
      </c>
      <c r="K26" s="4">
        <v>70</v>
      </c>
      <c r="L26" s="4">
        <v>71</v>
      </c>
      <c r="M26" s="4">
        <v>6</v>
      </c>
      <c r="N26" s="4">
        <v>76</v>
      </c>
      <c r="O26" s="4">
        <v>5</v>
      </c>
      <c r="P26" s="77">
        <v>18865364.120000001</v>
      </c>
      <c r="Q26" s="77">
        <v>456145.07</v>
      </c>
      <c r="R26" s="4">
        <v>42</v>
      </c>
      <c r="S26" s="4">
        <v>4</v>
      </c>
      <c r="T26" s="4">
        <v>46</v>
      </c>
      <c r="U26" s="4">
        <v>0</v>
      </c>
      <c r="V26" s="4">
        <v>0</v>
      </c>
      <c r="W26" s="4">
        <v>0</v>
      </c>
      <c r="X26" s="4">
        <v>0</v>
      </c>
      <c r="Y26" s="4">
        <v>2</v>
      </c>
      <c r="Z26" s="4">
        <v>163</v>
      </c>
      <c r="AA26" s="4">
        <v>0</v>
      </c>
      <c r="AB26" s="4">
        <v>0</v>
      </c>
      <c r="AC26" s="4">
        <v>0</v>
      </c>
      <c r="AD26" s="4">
        <v>0</v>
      </c>
      <c r="AE26" s="4">
        <v>1229</v>
      </c>
      <c r="AF26" s="4">
        <v>1392</v>
      </c>
      <c r="AG26" s="4">
        <v>302</v>
      </c>
      <c r="AH26" s="76">
        <f t="shared" si="1"/>
        <v>63978.507251655632</v>
      </c>
      <c r="AI26" s="76">
        <f t="shared" si="2"/>
        <v>4.6092715231788075</v>
      </c>
      <c r="AJ26" s="78">
        <v>39070</v>
      </c>
      <c r="AK26" s="76">
        <f t="shared" si="34"/>
        <v>468840</v>
      </c>
      <c r="AL26" s="79">
        <v>153075</v>
      </c>
      <c r="AM26" s="80">
        <f t="shared" si="4"/>
        <v>3.2187703035220304E-2</v>
      </c>
      <c r="AN26" s="76">
        <f t="shared" si="5"/>
        <v>420032.80847826088</v>
      </c>
      <c r="AO26" s="102">
        <f t="shared" si="32"/>
        <v>0.80506288291666672</v>
      </c>
      <c r="AP26" s="82">
        <v>0</v>
      </c>
      <c r="AQ26" s="4">
        <v>282</v>
      </c>
      <c r="AR26" s="4">
        <v>2565</v>
      </c>
      <c r="AS26" s="4">
        <v>1571.7</v>
      </c>
      <c r="AT26" s="4">
        <v>4</v>
      </c>
      <c r="AU26" s="4">
        <v>22</v>
      </c>
      <c r="AV26" s="1">
        <v>46</v>
      </c>
      <c r="AW26" s="1">
        <v>26</v>
      </c>
      <c r="AX26" s="1">
        <v>4</v>
      </c>
      <c r="AY26" s="86" t="str">
        <f>IFERROR(VLOOKUP(C26,#REF!,13,0),"")</f>
        <v/>
      </c>
      <c r="AZ26" s="87"/>
      <c r="BA26" s="1" t="str">
        <f t="shared" si="6"/>
        <v>Active</v>
      </c>
      <c r="BB26" s="1" t="e">
        <f t="shared" ca="1" si="7"/>
        <v>#NAME?</v>
      </c>
      <c r="BC26" s="1" t="e">
        <f t="shared" ca="1" si="33"/>
        <v>#NAME?</v>
      </c>
      <c r="BD26" s="33">
        <f t="shared" si="35"/>
        <v>12</v>
      </c>
      <c r="BE26" s="88" t="str">
        <v/>
      </c>
      <c r="BF26" s="1">
        <f t="shared" si="9"/>
        <v>2</v>
      </c>
      <c r="BG26" s="1" t="s">
        <v>428</v>
      </c>
      <c r="BH26" s="89">
        <f ca="1">IFERROR(__xludf.DUMMYFUNCTION("""COMPUTED_VALUE"""),16969894.6)</f>
        <v>16969894.600000001</v>
      </c>
      <c r="BI26" s="89">
        <f ca="1">IFERROR(__xludf.DUMMYFUNCTION("""COMPUTED_VALUE"""),15818502.7)</f>
        <v>15818502.699999999</v>
      </c>
      <c r="BJ26" s="90"/>
      <c r="BK26" s="91"/>
      <c r="BL26" s="91">
        <f t="shared" si="10"/>
        <v>0</v>
      </c>
      <c r="BM26" s="91">
        <f t="shared" si="11"/>
        <v>24000000</v>
      </c>
      <c r="BN26" s="91"/>
      <c r="BO26" s="92">
        <f ca="1">IFERROR(__xludf.DUMMYFUNCTION("IFERROR(ArrayFormula(SUM(VLOOKUP($C26,importrange(""1MwNMVzWE3QBVOyJjKr3eFX-Sq1Ng0Q1sghWJbgbE_8g"",""ORDER BOOKING REPORT 2024-25!C:CV""),{16,23,30},0))))"),3763058.5)</f>
        <v>3763058.5</v>
      </c>
      <c r="BP26" s="92">
        <f ca="1">IFERROR(__xludf.DUMMYFUNCTION("IFERROR(ArrayFormula(SUM(VLOOKUP($C26,importrange(""1MwNMVzWE3QBVOyJjKr3eFX-Sq1Ng0Q1sghWJbgbE_8g"",""ORDER BOOKING REPORT 2024-25!C:CV""),{37,44,51},0))))"),4721427.7)</f>
        <v>4721427.7</v>
      </c>
      <c r="BQ26" s="92">
        <f ca="1">IFERROR(__xludf.DUMMYFUNCTION("IFERROR(ArrayFormula(SUM(VLOOKUP($C26,importrange(""1MwNMVzWE3QBVOyJjKr3eFX-Sq1Ng0Q1sghWJbgbE_8g"",""ORDER BOOKING REPORT 2024-25!C:CV""),{58,65,72},0))))"),2887047.17999999)</f>
        <v>2887047.1799999899</v>
      </c>
      <c r="BR26" s="92">
        <f ca="1">IFERROR(__xludf.DUMMYFUNCTION("IFERROR(ArrayFormula(SUM(VLOOKUP($C26,importrange(""1MwNMVzWE3QBVOyJjKr3eFX-Sq1Ng0Q1sghWJbgbE_8g"",""ORDER BOOKING REPORT 2024-25!C:CV""),{79,86,93},0))))"),4446969.32)</f>
        <v>4446969.32</v>
      </c>
      <c r="BS26" s="93" t="str">
        <f t="shared" si="12"/>
        <v/>
      </c>
      <c r="BT26" s="93" t="str">
        <f t="shared" si="13"/>
        <v/>
      </c>
      <c r="BU26" s="37">
        <f t="shared" si="14"/>
        <v>0</v>
      </c>
      <c r="BV26" s="94">
        <v>39070</v>
      </c>
      <c r="BW26" s="94" t="s">
        <v>445</v>
      </c>
      <c r="BX26" s="94">
        <v>518</v>
      </c>
      <c r="BY26" s="37">
        <f t="shared" si="15"/>
        <v>0</v>
      </c>
      <c r="BZ26" s="37"/>
      <c r="CA26" s="37"/>
      <c r="CB26" s="37"/>
      <c r="CC26" s="37"/>
      <c r="CD26" s="37"/>
      <c r="CE26" s="37"/>
      <c r="CF26" s="37"/>
      <c r="CG26" s="37" t="str">
        <f t="shared" si="18"/>
        <v xml:space="preserve"> </v>
      </c>
      <c r="CH26" s="37" t="str">
        <f t="shared" si="26"/>
        <v>Business Achieved 50%</v>
      </c>
      <c r="CI26" s="93">
        <f t="shared" si="19"/>
        <v>0.60526315789473684</v>
      </c>
      <c r="CJ26" s="95">
        <f ca="1">IFERROR(__xludf.DUMMYFUNCTION("""COMPUTED_VALUE"""),851)</f>
        <v>851</v>
      </c>
      <c r="CK26" s="95">
        <f ca="1">IFERROR(__xludf.DUMMYFUNCTION("""COMPUTED_VALUE"""),378)</f>
        <v>378</v>
      </c>
      <c r="CL26" s="95">
        <f ca="1">IFERROR(__xludf.DUMMYFUNCTION("""COMPUTED_VALUE"""),0)</f>
        <v>0</v>
      </c>
      <c r="CM26" s="96">
        <f t="shared" ca="1" si="20"/>
        <v>0</v>
      </c>
      <c r="CN26" s="103"/>
      <c r="CO26" s="4"/>
      <c r="CP26" s="100" t="s">
        <v>362</v>
      </c>
      <c r="CQ26" s="101">
        <f t="shared" si="21"/>
        <v>28</v>
      </c>
      <c r="CR26" s="101">
        <f t="shared" si="22"/>
        <v>4</v>
      </c>
      <c r="CS26" s="4"/>
      <c r="CT26" s="4">
        <f t="shared" si="23"/>
        <v>0</v>
      </c>
      <c r="CU26" s="4"/>
      <c r="CV26" s="4"/>
      <c r="CW26" s="101"/>
      <c r="CX26" s="51"/>
      <c r="CY26" s="4"/>
      <c r="CZ26" s="4"/>
    </row>
    <row r="27" spans="1:104" ht="15.6">
      <c r="A27" s="1" t="s">
        <v>118</v>
      </c>
      <c r="B27" s="1" t="s">
        <v>436</v>
      </c>
      <c r="C27" s="1" t="s">
        <v>111</v>
      </c>
      <c r="D27" s="1" t="s">
        <v>494</v>
      </c>
      <c r="E27" s="1" t="s">
        <v>437</v>
      </c>
      <c r="F27" s="104">
        <v>43557</v>
      </c>
      <c r="G27" s="76">
        <v>0</v>
      </c>
      <c r="H27" s="76">
        <v>20000004</v>
      </c>
      <c r="I27" s="77">
        <v>13110227.289999999</v>
      </c>
      <c r="J27" s="77">
        <v>0</v>
      </c>
      <c r="K27" s="4">
        <v>156</v>
      </c>
      <c r="L27" s="4">
        <v>163</v>
      </c>
      <c r="M27" s="4">
        <v>16</v>
      </c>
      <c r="N27" s="4">
        <v>172</v>
      </c>
      <c r="O27" s="4">
        <v>9</v>
      </c>
      <c r="P27" s="77">
        <v>11204321.619999999</v>
      </c>
      <c r="Q27" s="77">
        <v>1905905.67</v>
      </c>
      <c r="R27" s="4">
        <v>83</v>
      </c>
      <c r="S27" s="4">
        <v>14</v>
      </c>
      <c r="T27" s="4">
        <v>97</v>
      </c>
      <c r="U27" s="4">
        <v>0</v>
      </c>
      <c r="V27" s="4">
        <v>56</v>
      </c>
      <c r="W27" s="4">
        <v>114</v>
      </c>
      <c r="X27" s="4">
        <v>14</v>
      </c>
      <c r="Y27" s="4">
        <v>7</v>
      </c>
      <c r="Z27" s="4">
        <v>78</v>
      </c>
      <c r="AA27" s="4">
        <v>0</v>
      </c>
      <c r="AB27" s="4">
        <v>0</v>
      </c>
      <c r="AC27" s="4">
        <v>0</v>
      </c>
      <c r="AD27" s="4">
        <v>0</v>
      </c>
      <c r="AE27" s="4">
        <v>1647</v>
      </c>
      <c r="AF27" s="4">
        <v>1839</v>
      </c>
      <c r="AG27" s="4">
        <v>295</v>
      </c>
      <c r="AH27" s="76">
        <f t="shared" si="1"/>
        <v>44441.448440677967</v>
      </c>
      <c r="AI27" s="76">
        <f t="shared" si="2"/>
        <v>6.2338983050847459</v>
      </c>
      <c r="AJ27" s="78">
        <f>BV27</f>
        <v>54510</v>
      </c>
      <c r="AK27" s="76">
        <f t="shared" si="34"/>
        <v>654120</v>
      </c>
      <c r="AL27" s="49">
        <v>287915</v>
      </c>
      <c r="AM27" s="80">
        <f t="shared" si="4"/>
        <v>7.1854970868319712E-2</v>
      </c>
      <c r="AN27" s="76">
        <f t="shared" si="5"/>
        <v>135156.98237113401</v>
      </c>
      <c r="AO27" s="102">
        <f t="shared" si="32"/>
        <v>0.6555112333977533</v>
      </c>
      <c r="AP27" s="82">
        <v>0</v>
      </c>
      <c r="AQ27" s="4">
        <v>557</v>
      </c>
      <c r="AR27" s="4">
        <v>3077</v>
      </c>
      <c r="AS27" s="4">
        <v>3857.52</v>
      </c>
      <c r="AT27" s="4">
        <v>14</v>
      </c>
      <c r="AU27" s="4">
        <v>24</v>
      </c>
      <c r="AV27" s="1">
        <v>97</v>
      </c>
      <c r="AW27" s="1">
        <v>67</v>
      </c>
      <c r="AX27" s="1">
        <v>8</v>
      </c>
      <c r="AY27" s="86" t="str">
        <f>IFERROR(VLOOKUP(C27,#REF!,13,0),"")</f>
        <v/>
      </c>
      <c r="AZ27" s="87"/>
      <c r="BA27" s="1" t="str">
        <f t="shared" si="6"/>
        <v>Active</v>
      </c>
      <c r="BB27" s="1" t="e">
        <f t="shared" ca="1" si="7"/>
        <v>#NAME?</v>
      </c>
      <c r="BC27" s="1" t="e">
        <f t="shared" ca="1" si="33"/>
        <v>#NAME?</v>
      </c>
      <c r="BD27" s="33">
        <f t="shared" si="35"/>
        <v>12</v>
      </c>
      <c r="BE27" s="88" t="str">
        <v/>
      </c>
      <c r="BF27" s="1">
        <f t="shared" si="9"/>
        <v>2</v>
      </c>
      <c r="BG27" s="1" t="s">
        <v>428</v>
      </c>
      <c r="BH27" s="89">
        <f ca="1">IFERROR(__xludf.DUMMYFUNCTION("""COMPUTED_VALUE"""),13932526)</f>
        <v>13932526</v>
      </c>
      <c r="BI27" s="89">
        <f ca="1">IFERROR(__xludf.DUMMYFUNCTION("""COMPUTED_VALUE"""),13777186.43)</f>
        <v>13777186.43</v>
      </c>
      <c r="BJ27" s="90"/>
      <c r="BK27" s="91"/>
      <c r="BL27" s="91">
        <f t="shared" si="10"/>
        <v>0</v>
      </c>
      <c r="BM27" s="91">
        <f t="shared" si="11"/>
        <v>20000004</v>
      </c>
      <c r="BN27" s="91"/>
      <c r="BO27" s="92">
        <f ca="1">IFERROR(__xludf.DUMMYFUNCTION("IFERROR(ArrayFormula(SUM(VLOOKUP($C27,importrange(""1MwNMVzWE3QBVOyJjKr3eFX-Sq1Ng0Q1sghWJbgbE_8g"",""ORDER BOOKING REPORT 2024-25!C:CV""),{16,23,30},0))))"),3550408.39999999)</f>
        <v>3550408.3999999901</v>
      </c>
      <c r="BP27" s="92">
        <f ca="1">IFERROR(__xludf.DUMMYFUNCTION("IFERROR(ArrayFormula(SUM(VLOOKUP($C27,importrange(""1MwNMVzWE3QBVOyJjKr3eFX-Sq1Ng0Q1sghWJbgbE_8g"",""ORDER BOOKING REPORT 2024-25!C:CV""),{37,44,51},0))))"),3380054.98)</f>
        <v>3380054.98</v>
      </c>
      <c r="BQ27" s="92">
        <f ca="1">IFERROR(__xludf.DUMMYFUNCTION("IFERROR(ArrayFormula(SUM(VLOOKUP($C27,importrange(""1MwNMVzWE3QBVOyJjKr3eFX-Sq1Ng0Q1sghWJbgbE_8g"",""ORDER BOOKING REPORT 2024-25!C:CV""),{58,65,72},0))))"),3554315.25)</f>
        <v>3554315.25</v>
      </c>
      <c r="BR27" s="92">
        <f ca="1">IFERROR(__xludf.DUMMYFUNCTION("IFERROR(ArrayFormula(SUM(VLOOKUP($C27,importrange(""1MwNMVzWE3QBVOyJjKr3eFX-Sq1Ng0Q1sghWJbgbE_8g"",""ORDER BOOKING REPORT 2024-25!C:CV""),{79,86,93},0))))"),3292407.8)</f>
        <v>3292407.8</v>
      </c>
      <c r="BS27" s="93" t="str">
        <f t="shared" si="12"/>
        <v/>
      </c>
      <c r="BT27" s="93" t="str">
        <f t="shared" si="13"/>
        <v/>
      </c>
      <c r="BU27" s="37">
        <f t="shared" si="14"/>
        <v>0</v>
      </c>
      <c r="BV27" s="94">
        <v>54510</v>
      </c>
      <c r="BW27" s="94" t="s">
        <v>429</v>
      </c>
      <c r="BX27" s="94">
        <v>510</v>
      </c>
      <c r="BY27" s="37">
        <f t="shared" si="15"/>
        <v>0</v>
      </c>
      <c r="BZ27" s="37"/>
      <c r="CA27" s="37"/>
      <c r="CB27" s="37"/>
      <c r="CC27" s="37"/>
      <c r="CD27" s="37"/>
      <c r="CE27" s="37"/>
      <c r="CF27" s="37"/>
      <c r="CG27" s="37" t="str">
        <f t="shared" si="18"/>
        <v xml:space="preserve"> </v>
      </c>
      <c r="CH27" s="37" t="str">
        <f t="shared" si="26"/>
        <v>Business Achieved 50%</v>
      </c>
      <c r="CI27" s="93">
        <f t="shared" si="19"/>
        <v>0.56395348837209303</v>
      </c>
      <c r="CJ27" s="105">
        <f ca="1">IFERROR(__xludf.DUMMYFUNCTION("""COMPUTED_VALUE"""),1276)</f>
        <v>1276</v>
      </c>
      <c r="CK27" s="105">
        <f ca="1">IFERROR(__xludf.DUMMYFUNCTION("""COMPUTED_VALUE"""),371)</f>
        <v>371</v>
      </c>
      <c r="CL27" s="105">
        <f ca="1">IFERROR(__xludf.DUMMYFUNCTION("""COMPUTED_VALUE"""),0)</f>
        <v>0</v>
      </c>
      <c r="CM27" s="96">
        <f t="shared" ca="1" si="20"/>
        <v>0</v>
      </c>
      <c r="CN27" s="106"/>
      <c r="CO27" s="93"/>
      <c r="CP27" s="107" t="s">
        <v>206</v>
      </c>
      <c r="CQ27" s="101">
        <f t="shared" si="21"/>
        <v>5</v>
      </c>
      <c r="CR27" s="101">
        <f t="shared" si="22"/>
        <v>0</v>
      </c>
      <c r="CS27" s="93"/>
      <c r="CT27" s="4">
        <f t="shared" si="23"/>
        <v>0</v>
      </c>
      <c r="CU27" s="93"/>
      <c r="CV27" s="93"/>
      <c r="CW27" s="93"/>
      <c r="CX27" s="51"/>
      <c r="CY27" s="93"/>
      <c r="CZ27" s="93"/>
    </row>
    <row r="28" spans="1:104" ht="15.6">
      <c r="A28" s="1" t="s">
        <v>118</v>
      </c>
      <c r="B28" s="1" t="s">
        <v>372</v>
      </c>
      <c r="C28" s="1" t="s">
        <v>113</v>
      </c>
      <c r="D28" s="1" t="s">
        <v>447</v>
      </c>
      <c r="E28" s="1" t="s">
        <v>495</v>
      </c>
      <c r="F28" s="104">
        <v>43647</v>
      </c>
      <c r="G28" s="76">
        <v>0</v>
      </c>
      <c r="H28" s="76">
        <v>75000000</v>
      </c>
      <c r="I28" s="77">
        <v>64945603.509999998</v>
      </c>
      <c r="J28" s="77">
        <v>0</v>
      </c>
      <c r="K28" s="4">
        <v>90</v>
      </c>
      <c r="L28" s="4">
        <v>106</v>
      </c>
      <c r="M28" s="4">
        <v>17</v>
      </c>
      <c r="N28" s="4">
        <v>107</v>
      </c>
      <c r="O28" s="4">
        <v>1</v>
      </c>
      <c r="P28" s="77">
        <v>54329706.700000003</v>
      </c>
      <c r="Q28" s="77">
        <v>10615896.810000001</v>
      </c>
      <c r="R28" s="4">
        <v>68</v>
      </c>
      <c r="S28" s="4">
        <v>16</v>
      </c>
      <c r="T28" s="4">
        <v>84</v>
      </c>
      <c r="U28" s="4">
        <v>0</v>
      </c>
      <c r="V28" s="4">
        <v>28</v>
      </c>
      <c r="W28" s="4">
        <v>60</v>
      </c>
      <c r="X28" s="4">
        <v>24</v>
      </c>
      <c r="Y28" s="4">
        <v>1</v>
      </c>
      <c r="Z28" s="4">
        <v>78</v>
      </c>
      <c r="AA28" s="4">
        <v>0</v>
      </c>
      <c r="AB28" s="4">
        <v>0</v>
      </c>
      <c r="AC28" s="4">
        <v>0</v>
      </c>
      <c r="AD28" s="4">
        <v>0</v>
      </c>
      <c r="AE28" s="4">
        <v>1317</v>
      </c>
      <c r="AF28" s="4">
        <v>1455</v>
      </c>
      <c r="AG28" s="4">
        <v>296</v>
      </c>
      <c r="AH28" s="76">
        <f t="shared" si="1"/>
        <v>219410.8226689189</v>
      </c>
      <c r="AI28" s="76">
        <f t="shared" si="2"/>
        <v>4.9155405405405403</v>
      </c>
      <c r="AJ28" s="78">
        <v>32605</v>
      </c>
      <c r="AK28" s="76">
        <f t="shared" si="34"/>
        <v>391260</v>
      </c>
      <c r="AL28" s="79">
        <v>170669</v>
      </c>
      <c r="AM28" s="80">
        <f t="shared" si="4"/>
        <v>8.6523023827698668E-3</v>
      </c>
      <c r="AN28" s="76">
        <f t="shared" si="5"/>
        <v>773161.94654761907</v>
      </c>
      <c r="AO28" s="102">
        <f t="shared" si="32"/>
        <v>0.86594138013333333</v>
      </c>
      <c r="AP28" s="82">
        <v>0</v>
      </c>
      <c r="AQ28" s="4">
        <v>739</v>
      </c>
      <c r="AR28" s="4">
        <v>3126</v>
      </c>
      <c r="AS28" s="4">
        <v>3757.43</v>
      </c>
      <c r="AT28" s="4">
        <v>16</v>
      </c>
      <c r="AU28" s="4">
        <v>35</v>
      </c>
      <c r="AV28" s="1">
        <v>84</v>
      </c>
      <c r="AW28" s="1">
        <v>23</v>
      </c>
      <c r="AX28" s="1">
        <v>0</v>
      </c>
      <c r="AY28" s="86" t="str">
        <f>IFERROR(VLOOKUP(C28,#REF!,13,0),"")</f>
        <v/>
      </c>
      <c r="AZ28" s="87"/>
      <c r="BA28" s="1" t="str">
        <f t="shared" si="6"/>
        <v>Active</v>
      </c>
      <c r="BB28" s="1" t="e">
        <f t="shared" ca="1" si="7"/>
        <v>#NAME?</v>
      </c>
      <c r="BC28" s="1" t="e">
        <f t="shared" ca="1" si="33"/>
        <v>#NAME?</v>
      </c>
      <c r="BD28" s="33">
        <f t="shared" si="35"/>
        <v>12</v>
      </c>
      <c r="BE28" s="88" t="str">
        <v/>
      </c>
      <c r="BF28" s="1">
        <f t="shared" si="9"/>
        <v>1</v>
      </c>
      <c r="BG28" s="1" t="s">
        <v>428</v>
      </c>
      <c r="BH28" s="89">
        <f ca="1">IFERROR(__xludf.DUMMYFUNCTION("""COMPUTED_VALUE"""),71069534.32)</f>
        <v>71069534.319999993</v>
      </c>
      <c r="BI28" s="89">
        <f ca="1">IFERROR(__xludf.DUMMYFUNCTION("""COMPUTED_VALUE"""),60822384.19)</f>
        <v>60822384.189999998</v>
      </c>
      <c r="BJ28" s="90"/>
      <c r="BK28" s="91"/>
      <c r="BL28" s="91">
        <f t="shared" si="10"/>
        <v>0</v>
      </c>
      <c r="BM28" s="91">
        <f t="shared" si="11"/>
        <v>75000000</v>
      </c>
      <c r="BN28" s="91"/>
      <c r="BO28" s="92">
        <f ca="1">IFERROR(__xludf.DUMMYFUNCTION("IFERROR(ArrayFormula(SUM(VLOOKUP($C28,importrange(""1MwNMVzWE3QBVOyJjKr3eFX-Sq1Ng0Q1sghWJbgbE_8g"",""ORDER BOOKING REPORT 2024-25!C:CV""),{16,23,30},0))))"),12063804.6699999)</f>
        <v>12063804.669999899</v>
      </c>
      <c r="BP28" s="92">
        <f ca="1">IFERROR(__xludf.DUMMYFUNCTION("IFERROR(ArrayFormula(SUM(VLOOKUP($C28,importrange(""1MwNMVzWE3QBVOyJjKr3eFX-Sq1Ng0Q1sghWJbgbE_8g"",""ORDER BOOKING REPORT 2024-25!C:CV""),{37,44,51},0))))"),18014454.7)</f>
        <v>18014454.699999999</v>
      </c>
      <c r="BQ28" s="92">
        <f ca="1">IFERROR(__xludf.DUMMYFUNCTION("IFERROR(ArrayFormula(SUM(VLOOKUP($C28,importrange(""1MwNMVzWE3QBVOyJjKr3eFX-Sq1Ng0Q1sghWJbgbE_8g"",""ORDER BOOKING REPORT 2024-25!C:CV""),{58,65,72},0))))"),12537991.32)</f>
        <v>12537991.32</v>
      </c>
      <c r="BR28" s="92">
        <f ca="1">IFERROR(__xludf.DUMMYFUNCTION("IFERROR(ArrayFormula(SUM(VLOOKUP($C28,importrange(""1MwNMVzWE3QBVOyJjKr3eFX-Sq1Ng0Q1sghWJbgbE_8g"",""ORDER BOOKING REPORT 2024-25!C:CV""),{79,86,93},0))))"),18206133.5)</f>
        <v>18206133.5</v>
      </c>
      <c r="BS28" s="93" t="str">
        <f t="shared" si="12"/>
        <v/>
      </c>
      <c r="BT28" s="93" t="str">
        <f t="shared" si="13"/>
        <v/>
      </c>
      <c r="BU28" s="37">
        <f t="shared" si="14"/>
        <v>0</v>
      </c>
      <c r="BV28" s="94">
        <v>32605</v>
      </c>
      <c r="BW28" s="94" t="s">
        <v>445</v>
      </c>
      <c r="BX28" s="94">
        <v>627</v>
      </c>
      <c r="BY28" s="37">
        <f t="shared" si="15"/>
        <v>0</v>
      </c>
      <c r="BZ28" s="37"/>
      <c r="CA28" s="37"/>
      <c r="CB28" s="37"/>
      <c r="CC28" s="37"/>
      <c r="CD28" s="37"/>
      <c r="CE28" s="37"/>
      <c r="CF28" s="37"/>
      <c r="CG28" s="37" t="str">
        <f t="shared" si="18"/>
        <v xml:space="preserve"> </v>
      </c>
      <c r="CH28" s="37" t="str">
        <f t="shared" si="26"/>
        <v>Business Achieved 50%</v>
      </c>
      <c r="CI28" s="93">
        <f t="shared" si="19"/>
        <v>0.78504672897196259</v>
      </c>
      <c r="CJ28" s="95">
        <f ca="1">IFERROR(__xludf.DUMMYFUNCTION("""COMPUTED_VALUE"""),1183)</f>
        <v>1183</v>
      </c>
      <c r="CK28" s="95">
        <f ca="1">IFERROR(__xludf.DUMMYFUNCTION("""COMPUTED_VALUE"""),134)</f>
        <v>134</v>
      </c>
      <c r="CL28" s="95">
        <f ca="1">IFERROR(__xludf.DUMMYFUNCTION("""COMPUTED_VALUE"""),0)</f>
        <v>0</v>
      </c>
      <c r="CM28" s="96">
        <f t="shared" ca="1" si="20"/>
        <v>0</v>
      </c>
      <c r="CN28" s="103"/>
      <c r="CO28" s="4"/>
      <c r="CP28" s="100"/>
      <c r="CQ28" s="101"/>
      <c r="CR28" s="101"/>
      <c r="CS28" s="4"/>
      <c r="CT28" s="4">
        <f t="shared" si="23"/>
        <v>0</v>
      </c>
      <c r="CU28" s="4"/>
      <c r="CV28" s="4"/>
      <c r="CW28" s="101"/>
      <c r="CX28" s="51"/>
      <c r="CY28" s="4"/>
      <c r="CZ28" s="4"/>
    </row>
    <row r="29" spans="1:104" ht="15.6">
      <c r="A29" s="1" t="s">
        <v>118</v>
      </c>
      <c r="B29" s="1" t="s">
        <v>359</v>
      </c>
      <c r="C29" s="1" t="s">
        <v>33</v>
      </c>
      <c r="D29" s="1" t="s">
        <v>442</v>
      </c>
      <c r="E29" s="1" t="s">
        <v>496</v>
      </c>
      <c r="F29" s="104">
        <v>43710</v>
      </c>
      <c r="G29" s="76">
        <v>0</v>
      </c>
      <c r="H29" s="76">
        <v>24000000</v>
      </c>
      <c r="I29" s="77">
        <v>17570627.129999999</v>
      </c>
      <c r="J29" s="77">
        <v>1385954.08</v>
      </c>
      <c r="K29" s="4">
        <v>52</v>
      </c>
      <c r="L29" s="4">
        <v>54</v>
      </c>
      <c r="M29" s="4">
        <v>4</v>
      </c>
      <c r="N29" s="4">
        <v>56</v>
      </c>
      <c r="O29" s="4">
        <v>2</v>
      </c>
      <c r="P29" s="77">
        <v>16263606.18</v>
      </c>
      <c r="Q29" s="77">
        <v>1307020.95</v>
      </c>
      <c r="R29" s="4">
        <v>47</v>
      </c>
      <c r="S29" s="4">
        <v>4</v>
      </c>
      <c r="T29" s="4">
        <v>51</v>
      </c>
      <c r="U29" s="4">
        <v>2</v>
      </c>
      <c r="V29" s="4">
        <v>13</v>
      </c>
      <c r="W29" s="4">
        <v>32</v>
      </c>
      <c r="X29" s="4">
        <v>25</v>
      </c>
      <c r="Y29" s="4">
        <v>2</v>
      </c>
      <c r="Z29" s="4">
        <v>10</v>
      </c>
      <c r="AA29" s="4">
        <v>3</v>
      </c>
      <c r="AB29" s="4">
        <v>124</v>
      </c>
      <c r="AC29" s="4">
        <v>0</v>
      </c>
      <c r="AD29" s="4">
        <v>0</v>
      </c>
      <c r="AE29" s="4">
        <v>1130</v>
      </c>
      <c r="AF29" s="4">
        <v>1296</v>
      </c>
      <c r="AG29" s="4">
        <v>284</v>
      </c>
      <c r="AH29" s="76">
        <f t="shared" si="1"/>
        <v>66748.525387323942</v>
      </c>
      <c r="AI29" s="76">
        <f t="shared" si="2"/>
        <v>4.563380281690141</v>
      </c>
      <c r="AJ29" s="78">
        <v>50950</v>
      </c>
      <c r="AK29" s="76">
        <f t="shared" si="34"/>
        <v>611400</v>
      </c>
      <c r="AL29" s="79">
        <v>202283</v>
      </c>
      <c r="AM29" s="80">
        <f t="shared" si="4"/>
        <v>4.2923509834714546E-2</v>
      </c>
      <c r="AN29" s="76">
        <f t="shared" si="5"/>
        <v>344522.10058823525</v>
      </c>
      <c r="AO29" s="102">
        <f t="shared" si="32"/>
        <v>0.78985755041666672</v>
      </c>
      <c r="AP29" s="82">
        <v>0</v>
      </c>
      <c r="AQ29" s="4">
        <v>562</v>
      </c>
      <c r="AR29" s="4">
        <v>3079</v>
      </c>
      <c r="AS29" s="4">
        <v>5370.53</v>
      </c>
      <c r="AT29" s="4">
        <v>4</v>
      </c>
      <c r="AU29" s="4">
        <v>99</v>
      </c>
      <c r="AV29" s="1">
        <v>51</v>
      </c>
      <c r="AW29" s="1">
        <v>3</v>
      </c>
      <c r="AX29" s="1">
        <v>2</v>
      </c>
      <c r="AY29" s="86" t="str">
        <f>IFERROR(VLOOKUP(C29,#REF!,13,0),"")</f>
        <v/>
      </c>
      <c r="AZ29" s="87"/>
      <c r="BA29" s="1" t="str">
        <f t="shared" si="6"/>
        <v>Active</v>
      </c>
      <c r="BB29" s="1" t="e">
        <f t="shared" ca="1" si="7"/>
        <v>#NAME?</v>
      </c>
      <c r="BC29" s="1" t="e">
        <f t="shared" ca="1" si="33"/>
        <v>#NAME?</v>
      </c>
      <c r="BD29" s="33">
        <f t="shared" si="35"/>
        <v>12</v>
      </c>
      <c r="BE29" s="88" t="str">
        <v/>
      </c>
      <c r="BF29" s="1">
        <f t="shared" si="9"/>
        <v>0</v>
      </c>
      <c r="BG29" s="1" t="s">
        <v>428</v>
      </c>
      <c r="BH29" s="89">
        <f ca="1">IFERROR(__xludf.DUMMYFUNCTION("""COMPUTED_VALUE"""),13753144.49)</f>
        <v>13753144.49</v>
      </c>
      <c r="BI29" s="89">
        <f ca="1">IFERROR(__xludf.DUMMYFUNCTION("""COMPUTED_VALUE"""),17773415.72)</f>
        <v>17773415.719999999</v>
      </c>
      <c r="BJ29" s="90"/>
      <c r="BK29" s="91"/>
      <c r="BL29" s="91">
        <f t="shared" si="10"/>
        <v>0</v>
      </c>
      <c r="BM29" s="91">
        <f t="shared" si="11"/>
        <v>24000000</v>
      </c>
      <c r="BN29" s="91"/>
      <c r="BO29" s="92">
        <f ca="1">IFERROR(__xludf.DUMMYFUNCTION("IFERROR(ArrayFormula(SUM(VLOOKUP($C29,importrange(""1MwNMVzWE3QBVOyJjKr3eFX-Sq1Ng0Q1sghWJbgbE_8g"",""ORDER BOOKING REPORT 2024-25!C:CV""),{16,23,30},0))))"),4783553.1)</f>
        <v>4783553.0999999996</v>
      </c>
      <c r="BP29" s="92">
        <f ca="1">IFERROR(__xludf.DUMMYFUNCTION("IFERROR(ArrayFormula(SUM(VLOOKUP($C29,importrange(""1MwNMVzWE3QBVOyJjKr3eFX-Sq1Ng0Q1sghWJbgbE_8g"",""ORDER BOOKING REPORT 2024-25!C:CV""),{37,44,51},0))))"),3565758.7)</f>
        <v>3565758.7</v>
      </c>
      <c r="BQ29" s="92">
        <f ca="1">IFERROR(__xludf.DUMMYFUNCTION("IFERROR(ArrayFormula(SUM(VLOOKUP($C29,importrange(""1MwNMVzWE3QBVOyJjKr3eFX-Sq1Ng0Q1sghWJbgbE_8g"",""ORDER BOOKING REPORT 2024-25!C:CV""),{58,65,72},0))))"),4461508.06)</f>
        <v>4461508.0599999996</v>
      </c>
      <c r="BR29" s="92">
        <f ca="1">IFERROR(__xludf.DUMMYFUNCTION("IFERROR(ArrayFormula(SUM(VLOOKUP($C29,importrange(""1MwNMVzWE3QBVOyJjKr3eFX-Sq1Ng0Q1sghWJbgbE_8g"",""ORDER BOOKING REPORT 2024-25!C:CV""),{79,86,93},0))))"),4962595.86)</f>
        <v>4962595.8600000003</v>
      </c>
      <c r="BS29" s="93" t="str">
        <f t="shared" si="12"/>
        <v/>
      </c>
      <c r="BT29" s="93" t="str">
        <f t="shared" si="13"/>
        <v/>
      </c>
      <c r="BU29" s="37">
        <f t="shared" si="14"/>
        <v>0</v>
      </c>
      <c r="BV29" s="94">
        <v>50950</v>
      </c>
      <c r="BW29" s="94" t="s">
        <v>429</v>
      </c>
      <c r="BX29" s="94">
        <v>555</v>
      </c>
      <c r="BY29" s="37">
        <f t="shared" si="15"/>
        <v>0</v>
      </c>
      <c r="BZ29" s="37"/>
      <c r="CA29" s="37"/>
      <c r="CB29" s="37"/>
      <c r="CC29" s="37"/>
      <c r="CD29" s="37"/>
      <c r="CE29" s="37"/>
      <c r="CF29" s="37"/>
      <c r="CG29" s="37" t="str">
        <f t="shared" si="18"/>
        <v>Below 60</v>
      </c>
      <c r="CH29" s="37" t="str">
        <f t="shared" si="26"/>
        <v>Business Achieved 50%</v>
      </c>
      <c r="CI29" s="93">
        <f t="shared" si="19"/>
        <v>0.9107142857142857</v>
      </c>
      <c r="CJ29" s="95">
        <f ca="1">IFERROR(__xludf.DUMMYFUNCTION("""COMPUTED_VALUE"""),1121)</f>
        <v>1121</v>
      </c>
      <c r="CK29" s="95">
        <f ca="1">IFERROR(__xludf.DUMMYFUNCTION("""COMPUTED_VALUE"""),9)</f>
        <v>9</v>
      </c>
      <c r="CL29" s="95">
        <f ca="1">IFERROR(__xludf.DUMMYFUNCTION("""COMPUTED_VALUE"""),0)</f>
        <v>0</v>
      </c>
      <c r="CM29" s="96">
        <f t="shared" ca="1" si="20"/>
        <v>0</v>
      </c>
      <c r="CN29" s="103"/>
      <c r="CO29" s="4"/>
      <c r="CP29" s="100"/>
      <c r="CQ29" s="101"/>
      <c r="CR29" s="101"/>
      <c r="CS29" s="4"/>
      <c r="CT29" s="4">
        <f t="shared" si="23"/>
        <v>0</v>
      </c>
      <c r="CU29" s="4"/>
      <c r="CV29" s="4"/>
      <c r="CW29" s="101"/>
      <c r="CX29" s="51"/>
      <c r="CY29" s="4"/>
      <c r="CZ29" s="4"/>
    </row>
    <row r="30" spans="1:104" ht="15.6">
      <c r="A30" s="1" t="s">
        <v>118</v>
      </c>
      <c r="B30" s="1" t="s">
        <v>484</v>
      </c>
      <c r="C30" s="1" t="s">
        <v>114</v>
      </c>
      <c r="D30" s="1" t="s">
        <v>497</v>
      </c>
      <c r="E30" s="1" t="s">
        <v>498</v>
      </c>
      <c r="F30" s="104">
        <v>43710</v>
      </c>
      <c r="G30" s="76">
        <v>0</v>
      </c>
      <c r="H30" s="76">
        <v>18000000</v>
      </c>
      <c r="I30" s="77">
        <v>12285579.65</v>
      </c>
      <c r="J30" s="77">
        <v>0</v>
      </c>
      <c r="K30" s="4">
        <v>77</v>
      </c>
      <c r="L30" s="4">
        <v>80</v>
      </c>
      <c r="M30" s="4">
        <v>11</v>
      </c>
      <c r="N30" s="4">
        <v>88</v>
      </c>
      <c r="O30" s="4">
        <v>8</v>
      </c>
      <c r="P30" s="77">
        <v>11144037.970000001</v>
      </c>
      <c r="Q30" s="77">
        <v>1141541.68</v>
      </c>
      <c r="R30" s="4">
        <v>43</v>
      </c>
      <c r="S30" s="4">
        <v>11</v>
      </c>
      <c r="T30" s="4">
        <v>54</v>
      </c>
      <c r="U30" s="4">
        <v>0</v>
      </c>
      <c r="V30" s="4">
        <v>15</v>
      </c>
      <c r="W30" s="4">
        <v>33</v>
      </c>
      <c r="X30" s="4">
        <v>62</v>
      </c>
      <c r="Y30" s="4">
        <v>3</v>
      </c>
      <c r="Z30" s="4">
        <v>104</v>
      </c>
      <c r="AA30" s="4">
        <v>0</v>
      </c>
      <c r="AB30" s="4">
        <v>0</v>
      </c>
      <c r="AC30" s="4">
        <v>1</v>
      </c>
      <c r="AD30" s="4">
        <v>1</v>
      </c>
      <c r="AE30" s="4">
        <v>1033</v>
      </c>
      <c r="AF30" s="4">
        <v>1171</v>
      </c>
      <c r="AG30" s="4">
        <v>290</v>
      </c>
      <c r="AH30" s="76">
        <f t="shared" si="1"/>
        <v>42364.067758620688</v>
      </c>
      <c r="AI30" s="76">
        <f t="shared" si="2"/>
        <v>4.0379310344827584</v>
      </c>
      <c r="AJ30" s="78">
        <v>28050</v>
      </c>
      <c r="AK30" s="76">
        <f t="shared" si="34"/>
        <v>336600</v>
      </c>
      <c r="AL30" s="79">
        <v>194155</v>
      </c>
      <c r="AM30" s="80">
        <f t="shared" si="4"/>
        <v>4.3201461804856719E-2</v>
      </c>
      <c r="AN30" s="76">
        <f t="shared" si="5"/>
        <v>227510.73425925928</v>
      </c>
      <c r="AO30" s="102">
        <f t="shared" si="32"/>
        <v>0.68253220277777782</v>
      </c>
      <c r="AP30" s="82">
        <v>0</v>
      </c>
      <c r="AQ30" s="4">
        <v>321</v>
      </c>
      <c r="AR30" s="4">
        <v>2738</v>
      </c>
      <c r="AS30" s="4">
        <v>2247.5500000000002</v>
      </c>
      <c r="AT30" s="4">
        <v>11</v>
      </c>
      <c r="AU30" s="4">
        <v>28</v>
      </c>
      <c r="AV30" s="1">
        <v>54</v>
      </c>
      <c r="AW30" s="1">
        <v>26</v>
      </c>
      <c r="AX30" s="1">
        <v>8</v>
      </c>
      <c r="AY30" s="86" t="str">
        <f>IFERROR(VLOOKUP(C30,#REF!,13,0),"")</f>
        <v/>
      </c>
      <c r="AZ30" s="87"/>
      <c r="BA30" s="1" t="str">
        <f t="shared" si="6"/>
        <v>Active</v>
      </c>
      <c r="BB30" s="1" t="e">
        <f t="shared" ca="1" si="7"/>
        <v>#NAME?</v>
      </c>
      <c r="BC30" s="1" t="e">
        <f t="shared" ca="1" si="33"/>
        <v>#NAME?</v>
      </c>
      <c r="BD30" s="33">
        <f t="shared" si="35"/>
        <v>12</v>
      </c>
      <c r="BE30" s="88" t="str">
        <v/>
      </c>
      <c r="BF30" s="1">
        <f t="shared" si="9"/>
        <v>0</v>
      </c>
      <c r="BG30" s="1" t="s">
        <v>428</v>
      </c>
      <c r="BH30" s="89">
        <f ca="1">IFERROR(__xludf.DUMMYFUNCTION("""COMPUTED_VALUE"""),10055911)</f>
        <v>10055911</v>
      </c>
      <c r="BI30" s="89">
        <f ca="1">IFERROR(__xludf.DUMMYFUNCTION("""COMPUTED_VALUE"""),11534011.53)</f>
        <v>11534011.529999999</v>
      </c>
      <c r="BJ30" s="90"/>
      <c r="BK30" s="91"/>
      <c r="BL30" s="91">
        <f t="shared" si="10"/>
        <v>0</v>
      </c>
      <c r="BM30" s="91">
        <f t="shared" si="11"/>
        <v>18000000</v>
      </c>
      <c r="BN30" s="91"/>
      <c r="BO30" s="92">
        <f ca="1">IFERROR(__xludf.DUMMYFUNCTION("IFERROR(ArrayFormula(SUM(VLOOKUP($C30,importrange(""1MwNMVzWE3QBVOyJjKr3eFX-Sq1Ng0Q1sghWJbgbE_8g"",""ORDER BOOKING REPORT 2024-25!C:CV""),{16,23,30},0))))"),2441215.57)</f>
        <v>2441215.5699999998</v>
      </c>
      <c r="BP30" s="92">
        <f ca="1">IFERROR(__xludf.DUMMYFUNCTION("IFERROR(ArrayFormula(SUM(VLOOKUP($C30,importrange(""1MwNMVzWE3QBVOyJjKr3eFX-Sq1Ng0Q1sghWJbgbE_8g"",""ORDER BOOKING REPORT 2024-25!C:CV""),{37,44,51},0))))"),2863210.46)</f>
        <v>2863210.46</v>
      </c>
      <c r="BQ30" s="92">
        <f ca="1">IFERROR(__xludf.DUMMYFUNCTION("IFERROR(ArrayFormula(SUM(VLOOKUP($C30,importrange(""1MwNMVzWE3QBVOyJjKr3eFX-Sq1Ng0Q1sghWJbgbE_8g"",""ORDER BOOKING REPORT 2024-25!C:CV""),{58,65,72},0))))"),2871881.58)</f>
        <v>2871881.58</v>
      </c>
      <c r="BR30" s="92">
        <f ca="1">IFERROR(__xludf.DUMMYFUNCTION("IFERROR(ArrayFormula(SUM(VLOOKUP($C30,importrange(""1MwNMVzWE3QBVOyJjKr3eFX-Sq1Ng0Q1sghWJbgbE_8g"",""ORDER BOOKING REPORT 2024-25!C:CV""),{79,86,93},0))))"),3357703.91999999)</f>
        <v>3357703.9199999901</v>
      </c>
      <c r="BS30" s="93" t="str">
        <f t="shared" si="12"/>
        <v/>
      </c>
      <c r="BT30" s="93" t="str">
        <f t="shared" si="13"/>
        <v/>
      </c>
      <c r="BU30" s="37">
        <f t="shared" si="14"/>
        <v>0</v>
      </c>
      <c r="BV30" s="94">
        <v>28050</v>
      </c>
      <c r="BW30" s="94" t="s">
        <v>476</v>
      </c>
      <c r="BX30" s="94">
        <v>708</v>
      </c>
      <c r="BY30" s="37">
        <f t="shared" si="15"/>
        <v>0</v>
      </c>
      <c r="BZ30" s="37"/>
      <c r="CA30" s="37"/>
      <c r="CB30" s="37"/>
      <c r="CC30" s="37"/>
      <c r="CD30" s="37"/>
      <c r="CE30" s="37"/>
      <c r="CF30" s="37"/>
      <c r="CG30" s="37" t="str">
        <f t="shared" si="18"/>
        <v xml:space="preserve"> </v>
      </c>
      <c r="CH30" s="37" t="str">
        <f t="shared" si="26"/>
        <v>Business Achieved 50%</v>
      </c>
      <c r="CI30" s="93">
        <f t="shared" si="19"/>
        <v>0.61363636363636365</v>
      </c>
      <c r="CJ30" s="95">
        <f ca="1">IFERROR(__xludf.DUMMYFUNCTION("""COMPUTED_VALUE"""),853)</f>
        <v>853</v>
      </c>
      <c r="CK30" s="95">
        <f ca="1">IFERROR(__xludf.DUMMYFUNCTION("""COMPUTED_VALUE"""),180)</f>
        <v>180</v>
      </c>
      <c r="CL30" s="95">
        <f ca="1">IFERROR(__xludf.DUMMYFUNCTION("""COMPUTED_VALUE"""),0)</f>
        <v>0</v>
      </c>
      <c r="CM30" s="96">
        <f t="shared" ca="1" si="20"/>
        <v>0</v>
      </c>
      <c r="CN30" s="103"/>
      <c r="CO30" s="4"/>
      <c r="CP30" s="100"/>
      <c r="CQ30" s="101"/>
      <c r="CR30" s="4"/>
      <c r="CS30" s="4"/>
      <c r="CT30" s="4"/>
      <c r="CU30" s="4"/>
      <c r="CV30" s="4"/>
      <c r="CW30" s="101"/>
      <c r="CX30" s="51"/>
      <c r="CY30" s="4"/>
      <c r="CZ30" s="4"/>
    </row>
    <row r="31" spans="1:104" ht="15.6">
      <c r="A31" s="1" t="s">
        <v>118</v>
      </c>
      <c r="B31" s="1" t="s">
        <v>436</v>
      </c>
      <c r="C31" s="1" t="s">
        <v>116</v>
      </c>
      <c r="D31" s="1" t="s">
        <v>499</v>
      </c>
      <c r="E31" s="1" t="s">
        <v>500</v>
      </c>
      <c r="F31" s="104">
        <v>44046</v>
      </c>
      <c r="G31" s="76">
        <v>0</v>
      </c>
      <c r="H31" s="76">
        <v>23499996</v>
      </c>
      <c r="I31" s="77">
        <v>16007147.9</v>
      </c>
      <c r="J31" s="77">
        <v>0</v>
      </c>
      <c r="K31" s="4">
        <v>104</v>
      </c>
      <c r="L31" s="4">
        <v>115</v>
      </c>
      <c r="M31" s="4">
        <v>11</v>
      </c>
      <c r="N31" s="4">
        <v>115</v>
      </c>
      <c r="O31" s="4">
        <v>0</v>
      </c>
      <c r="P31" s="77">
        <v>14760705.449999999</v>
      </c>
      <c r="Q31" s="77">
        <v>1246442.45</v>
      </c>
      <c r="R31" s="4">
        <v>91</v>
      </c>
      <c r="S31" s="4">
        <v>11</v>
      </c>
      <c r="T31" s="4">
        <v>102</v>
      </c>
      <c r="U31" s="4">
        <v>0</v>
      </c>
      <c r="V31" s="4">
        <v>4</v>
      </c>
      <c r="W31" s="4">
        <v>11</v>
      </c>
      <c r="X31" s="4">
        <v>0</v>
      </c>
      <c r="Y31" s="4">
        <v>1</v>
      </c>
      <c r="Z31" s="4">
        <v>11</v>
      </c>
      <c r="AA31" s="4">
        <v>0</v>
      </c>
      <c r="AB31" s="4">
        <v>0</v>
      </c>
      <c r="AC31" s="4">
        <v>1</v>
      </c>
      <c r="AD31" s="4">
        <v>1</v>
      </c>
      <c r="AE31" s="4">
        <v>2005</v>
      </c>
      <c r="AF31" s="4">
        <v>2028</v>
      </c>
      <c r="AG31" s="4">
        <v>289</v>
      </c>
      <c r="AH31" s="76">
        <f t="shared" si="1"/>
        <v>55388.055017301042</v>
      </c>
      <c r="AI31" s="76">
        <f t="shared" si="2"/>
        <v>7.0173010380622838</v>
      </c>
      <c r="AJ31" s="78">
        <f>BV31</f>
        <v>40380</v>
      </c>
      <c r="AK31" s="76">
        <f t="shared" si="34"/>
        <v>484560</v>
      </c>
      <c r="AL31" s="49">
        <v>225757</v>
      </c>
      <c r="AM31" s="80">
        <f t="shared" si="4"/>
        <v>4.4374988251342389E-2</v>
      </c>
      <c r="AN31" s="76">
        <f t="shared" si="5"/>
        <v>156932.82254901962</v>
      </c>
      <c r="AO31" s="102">
        <f t="shared" si="32"/>
        <v>0.68115534572856951</v>
      </c>
      <c r="AP31" s="82">
        <v>0</v>
      </c>
      <c r="AQ31" s="4">
        <v>677</v>
      </c>
      <c r="AR31" s="4">
        <v>3260</v>
      </c>
      <c r="AS31" s="4">
        <v>5215.62</v>
      </c>
      <c r="AT31" s="4">
        <v>11</v>
      </c>
      <c r="AU31" s="4">
        <v>45</v>
      </c>
      <c r="AV31" s="1">
        <v>102</v>
      </c>
      <c r="AW31" s="1">
        <v>13</v>
      </c>
      <c r="AX31" s="1">
        <v>0</v>
      </c>
      <c r="AY31" s="86" t="str">
        <f>IFERROR(VLOOKUP(C31,#REF!,13,0),"")</f>
        <v/>
      </c>
      <c r="AZ31" s="87"/>
      <c r="BA31" s="1" t="str">
        <f t="shared" si="6"/>
        <v>Active</v>
      </c>
      <c r="BB31" s="1" t="e">
        <f t="shared" ca="1" si="7"/>
        <v>#NAME?</v>
      </c>
      <c r="BC31" s="1" t="e">
        <f t="shared" ca="1" si="33"/>
        <v>#NAME?</v>
      </c>
      <c r="BD31" s="33">
        <f t="shared" si="35"/>
        <v>12</v>
      </c>
      <c r="BE31" s="88" t="str">
        <v/>
      </c>
      <c r="BF31" s="1">
        <f t="shared" si="9"/>
        <v>0</v>
      </c>
      <c r="BG31" s="1" t="s">
        <v>428</v>
      </c>
      <c r="BH31" s="89">
        <f ca="1">IFERROR(__xludf.DUMMYFUNCTION("""COMPUTED_VALUE"""),16241492.24)</f>
        <v>16241492.24</v>
      </c>
      <c r="BI31" s="89">
        <f ca="1">IFERROR(__xludf.DUMMYFUNCTION("""COMPUTED_VALUE"""),13214504.4)</f>
        <v>13214504.4</v>
      </c>
      <c r="BJ31" s="90"/>
      <c r="BK31" s="91"/>
      <c r="BL31" s="91">
        <f t="shared" si="10"/>
        <v>0</v>
      </c>
      <c r="BM31" s="91">
        <f t="shared" si="11"/>
        <v>23499996</v>
      </c>
      <c r="BN31" s="91"/>
      <c r="BO31" s="92">
        <f ca="1">IFERROR(__xludf.DUMMYFUNCTION("IFERROR(ArrayFormula(SUM(VLOOKUP($C31,importrange(""1MwNMVzWE3QBVOyJjKr3eFX-Sq1Ng0Q1sghWJbgbE_8g"",""ORDER BOOKING REPORT 2024-25!C:CV""),{16,23,30},0))))"),2974825.3)</f>
        <v>2974825.3</v>
      </c>
      <c r="BP31" s="92">
        <f ca="1">IFERROR(__xludf.DUMMYFUNCTION("IFERROR(ArrayFormula(SUM(VLOOKUP($C31,importrange(""1MwNMVzWE3QBVOyJjKr3eFX-Sq1Ng0Q1sghWJbgbE_8g"",""ORDER BOOKING REPORT 2024-25!C:CV""),{37,44,51},0))))"),3160124)</f>
        <v>3160124</v>
      </c>
      <c r="BQ31" s="92">
        <f ca="1">IFERROR(__xludf.DUMMYFUNCTION("IFERROR(ArrayFormula(SUM(VLOOKUP($C31,importrange(""1MwNMVzWE3QBVOyJjKr3eFX-Sq1Ng0Q1sghWJbgbE_8g"",""ORDER BOOKING REPORT 2024-25!C:CV""),{58,65,72},0))))"),3342748.4)</f>
        <v>3342748.4</v>
      </c>
      <c r="BR31" s="92">
        <f ca="1">IFERROR(__xludf.DUMMYFUNCTION("IFERROR(ArrayFormula(SUM(VLOOKUP($C31,importrange(""1MwNMVzWE3QBVOyJjKr3eFX-Sq1Ng0Q1sghWJbgbE_8g"",""ORDER BOOKING REPORT 2024-25!C:CV""),{79,86,93},0))))"),3736806.7)</f>
        <v>3736806.7</v>
      </c>
      <c r="BS31" s="93" t="str">
        <f t="shared" si="12"/>
        <v/>
      </c>
      <c r="BT31" s="93" t="str">
        <f t="shared" si="13"/>
        <v/>
      </c>
      <c r="BU31" s="37">
        <f t="shared" si="14"/>
        <v>0</v>
      </c>
      <c r="BV31" s="94">
        <v>40380</v>
      </c>
      <c r="BW31" s="94" t="s">
        <v>501</v>
      </c>
      <c r="BX31" s="94">
        <v>601</v>
      </c>
      <c r="BY31" s="37">
        <f t="shared" si="15"/>
        <v>0</v>
      </c>
      <c r="BZ31" s="37"/>
      <c r="CA31" s="37"/>
      <c r="CB31" s="37"/>
      <c r="CC31" s="37"/>
      <c r="CD31" s="37"/>
      <c r="CE31" s="37"/>
      <c r="CF31" s="37"/>
      <c r="CG31" s="37" t="str">
        <f t="shared" si="18"/>
        <v xml:space="preserve"> </v>
      </c>
      <c r="CH31" s="37" t="str">
        <f t="shared" si="26"/>
        <v>Business Achieved 50%</v>
      </c>
      <c r="CI31" s="93">
        <f t="shared" si="19"/>
        <v>0.88695652173913042</v>
      </c>
      <c r="CJ31" s="105">
        <f ca="1">IFERROR(__xludf.DUMMYFUNCTION("""COMPUTED_VALUE"""),1846)</f>
        <v>1846</v>
      </c>
      <c r="CK31" s="105">
        <f ca="1">IFERROR(__xludf.DUMMYFUNCTION("""COMPUTED_VALUE"""),159)</f>
        <v>159</v>
      </c>
      <c r="CL31" s="105">
        <f ca="1">IFERROR(__xludf.DUMMYFUNCTION("""COMPUTED_VALUE"""),0)</f>
        <v>0</v>
      </c>
      <c r="CM31" s="96">
        <f t="shared" ca="1" si="20"/>
        <v>0</v>
      </c>
      <c r="CN31" s="106"/>
      <c r="CO31" s="93"/>
      <c r="CP31" s="107"/>
      <c r="CQ31" s="110"/>
      <c r="CR31" s="93"/>
      <c r="CS31" s="93"/>
      <c r="CT31" s="93"/>
      <c r="CU31" s="93"/>
      <c r="CV31" s="93"/>
      <c r="CW31" s="93"/>
      <c r="CX31" s="51"/>
      <c r="CY31" s="93"/>
      <c r="CZ31" s="93"/>
    </row>
    <row r="32" spans="1:104" ht="15.6">
      <c r="A32" s="1" t="s">
        <v>118</v>
      </c>
      <c r="B32" s="1" t="s">
        <v>372</v>
      </c>
      <c r="C32" s="1" t="s">
        <v>122</v>
      </c>
      <c r="D32" s="1" t="s">
        <v>447</v>
      </c>
      <c r="E32" s="1" t="s">
        <v>503</v>
      </c>
      <c r="F32" s="104">
        <v>44166</v>
      </c>
      <c r="G32" s="76">
        <v>0</v>
      </c>
      <c r="H32" s="76">
        <v>18000000</v>
      </c>
      <c r="I32" s="77">
        <v>9992477.7799999993</v>
      </c>
      <c r="J32" s="77">
        <v>0</v>
      </c>
      <c r="K32" s="4">
        <v>42</v>
      </c>
      <c r="L32" s="4">
        <v>47</v>
      </c>
      <c r="M32" s="4">
        <v>5</v>
      </c>
      <c r="N32" s="4">
        <v>47</v>
      </c>
      <c r="O32" s="4">
        <v>0</v>
      </c>
      <c r="P32" s="77">
        <v>7806266.1799999997</v>
      </c>
      <c r="Q32" s="77">
        <v>2186211.6</v>
      </c>
      <c r="R32" s="4">
        <v>24</v>
      </c>
      <c r="S32" s="4">
        <v>5</v>
      </c>
      <c r="T32" s="4">
        <v>29</v>
      </c>
      <c r="U32" s="4">
        <v>0</v>
      </c>
      <c r="V32" s="4">
        <v>16</v>
      </c>
      <c r="W32" s="4">
        <v>26</v>
      </c>
      <c r="X32" s="4">
        <v>18</v>
      </c>
      <c r="Y32" s="4">
        <v>2</v>
      </c>
      <c r="Z32" s="4">
        <v>79</v>
      </c>
      <c r="AA32" s="4">
        <v>0</v>
      </c>
      <c r="AB32" s="4">
        <v>0</v>
      </c>
      <c r="AC32" s="4">
        <v>0</v>
      </c>
      <c r="AD32" s="4">
        <v>0</v>
      </c>
      <c r="AE32" s="4">
        <v>881</v>
      </c>
      <c r="AF32" s="4">
        <v>986</v>
      </c>
      <c r="AG32" s="4">
        <v>293</v>
      </c>
      <c r="AH32" s="76">
        <f t="shared" si="1"/>
        <v>34104.019726962455</v>
      </c>
      <c r="AI32" s="76">
        <f t="shared" si="2"/>
        <v>3.3651877133105801</v>
      </c>
      <c r="AJ32" s="78">
        <v>27200</v>
      </c>
      <c r="AK32" s="76">
        <f t="shared" si="34"/>
        <v>326400</v>
      </c>
      <c r="AL32" s="79">
        <v>174096</v>
      </c>
      <c r="AM32" s="80">
        <f t="shared" si="4"/>
        <v>5.0087276751492563E-2</v>
      </c>
      <c r="AN32" s="76">
        <f t="shared" si="5"/>
        <v>344568.19931034482</v>
      </c>
      <c r="AO32" s="102">
        <f t="shared" si="32"/>
        <v>0.55513765444444441</v>
      </c>
      <c r="AP32" s="82">
        <v>0</v>
      </c>
      <c r="AQ32" s="4">
        <v>94</v>
      </c>
      <c r="AR32" s="4">
        <v>2375</v>
      </c>
      <c r="AS32" s="4">
        <v>1598.05</v>
      </c>
      <c r="AT32" s="4">
        <v>5</v>
      </c>
      <c r="AU32" s="4">
        <v>34</v>
      </c>
      <c r="AV32" s="1">
        <v>29</v>
      </c>
      <c r="AW32" s="1">
        <v>18</v>
      </c>
      <c r="AX32" s="1">
        <v>0</v>
      </c>
      <c r="AY32" s="86" t="str">
        <f>IFERROR(VLOOKUP(C32,#REF!,13,0),"")</f>
        <v/>
      </c>
      <c r="AZ32" s="87"/>
      <c r="BA32" s="1" t="str">
        <f t="shared" si="6"/>
        <v>Active</v>
      </c>
      <c r="BB32" s="1" t="e">
        <f t="shared" ca="1" si="7"/>
        <v>#NAME?</v>
      </c>
      <c r="BC32" s="1" t="e">
        <f t="shared" ca="1" si="33"/>
        <v>#NAME?</v>
      </c>
      <c r="BD32" s="33">
        <f t="shared" si="35"/>
        <v>12</v>
      </c>
      <c r="BE32" s="88" t="str">
        <v/>
      </c>
      <c r="BF32" s="1">
        <f t="shared" si="9"/>
        <v>0</v>
      </c>
      <c r="BG32" s="1" t="s">
        <v>428</v>
      </c>
      <c r="BH32" s="89">
        <f ca="1">IFERROR(__xludf.DUMMYFUNCTION("""COMPUTED_VALUE"""),6083540)</f>
        <v>6083540</v>
      </c>
      <c r="BI32" s="89">
        <f ca="1">IFERROR(__xludf.DUMMYFUNCTION("""COMPUTED_VALUE"""),2693150.7)</f>
        <v>2693150.7</v>
      </c>
      <c r="BJ32" s="90"/>
      <c r="BK32" s="91"/>
      <c r="BL32" s="91">
        <f t="shared" si="10"/>
        <v>0</v>
      </c>
      <c r="BM32" s="91">
        <f t="shared" si="11"/>
        <v>18000000</v>
      </c>
      <c r="BN32" s="91"/>
      <c r="BO32" s="92">
        <f ca="1">IFERROR(__xludf.DUMMYFUNCTION("IFERROR(ArrayFormula(SUM(VLOOKUP($C32,importrange(""1MwNMVzWE3QBVOyJjKr3eFX-Sq1Ng0Q1sghWJbgbE_8g"",""ORDER BOOKING REPORT 2024-25!C:CV""),{16,23,30},0))))"),0)</f>
        <v>0</v>
      </c>
      <c r="BP32" s="92">
        <f ca="1">IFERROR(__xludf.DUMMYFUNCTION("IFERROR(ArrayFormula(SUM(VLOOKUP($C32,importrange(""1MwNMVzWE3QBVOyJjKr3eFX-Sq1Ng0Q1sghWJbgbE_8g"",""ORDER BOOKING REPORT 2024-25!C:CV""),{37,44,51},0))))"),0)</f>
        <v>0</v>
      </c>
      <c r="BQ32" s="92">
        <f ca="1">IFERROR(__xludf.DUMMYFUNCTION("IFERROR(ArrayFormula(SUM(VLOOKUP($C32,importrange(""1MwNMVzWE3QBVOyJjKr3eFX-Sq1Ng0Q1sghWJbgbE_8g"",""ORDER BOOKING REPORT 2024-25!C:CV""),{58,65,72},0))))"),1012125.9)</f>
        <v>1012125.9</v>
      </c>
      <c r="BR32" s="92">
        <f ca="1">IFERROR(__xludf.DUMMYFUNCTION("IFERROR(ArrayFormula(SUM(VLOOKUP($C32,importrange(""1MwNMVzWE3QBVOyJjKr3eFX-Sq1Ng0Q1sghWJbgbE_8g"",""ORDER BOOKING REPORT 2024-25!C:CV""),{79,86,93},0))))"),1681024.8)</f>
        <v>1681024.8</v>
      </c>
      <c r="BS32" s="93" t="str">
        <f t="shared" si="12"/>
        <v/>
      </c>
      <c r="BT32" s="93" t="str">
        <f t="shared" si="13"/>
        <v/>
      </c>
      <c r="BU32" s="37">
        <f t="shared" si="14"/>
        <v>0</v>
      </c>
      <c r="BV32" s="94">
        <v>27200</v>
      </c>
      <c r="BW32" s="94" t="s">
        <v>476</v>
      </c>
      <c r="BX32" s="94">
        <v>719</v>
      </c>
      <c r="BY32" s="37">
        <f t="shared" si="15"/>
        <v>0</v>
      </c>
      <c r="BZ32" s="37"/>
      <c r="CA32" s="37"/>
      <c r="CB32" s="37"/>
      <c r="CC32" s="37"/>
      <c r="CD32" s="37"/>
      <c r="CE32" s="37"/>
      <c r="CF32" s="37"/>
      <c r="CG32" s="37" t="str">
        <f t="shared" si="18"/>
        <v>Below 60</v>
      </c>
      <c r="CH32" s="37" t="str">
        <f t="shared" si="26"/>
        <v>Business Achieved 50%</v>
      </c>
      <c r="CI32" s="93">
        <f t="shared" si="19"/>
        <v>0.61702127659574468</v>
      </c>
      <c r="CJ32" s="95">
        <f ca="1">IFERROR(__xludf.DUMMYFUNCTION("""COMPUTED_VALUE"""),575)</f>
        <v>575</v>
      </c>
      <c r="CK32" s="95">
        <f ca="1">IFERROR(__xludf.DUMMYFUNCTION("""COMPUTED_VALUE"""),306)</f>
        <v>306</v>
      </c>
      <c r="CL32" s="95">
        <f ca="1">IFERROR(__xludf.DUMMYFUNCTION("""COMPUTED_VALUE"""),0)</f>
        <v>0</v>
      </c>
      <c r="CM32" s="96">
        <f t="shared" ca="1" si="20"/>
        <v>0</v>
      </c>
      <c r="CN32" s="103"/>
      <c r="CO32" s="4"/>
      <c r="CP32" s="100"/>
      <c r="CQ32" s="101"/>
      <c r="CR32" s="4"/>
      <c r="CS32" s="4"/>
      <c r="CT32" s="4"/>
      <c r="CU32" s="4"/>
      <c r="CV32" s="4"/>
      <c r="CW32" s="101"/>
      <c r="CX32" s="51"/>
      <c r="CY32" s="4"/>
      <c r="CZ32" s="4"/>
    </row>
    <row r="33" spans="1:104" ht="15.6">
      <c r="A33" s="1" t="s">
        <v>201</v>
      </c>
      <c r="B33" s="1" t="s">
        <v>438</v>
      </c>
      <c r="C33" s="1" t="s">
        <v>123</v>
      </c>
      <c r="D33" s="1" t="s">
        <v>504</v>
      </c>
      <c r="E33" s="1" t="s">
        <v>505</v>
      </c>
      <c r="F33" s="48">
        <v>44207</v>
      </c>
      <c r="G33" s="76">
        <v>0</v>
      </c>
      <c r="H33" s="76">
        <v>0</v>
      </c>
      <c r="I33" s="77">
        <v>306632.08</v>
      </c>
      <c r="J33" s="77">
        <v>0</v>
      </c>
      <c r="K33" s="4">
        <v>70</v>
      </c>
      <c r="L33" s="4">
        <v>44</v>
      </c>
      <c r="M33" s="4">
        <v>3</v>
      </c>
      <c r="N33" s="4">
        <v>73</v>
      </c>
      <c r="O33" s="4">
        <v>29</v>
      </c>
      <c r="P33" s="77">
        <v>306632.08</v>
      </c>
      <c r="Q33" s="77">
        <v>0</v>
      </c>
      <c r="R33" s="4">
        <v>13</v>
      </c>
      <c r="S33" s="4">
        <v>0</v>
      </c>
      <c r="T33" s="4">
        <v>13</v>
      </c>
      <c r="U33" s="4">
        <v>0</v>
      </c>
      <c r="V33" s="4">
        <v>3</v>
      </c>
      <c r="W33" s="4">
        <v>4</v>
      </c>
      <c r="X33" s="4">
        <v>69</v>
      </c>
      <c r="Y33" s="4">
        <v>1</v>
      </c>
      <c r="Z33" s="4">
        <v>1</v>
      </c>
      <c r="AA33" s="4">
        <v>0</v>
      </c>
      <c r="AB33" s="4">
        <v>0</v>
      </c>
      <c r="AC33" s="4">
        <v>0</v>
      </c>
      <c r="AD33" s="4">
        <v>0</v>
      </c>
      <c r="AE33" s="4">
        <v>74</v>
      </c>
      <c r="AF33" s="4">
        <v>79</v>
      </c>
      <c r="AG33" s="4">
        <v>23</v>
      </c>
      <c r="AH33" s="76">
        <f t="shared" si="1"/>
        <v>13331.829565217393</v>
      </c>
      <c r="AI33" s="76">
        <f t="shared" si="2"/>
        <v>3.4347826086956523</v>
      </c>
      <c r="AJ33" s="78">
        <v>40085</v>
      </c>
      <c r="AK33" s="76">
        <f t="shared" si="34"/>
        <v>40085</v>
      </c>
      <c r="AL33" s="49">
        <v>10260</v>
      </c>
      <c r="AM33" s="80">
        <f t="shared" si="4"/>
        <v>0.16418699569855835</v>
      </c>
      <c r="AN33" s="76">
        <f t="shared" si="5"/>
        <v>23587.083076923078</v>
      </c>
      <c r="AO33" s="49" t="s">
        <v>161</v>
      </c>
      <c r="AP33" s="82">
        <v>0</v>
      </c>
      <c r="AQ33" s="4">
        <v>19</v>
      </c>
      <c r="AR33" s="4">
        <v>196</v>
      </c>
      <c r="AS33" s="4">
        <v>0</v>
      </c>
      <c r="AT33" s="4">
        <v>0</v>
      </c>
      <c r="AU33" s="4">
        <v>0</v>
      </c>
      <c r="AV33" s="1">
        <v>13</v>
      </c>
      <c r="AW33" s="1">
        <v>35</v>
      </c>
      <c r="AX33" s="1">
        <v>25</v>
      </c>
      <c r="AY33" s="86" t="str">
        <f>IFERROR(VLOOKUP(C33,#REF!,13,0),"")</f>
        <v/>
      </c>
      <c r="AZ33" s="111">
        <v>45777</v>
      </c>
      <c r="BA33" s="1" t="str">
        <f t="shared" si="6"/>
        <v>LEFT</v>
      </c>
      <c r="BB33" s="1" t="e">
        <f t="shared" ca="1" si="7"/>
        <v>#NAME?</v>
      </c>
      <c r="BC33" s="4" t="s">
        <v>161</v>
      </c>
      <c r="BD33" s="33">
        <v>1</v>
      </c>
      <c r="BE33" s="88" t="str">
        <v/>
      </c>
      <c r="BF33" s="1">
        <f t="shared" si="9"/>
        <v>3</v>
      </c>
      <c r="BG33" s="1" t="s">
        <v>428</v>
      </c>
      <c r="BH33" s="89">
        <f ca="1">IFERROR(__xludf.DUMMYFUNCTION("""COMPUTED_VALUE"""),7509183)</f>
        <v>7509183</v>
      </c>
      <c r="BI33" s="89">
        <f ca="1">IFERROR(__xludf.DUMMYFUNCTION("""COMPUTED_VALUE"""),8237376)</f>
        <v>8237376</v>
      </c>
      <c r="BJ33" s="90"/>
      <c r="BK33" s="91"/>
      <c r="BL33" s="91">
        <f t="shared" si="10"/>
        <v>0</v>
      </c>
      <c r="BM33" s="91">
        <f t="shared" si="11"/>
        <v>0</v>
      </c>
      <c r="BN33" s="91"/>
      <c r="BO33" s="92">
        <f ca="1">IFERROR(__xludf.DUMMYFUNCTION("IFERROR(ArrayFormula(SUM(VLOOKUP($C33,importrange(""1MwNMVzWE3QBVOyJjKr3eFX-Sq1Ng0Q1sghWJbgbE_8g"",""ORDER BOOKING REPORT 2024-25!C:CV""),{16,23,30},0))))"),2321738.42)</f>
        <v>2321738.42</v>
      </c>
      <c r="BP33" s="92">
        <f ca="1">IFERROR(__xludf.DUMMYFUNCTION("IFERROR(ArrayFormula(SUM(VLOOKUP($C33,importrange(""1MwNMVzWE3QBVOyJjKr3eFX-Sq1Ng0Q1sghWJbgbE_8g"",""ORDER BOOKING REPORT 2024-25!C:CV""),{37,44,51},0))))"),1906434.27999999)</f>
        <v>1906434.27999999</v>
      </c>
      <c r="BQ33" s="92">
        <f ca="1">IFERROR(__xludf.DUMMYFUNCTION("IFERROR(ArrayFormula(SUM(VLOOKUP($C33,importrange(""1MwNMVzWE3QBVOyJjKr3eFX-Sq1Ng0Q1sghWJbgbE_8g"",""ORDER BOOKING REPORT 2024-25!C:CV""),{58,65,72},0))))"),1968845.5)</f>
        <v>1968845.5</v>
      </c>
      <c r="BR33" s="92">
        <f ca="1">IFERROR(__xludf.DUMMYFUNCTION("IFERROR(ArrayFormula(SUM(VLOOKUP($C33,importrange(""1MwNMVzWE3QBVOyJjKr3eFX-Sq1Ng0Q1sghWJbgbE_8g"",""ORDER BOOKING REPORT 2024-25!C:CV""),{79,86,93},0))))"),2040357.79999999)</f>
        <v>2040357.79999999</v>
      </c>
      <c r="BS33" s="93" t="str">
        <f t="shared" si="12"/>
        <v/>
      </c>
      <c r="BT33" s="93" t="str">
        <f t="shared" si="13"/>
        <v/>
      </c>
      <c r="BU33" s="37">
        <f t="shared" si="14"/>
        <v>0</v>
      </c>
      <c r="BV33" s="94"/>
      <c r="BW33" s="94"/>
      <c r="BX33" s="94"/>
      <c r="BY33" s="37">
        <f t="shared" si="15"/>
        <v>-40085</v>
      </c>
      <c r="BZ33" s="37"/>
      <c r="CA33" s="37"/>
      <c r="CB33" s="37"/>
      <c r="CC33" s="37"/>
      <c r="CD33" s="37"/>
      <c r="CE33" s="37"/>
      <c r="CF33" s="37"/>
      <c r="CG33" s="37" t="str">
        <f t="shared" si="18"/>
        <v xml:space="preserve"> </v>
      </c>
      <c r="CH33" s="37" t="str">
        <f t="shared" si="26"/>
        <v>Not 50%</v>
      </c>
      <c r="CI33" s="93">
        <f t="shared" si="19"/>
        <v>0.17808219178082191</v>
      </c>
      <c r="CJ33" s="105">
        <f ca="1">IFERROR(__xludf.DUMMYFUNCTION("""COMPUTED_VALUE"""),16)</f>
        <v>16</v>
      </c>
      <c r="CK33" s="105">
        <f ca="1">IFERROR(__xludf.DUMMYFUNCTION("""COMPUTED_VALUE"""),58)</f>
        <v>58</v>
      </c>
      <c r="CL33" s="105">
        <f ca="1">IFERROR(__xludf.DUMMYFUNCTION("""COMPUTED_VALUE"""),0)</f>
        <v>0</v>
      </c>
      <c r="CM33" s="96">
        <f t="shared" ca="1" si="20"/>
        <v>0</v>
      </c>
      <c r="CN33" s="106"/>
      <c r="CO33" s="93"/>
      <c r="CP33" s="107"/>
      <c r="CQ33" s="110"/>
      <c r="CR33" s="93"/>
      <c r="CS33" s="93"/>
      <c r="CT33" s="93"/>
      <c r="CU33" s="93"/>
      <c r="CV33" s="93"/>
      <c r="CW33" s="93"/>
      <c r="CX33" s="51"/>
      <c r="CY33" s="93"/>
      <c r="CZ33" s="93"/>
    </row>
    <row r="34" spans="1:104" ht="15.6">
      <c r="A34" s="1" t="s">
        <v>108</v>
      </c>
      <c r="B34" s="1" t="s">
        <v>465</v>
      </c>
      <c r="C34" s="1" t="s">
        <v>128</v>
      </c>
      <c r="D34" s="1" t="s">
        <v>506</v>
      </c>
      <c r="E34" s="1" t="s">
        <v>507</v>
      </c>
      <c r="F34" s="48">
        <v>44224</v>
      </c>
      <c r="G34" s="76">
        <v>0</v>
      </c>
      <c r="H34" s="76">
        <v>0</v>
      </c>
      <c r="I34" s="77">
        <v>0</v>
      </c>
      <c r="J34" s="77">
        <v>0</v>
      </c>
      <c r="K34" s="4">
        <v>147</v>
      </c>
      <c r="L34" s="4">
        <v>43</v>
      </c>
      <c r="M34" s="4">
        <v>6</v>
      </c>
      <c r="N34" s="4">
        <v>153</v>
      </c>
      <c r="O34" s="4">
        <v>110</v>
      </c>
      <c r="P34" s="77">
        <v>0</v>
      </c>
      <c r="Q34" s="77">
        <v>0</v>
      </c>
      <c r="R34" s="4">
        <v>0</v>
      </c>
      <c r="S34" s="4">
        <v>0</v>
      </c>
      <c r="T34" s="4">
        <v>0</v>
      </c>
      <c r="U34" s="4">
        <v>0</v>
      </c>
      <c r="V34" s="4">
        <v>2</v>
      </c>
      <c r="W34" s="4">
        <v>2</v>
      </c>
      <c r="X34" s="4">
        <v>43</v>
      </c>
      <c r="Y34" s="4">
        <v>1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>
        <v>76</v>
      </c>
      <c r="AF34" s="4">
        <v>79</v>
      </c>
      <c r="AG34" s="4">
        <v>18</v>
      </c>
      <c r="AH34" s="76">
        <f t="shared" si="1"/>
        <v>0</v>
      </c>
      <c r="AI34" s="76">
        <f t="shared" si="2"/>
        <v>4.3888888888888893</v>
      </c>
      <c r="AJ34" s="112">
        <v>35543</v>
      </c>
      <c r="AK34" s="76">
        <f t="shared" si="34"/>
        <v>31988.7</v>
      </c>
      <c r="AL34" s="49">
        <v>9680</v>
      </c>
      <c r="AM34" s="80" t="str">
        <f t="shared" si="4"/>
        <v/>
      </c>
      <c r="AN34" s="76" t="str">
        <f t="shared" si="5"/>
        <v/>
      </c>
      <c r="AO34" s="49" t="s">
        <v>161</v>
      </c>
      <c r="AP34" s="82">
        <v>0</v>
      </c>
      <c r="AQ34" s="4">
        <v>0</v>
      </c>
      <c r="AR34" s="4">
        <v>142</v>
      </c>
      <c r="AS34" s="4">
        <v>0</v>
      </c>
      <c r="AT34" s="4">
        <v>0</v>
      </c>
      <c r="AU34" s="4">
        <v>0</v>
      </c>
      <c r="AV34" s="1">
        <v>0</v>
      </c>
      <c r="AW34" s="1">
        <v>43</v>
      </c>
      <c r="AX34" s="1">
        <v>110</v>
      </c>
      <c r="AY34" s="86" t="str">
        <f>IFERROR(VLOOKUP(C34,#REF!,13,0),"")</f>
        <v/>
      </c>
      <c r="AZ34" s="111">
        <v>45774</v>
      </c>
      <c r="BA34" s="1" t="str">
        <f t="shared" si="6"/>
        <v>LEFT</v>
      </c>
      <c r="BB34" s="1" t="e">
        <f t="shared" ca="1" si="7"/>
        <v>#NAME?</v>
      </c>
      <c r="BC34" s="4" t="s">
        <v>161</v>
      </c>
      <c r="BD34" s="33">
        <f>(30-3)/30</f>
        <v>0.9</v>
      </c>
      <c r="BE34" s="88" t="str">
        <v/>
      </c>
      <c r="BF34" s="1">
        <f t="shared" si="9"/>
        <v>6</v>
      </c>
      <c r="BG34" s="1" t="s">
        <v>423</v>
      </c>
      <c r="BH34" s="89"/>
      <c r="BI34" s="89"/>
      <c r="BJ34" s="109">
        <f>27/30</f>
        <v>0.9</v>
      </c>
      <c r="BK34" s="113"/>
      <c r="BL34" s="91">
        <f t="shared" si="10"/>
        <v>0</v>
      </c>
      <c r="BM34" s="91">
        <f t="shared" si="11"/>
        <v>0</v>
      </c>
      <c r="BN34" s="91"/>
      <c r="BO34" s="92" t="str">
        <f ca="1">IFERROR(__xludf.DUMMYFUNCTION("IFERROR(ArrayFormula(SUM(VLOOKUP($C34,importrange(""1MwNMVzWE3QBVOyJjKr3eFX-Sq1Ng0Q1sghWJbgbE_8g"",""ORDER BOOKING REPORT 2024-25!C:CV""),{16,23,30},0))))"),"")</f>
        <v/>
      </c>
      <c r="BP34" s="92" t="str">
        <f ca="1">IFERROR(__xludf.DUMMYFUNCTION("IFERROR(ArrayFormula(SUM(VLOOKUP($C34,importrange(""1MwNMVzWE3QBVOyJjKr3eFX-Sq1Ng0Q1sghWJbgbE_8g"",""ORDER BOOKING REPORT 2024-25!C:CV""),{37,44,51},0))))"),"")</f>
        <v/>
      </c>
      <c r="BQ34" s="92" t="str">
        <f ca="1">IFERROR(__xludf.DUMMYFUNCTION("IFERROR(ArrayFormula(SUM(VLOOKUP($C34,importrange(""1MwNMVzWE3QBVOyJjKr3eFX-Sq1Ng0Q1sghWJbgbE_8g"",""ORDER BOOKING REPORT 2024-25!C:CV""),{58,65,72},0))))"),"")</f>
        <v/>
      </c>
      <c r="BR34" s="92" t="str">
        <f ca="1">IFERROR(__xludf.DUMMYFUNCTION("IFERROR(ArrayFormula(SUM(VLOOKUP($C34,importrange(""1MwNMVzWE3QBVOyJjKr3eFX-Sq1Ng0Q1sghWJbgbE_8g"",""ORDER BOOKING REPORT 2024-25!C:CV""),{79,86,93},0))))"),"")</f>
        <v/>
      </c>
      <c r="BS34" s="93" t="str">
        <f t="shared" si="12"/>
        <v/>
      </c>
      <c r="BT34" s="93" t="str">
        <f t="shared" si="13"/>
        <v/>
      </c>
      <c r="BU34" s="37">
        <f t="shared" si="14"/>
        <v>0</v>
      </c>
      <c r="BV34" s="94"/>
      <c r="BW34" s="94"/>
      <c r="BX34" s="94"/>
      <c r="BY34" s="37">
        <f t="shared" si="15"/>
        <v>-35543</v>
      </c>
      <c r="BZ34" s="37"/>
      <c r="CA34" s="37"/>
      <c r="CB34" s="37"/>
      <c r="CC34" s="37"/>
      <c r="CD34" s="37"/>
      <c r="CE34" s="37"/>
      <c r="CF34" s="37"/>
      <c r="CG34" s="37" t="str">
        <f t="shared" si="18"/>
        <v xml:space="preserve"> </v>
      </c>
      <c r="CH34" s="37" t="str">
        <f t="shared" si="26"/>
        <v>Not 50%</v>
      </c>
      <c r="CI34" s="93">
        <f t="shared" si="19"/>
        <v>0</v>
      </c>
      <c r="CJ34" s="105"/>
      <c r="CK34" s="105"/>
      <c r="CL34" s="105"/>
      <c r="CM34" s="96">
        <f t="shared" si="20"/>
        <v>76</v>
      </c>
      <c r="CN34" s="106"/>
      <c r="CO34" s="93"/>
      <c r="CP34" s="107"/>
      <c r="CQ34" s="110"/>
      <c r="CR34" s="93"/>
      <c r="CS34" s="93"/>
      <c r="CT34" s="93"/>
      <c r="CU34" s="93"/>
      <c r="CV34" s="93"/>
      <c r="CW34" s="93"/>
      <c r="CX34" s="51"/>
      <c r="CY34" s="93"/>
      <c r="CZ34" s="93"/>
    </row>
    <row r="35" spans="1:104" ht="15.6">
      <c r="A35" s="1" t="s">
        <v>118</v>
      </c>
      <c r="B35" s="1" t="s">
        <v>468</v>
      </c>
      <c r="C35" s="1" t="s">
        <v>132</v>
      </c>
      <c r="D35" s="1" t="s">
        <v>509</v>
      </c>
      <c r="E35" s="1" t="s">
        <v>510</v>
      </c>
      <c r="F35" s="104">
        <v>44228</v>
      </c>
      <c r="G35" s="76">
        <v>0</v>
      </c>
      <c r="H35" s="76">
        <v>42000000</v>
      </c>
      <c r="I35" s="77">
        <v>17398691.23</v>
      </c>
      <c r="J35" s="77">
        <v>0</v>
      </c>
      <c r="K35" s="4">
        <v>79</v>
      </c>
      <c r="L35" s="4">
        <v>79</v>
      </c>
      <c r="M35" s="4">
        <v>2</v>
      </c>
      <c r="N35" s="4">
        <v>81</v>
      </c>
      <c r="O35" s="4">
        <v>2</v>
      </c>
      <c r="P35" s="77">
        <v>17280608.850000001</v>
      </c>
      <c r="Q35" s="77">
        <v>118082.38</v>
      </c>
      <c r="R35" s="4">
        <v>50</v>
      </c>
      <c r="S35" s="4">
        <v>2</v>
      </c>
      <c r="T35" s="4">
        <v>52</v>
      </c>
      <c r="U35" s="4">
        <v>0</v>
      </c>
      <c r="V35" s="4">
        <v>57</v>
      </c>
      <c r="W35" s="4">
        <v>102</v>
      </c>
      <c r="X35" s="4">
        <v>93</v>
      </c>
      <c r="Y35" s="4">
        <v>1</v>
      </c>
      <c r="Z35" s="4">
        <v>233</v>
      </c>
      <c r="AA35" s="4">
        <v>0</v>
      </c>
      <c r="AB35" s="4">
        <v>0</v>
      </c>
      <c r="AC35" s="4">
        <v>0</v>
      </c>
      <c r="AD35" s="4">
        <v>0</v>
      </c>
      <c r="AE35" s="4">
        <v>602</v>
      </c>
      <c r="AF35" s="4">
        <v>937</v>
      </c>
      <c r="AG35" s="4">
        <v>292</v>
      </c>
      <c r="AH35" s="76">
        <f t="shared" si="1"/>
        <v>59584.559006849318</v>
      </c>
      <c r="AI35" s="76">
        <f t="shared" si="2"/>
        <v>3.2089041095890409</v>
      </c>
      <c r="AJ35" s="78">
        <v>40500</v>
      </c>
      <c r="AK35" s="76">
        <f t="shared" si="34"/>
        <v>486000</v>
      </c>
      <c r="AL35" s="79">
        <v>145405</v>
      </c>
      <c r="AM35" s="80">
        <f t="shared" si="4"/>
        <v>3.6290373319074067E-2</v>
      </c>
      <c r="AN35" s="76">
        <f t="shared" si="5"/>
        <v>334590.21596153849</v>
      </c>
      <c r="AO35" s="102">
        <f t="shared" ref="AO35:AO42" si="37">IFERROR(SUM(I35:J35)/SUM(G35:H35),"")</f>
        <v>0.41425455309523812</v>
      </c>
      <c r="AP35" s="82">
        <v>0</v>
      </c>
      <c r="AQ35" s="4">
        <v>268</v>
      </c>
      <c r="AR35" s="4">
        <v>2896</v>
      </c>
      <c r="AS35" s="4">
        <v>1823.62</v>
      </c>
      <c r="AT35" s="4">
        <v>2</v>
      </c>
      <c r="AU35" s="4">
        <v>23</v>
      </c>
      <c r="AV35" s="1">
        <v>52</v>
      </c>
      <c r="AW35" s="1">
        <v>27</v>
      </c>
      <c r="AX35" s="1">
        <v>2</v>
      </c>
      <c r="AY35" s="86" t="str">
        <f>IFERROR(VLOOKUP(C35,#REF!,13,0),"")</f>
        <v/>
      </c>
      <c r="AZ35" s="87"/>
      <c r="BA35" s="1" t="str">
        <f t="shared" si="6"/>
        <v>Active</v>
      </c>
      <c r="BB35" s="1" t="e">
        <f t="shared" ca="1" si="7"/>
        <v>#NAME?</v>
      </c>
      <c r="BC35" s="1" t="e">
        <f t="shared" ref="BC35:BC42" ca="1" si="38">_xludf.ifs(AO35&lt;50%,"Below 50%",AO35&lt;70%,"50%-70%",AO35&lt;90%,"70%-90%",AO35&lt;100%,"90%-100%",AO35&gt;100%,"Above 100%")</f>
        <v>#NAME?</v>
      </c>
      <c r="BD35" s="33">
        <f t="shared" ref="BD35:BD42" si="39">MATCH($BD$2,{"Apr","May","Jun","Jul","Aug","Sep","Oct","Nov","Dec","Jan","Feb","Mar"},0)</f>
        <v>12</v>
      </c>
      <c r="BE35" s="88" t="str">
        <v/>
      </c>
      <c r="BF35" s="1">
        <f t="shared" si="9"/>
        <v>0</v>
      </c>
      <c r="BG35" s="1" t="s">
        <v>428</v>
      </c>
      <c r="BH35" s="89">
        <f ca="1">IFERROR(__xludf.DUMMYFUNCTION("""COMPUTED_VALUE"""),27236545)</f>
        <v>27236545</v>
      </c>
      <c r="BI35" s="89">
        <f ca="1">IFERROR(__xludf.DUMMYFUNCTION("""COMPUTED_VALUE"""),21634877.9899999)</f>
        <v>21634877.989999902</v>
      </c>
      <c r="BJ35" s="90"/>
      <c r="BK35" s="91"/>
      <c r="BL35" s="91">
        <f t="shared" si="10"/>
        <v>0</v>
      </c>
      <c r="BM35" s="91">
        <f t="shared" si="11"/>
        <v>42000000</v>
      </c>
      <c r="BN35" s="91"/>
      <c r="BO35" s="92">
        <f ca="1">IFERROR(__xludf.DUMMYFUNCTION("IFERROR(ArrayFormula(SUM(VLOOKUP($C35,importrange(""1MwNMVzWE3QBVOyJjKr3eFX-Sq1Ng0Q1sghWJbgbE_8g"",""ORDER BOOKING REPORT 2024-25!C:CV""),{16,23,30},0))))"),4144773.80999999)</f>
        <v>4144773.8099999898</v>
      </c>
      <c r="BP35" s="92">
        <f ca="1">IFERROR(__xludf.DUMMYFUNCTION("IFERROR(ArrayFormula(SUM(VLOOKUP($C35,importrange(""1MwNMVzWE3QBVOyJjKr3eFX-Sq1Ng0Q1sghWJbgbE_8g"",""ORDER BOOKING REPORT 2024-25!C:CV""),{37,44,51},0))))"),6555039.09999999)</f>
        <v>6555039.0999999903</v>
      </c>
      <c r="BQ35" s="92">
        <f ca="1">IFERROR(__xludf.DUMMYFUNCTION("IFERROR(ArrayFormula(SUM(VLOOKUP($C35,importrange(""1MwNMVzWE3QBVOyJjKr3eFX-Sq1Ng0Q1sghWJbgbE_8g"",""ORDER BOOKING REPORT 2024-25!C:CV""),{58,65,72},0))))"),6288589.79999999)</f>
        <v>6288589.7999999896</v>
      </c>
      <c r="BR35" s="92">
        <f ca="1">IFERROR(__xludf.DUMMYFUNCTION("IFERROR(ArrayFormula(SUM(VLOOKUP($C35,importrange(""1MwNMVzWE3QBVOyJjKr3eFX-Sq1Ng0Q1sghWJbgbE_8g"",""ORDER BOOKING REPORT 2024-25!C:CV""),{79,86,93},0))))"),4646475.28)</f>
        <v>4646475.28</v>
      </c>
      <c r="BS35" s="93" t="str">
        <f t="shared" si="12"/>
        <v/>
      </c>
      <c r="BT35" s="93" t="str">
        <f t="shared" si="13"/>
        <v/>
      </c>
      <c r="BU35" s="37">
        <f t="shared" si="14"/>
        <v>0</v>
      </c>
      <c r="BV35" s="94">
        <v>40500</v>
      </c>
      <c r="BW35" s="94" t="s">
        <v>445</v>
      </c>
      <c r="BX35" s="94">
        <v>639</v>
      </c>
      <c r="BY35" s="37">
        <f t="shared" si="15"/>
        <v>0</v>
      </c>
      <c r="BZ35" s="37"/>
      <c r="CA35" s="37"/>
      <c r="CB35" s="37"/>
      <c r="CC35" s="37"/>
      <c r="CD35" s="37"/>
      <c r="CE35" s="37"/>
      <c r="CF35" s="37"/>
      <c r="CG35" s="37" t="str">
        <f t="shared" si="18"/>
        <v xml:space="preserve"> </v>
      </c>
      <c r="CH35" s="37" t="str">
        <f t="shared" si="26"/>
        <v>Business Achieved 50%</v>
      </c>
      <c r="CI35" s="93">
        <f t="shared" si="19"/>
        <v>0.64197530864197527</v>
      </c>
      <c r="CJ35" s="95">
        <f ca="1">IFERROR(__xludf.DUMMYFUNCTION("""COMPUTED_VALUE"""),487)</f>
        <v>487</v>
      </c>
      <c r="CK35" s="95">
        <f ca="1">IFERROR(__xludf.DUMMYFUNCTION("""COMPUTED_VALUE"""),115)</f>
        <v>115</v>
      </c>
      <c r="CL35" s="95">
        <f ca="1">IFERROR(__xludf.DUMMYFUNCTION("""COMPUTED_VALUE"""),0)</f>
        <v>0</v>
      </c>
      <c r="CM35" s="96">
        <f t="shared" ca="1" si="20"/>
        <v>0</v>
      </c>
      <c r="CN35" s="103"/>
      <c r="CO35" s="4"/>
      <c r="CP35" s="100"/>
      <c r="CQ35" s="101"/>
      <c r="CR35" s="4"/>
      <c r="CS35" s="4"/>
      <c r="CT35" s="4"/>
      <c r="CU35" s="4"/>
      <c r="CV35" s="4"/>
      <c r="CW35" s="101"/>
      <c r="CX35" s="51"/>
      <c r="CY35" s="4"/>
      <c r="CZ35" s="4"/>
    </row>
    <row r="36" spans="1:104" ht="15.6">
      <c r="A36" s="1" t="s">
        <v>201</v>
      </c>
      <c r="B36" s="1" t="s">
        <v>438</v>
      </c>
      <c r="C36" s="1" t="s">
        <v>134</v>
      </c>
      <c r="D36" s="1" t="s">
        <v>504</v>
      </c>
      <c r="E36" s="1" t="s">
        <v>511</v>
      </c>
      <c r="F36" s="48">
        <v>44245</v>
      </c>
      <c r="G36" s="76">
        <v>0</v>
      </c>
      <c r="H36" s="76">
        <v>27999996</v>
      </c>
      <c r="I36" s="77">
        <v>14192529.76</v>
      </c>
      <c r="J36" s="77">
        <v>0</v>
      </c>
      <c r="K36" s="4">
        <v>108</v>
      </c>
      <c r="L36" s="4">
        <v>120</v>
      </c>
      <c r="M36" s="4">
        <v>19</v>
      </c>
      <c r="N36" s="4">
        <v>127</v>
      </c>
      <c r="O36" s="4">
        <v>7</v>
      </c>
      <c r="P36" s="77">
        <v>12628642.73</v>
      </c>
      <c r="Q36" s="77">
        <v>1563887.03</v>
      </c>
      <c r="R36" s="4">
        <v>70</v>
      </c>
      <c r="S36" s="4">
        <v>19</v>
      </c>
      <c r="T36" s="4">
        <v>89</v>
      </c>
      <c r="U36" s="4">
        <v>0</v>
      </c>
      <c r="V36" s="4">
        <v>39</v>
      </c>
      <c r="W36" s="4">
        <v>62</v>
      </c>
      <c r="X36" s="4">
        <v>101</v>
      </c>
      <c r="Y36" s="4">
        <v>3</v>
      </c>
      <c r="Z36" s="4">
        <v>27</v>
      </c>
      <c r="AA36" s="4">
        <v>1</v>
      </c>
      <c r="AB36" s="4">
        <v>1</v>
      </c>
      <c r="AC36" s="4">
        <v>0</v>
      </c>
      <c r="AD36" s="4">
        <v>0</v>
      </c>
      <c r="AE36" s="4">
        <v>995</v>
      </c>
      <c r="AF36" s="4">
        <v>1085</v>
      </c>
      <c r="AG36" s="4">
        <v>287</v>
      </c>
      <c r="AH36" s="76">
        <f t="shared" si="1"/>
        <v>49451.32320557491</v>
      </c>
      <c r="AI36" s="76">
        <f t="shared" si="2"/>
        <v>3.7804878048780486</v>
      </c>
      <c r="AJ36" s="78">
        <f t="shared" ref="AJ36:AJ37" si="40">BV36</f>
        <v>41690</v>
      </c>
      <c r="AK36" s="76">
        <f t="shared" si="34"/>
        <v>500280</v>
      </c>
      <c r="AL36" s="49">
        <v>209570</v>
      </c>
      <c r="AM36" s="80">
        <f t="shared" si="4"/>
        <v>5.0015748566589587E-2</v>
      </c>
      <c r="AN36" s="76">
        <f t="shared" si="5"/>
        <v>159466.62651685392</v>
      </c>
      <c r="AO36" s="102">
        <f t="shared" si="37"/>
        <v>0.50687613526801933</v>
      </c>
      <c r="AP36" s="82">
        <v>0</v>
      </c>
      <c r="AQ36" s="4">
        <v>369</v>
      </c>
      <c r="AR36" s="4">
        <v>2854</v>
      </c>
      <c r="AS36" s="4">
        <v>3976.47</v>
      </c>
      <c r="AT36" s="4">
        <v>19</v>
      </c>
      <c r="AU36" s="4">
        <v>33</v>
      </c>
      <c r="AV36" s="1">
        <v>89</v>
      </c>
      <c r="AW36" s="1">
        <v>34</v>
      </c>
      <c r="AX36" s="1">
        <v>4</v>
      </c>
      <c r="AY36" s="86" t="str">
        <f>IFERROR(VLOOKUP(C36,#REF!,13,0),"")</f>
        <v/>
      </c>
      <c r="AZ36" s="87"/>
      <c r="BA36" s="1" t="str">
        <f t="shared" si="6"/>
        <v>Active</v>
      </c>
      <c r="BB36" s="1" t="e">
        <f t="shared" ca="1" si="7"/>
        <v>#NAME?</v>
      </c>
      <c r="BC36" s="1" t="e">
        <f t="shared" ca="1" si="38"/>
        <v>#NAME?</v>
      </c>
      <c r="BD36" s="33">
        <f t="shared" si="39"/>
        <v>12</v>
      </c>
      <c r="BE36" s="88" t="str">
        <v/>
      </c>
      <c r="BF36" s="1">
        <f t="shared" si="9"/>
        <v>0</v>
      </c>
      <c r="BG36" s="1" t="s">
        <v>428</v>
      </c>
      <c r="BH36" s="89">
        <f ca="1">IFERROR(__xludf.DUMMYFUNCTION("""COMPUTED_VALUE"""),15003664)</f>
        <v>15003664</v>
      </c>
      <c r="BI36" s="89">
        <f ca="1">IFERROR(__xludf.DUMMYFUNCTION("""COMPUTED_VALUE"""),10527128.0899999)</f>
        <v>10527128.089999899</v>
      </c>
      <c r="BJ36" s="90"/>
      <c r="BK36" s="91"/>
      <c r="BL36" s="91">
        <f t="shared" si="10"/>
        <v>0</v>
      </c>
      <c r="BM36" s="91">
        <f t="shared" si="11"/>
        <v>27999996</v>
      </c>
      <c r="BN36" s="91"/>
      <c r="BO36" s="92">
        <f ca="1">IFERROR(__xludf.DUMMYFUNCTION("IFERROR(ArrayFormula(SUM(VLOOKUP($C36,importrange(""1MwNMVzWE3QBVOyJjKr3eFX-Sq1Ng0Q1sghWJbgbE_8g"",""ORDER BOOKING REPORT 2024-25!C:CV""),{16,23,30},0))))"),1966032.9)</f>
        <v>1966032.9</v>
      </c>
      <c r="BP36" s="92">
        <f ca="1">IFERROR(__xludf.DUMMYFUNCTION("IFERROR(ArrayFormula(SUM(VLOOKUP($C36,importrange(""1MwNMVzWE3QBVOyJjKr3eFX-Sq1Ng0Q1sghWJbgbE_8g"",""ORDER BOOKING REPORT 2024-25!C:CV""),{37,44,51},0))))"),1856083.57)</f>
        <v>1856083.57</v>
      </c>
      <c r="BQ36" s="92">
        <f ca="1">IFERROR(__xludf.DUMMYFUNCTION("IFERROR(ArrayFormula(SUM(VLOOKUP($C36,importrange(""1MwNMVzWE3QBVOyJjKr3eFX-Sq1Ng0Q1sghWJbgbE_8g"",""ORDER BOOKING REPORT 2024-25!C:CV""),{58,65,72},0))))"),2460624.32)</f>
        <v>2460624.3199999998</v>
      </c>
      <c r="BR36" s="92">
        <f ca="1">IFERROR(__xludf.DUMMYFUNCTION("IFERROR(ArrayFormula(SUM(VLOOKUP($C36,importrange(""1MwNMVzWE3QBVOyJjKr3eFX-Sq1Ng0Q1sghWJbgbE_8g"",""ORDER BOOKING REPORT 2024-25!C:CV""),{79,86,93},0))))"),4244387.3)</f>
        <v>4244387.3</v>
      </c>
      <c r="BS36" s="93" t="str">
        <f t="shared" si="12"/>
        <v/>
      </c>
      <c r="BT36" s="93" t="str">
        <f t="shared" si="13"/>
        <v/>
      </c>
      <c r="BU36" s="37">
        <f t="shared" si="14"/>
        <v>0</v>
      </c>
      <c r="BV36" s="94">
        <v>41690</v>
      </c>
      <c r="BW36" s="94" t="s">
        <v>445</v>
      </c>
      <c r="BX36" s="94">
        <v>644</v>
      </c>
      <c r="BY36" s="37">
        <f t="shared" si="15"/>
        <v>0</v>
      </c>
      <c r="BZ36" s="37"/>
      <c r="CA36" s="37"/>
      <c r="CB36" s="37"/>
      <c r="CC36" s="37"/>
      <c r="CD36" s="37"/>
      <c r="CE36" s="37"/>
      <c r="CF36" s="37"/>
      <c r="CG36" s="37" t="str">
        <f t="shared" si="18"/>
        <v xml:space="preserve"> </v>
      </c>
      <c r="CH36" s="37" t="str">
        <f t="shared" si="26"/>
        <v>Business Achieved 50%</v>
      </c>
      <c r="CI36" s="93">
        <f t="shared" si="19"/>
        <v>0.70078740157480313</v>
      </c>
      <c r="CJ36" s="105">
        <f ca="1">IFERROR(__xludf.DUMMYFUNCTION("""COMPUTED_VALUE"""),801)</f>
        <v>801</v>
      </c>
      <c r="CK36" s="105">
        <f ca="1">IFERROR(__xludf.DUMMYFUNCTION("""COMPUTED_VALUE"""),194)</f>
        <v>194</v>
      </c>
      <c r="CL36" s="105">
        <f ca="1">IFERROR(__xludf.DUMMYFUNCTION("""COMPUTED_VALUE"""),0)</f>
        <v>0</v>
      </c>
      <c r="CM36" s="96">
        <f t="shared" ca="1" si="20"/>
        <v>0</v>
      </c>
      <c r="CN36" s="106"/>
      <c r="CO36" s="93"/>
      <c r="CP36" s="107"/>
      <c r="CQ36" s="110"/>
      <c r="CR36" s="93"/>
      <c r="CS36" s="93"/>
      <c r="CT36" s="93"/>
      <c r="CU36" s="93"/>
      <c r="CV36" s="93"/>
      <c r="CW36" s="93"/>
      <c r="CX36" s="51"/>
      <c r="CY36" s="93"/>
      <c r="CZ36" s="93"/>
    </row>
    <row r="37" spans="1:104" ht="15.6">
      <c r="A37" s="1" t="s">
        <v>201</v>
      </c>
      <c r="B37" s="1" t="s">
        <v>431</v>
      </c>
      <c r="C37" s="1" t="s">
        <v>135</v>
      </c>
      <c r="D37" s="1" t="s">
        <v>431</v>
      </c>
      <c r="E37" s="1" t="s">
        <v>513</v>
      </c>
      <c r="F37" s="48">
        <v>44247</v>
      </c>
      <c r="G37" s="76">
        <v>0</v>
      </c>
      <c r="H37" s="76">
        <v>39999996</v>
      </c>
      <c r="I37" s="77">
        <v>28197453.09</v>
      </c>
      <c r="J37" s="77">
        <v>0</v>
      </c>
      <c r="K37" s="4">
        <v>77</v>
      </c>
      <c r="L37" s="4">
        <v>82</v>
      </c>
      <c r="M37" s="4">
        <v>48</v>
      </c>
      <c r="N37" s="4">
        <v>125</v>
      </c>
      <c r="O37" s="4">
        <v>43</v>
      </c>
      <c r="P37" s="77">
        <v>17561713.489999998</v>
      </c>
      <c r="Q37" s="77">
        <v>10635739.6</v>
      </c>
      <c r="R37" s="4">
        <v>49</v>
      </c>
      <c r="S37" s="4">
        <v>46</v>
      </c>
      <c r="T37" s="4">
        <v>95</v>
      </c>
      <c r="U37" s="4">
        <v>0</v>
      </c>
      <c r="V37" s="4">
        <v>5</v>
      </c>
      <c r="W37" s="4">
        <v>6</v>
      </c>
      <c r="X37" s="4">
        <v>41</v>
      </c>
      <c r="Y37" s="4">
        <v>3</v>
      </c>
      <c r="Z37" s="4">
        <v>212</v>
      </c>
      <c r="AA37" s="4">
        <v>0</v>
      </c>
      <c r="AB37" s="4">
        <v>0</v>
      </c>
      <c r="AC37" s="4">
        <v>1</v>
      </c>
      <c r="AD37" s="4">
        <v>3</v>
      </c>
      <c r="AE37" s="4">
        <v>900</v>
      </c>
      <c r="AF37" s="4">
        <v>1121</v>
      </c>
      <c r="AG37" s="4">
        <v>290</v>
      </c>
      <c r="AH37" s="76">
        <f t="shared" si="1"/>
        <v>97232.596862068967</v>
      </c>
      <c r="AI37" s="76">
        <f t="shared" si="2"/>
        <v>3.8655172413793104</v>
      </c>
      <c r="AJ37" s="78">
        <f t="shared" si="40"/>
        <v>45515</v>
      </c>
      <c r="AK37" s="76">
        <f t="shared" si="34"/>
        <v>546180</v>
      </c>
      <c r="AL37" s="49">
        <v>191190</v>
      </c>
      <c r="AM37" s="80">
        <f t="shared" si="4"/>
        <v>2.6150234123857887E-2</v>
      </c>
      <c r="AN37" s="76">
        <f t="shared" si="5"/>
        <v>296815.29568421055</v>
      </c>
      <c r="AO37" s="102">
        <f t="shared" si="37"/>
        <v>0.70493639774363981</v>
      </c>
      <c r="AP37" s="82">
        <v>0</v>
      </c>
      <c r="AQ37" s="4">
        <v>834</v>
      </c>
      <c r="AR37" s="4">
        <v>3038</v>
      </c>
      <c r="AS37" s="4">
        <v>2401.63</v>
      </c>
      <c r="AT37" s="4">
        <v>46</v>
      </c>
      <c r="AU37" s="4">
        <v>29</v>
      </c>
      <c r="AV37" s="1">
        <v>95</v>
      </c>
      <c r="AW37" s="1">
        <v>9</v>
      </c>
      <c r="AX37" s="1">
        <v>21</v>
      </c>
      <c r="AY37" s="86" t="str">
        <f>IFERROR(VLOOKUP(C37,#REF!,13,0),"")</f>
        <v/>
      </c>
      <c r="AZ37" s="87"/>
      <c r="BA37" s="1" t="str">
        <f t="shared" si="6"/>
        <v>Active</v>
      </c>
      <c r="BB37" s="1" t="e">
        <f t="shared" ca="1" si="7"/>
        <v>#NAME?</v>
      </c>
      <c r="BC37" s="1" t="e">
        <f t="shared" ca="1" si="38"/>
        <v>#NAME?</v>
      </c>
      <c r="BD37" s="33">
        <f t="shared" si="39"/>
        <v>12</v>
      </c>
      <c r="BE37" s="88" t="str">
        <v/>
      </c>
      <c r="BF37" s="1">
        <f t="shared" si="9"/>
        <v>2</v>
      </c>
      <c r="BG37" s="1" t="s">
        <v>428</v>
      </c>
      <c r="BH37" s="89">
        <f ca="1">IFERROR(__xludf.DUMMYFUNCTION("""COMPUTED_VALUE"""),18863938.54)</f>
        <v>18863938.539999999</v>
      </c>
      <c r="BI37" s="89">
        <f ca="1">IFERROR(__xludf.DUMMYFUNCTION("""COMPUTED_VALUE"""),21204570.884)</f>
        <v>21204570.884</v>
      </c>
      <c r="BJ37" s="90"/>
      <c r="BK37" s="91"/>
      <c r="BL37" s="91">
        <f t="shared" si="10"/>
        <v>0</v>
      </c>
      <c r="BM37" s="91">
        <f t="shared" si="11"/>
        <v>39999996</v>
      </c>
      <c r="BN37" s="91"/>
      <c r="BO37" s="92">
        <f ca="1">IFERROR(__xludf.DUMMYFUNCTION("IFERROR(ArrayFormula(SUM(VLOOKUP($C37,importrange(""1MwNMVzWE3QBVOyJjKr3eFX-Sq1Ng0Q1sghWJbgbE_8g"",""ORDER BOOKING REPORT 2024-25!C:CV""),{16,23,30},0))))"),6699760.354)</f>
        <v>6699760.3540000003</v>
      </c>
      <c r="BP37" s="92">
        <f ca="1">IFERROR(__xludf.DUMMYFUNCTION("IFERROR(ArrayFormula(SUM(VLOOKUP($C37,importrange(""1MwNMVzWE3QBVOyJjKr3eFX-Sq1Ng0Q1sghWJbgbE_8g"",""ORDER BOOKING REPORT 2024-25!C:CV""),{37,44,51},0))))"),5487978.79)</f>
        <v>5487978.79</v>
      </c>
      <c r="BQ37" s="92">
        <f ca="1">IFERROR(__xludf.DUMMYFUNCTION("IFERROR(ArrayFormula(SUM(VLOOKUP($C37,importrange(""1MwNMVzWE3QBVOyJjKr3eFX-Sq1Ng0Q1sghWJbgbE_8g"",""ORDER BOOKING REPORT 2024-25!C:CV""),{58,65,72},0))))"),5054309.23999999)</f>
        <v>5054309.23999999</v>
      </c>
      <c r="BR37" s="92">
        <f ca="1">IFERROR(__xludf.DUMMYFUNCTION("IFERROR(ArrayFormula(SUM(VLOOKUP($C37,importrange(""1MwNMVzWE3QBVOyJjKr3eFX-Sq1Ng0Q1sghWJbgbE_8g"",""ORDER BOOKING REPORT 2024-25!C:CV""),{79,86,93},0))))"),3962522.49999999)</f>
        <v>3962522.4999999902</v>
      </c>
      <c r="BS37" s="93" t="str">
        <f t="shared" si="12"/>
        <v/>
      </c>
      <c r="BT37" s="93" t="str">
        <f t="shared" si="13"/>
        <v/>
      </c>
      <c r="BU37" s="37">
        <f t="shared" si="14"/>
        <v>0</v>
      </c>
      <c r="BV37" s="94">
        <v>45515</v>
      </c>
      <c r="BW37" s="94" t="s">
        <v>462</v>
      </c>
      <c r="BX37" s="94">
        <v>642</v>
      </c>
      <c r="BY37" s="37">
        <f t="shared" si="15"/>
        <v>0</v>
      </c>
      <c r="BZ37" s="37"/>
      <c r="CA37" s="37"/>
      <c r="CB37" s="37"/>
      <c r="CC37" s="37"/>
      <c r="CD37" s="37"/>
      <c r="CE37" s="37"/>
      <c r="CF37" s="37"/>
      <c r="CG37" s="37" t="str">
        <f t="shared" si="18"/>
        <v xml:space="preserve"> </v>
      </c>
      <c r="CH37" s="37" t="str">
        <f t="shared" si="26"/>
        <v>Business Achieved 50%</v>
      </c>
      <c r="CI37" s="93">
        <f t="shared" si="19"/>
        <v>0.76</v>
      </c>
      <c r="CJ37" s="105">
        <f ca="1">IFERROR(__xludf.DUMMYFUNCTION("""COMPUTED_VALUE"""),852)</f>
        <v>852</v>
      </c>
      <c r="CK37" s="105">
        <f ca="1">IFERROR(__xludf.DUMMYFUNCTION("""COMPUTED_VALUE"""),48)</f>
        <v>48</v>
      </c>
      <c r="CL37" s="105">
        <f ca="1">IFERROR(__xludf.DUMMYFUNCTION("""COMPUTED_VALUE"""),0)</f>
        <v>0</v>
      </c>
      <c r="CM37" s="96">
        <f t="shared" ca="1" si="20"/>
        <v>0</v>
      </c>
      <c r="CN37" s="106"/>
      <c r="CO37" s="93"/>
      <c r="CP37" s="107"/>
      <c r="CQ37" s="110"/>
      <c r="CR37" s="93"/>
      <c r="CS37" s="93"/>
      <c r="CT37" s="93"/>
      <c r="CU37" s="93"/>
      <c r="CV37" s="93"/>
      <c r="CW37" s="93"/>
      <c r="CX37" s="51"/>
      <c r="CY37" s="93"/>
      <c r="CZ37" s="93"/>
    </row>
    <row r="38" spans="1:104" ht="15.6">
      <c r="A38" s="1" t="s">
        <v>118</v>
      </c>
      <c r="B38" s="1" t="s">
        <v>372</v>
      </c>
      <c r="C38" s="1" t="s">
        <v>138</v>
      </c>
      <c r="D38" s="1" t="s">
        <v>447</v>
      </c>
      <c r="E38" s="1" t="s">
        <v>514</v>
      </c>
      <c r="F38" s="48">
        <v>44396</v>
      </c>
      <c r="G38" s="76">
        <v>0</v>
      </c>
      <c r="H38" s="76">
        <v>30000000</v>
      </c>
      <c r="I38" s="77">
        <v>34762214.829999998</v>
      </c>
      <c r="J38" s="77">
        <v>0</v>
      </c>
      <c r="K38" s="4">
        <v>247</v>
      </c>
      <c r="L38" s="4">
        <v>172</v>
      </c>
      <c r="M38" s="4">
        <v>21</v>
      </c>
      <c r="N38" s="4">
        <v>268</v>
      </c>
      <c r="O38" s="4">
        <v>96</v>
      </c>
      <c r="P38" s="77">
        <v>32091155.129999999</v>
      </c>
      <c r="Q38" s="77">
        <v>2671059.7000000002</v>
      </c>
      <c r="R38" s="4">
        <v>98</v>
      </c>
      <c r="S38" s="4">
        <v>19</v>
      </c>
      <c r="T38" s="4">
        <v>117</v>
      </c>
      <c r="U38" s="4">
        <v>0</v>
      </c>
      <c r="V38" s="4">
        <v>189</v>
      </c>
      <c r="W38" s="4">
        <v>283</v>
      </c>
      <c r="X38" s="4">
        <v>350</v>
      </c>
      <c r="Y38" s="4">
        <v>5</v>
      </c>
      <c r="Z38" s="4">
        <v>123</v>
      </c>
      <c r="AA38" s="4">
        <v>0</v>
      </c>
      <c r="AB38" s="4">
        <v>0</v>
      </c>
      <c r="AC38" s="4">
        <v>1</v>
      </c>
      <c r="AD38" s="4">
        <v>5</v>
      </c>
      <c r="AE38" s="4">
        <v>938</v>
      </c>
      <c r="AF38" s="4">
        <v>1349</v>
      </c>
      <c r="AG38" s="4">
        <v>287</v>
      </c>
      <c r="AH38" s="76">
        <f t="shared" si="1"/>
        <v>121122.69975609756</v>
      </c>
      <c r="AI38" s="76">
        <f t="shared" si="2"/>
        <v>4.7003484320557494</v>
      </c>
      <c r="AJ38" s="78">
        <v>49690</v>
      </c>
      <c r="AK38" s="76">
        <f t="shared" si="34"/>
        <v>596280</v>
      </c>
      <c r="AL38" s="79">
        <v>322644</v>
      </c>
      <c r="AM38" s="80">
        <f t="shared" si="4"/>
        <v>2.6434564209843244E-2</v>
      </c>
      <c r="AN38" s="76">
        <f t="shared" si="5"/>
        <v>297112.94726495724</v>
      </c>
      <c r="AO38" s="102">
        <f t="shared" si="37"/>
        <v>1.1587404943333333</v>
      </c>
      <c r="AP38" s="82">
        <v>0</v>
      </c>
      <c r="AQ38" s="4">
        <v>399</v>
      </c>
      <c r="AR38" s="4">
        <v>3017</v>
      </c>
      <c r="AS38" s="4">
        <v>2812.13</v>
      </c>
      <c r="AT38" s="4">
        <v>19</v>
      </c>
      <c r="AU38" s="4">
        <v>16</v>
      </c>
      <c r="AV38" s="1">
        <v>117</v>
      </c>
      <c r="AW38" s="1">
        <v>60</v>
      </c>
      <c r="AX38" s="1">
        <v>91</v>
      </c>
      <c r="AY38" s="86" t="str">
        <f>IFERROR(VLOOKUP(C38,#REF!,13,0),"")</f>
        <v/>
      </c>
      <c r="AZ38" s="87"/>
      <c r="BA38" s="1" t="str">
        <f t="shared" si="6"/>
        <v>Active</v>
      </c>
      <c r="BB38" s="1" t="e">
        <f t="shared" ca="1" si="7"/>
        <v>#NAME?</v>
      </c>
      <c r="BC38" s="1" t="e">
        <f t="shared" ca="1" si="38"/>
        <v>#NAME?</v>
      </c>
      <c r="BD38" s="33">
        <f t="shared" si="39"/>
        <v>12</v>
      </c>
      <c r="BE38" s="88" t="str">
        <v/>
      </c>
      <c r="BF38" s="1">
        <f t="shared" si="9"/>
        <v>2</v>
      </c>
      <c r="BG38" s="1" t="s">
        <v>428</v>
      </c>
      <c r="BH38" s="89">
        <f ca="1">IFERROR(__xludf.DUMMYFUNCTION("""COMPUTED_VALUE"""),0)</f>
        <v>0</v>
      </c>
      <c r="BI38" s="89">
        <f ca="1">IFERROR(__xludf.DUMMYFUNCTION("""COMPUTED_VALUE"""),23312185.9799999)</f>
        <v>23312185.9799999</v>
      </c>
      <c r="BJ38" s="90"/>
      <c r="BK38" s="91"/>
      <c r="BL38" s="91">
        <f t="shared" si="10"/>
        <v>0</v>
      </c>
      <c r="BM38" s="91">
        <f t="shared" si="11"/>
        <v>30000000</v>
      </c>
      <c r="BN38" s="91"/>
      <c r="BO38" s="92">
        <f ca="1">IFERROR(__xludf.DUMMYFUNCTION("IFERROR(ArrayFormula(SUM(VLOOKUP($C38,importrange(""1MwNMVzWE3QBVOyJjKr3eFX-Sq1Ng0Q1sghWJbgbE_8g"",""ORDER BOOKING REPORT 2024-25!C:CV""),{16,23,30},0))))"),4294587.06999999)</f>
        <v>4294587.0699999901</v>
      </c>
      <c r="BP38" s="92">
        <f ca="1">IFERROR(__xludf.DUMMYFUNCTION("IFERROR(ArrayFormula(SUM(VLOOKUP($C38,importrange(""1MwNMVzWE3QBVOyJjKr3eFX-Sq1Ng0Q1sghWJbgbE_8g"",""ORDER BOOKING REPORT 2024-25!C:CV""),{37,44,51},0))))"),4143569.49)</f>
        <v>4143569.49</v>
      </c>
      <c r="BQ38" s="92">
        <f ca="1">IFERROR(__xludf.DUMMYFUNCTION("IFERROR(ArrayFormula(SUM(VLOOKUP($C38,importrange(""1MwNMVzWE3QBVOyJjKr3eFX-Sq1Ng0Q1sghWJbgbE_8g"",""ORDER BOOKING REPORT 2024-25!C:CV""),{58,65,72},0))))"),6496208.18)</f>
        <v>6496208.1799999997</v>
      </c>
      <c r="BR38" s="92">
        <f ca="1">IFERROR(__xludf.DUMMYFUNCTION("IFERROR(ArrayFormula(SUM(VLOOKUP($C38,importrange(""1MwNMVzWE3QBVOyJjKr3eFX-Sq1Ng0Q1sghWJbgbE_8g"",""ORDER BOOKING REPORT 2024-25!C:CV""),{79,86,93},0))))"),8377821.23999999)</f>
        <v>8377821.23999999</v>
      </c>
      <c r="BS38" s="93" t="str">
        <f t="shared" si="12"/>
        <v/>
      </c>
      <c r="BT38" s="93" t="str">
        <f t="shared" si="13"/>
        <v/>
      </c>
      <c r="BU38" s="37">
        <f t="shared" si="14"/>
        <v>0</v>
      </c>
      <c r="BV38" s="94">
        <v>49690</v>
      </c>
      <c r="BW38" s="94" t="s">
        <v>429</v>
      </c>
      <c r="BX38" s="94">
        <v>666</v>
      </c>
      <c r="BY38" s="37">
        <f t="shared" si="15"/>
        <v>0</v>
      </c>
      <c r="BZ38" s="37"/>
      <c r="CA38" s="37"/>
      <c r="CB38" s="37"/>
      <c r="CC38" s="37"/>
      <c r="CD38" s="37"/>
      <c r="CE38" s="37"/>
      <c r="CF38" s="37"/>
      <c r="CG38" s="37" t="str">
        <f t="shared" si="18"/>
        <v xml:space="preserve"> </v>
      </c>
      <c r="CH38" s="37" t="str">
        <f t="shared" si="26"/>
        <v>Not 50%</v>
      </c>
      <c r="CI38" s="93">
        <f t="shared" si="19"/>
        <v>0.43656716417910446</v>
      </c>
      <c r="CJ38" s="95">
        <f ca="1">IFERROR(__xludf.DUMMYFUNCTION("""COMPUTED_VALUE"""),752)</f>
        <v>752</v>
      </c>
      <c r="CK38" s="95">
        <f ca="1">IFERROR(__xludf.DUMMYFUNCTION("""COMPUTED_VALUE"""),186)</f>
        <v>186</v>
      </c>
      <c r="CL38" s="95">
        <f ca="1">IFERROR(__xludf.DUMMYFUNCTION("""COMPUTED_VALUE"""),0)</f>
        <v>0</v>
      </c>
      <c r="CM38" s="96">
        <f t="shared" ca="1" si="20"/>
        <v>0</v>
      </c>
      <c r="CN38" s="103"/>
      <c r="CO38" s="4"/>
      <c r="CP38" s="100"/>
      <c r="CQ38" s="101"/>
      <c r="CR38" s="4"/>
      <c r="CS38" s="4"/>
      <c r="CT38" s="4"/>
      <c r="CU38" s="4"/>
      <c r="CV38" s="4"/>
      <c r="CW38" s="101"/>
      <c r="CX38" s="51"/>
      <c r="CY38" s="4"/>
      <c r="CZ38" s="4"/>
    </row>
    <row r="39" spans="1:104" ht="15.6">
      <c r="A39" s="1" t="s">
        <v>118</v>
      </c>
      <c r="B39" s="1" t="s">
        <v>468</v>
      </c>
      <c r="C39" s="1" t="s">
        <v>140</v>
      </c>
      <c r="D39" s="1" t="s">
        <v>515</v>
      </c>
      <c r="E39" s="1" t="s">
        <v>516</v>
      </c>
      <c r="F39" s="48">
        <v>44424</v>
      </c>
      <c r="G39" s="76">
        <v>0</v>
      </c>
      <c r="H39" s="76">
        <v>89000004</v>
      </c>
      <c r="I39" s="77">
        <v>52611903.609999999</v>
      </c>
      <c r="J39" s="77">
        <v>0</v>
      </c>
      <c r="K39" s="4">
        <v>78</v>
      </c>
      <c r="L39" s="4">
        <v>86</v>
      </c>
      <c r="M39" s="4">
        <v>10</v>
      </c>
      <c r="N39" s="4">
        <v>88</v>
      </c>
      <c r="O39" s="4">
        <v>2</v>
      </c>
      <c r="P39" s="77">
        <v>50009561.840000004</v>
      </c>
      <c r="Q39" s="77">
        <v>2602341.77</v>
      </c>
      <c r="R39" s="4">
        <v>58</v>
      </c>
      <c r="S39" s="4">
        <v>8</v>
      </c>
      <c r="T39" s="4">
        <v>66</v>
      </c>
      <c r="U39" s="4">
        <v>0</v>
      </c>
      <c r="V39" s="4">
        <v>16</v>
      </c>
      <c r="W39" s="4">
        <v>28</v>
      </c>
      <c r="X39" s="4">
        <v>37</v>
      </c>
      <c r="Y39" s="4">
        <v>1</v>
      </c>
      <c r="Z39" s="4">
        <v>155</v>
      </c>
      <c r="AA39" s="4">
        <v>0</v>
      </c>
      <c r="AB39" s="4">
        <v>0</v>
      </c>
      <c r="AC39" s="4">
        <v>0</v>
      </c>
      <c r="AD39" s="4">
        <v>0</v>
      </c>
      <c r="AE39" s="4">
        <v>1170</v>
      </c>
      <c r="AF39" s="4">
        <v>1353</v>
      </c>
      <c r="AG39" s="4">
        <v>280</v>
      </c>
      <c r="AH39" s="76">
        <f t="shared" si="1"/>
        <v>187899.65575000001</v>
      </c>
      <c r="AI39" s="76">
        <f t="shared" si="2"/>
        <v>4.8321428571428573</v>
      </c>
      <c r="AJ39" s="78">
        <v>51393</v>
      </c>
      <c r="AK39" s="76">
        <f t="shared" si="34"/>
        <v>616716</v>
      </c>
      <c r="AL39" s="79">
        <v>143314</v>
      </c>
      <c r="AM39" s="80">
        <f t="shared" si="4"/>
        <v>1.4445970357467551E-2</v>
      </c>
      <c r="AN39" s="76">
        <f t="shared" si="5"/>
        <v>797150.05469696969</v>
      </c>
      <c r="AO39" s="102">
        <f t="shared" si="37"/>
        <v>0.59114495781370979</v>
      </c>
      <c r="AP39" s="82">
        <v>0</v>
      </c>
      <c r="AQ39" s="4">
        <v>488</v>
      </c>
      <c r="AR39" s="4">
        <v>2862</v>
      </c>
      <c r="AS39" s="4">
        <v>2574.92</v>
      </c>
      <c r="AT39" s="4">
        <v>8</v>
      </c>
      <c r="AU39" s="4">
        <v>30</v>
      </c>
      <c r="AV39" s="1">
        <v>66</v>
      </c>
      <c r="AW39" s="1">
        <v>20</v>
      </c>
      <c r="AX39" s="1">
        <v>2</v>
      </c>
      <c r="AY39" s="86" t="str">
        <f>IFERROR(VLOOKUP(C39,#REF!,13,0),"")</f>
        <v/>
      </c>
      <c r="AZ39" s="87"/>
      <c r="BA39" s="1" t="str">
        <f t="shared" si="6"/>
        <v>Active</v>
      </c>
      <c r="BB39" s="1" t="e">
        <f t="shared" ca="1" si="7"/>
        <v>#NAME?</v>
      </c>
      <c r="BC39" s="1" t="e">
        <f t="shared" ca="1" si="38"/>
        <v>#NAME?</v>
      </c>
      <c r="BD39" s="33">
        <f t="shared" si="39"/>
        <v>12</v>
      </c>
      <c r="BE39" s="88" t="str">
        <v/>
      </c>
      <c r="BF39" s="1">
        <f t="shared" si="9"/>
        <v>2</v>
      </c>
      <c r="BG39" s="1" t="s">
        <v>428</v>
      </c>
      <c r="BH39" s="89">
        <f ca="1">IFERROR(__xludf.DUMMYFUNCTION("""COMPUTED_VALUE"""),58277388)</f>
        <v>58277388</v>
      </c>
      <c r="BI39" s="89">
        <f ca="1">IFERROR(__xludf.DUMMYFUNCTION("""COMPUTED_VALUE"""),30576639.0999999)</f>
        <v>30576639.099999901</v>
      </c>
      <c r="BJ39" s="90"/>
      <c r="BK39" s="91"/>
      <c r="BL39" s="91">
        <f t="shared" si="10"/>
        <v>0</v>
      </c>
      <c r="BM39" s="91">
        <f t="shared" si="11"/>
        <v>89000004</v>
      </c>
      <c r="BN39" s="91"/>
      <c r="BO39" s="92">
        <f ca="1">IFERROR(__xludf.DUMMYFUNCTION("IFERROR(ArrayFormula(SUM(VLOOKUP($C39,importrange(""1MwNMVzWE3QBVOyJjKr3eFX-Sq1Ng0Q1sghWJbgbE_8g"",""ORDER BOOKING REPORT 2024-25!C:CV""),{16,23,30},0))))"),6657518)</f>
        <v>6657518</v>
      </c>
      <c r="BP39" s="92">
        <f ca="1">IFERROR(__xludf.DUMMYFUNCTION("IFERROR(ArrayFormula(SUM(VLOOKUP($C39,importrange(""1MwNMVzWE3QBVOyJjKr3eFX-Sq1Ng0Q1sghWJbgbE_8g"",""ORDER BOOKING REPORT 2024-25!C:CV""),{37,44,51},0))))"),8985975.1)</f>
        <v>8985975.0999999996</v>
      </c>
      <c r="BQ39" s="92">
        <f ca="1">IFERROR(__xludf.DUMMYFUNCTION("IFERROR(ArrayFormula(SUM(VLOOKUP($C39,importrange(""1MwNMVzWE3QBVOyJjKr3eFX-Sq1Ng0Q1sghWJbgbE_8g"",""ORDER BOOKING REPORT 2024-25!C:CV""),{58,65,72},0))))"),7418264.69999999)</f>
        <v>7418264.6999999899</v>
      </c>
      <c r="BR39" s="92">
        <f ca="1">IFERROR(__xludf.DUMMYFUNCTION("IFERROR(ArrayFormula(SUM(VLOOKUP($C39,importrange(""1MwNMVzWE3QBVOyJjKr3eFX-Sq1Ng0Q1sghWJbgbE_8g"",""ORDER BOOKING REPORT 2024-25!C:CV""),{79,86,93},0))))"),7514881.3)</f>
        <v>7514881.2999999998</v>
      </c>
      <c r="BS39" s="93" t="str">
        <f t="shared" si="12"/>
        <v/>
      </c>
      <c r="BT39" s="93" t="str">
        <f t="shared" si="13"/>
        <v/>
      </c>
      <c r="BU39" s="37">
        <f t="shared" si="14"/>
        <v>0</v>
      </c>
      <c r="BV39" s="94">
        <v>51393</v>
      </c>
      <c r="BW39" s="94" t="s">
        <v>429</v>
      </c>
      <c r="BX39" s="94">
        <v>671</v>
      </c>
      <c r="BY39" s="37">
        <f t="shared" si="15"/>
        <v>0</v>
      </c>
      <c r="BZ39" s="37"/>
      <c r="CA39" s="37"/>
      <c r="CB39" s="37"/>
      <c r="CC39" s="37"/>
      <c r="CD39" s="37"/>
      <c r="CE39" s="37"/>
      <c r="CF39" s="37"/>
      <c r="CG39" s="37" t="str">
        <f t="shared" si="18"/>
        <v xml:space="preserve"> </v>
      </c>
      <c r="CH39" s="37" t="str">
        <f t="shared" si="26"/>
        <v>Business Achieved 50%</v>
      </c>
      <c r="CI39" s="93">
        <f t="shared" si="19"/>
        <v>0.75</v>
      </c>
      <c r="CJ39" s="95">
        <f ca="1">IFERROR(__xludf.DUMMYFUNCTION("""COMPUTED_VALUE"""),1078)</f>
        <v>1078</v>
      </c>
      <c r="CK39" s="95">
        <f ca="1">IFERROR(__xludf.DUMMYFUNCTION("""COMPUTED_VALUE"""),92)</f>
        <v>92</v>
      </c>
      <c r="CL39" s="95">
        <f ca="1">IFERROR(__xludf.DUMMYFUNCTION("""COMPUTED_VALUE"""),0)</f>
        <v>0</v>
      </c>
      <c r="CM39" s="96">
        <f t="shared" ca="1" si="20"/>
        <v>0</v>
      </c>
      <c r="CN39" s="103"/>
      <c r="CO39" s="4"/>
      <c r="CP39" s="100"/>
      <c r="CQ39" s="101"/>
      <c r="CR39" s="4"/>
      <c r="CS39" s="4"/>
      <c r="CT39" s="4"/>
      <c r="CU39" s="4"/>
      <c r="CV39" s="4"/>
      <c r="CW39" s="101"/>
      <c r="CX39" s="51"/>
      <c r="CY39" s="4"/>
      <c r="CZ39" s="4"/>
    </row>
    <row r="40" spans="1:104" ht="15.6">
      <c r="A40" s="1" t="s">
        <v>124</v>
      </c>
      <c r="B40" s="1" t="s">
        <v>443</v>
      </c>
      <c r="C40" s="1" t="s">
        <v>142</v>
      </c>
      <c r="D40" s="1" t="s">
        <v>517</v>
      </c>
      <c r="E40" s="1" t="s">
        <v>518</v>
      </c>
      <c r="F40" s="48">
        <v>44459</v>
      </c>
      <c r="G40" s="76">
        <v>0</v>
      </c>
      <c r="H40" s="76">
        <v>21600000</v>
      </c>
      <c r="I40" s="77">
        <v>18278833.73</v>
      </c>
      <c r="J40" s="77">
        <v>0</v>
      </c>
      <c r="K40" s="4">
        <v>106</v>
      </c>
      <c r="L40" s="4">
        <v>71</v>
      </c>
      <c r="M40" s="4">
        <v>5</v>
      </c>
      <c r="N40" s="4">
        <v>111</v>
      </c>
      <c r="O40" s="4">
        <v>40</v>
      </c>
      <c r="P40" s="77">
        <v>18278833.73</v>
      </c>
      <c r="Q40" s="77">
        <v>0</v>
      </c>
      <c r="R40" s="4">
        <v>43</v>
      </c>
      <c r="S40" s="4">
        <v>0</v>
      </c>
      <c r="T40" s="4">
        <v>43</v>
      </c>
      <c r="U40" s="4">
        <v>0</v>
      </c>
      <c r="V40" s="4">
        <v>16</v>
      </c>
      <c r="W40" s="4">
        <v>17</v>
      </c>
      <c r="X40" s="4">
        <v>60</v>
      </c>
      <c r="Y40" s="4">
        <v>13</v>
      </c>
      <c r="Z40" s="4">
        <v>240</v>
      </c>
      <c r="AA40" s="4">
        <v>0</v>
      </c>
      <c r="AB40" s="4">
        <v>0</v>
      </c>
      <c r="AC40" s="4">
        <v>7</v>
      </c>
      <c r="AD40" s="4">
        <v>17</v>
      </c>
      <c r="AE40" s="4">
        <v>254</v>
      </c>
      <c r="AF40" s="4">
        <v>528</v>
      </c>
      <c r="AG40" s="4">
        <v>288</v>
      </c>
      <c r="AH40" s="76">
        <f t="shared" si="1"/>
        <v>63468.172673611116</v>
      </c>
      <c r="AI40" s="76">
        <f t="shared" si="2"/>
        <v>1.8333333333333333</v>
      </c>
      <c r="AJ40" s="112">
        <v>49585</v>
      </c>
      <c r="AK40" s="76">
        <f t="shared" si="34"/>
        <v>595020</v>
      </c>
      <c r="AL40" s="79">
        <v>295608</v>
      </c>
      <c r="AM40" s="80">
        <f t="shared" si="4"/>
        <v>4.872455284377708E-2</v>
      </c>
      <c r="AN40" s="76">
        <f t="shared" si="5"/>
        <v>425089.15651162789</v>
      </c>
      <c r="AO40" s="102">
        <f t="shared" si="37"/>
        <v>0.84624230231481479</v>
      </c>
      <c r="AP40" s="82">
        <v>0</v>
      </c>
      <c r="AQ40" s="4">
        <v>267</v>
      </c>
      <c r="AR40" s="4">
        <v>2877</v>
      </c>
      <c r="AS40" s="4">
        <v>2706.04</v>
      </c>
      <c r="AT40" s="4">
        <v>0</v>
      </c>
      <c r="AU40" s="4">
        <v>38</v>
      </c>
      <c r="AV40" s="1">
        <v>43</v>
      </c>
      <c r="AW40" s="1">
        <v>33</v>
      </c>
      <c r="AX40" s="1">
        <v>35</v>
      </c>
      <c r="AY40" s="86" t="str">
        <f>IFERROR(VLOOKUP(C40,#REF!,13,0),"")</f>
        <v/>
      </c>
      <c r="AZ40" s="87"/>
      <c r="BA40" s="1" t="str">
        <f t="shared" si="6"/>
        <v>Active</v>
      </c>
      <c r="BB40" s="1" t="e">
        <f t="shared" ca="1" si="7"/>
        <v>#NAME?</v>
      </c>
      <c r="BC40" s="1" t="e">
        <f t="shared" ca="1" si="38"/>
        <v>#NAME?</v>
      </c>
      <c r="BD40" s="33">
        <f t="shared" si="39"/>
        <v>12</v>
      </c>
      <c r="BE40" s="88" t="str">
        <v/>
      </c>
      <c r="BF40" s="1">
        <f t="shared" si="9"/>
        <v>5</v>
      </c>
      <c r="BG40" s="1" t="s">
        <v>428</v>
      </c>
      <c r="BH40" s="89">
        <f ca="1">IFERROR(__xludf.DUMMYFUNCTION("""COMPUTED_VALUE"""),24878609)</f>
        <v>24878609</v>
      </c>
      <c r="BI40" s="89">
        <f ca="1">IFERROR(__xludf.DUMMYFUNCTION("""COMPUTED_VALUE"""),18946895.5)</f>
        <v>18946895.5</v>
      </c>
      <c r="BJ40" s="90"/>
      <c r="BK40" s="91"/>
      <c r="BL40" s="91">
        <f t="shared" si="10"/>
        <v>0</v>
      </c>
      <c r="BM40" s="91">
        <f t="shared" si="11"/>
        <v>21600000</v>
      </c>
      <c r="BN40" s="91"/>
      <c r="BO40" s="92">
        <f ca="1">IFERROR(__xludf.DUMMYFUNCTION("IFERROR(ArrayFormula(SUM(VLOOKUP($C40,importrange(""1MwNMVzWE3QBVOyJjKr3eFX-Sq1Ng0Q1sghWJbgbE_8g"",""ORDER BOOKING REPORT 2024-25!C:CV""),{16,23,30},0))))"),4850194.38)</f>
        <v>4850194.38</v>
      </c>
      <c r="BP40" s="92">
        <f ca="1">IFERROR(__xludf.DUMMYFUNCTION("IFERROR(ArrayFormula(SUM(VLOOKUP($C40,importrange(""1MwNMVzWE3QBVOyJjKr3eFX-Sq1Ng0Q1sghWJbgbE_8g"",""ORDER BOOKING REPORT 2024-25!C:CV""),{37,44,51},0))))"),5196598.04)</f>
        <v>5196598.04</v>
      </c>
      <c r="BQ40" s="92">
        <f ca="1">IFERROR(__xludf.DUMMYFUNCTION("IFERROR(ArrayFormula(SUM(VLOOKUP($C40,importrange(""1MwNMVzWE3QBVOyJjKr3eFX-Sq1Ng0Q1sghWJbgbE_8g"",""ORDER BOOKING REPORT 2024-25!C:CV""),{58,65,72},0))))"),3758401.72)</f>
        <v>3758401.72</v>
      </c>
      <c r="BR40" s="92">
        <f ca="1">IFERROR(__xludf.DUMMYFUNCTION("IFERROR(ArrayFormula(SUM(VLOOKUP($C40,importrange(""1MwNMVzWE3QBVOyJjKr3eFX-Sq1Ng0Q1sghWJbgbE_8g"",""ORDER BOOKING REPORT 2024-25!C:CV""),{79,86,93},0))))"),5141701.35999999)</f>
        <v>5141701.3599999901</v>
      </c>
      <c r="BS40" s="93" t="str">
        <f t="shared" si="12"/>
        <v/>
      </c>
      <c r="BT40" s="93" t="str">
        <f t="shared" si="13"/>
        <v/>
      </c>
      <c r="BU40" s="37">
        <f t="shared" si="14"/>
        <v>0</v>
      </c>
      <c r="BV40" s="94">
        <v>49585</v>
      </c>
      <c r="BW40" s="94" t="s">
        <v>429</v>
      </c>
      <c r="BX40" s="94">
        <v>678</v>
      </c>
      <c r="BY40" s="37">
        <f t="shared" si="15"/>
        <v>0</v>
      </c>
      <c r="BZ40" s="37"/>
      <c r="CA40" s="37"/>
      <c r="CB40" s="37"/>
      <c r="CC40" s="37"/>
      <c r="CD40" s="37"/>
      <c r="CE40" s="37"/>
      <c r="CF40" s="37"/>
      <c r="CG40" s="37" t="str">
        <f t="shared" si="18"/>
        <v xml:space="preserve"> </v>
      </c>
      <c r="CH40" s="37" t="str">
        <f t="shared" si="26"/>
        <v>Not 50%</v>
      </c>
      <c r="CI40" s="93">
        <f t="shared" si="19"/>
        <v>0.38738738738738737</v>
      </c>
      <c r="CJ40" s="95">
        <f ca="1">IFERROR(__xludf.DUMMYFUNCTION("""COMPUTED_VALUE"""),213)</f>
        <v>213</v>
      </c>
      <c r="CK40" s="95">
        <f ca="1">IFERROR(__xludf.DUMMYFUNCTION("""COMPUTED_VALUE"""),41)</f>
        <v>41</v>
      </c>
      <c r="CL40" s="95">
        <f ca="1">IFERROR(__xludf.DUMMYFUNCTION("""COMPUTED_VALUE"""),0)</f>
        <v>0</v>
      </c>
      <c r="CM40" s="96">
        <f t="shared" ca="1" si="20"/>
        <v>0</v>
      </c>
      <c r="CN40" s="103"/>
      <c r="CO40" s="4"/>
      <c r="CP40" s="100"/>
      <c r="CQ40" s="101"/>
      <c r="CR40" s="4"/>
      <c r="CS40" s="4"/>
      <c r="CT40" s="4"/>
      <c r="CU40" s="4"/>
      <c r="CV40" s="4"/>
      <c r="CW40" s="101"/>
      <c r="CX40" s="51"/>
      <c r="CY40" s="4"/>
      <c r="CZ40" s="4"/>
    </row>
    <row r="41" spans="1:104" ht="15.6">
      <c r="A41" s="1" t="s">
        <v>118</v>
      </c>
      <c r="B41" s="1" t="s">
        <v>484</v>
      </c>
      <c r="C41" s="1" t="s">
        <v>144</v>
      </c>
      <c r="D41" s="1" t="s">
        <v>497</v>
      </c>
      <c r="E41" s="1" t="s">
        <v>520</v>
      </c>
      <c r="F41" s="104">
        <v>44501</v>
      </c>
      <c r="G41" s="76">
        <v>0</v>
      </c>
      <c r="H41" s="76">
        <v>54000000</v>
      </c>
      <c r="I41" s="77">
        <v>40902034.579999998</v>
      </c>
      <c r="J41" s="77">
        <v>0</v>
      </c>
      <c r="K41" s="4">
        <v>105</v>
      </c>
      <c r="L41" s="4">
        <v>105</v>
      </c>
      <c r="M41" s="4">
        <v>5</v>
      </c>
      <c r="N41" s="4">
        <v>110</v>
      </c>
      <c r="O41" s="4">
        <v>5</v>
      </c>
      <c r="P41" s="77">
        <v>36738275.109999999</v>
      </c>
      <c r="Q41" s="77">
        <v>4163759.47</v>
      </c>
      <c r="R41" s="4">
        <v>38</v>
      </c>
      <c r="S41" s="4">
        <v>5</v>
      </c>
      <c r="T41" s="4">
        <v>43</v>
      </c>
      <c r="U41" s="4">
        <v>0</v>
      </c>
      <c r="V41" s="4">
        <v>26</v>
      </c>
      <c r="W41" s="4">
        <v>41</v>
      </c>
      <c r="X41" s="4">
        <v>119</v>
      </c>
      <c r="Y41" s="4">
        <v>3</v>
      </c>
      <c r="Z41" s="4">
        <v>5</v>
      </c>
      <c r="AA41" s="4">
        <v>0</v>
      </c>
      <c r="AB41" s="4">
        <v>0</v>
      </c>
      <c r="AC41" s="4">
        <v>0</v>
      </c>
      <c r="AD41" s="4">
        <v>0</v>
      </c>
      <c r="AE41" s="4">
        <v>2058</v>
      </c>
      <c r="AF41" s="4">
        <v>2104</v>
      </c>
      <c r="AG41" s="4">
        <v>303</v>
      </c>
      <c r="AH41" s="76">
        <f t="shared" si="1"/>
        <v>134990.21313531353</v>
      </c>
      <c r="AI41" s="76">
        <f t="shared" si="2"/>
        <v>6.9438943894389435</v>
      </c>
      <c r="AJ41" s="78">
        <v>58700</v>
      </c>
      <c r="AK41" s="76">
        <f t="shared" si="34"/>
        <v>704400</v>
      </c>
      <c r="AL41" s="79">
        <v>401751</v>
      </c>
      <c r="AM41" s="80">
        <f t="shared" si="4"/>
        <v>2.7043911418061298E-2</v>
      </c>
      <c r="AN41" s="76">
        <f t="shared" si="5"/>
        <v>951210.10651162791</v>
      </c>
      <c r="AO41" s="102">
        <f t="shared" si="37"/>
        <v>0.75744508481481476</v>
      </c>
      <c r="AP41" s="82">
        <v>0</v>
      </c>
      <c r="AQ41" s="4">
        <v>289</v>
      </c>
      <c r="AR41" s="4">
        <v>2818</v>
      </c>
      <c r="AS41" s="4">
        <v>2037.18</v>
      </c>
      <c r="AT41" s="4">
        <v>5</v>
      </c>
      <c r="AU41" s="4">
        <v>19</v>
      </c>
      <c r="AV41" s="1">
        <v>43</v>
      </c>
      <c r="AW41" s="1">
        <v>62</v>
      </c>
      <c r="AX41" s="1">
        <v>5</v>
      </c>
      <c r="AY41" s="86" t="str">
        <f>IFERROR(VLOOKUP(C41,#REF!,13,0),"")</f>
        <v/>
      </c>
      <c r="AZ41" s="87"/>
      <c r="BA41" s="1" t="str">
        <f t="shared" si="6"/>
        <v>Active</v>
      </c>
      <c r="BB41" s="1" t="e">
        <f t="shared" ca="1" si="7"/>
        <v>#NAME?</v>
      </c>
      <c r="BC41" s="1" t="e">
        <f t="shared" ca="1" si="38"/>
        <v>#NAME?</v>
      </c>
      <c r="BD41" s="33">
        <f t="shared" si="39"/>
        <v>12</v>
      </c>
      <c r="BE41" s="88" t="str">
        <v/>
      </c>
      <c r="BF41" s="1">
        <f t="shared" si="9"/>
        <v>0</v>
      </c>
      <c r="BG41" s="1" t="s">
        <v>428</v>
      </c>
      <c r="BH41" s="89">
        <f ca="1">IFERROR(__xludf.DUMMYFUNCTION("""COMPUTED_VALUE"""),35253240)</f>
        <v>35253240</v>
      </c>
      <c r="BI41" s="89">
        <f ca="1">IFERROR(__xludf.DUMMYFUNCTION("""COMPUTED_VALUE"""),37620571.6)</f>
        <v>37620571.600000001</v>
      </c>
      <c r="BJ41" s="90"/>
      <c r="BK41" s="91"/>
      <c r="BL41" s="91">
        <f t="shared" si="10"/>
        <v>0</v>
      </c>
      <c r="BM41" s="91">
        <f t="shared" si="11"/>
        <v>54000000</v>
      </c>
      <c r="BN41" s="91"/>
      <c r="BO41" s="92">
        <f ca="1">IFERROR(__xludf.DUMMYFUNCTION("IFERROR(ArrayFormula(SUM(VLOOKUP($C41,importrange(""1MwNMVzWE3QBVOyJjKr3eFX-Sq1Ng0Q1sghWJbgbE_8g"",""ORDER BOOKING REPORT 2024-25!C:CV""),{16,23,30},0))))"),8213529.7)</f>
        <v>8213529.7000000002</v>
      </c>
      <c r="BP41" s="92">
        <f ca="1">IFERROR(__xludf.DUMMYFUNCTION("IFERROR(ArrayFormula(SUM(VLOOKUP($C41,importrange(""1MwNMVzWE3QBVOyJjKr3eFX-Sq1Ng0Q1sghWJbgbE_8g"",""ORDER BOOKING REPORT 2024-25!C:CV""),{37,44,51},0))))"),9723700.9)</f>
        <v>9723700.9000000004</v>
      </c>
      <c r="BQ41" s="92">
        <f ca="1">IFERROR(__xludf.DUMMYFUNCTION("IFERROR(ArrayFormula(SUM(VLOOKUP($C41,importrange(""1MwNMVzWE3QBVOyJjKr3eFX-Sq1Ng0Q1sghWJbgbE_8g"",""ORDER BOOKING REPORT 2024-25!C:CV""),{58,65,72},0))))"),9452900.7)</f>
        <v>9452900.6999999993</v>
      </c>
      <c r="BR41" s="92">
        <f ca="1">IFERROR(__xludf.DUMMYFUNCTION("IFERROR(ArrayFormula(SUM(VLOOKUP($C41,importrange(""1MwNMVzWE3QBVOyJjKr3eFX-Sq1Ng0Q1sghWJbgbE_8g"",""ORDER BOOKING REPORT 2024-25!C:CV""),{79,86,93},0))))"),10230440.3)</f>
        <v>10230440.300000001</v>
      </c>
      <c r="BS41" s="93" t="str">
        <f t="shared" si="12"/>
        <v/>
      </c>
      <c r="BT41" s="93" t="str">
        <f t="shared" si="13"/>
        <v/>
      </c>
      <c r="BU41" s="37">
        <f t="shared" si="14"/>
        <v>0</v>
      </c>
      <c r="BV41" s="94">
        <v>58700</v>
      </c>
      <c r="BW41" s="94" t="s">
        <v>429</v>
      </c>
      <c r="BX41" s="94">
        <v>697</v>
      </c>
      <c r="BY41" s="37">
        <f t="shared" si="15"/>
        <v>0</v>
      </c>
      <c r="BZ41" s="37"/>
      <c r="CA41" s="37"/>
      <c r="CB41" s="37"/>
      <c r="CC41" s="37"/>
      <c r="CD41" s="37"/>
      <c r="CE41" s="37"/>
      <c r="CF41" s="37"/>
      <c r="CG41" s="37" t="str">
        <f t="shared" si="18"/>
        <v xml:space="preserve"> </v>
      </c>
      <c r="CH41" s="37" t="str">
        <f t="shared" si="26"/>
        <v>Not 50%</v>
      </c>
      <c r="CI41" s="93">
        <f t="shared" si="19"/>
        <v>0.39090909090909093</v>
      </c>
      <c r="CJ41" s="95">
        <f ca="1">IFERROR(__xludf.DUMMYFUNCTION("""COMPUTED_VALUE"""),1256)</f>
        <v>1256</v>
      </c>
      <c r="CK41" s="95">
        <f ca="1">IFERROR(__xludf.DUMMYFUNCTION("""COMPUTED_VALUE"""),802)</f>
        <v>802</v>
      </c>
      <c r="CL41" s="95">
        <f ca="1">IFERROR(__xludf.DUMMYFUNCTION("""COMPUTED_VALUE"""),0)</f>
        <v>0</v>
      </c>
      <c r="CM41" s="96">
        <f t="shared" ca="1" si="20"/>
        <v>0</v>
      </c>
      <c r="CN41" s="103"/>
      <c r="CO41" s="4"/>
      <c r="CP41" s="100"/>
      <c r="CQ41" s="101"/>
      <c r="CR41" s="4"/>
      <c r="CS41" s="4"/>
      <c r="CT41" s="4"/>
      <c r="CU41" s="4"/>
      <c r="CV41" s="4"/>
      <c r="CW41" s="101"/>
      <c r="CX41" s="51"/>
      <c r="CY41" s="4"/>
      <c r="CZ41" s="4"/>
    </row>
    <row r="42" spans="1:104" ht="15.6">
      <c r="A42" s="1" t="s">
        <v>201</v>
      </c>
      <c r="B42" s="1" t="s">
        <v>481</v>
      </c>
      <c r="C42" s="1" t="s">
        <v>145</v>
      </c>
      <c r="D42" s="1" t="s">
        <v>517</v>
      </c>
      <c r="E42" s="1" t="s">
        <v>521</v>
      </c>
      <c r="F42" s="104">
        <v>44501</v>
      </c>
      <c r="G42" s="76">
        <v>0</v>
      </c>
      <c r="H42" s="76">
        <v>21120000</v>
      </c>
      <c r="I42" s="77">
        <v>9779119.4800000004</v>
      </c>
      <c r="J42" s="77">
        <v>0</v>
      </c>
      <c r="K42" s="4">
        <v>77</v>
      </c>
      <c r="L42" s="4">
        <v>77</v>
      </c>
      <c r="M42" s="4">
        <v>8</v>
      </c>
      <c r="N42" s="4">
        <v>85</v>
      </c>
      <c r="O42" s="4">
        <v>8</v>
      </c>
      <c r="P42" s="77">
        <v>7750625.9500000002</v>
      </c>
      <c r="Q42" s="77">
        <v>2028493.53</v>
      </c>
      <c r="R42" s="4">
        <v>41</v>
      </c>
      <c r="S42" s="4">
        <v>7</v>
      </c>
      <c r="T42" s="4">
        <v>48</v>
      </c>
      <c r="U42" s="4">
        <v>0</v>
      </c>
      <c r="V42" s="4">
        <v>86</v>
      </c>
      <c r="W42" s="4">
        <v>158</v>
      </c>
      <c r="X42" s="4">
        <v>222</v>
      </c>
      <c r="Y42" s="4">
        <v>2</v>
      </c>
      <c r="Z42" s="4">
        <v>9</v>
      </c>
      <c r="AA42" s="4">
        <v>0</v>
      </c>
      <c r="AB42" s="4">
        <v>0</v>
      </c>
      <c r="AC42" s="4">
        <v>0</v>
      </c>
      <c r="AD42" s="4">
        <v>0</v>
      </c>
      <c r="AE42" s="4">
        <v>984</v>
      </c>
      <c r="AF42" s="4">
        <v>1151</v>
      </c>
      <c r="AG42" s="4">
        <v>286</v>
      </c>
      <c r="AH42" s="76">
        <f t="shared" si="1"/>
        <v>34192.725454545456</v>
      </c>
      <c r="AI42" s="76">
        <f t="shared" si="2"/>
        <v>4.0244755244755241</v>
      </c>
      <c r="AJ42" s="78">
        <v>28500</v>
      </c>
      <c r="AK42" s="76">
        <f t="shared" si="34"/>
        <v>342000</v>
      </c>
      <c r="AL42" s="79">
        <v>186475</v>
      </c>
      <c r="AM42" s="80">
        <f t="shared" si="4"/>
        <v>5.4041164041488933E-2</v>
      </c>
      <c r="AN42" s="76">
        <f t="shared" si="5"/>
        <v>203731.65583333335</v>
      </c>
      <c r="AO42" s="102">
        <f t="shared" si="37"/>
        <v>0.46302649053030304</v>
      </c>
      <c r="AP42" s="82">
        <v>0</v>
      </c>
      <c r="AQ42" s="4">
        <v>398</v>
      </c>
      <c r="AR42" s="4">
        <v>3476</v>
      </c>
      <c r="AS42" s="4">
        <v>2594.8200000000002</v>
      </c>
      <c r="AT42" s="4">
        <v>7</v>
      </c>
      <c r="AU42" s="4">
        <v>34</v>
      </c>
      <c r="AV42" s="1">
        <v>48</v>
      </c>
      <c r="AW42" s="1">
        <v>31</v>
      </c>
      <c r="AX42" s="1">
        <v>6</v>
      </c>
      <c r="AY42" s="86" t="str">
        <f>IFERROR(VLOOKUP(C42,#REF!,13,0),"")</f>
        <v/>
      </c>
      <c r="AZ42" s="87"/>
      <c r="BA42" s="1" t="str">
        <f t="shared" si="6"/>
        <v>Active</v>
      </c>
      <c r="BB42" s="1" t="e">
        <f t="shared" ca="1" si="7"/>
        <v>#NAME?</v>
      </c>
      <c r="BC42" s="1" t="e">
        <f t="shared" ca="1" si="38"/>
        <v>#NAME?</v>
      </c>
      <c r="BD42" s="33">
        <f t="shared" si="39"/>
        <v>12</v>
      </c>
      <c r="BE42" s="88" t="str">
        <v/>
      </c>
      <c r="BF42" s="1">
        <f t="shared" si="9"/>
        <v>1</v>
      </c>
      <c r="BG42" s="1" t="s">
        <v>428</v>
      </c>
      <c r="BH42" s="89">
        <f ca="1">IFERROR(__xludf.DUMMYFUNCTION("""COMPUTED_VALUE"""),6088405.5)</f>
        <v>6088405.5</v>
      </c>
      <c r="BI42" s="89">
        <f ca="1">IFERROR(__xludf.DUMMYFUNCTION("""COMPUTED_VALUE"""),7365298.11999999)</f>
        <v>7365298.1199999899</v>
      </c>
      <c r="BJ42" s="90"/>
      <c r="BK42" s="91"/>
      <c r="BL42" s="91">
        <f t="shared" si="10"/>
        <v>0</v>
      </c>
      <c r="BM42" s="91">
        <f t="shared" si="11"/>
        <v>21120000</v>
      </c>
      <c r="BN42" s="91"/>
      <c r="BO42" s="92">
        <f ca="1">IFERROR(__xludf.DUMMYFUNCTION("IFERROR(ArrayFormula(SUM(VLOOKUP($C42,importrange(""1MwNMVzWE3QBVOyJjKr3eFX-Sq1Ng0Q1sghWJbgbE_8g"",""ORDER BOOKING REPORT 2024-25!C:CV""),{16,23,30},0))))"),1707943.24)</f>
        <v>1707943.24</v>
      </c>
      <c r="BP42" s="92">
        <f ca="1">IFERROR(__xludf.DUMMYFUNCTION("IFERROR(ArrayFormula(SUM(VLOOKUP($C42,importrange(""1MwNMVzWE3QBVOyJjKr3eFX-Sq1Ng0Q1sghWJbgbE_8g"",""ORDER BOOKING REPORT 2024-25!C:CV""),{37,44,51},0))))"),1774440.33999999)</f>
        <v>1774440.3399999901</v>
      </c>
      <c r="BQ42" s="92">
        <f ca="1">IFERROR(__xludf.DUMMYFUNCTION("IFERROR(ArrayFormula(SUM(VLOOKUP($C42,importrange(""1MwNMVzWE3QBVOyJjKr3eFX-Sq1Ng0Q1sghWJbgbE_8g"",""ORDER BOOKING REPORT 2024-25!C:CV""),{58,65,72},0))))"),1817942.02)</f>
        <v>1817942.02</v>
      </c>
      <c r="BR42" s="92">
        <f ca="1">IFERROR(__xludf.DUMMYFUNCTION("IFERROR(ArrayFormula(SUM(VLOOKUP($C42,importrange(""1MwNMVzWE3QBVOyJjKr3eFX-Sq1Ng0Q1sghWJbgbE_8g"",""ORDER BOOKING REPORT 2024-25!C:CV""),{79,86,93},0))))"),2064972.52)</f>
        <v>2064972.52</v>
      </c>
      <c r="BS42" s="93" t="str">
        <f t="shared" si="12"/>
        <v/>
      </c>
      <c r="BT42" s="93" t="str">
        <f t="shared" si="13"/>
        <v/>
      </c>
      <c r="BU42" s="37">
        <f t="shared" si="14"/>
        <v>0</v>
      </c>
      <c r="BV42" s="94">
        <v>28500</v>
      </c>
      <c r="BW42" s="94" t="s">
        <v>445</v>
      </c>
      <c r="BX42" s="94">
        <v>696</v>
      </c>
      <c r="BY42" s="37">
        <f t="shared" si="15"/>
        <v>0</v>
      </c>
      <c r="BZ42" s="37"/>
      <c r="CA42" s="37"/>
      <c r="CB42" s="37"/>
      <c r="CC42" s="37"/>
      <c r="CD42" s="37"/>
      <c r="CE42" s="37"/>
      <c r="CF42" s="37"/>
      <c r="CG42" s="37" t="str">
        <f t="shared" si="18"/>
        <v xml:space="preserve"> </v>
      </c>
      <c r="CH42" s="37" t="str">
        <f t="shared" si="26"/>
        <v>Business Achieved 50%</v>
      </c>
      <c r="CI42" s="93">
        <f t="shared" si="19"/>
        <v>0.56470588235294117</v>
      </c>
      <c r="CJ42" s="95">
        <f ca="1">IFERROR(__xludf.DUMMYFUNCTION("""COMPUTED_VALUE"""),763)</f>
        <v>763</v>
      </c>
      <c r="CK42" s="95">
        <f ca="1">IFERROR(__xludf.DUMMYFUNCTION("""COMPUTED_VALUE"""),221)</f>
        <v>221</v>
      </c>
      <c r="CL42" s="95">
        <f ca="1">IFERROR(__xludf.DUMMYFUNCTION("""COMPUTED_VALUE"""),0)</f>
        <v>0</v>
      </c>
      <c r="CM42" s="96">
        <f t="shared" ca="1" si="20"/>
        <v>0</v>
      </c>
      <c r="CN42" s="103"/>
      <c r="CO42" s="4"/>
      <c r="CP42" s="100"/>
      <c r="CQ42" s="101"/>
      <c r="CR42" s="4"/>
      <c r="CS42" s="4"/>
      <c r="CT42" s="4"/>
      <c r="CU42" s="4"/>
      <c r="CV42" s="4"/>
      <c r="CW42" s="101"/>
      <c r="CX42" s="51"/>
      <c r="CY42" s="4"/>
      <c r="CZ42" s="4"/>
    </row>
    <row r="43" spans="1:104" ht="15.6">
      <c r="A43" s="1" t="s">
        <v>118</v>
      </c>
      <c r="B43" s="1" t="s">
        <v>436</v>
      </c>
      <c r="C43" s="1" t="s">
        <v>146</v>
      </c>
      <c r="D43" s="1" t="s">
        <v>499</v>
      </c>
      <c r="E43" s="1" t="s">
        <v>522</v>
      </c>
      <c r="F43" s="104">
        <v>44508</v>
      </c>
      <c r="G43" s="76">
        <v>0</v>
      </c>
      <c r="H43" s="76">
        <v>0</v>
      </c>
      <c r="I43" s="77">
        <v>44994.400000000001</v>
      </c>
      <c r="J43" s="77">
        <v>0</v>
      </c>
      <c r="K43" s="4">
        <v>95</v>
      </c>
      <c r="L43" s="4">
        <v>40</v>
      </c>
      <c r="M43" s="4">
        <v>0</v>
      </c>
      <c r="N43" s="4">
        <v>95</v>
      </c>
      <c r="O43" s="4">
        <v>55</v>
      </c>
      <c r="P43" s="77">
        <v>44994.400000000001</v>
      </c>
      <c r="Q43" s="77">
        <v>0</v>
      </c>
      <c r="R43" s="4">
        <v>7</v>
      </c>
      <c r="S43" s="4">
        <v>0</v>
      </c>
      <c r="T43" s="4">
        <v>7</v>
      </c>
      <c r="U43" s="4">
        <v>0</v>
      </c>
      <c r="V43" s="4">
        <v>14</v>
      </c>
      <c r="W43" s="4">
        <v>14</v>
      </c>
      <c r="X43" s="4">
        <v>82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0</v>
      </c>
      <c r="AE43" s="4">
        <v>47</v>
      </c>
      <c r="AF43" s="4">
        <v>62</v>
      </c>
      <c r="AG43" s="4">
        <v>10</v>
      </c>
      <c r="AH43" s="76">
        <f t="shared" si="1"/>
        <v>4499.4400000000005</v>
      </c>
      <c r="AI43" s="76">
        <f t="shared" si="2"/>
        <v>6.2</v>
      </c>
      <c r="AJ43" s="78">
        <v>21667</v>
      </c>
      <c r="AK43" s="76">
        <f t="shared" si="34"/>
        <v>8666.8000000000011</v>
      </c>
      <c r="AL43" s="49">
        <v>6357</v>
      </c>
      <c r="AM43" s="80">
        <f t="shared" si="4"/>
        <v>0.3339037746919617</v>
      </c>
      <c r="AN43" s="76">
        <f t="shared" si="5"/>
        <v>6427.7714285714292</v>
      </c>
      <c r="AO43" s="49" t="s">
        <v>161</v>
      </c>
      <c r="AP43" s="82">
        <v>0</v>
      </c>
      <c r="AQ43" s="4">
        <v>7</v>
      </c>
      <c r="AR43" s="4">
        <v>126</v>
      </c>
      <c r="AS43" s="4">
        <v>0</v>
      </c>
      <c r="AT43" s="4">
        <v>0</v>
      </c>
      <c r="AU43" s="4">
        <v>0</v>
      </c>
      <c r="AV43" s="1">
        <v>7</v>
      </c>
      <c r="AW43" s="1">
        <v>33</v>
      </c>
      <c r="AX43" s="1">
        <v>55</v>
      </c>
      <c r="AY43" s="86" t="str">
        <f>IFERROR(VLOOKUP(C43,#REF!,13,0),"")</f>
        <v/>
      </c>
      <c r="AZ43" s="111">
        <v>45759</v>
      </c>
      <c r="BA43" s="1" t="str">
        <f t="shared" si="6"/>
        <v>LEFT</v>
      </c>
      <c r="BB43" s="1" t="e">
        <f t="shared" ca="1" si="7"/>
        <v>#NAME?</v>
      </c>
      <c r="BC43" s="4" t="s">
        <v>161</v>
      </c>
      <c r="BD43" s="33">
        <f>12/30</f>
        <v>0.4</v>
      </c>
      <c r="BE43" s="88" t="str">
        <v/>
      </c>
      <c r="BF43" s="1">
        <f t="shared" si="9"/>
        <v>0</v>
      </c>
      <c r="BG43" s="1" t="s">
        <v>428</v>
      </c>
      <c r="BH43" s="89">
        <f ca="1">IFERROR(__xludf.DUMMYFUNCTION("""COMPUTED_VALUE"""),3914074)</f>
        <v>3914074</v>
      </c>
      <c r="BI43" s="89">
        <f ca="1">IFERROR(__xludf.DUMMYFUNCTION("""COMPUTED_VALUE"""),4013186.29999999)</f>
        <v>4013186.29999999</v>
      </c>
      <c r="BJ43" s="109">
        <f>12/30</f>
        <v>0.4</v>
      </c>
      <c r="BK43" s="113"/>
      <c r="BL43" s="91">
        <f t="shared" si="10"/>
        <v>0</v>
      </c>
      <c r="BM43" s="91">
        <f t="shared" si="11"/>
        <v>0</v>
      </c>
      <c r="BN43" s="91"/>
      <c r="BO43" s="92">
        <f ca="1">IFERROR(__xludf.DUMMYFUNCTION("IFERROR(ArrayFormula(SUM(VLOOKUP($C43,importrange(""1MwNMVzWE3QBVOyJjKr3eFX-Sq1Ng0Q1sghWJbgbE_8g"",""ORDER BOOKING REPORT 2024-25!C:CV""),{16,23,30},0))))"),1184475.6)</f>
        <v>1184475.6000000001</v>
      </c>
      <c r="BP43" s="92">
        <f ca="1">IFERROR(__xludf.DUMMYFUNCTION("IFERROR(ArrayFormula(SUM(VLOOKUP($C43,importrange(""1MwNMVzWE3QBVOyJjKr3eFX-Sq1Ng0Q1sghWJbgbE_8g"",""ORDER BOOKING REPORT 2024-25!C:CV""),{37,44,51},0))))"),1095206.6)</f>
        <v>1095206.6000000001</v>
      </c>
      <c r="BQ43" s="92">
        <f ca="1">IFERROR(__xludf.DUMMYFUNCTION("IFERROR(ArrayFormula(SUM(VLOOKUP($C43,importrange(""1MwNMVzWE3QBVOyJjKr3eFX-Sq1Ng0Q1sghWJbgbE_8g"",""ORDER BOOKING REPORT 2024-25!C:CV""),{58,65,72},0))))"),949346.099999999)</f>
        <v>949346.09999999905</v>
      </c>
      <c r="BR43" s="92">
        <f ca="1">IFERROR(__xludf.DUMMYFUNCTION("IFERROR(ArrayFormula(SUM(VLOOKUP($C43,importrange(""1MwNMVzWE3QBVOyJjKr3eFX-Sq1Ng0Q1sghWJbgbE_8g"",""ORDER BOOKING REPORT 2024-25!C:CV""),{79,86,93},0))))"),784158)</f>
        <v>784158</v>
      </c>
      <c r="BS43" s="93" t="str">
        <f t="shared" si="12"/>
        <v/>
      </c>
      <c r="BT43" s="93" t="str">
        <f t="shared" si="13"/>
        <v/>
      </c>
      <c r="BU43" s="37">
        <f t="shared" si="14"/>
        <v>0</v>
      </c>
      <c r="BV43" s="94"/>
      <c r="BW43" s="94"/>
      <c r="BX43" s="94"/>
      <c r="BY43" s="37">
        <f t="shared" si="15"/>
        <v>-21667</v>
      </c>
      <c r="BZ43" s="37"/>
      <c r="CA43" s="37"/>
      <c r="CB43" s="37"/>
      <c r="CC43" s="37"/>
      <c r="CD43" s="37"/>
      <c r="CE43" s="37"/>
      <c r="CF43" s="37"/>
      <c r="CG43" s="37" t="str">
        <f t="shared" si="18"/>
        <v xml:space="preserve"> </v>
      </c>
      <c r="CH43" s="37" t="str">
        <f t="shared" si="26"/>
        <v>Not 50%</v>
      </c>
      <c r="CI43" s="93">
        <f t="shared" si="19"/>
        <v>7.3684210526315783E-2</v>
      </c>
      <c r="CJ43" s="105">
        <f ca="1">IFERROR(__xludf.DUMMYFUNCTION("""COMPUTED_VALUE"""),10)</f>
        <v>10</v>
      </c>
      <c r="CK43" s="105">
        <f ca="1">IFERROR(__xludf.DUMMYFUNCTION("""COMPUTED_VALUE"""),37)</f>
        <v>37</v>
      </c>
      <c r="CL43" s="105">
        <f ca="1">IFERROR(__xludf.DUMMYFUNCTION("""COMPUTED_VALUE"""),0)</f>
        <v>0</v>
      </c>
      <c r="CM43" s="96">
        <f t="shared" ca="1" si="20"/>
        <v>0</v>
      </c>
      <c r="CN43" s="106"/>
      <c r="CO43" s="93"/>
      <c r="CP43" s="107"/>
      <c r="CQ43" s="110"/>
      <c r="CR43" s="93"/>
      <c r="CS43" s="93"/>
      <c r="CT43" s="93"/>
      <c r="CU43" s="93"/>
      <c r="CV43" s="93"/>
      <c r="CW43" s="93"/>
      <c r="CX43" s="51"/>
      <c r="CY43" s="93"/>
      <c r="CZ43" s="93"/>
    </row>
    <row r="44" spans="1:104" ht="15.6">
      <c r="A44" s="114" t="s">
        <v>201</v>
      </c>
      <c r="B44" s="114" t="s">
        <v>431</v>
      </c>
      <c r="C44" s="114" t="s">
        <v>147</v>
      </c>
      <c r="D44" s="1" t="s">
        <v>431</v>
      </c>
      <c r="E44" s="1" t="s">
        <v>523</v>
      </c>
      <c r="F44" s="48">
        <v>44511</v>
      </c>
      <c r="G44" s="76">
        <v>2400000</v>
      </c>
      <c r="H44" s="76">
        <v>23600004</v>
      </c>
      <c r="I44" s="77">
        <v>13066455.73</v>
      </c>
      <c r="J44" s="77">
        <v>4044018.87</v>
      </c>
      <c r="K44" s="4">
        <v>74</v>
      </c>
      <c r="L44" s="4">
        <v>76</v>
      </c>
      <c r="M44" s="4">
        <v>7</v>
      </c>
      <c r="N44" s="4">
        <v>81</v>
      </c>
      <c r="O44" s="4">
        <v>5</v>
      </c>
      <c r="P44" s="77">
        <v>12223539.02</v>
      </c>
      <c r="Q44" s="77">
        <v>842916.71</v>
      </c>
      <c r="R44" s="4">
        <v>55</v>
      </c>
      <c r="S44" s="4">
        <v>7</v>
      </c>
      <c r="T44" s="4">
        <v>62</v>
      </c>
      <c r="U44" s="4">
        <v>12</v>
      </c>
      <c r="V44" s="4">
        <v>8</v>
      </c>
      <c r="W44" s="4">
        <v>17</v>
      </c>
      <c r="X44" s="4">
        <v>63</v>
      </c>
      <c r="Y44" s="4">
        <v>5</v>
      </c>
      <c r="Z44" s="4">
        <v>67</v>
      </c>
      <c r="AA44" s="4">
        <v>12</v>
      </c>
      <c r="AB44" s="4">
        <v>117</v>
      </c>
      <c r="AC44" s="4">
        <v>3</v>
      </c>
      <c r="AD44" s="4">
        <v>7</v>
      </c>
      <c r="AE44" s="4">
        <v>819</v>
      </c>
      <c r="AF44" s="4">
        <v>1027</v>
      </c>
      <c r="AG44" s="4">
        <v>295</v>
      </c>
      <c r="AH44" s="76">
        <f t="shared" si="1"/>
        <v>58001.608813559324</v>
      </c>
      <c r="AI44" s="76">
        <f t="shared" si="2"/>
        <v>3.4813559322033898</v>
      </c>
      <c r="AJ44" s="78">
        <f>BV44</f>
        <v>44000</v>
      </c>
      <c r="AK44" s="76">
        <f t="shared" si="34"/>
        <v>528000</v>
      </c>
      <c r="AL44" s="49">
        <v>113069</v>
      </c>
      <c r="AM44" s="80">
        <f t="shared" si="4"/>
        <v>3.7466465132416603E-2</v>
      </c>
      <c r="AN44" s="76">
        <f t="shared" si="5"/>
        <v>210749.28596774195</v>
      </c>
      <c r="AO44" s="102">
        <f>IFERROR(SUM(I44:J44)/SUM(G44:H44),"")</f>
        <v>0.65809507567768077</v>
      </c>
      <c r="AP44" s="82">
        <v>1.68</v>
      </c>
      <c r="AQ44" s="4">
        <v>276</v>
      </c>
      <c r="AR44" s="4">
        <v>2203</v>
      </c>
      <c r="AS44" s="4">
        <v>1884.7</v>
      </c>
      <c r="AT44" s="4">
        <v>7</v>
      </c>
      <c r="AU44" s="4">
        <v>25</v>
      </c>
      <c r="AV44" s="1">
        <v>62</v>
      </c>
      <c r="AW44" s="1">
        <v>14</v>
      </c>
      <c r="AX44" s="1">
        <v>5</v>
      </c>
      <c r="AY44" s="86" t="str">
        <f>IFERROR(VLOOKUP(C44,#REF!,13,0),"")</f>
        <v/>
      </c>
      <c r="AZ44" s="87"/>
      <c r="BA44" s="1" t="str">
        <f t="shared" si="6"/>
        <v>Active</v>
      </c>
      <c r="BB44" s="1" t="e">
        <f t="shared" ca="1" si="7"/>
        <v>#NAME?</v>
      </c>
      <c r="BC44" s="1" t="e">
        <f ca="1">_xludf.ifs(AO44&lt;50%,"Below 50%",AO44&lt;70%,"50%-70%",AO44&lt;90%,"70%-90%",AO44&lt;100%,"90%-100%",AO44&gt;100%,"Above 100%")</f>
        <v>#NAME?</v>
      </c>
      <c r="BD44" s="33">
        <f t="array" ref="BD44">MATCH($BD$2,{"Apr","May","Jun","Jul","Aug","Sep","Oct","Nov","Dec","Jan","Feb","Mar"},0)</f>
        <v>12</v>
      </c>
      <c r="BE44" s="88" t="str">
        <v/>
      </c>
      <c r="BF44" s="1">
        <f t="shared" si="9"/>
        <v>0</v>
      </c>
      <c r="BG44" s="1" t="s">
        <v>428</v>
      </c>
      <c r="BH44" s="89">
        <f ca="1">IFERROR(__xludf.DUMMYFUNCTION("""COMPUTED_VALUE"""),14942928.36)</f>
        <v>14942928.359999999</v>
      </c>
      <c r="BI44" s="89">
        <f ca="1">IFERROR(__xludf.DUMMYFUNCTION("""COMPUTED_VALUE"""),16341216.93)</f>
        <v>16341216.93</v>
      </c>
      <c r="BJ44" s="90"/>
      <c r="BK44" s="91">
        <v>200000</v>
      </c>
      <c r="BL44" s="91">
        <f t="shared" si="10"/>
        <v>2400000</v>
      </c>
      <c r="BM44" s="91">
        <f t="shared" si="11"/>
        <v>26000004</v>
      </c>
      <c r="BN44" s="91"/>
      <c r="BO44" s="92">
        <f ca="1">IFERROR(__xludf.DUMMYFUNCTION("IFERROR(ArrayFormula(SUM(VLOOKUP($C44,importrange(""1MwNMVzWE3QBVOyJjKr3eFX-Sq1Ng0Q1sghWJbgbE_8g"",""ORDER BOOKING REPORT 2024-25!C:CV""),{16,23,30},0))))"),4031753.8)</f>
        <v>4031753.8</v>
      </c>
      <c r="BP44" s="92">
        <f ca="1">IFERROR(__xludf.DUMMYFUNCTION("IFERROR(ArrayFormula(SUM(VLOOKUP($C44,importrange(""1MwNMVzWE3QBVOyJjKr3eFX-Sq1Ng0Q1sghWJbgbE_8g"",""ORDER BOOKING REPORT 2024-25!C:CV""),{37,44,51},0))))"),3533634.17999999)</f>
        <v>3533634.1799999899</v>
      </c>
      <c r="BQ44" s="92">
        <f ca="1">IFERROR(__xludf.DUMMYFUNCTION("IFERROR(ArrayFormula(SUM(VLOOKUP($C44,importrange(""1MwNMVzWE3QBVOyJjKr3eFX-Sq1Ng0Q1sghWJbgbE_8g"",""ORDER BOOKING REPORT 2024-25!C:CV""),{58,65,72},0))))"),3887315.3)</f>
        <v>3887315.3</v>
      </c>
      <c r="BR44" s="92">
        <f ca="1">IFERROR(__xludf.DUMMYFUNCTION("IFERROR(ArrayFormula(SUM(VLOOKUP($C44,importrange(""1MwNMVzWE3QBVOyJjKr3eFX-Sq1Ng0Q1sghWJbgbE_8g"",""ORDER BOOKING REPORT 2024-25!C:CV""),{79,86,93},0))))"),4888513.65)</f>
        <v>4888513.6500000004</v>
      </c>
      <c r="BS44" s="93" t="str">
        <f t="shared" si="12"/>
        <v/>
      </c>
      <c r="BT44" s="93" t="str">
        <f t="shared" si="13"/>
        <v/>
      </c>
      <c r="BU44" s="37">
        <f t="shared" si="14"/>
        <v>0</v>
      </c>
      <c r="BV44" s="94">
        <v>44000</v>
      </c>
      <c r="BW44" s="94" t="s">
        <v>445</v>
      </c>
      <c r="BX44" s="94">
        <v>700</v>
      </c>
      <c r="BY44" s="37">
        <f t="shared" si="15"/>
        <v>0</v>
      </c>
      <c r="BZ44" s="37"/>
      <c r="CA44" s="37"/>
      <c r="CB44" s="37"/>
      <c r="CC44" s="37"/>
      <c r="CD44" s="37"/>
      <c r="CE44" s="37"/>
      <c r="CF44" s="37"/>
      <c r="CG44" s="37" t="str">
        <f t="shared" si="18"/>
        <v xml:space="preserve"> </v>
      </c>
      <c r="CH44" s="37" t="str">
        <f t="shared" si="26"/>
        <v>Business Achieved 50%</v>
      </c>
      <c r="CI44" s="93">
        <f t="shared" si="19"/>
        <v>0.76543209876543206</v>
      </c>
      <c r="CJ44" s="105">
        <f ca="1">IFERROR(__xludf.DUMMYFUNCTION("""COMPUTED_VALUE"""),745)</f>
        <v>745</v>
      </c>
      <c r="CK44" s="105">
        <f ca="1">IFERROR(__xludf.DUMMYFUNCTION("""COMPUTED_VALUE"""),74)</f>
        <v>74</v>
      </c>
      <c r="CL44" s="105">
        <f ca="1">IFERROR(__xludf.DUMMYFUNCTION("""COMPUTED_VALUE"""),0)</f>
        <v>0</v>
      </c>
      <c r="CM44" s="96">
        <f t="shared" ca="1" si="20"/>
        <v>0</v>
      </c>
      <c r="CN44" s="106"/>
      <c r="CO44" s="93"/>
      <c r="CP44" s="107"/>
      <c r="CQ44" s="110"/>
      <c r="CR44" s="93"/>
      <c r="CS44" s="93"/>
      <c r="CT44" s="93"/>
      <c r="CU44" s="93"/>
      <c r="CV44" s="93"/>
      <c r="CW44" s="93"/>
      <c r="CX44" s="51"/>
      <c r="CY44" s="93"/>
      <c r="CZ44" s="93"/>
    </row>
    <row r="45" spans="1:104" ht="15.6">
      <c r="A45" s="1" t="s">
        <v>124</v>
      </c>
      <c r="B45" s="1" t="s">
        <v>443</v>
      </c>
      <c r="C45" s="1" t="s">
        <v>149</v>
      </c>
      <c r="D45" s="1" t="s">
        <v>517</v>
      </c>
      <c r="E45" s="1" t="s">
        <v>524</v>
      </c>
      <c r="F45" s="48">
        <v>44635</v>
      </c>
      <c r="G45" s="76">
        <v>0</v>
      </c>
      <c r="H45" s="76">
        <v>0</v>
      </c>
      <c r="I45" s="77">
        <v>0</v>
      </c>
      <c r="J45" s="77">
        <v>0</v>
      </c>
      <c r="K45" s="4">
        <v>116</v>
      </c>
      <c r="L45" s="4">
        <v>6</v>
      </c>
      <c r="M45" s="4">
        <v>1</v>
      </c>
      <c r="N45" s="4">
        <v>117</v>
      </c>
      <c r="O45" s="4">
        <v>111</v>
      </c>
      <c r="P45" s="77">
        <v>0</v>
      </c>
      <c r="Q45" s="77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128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9</v>
      </c>
      <c r="AF45" s="4">
        <v>9</v>
      </c>
      <c r="AG45" s="4">
        <v>3</v>
      </c>
      <c r="AH45" s="76">
        <f t="shared" si="1"/>
        <v>0</v>
      </c>
      <c r="AI45" s="76">
        <f t="shared" si="2"/>
        <v>3</v>
      </c>
      <c r="AJ45" s="112">
        <v>38000</v>
      </c>
      <c r="AK45" s="76">
        <f t="shared" si="34"/>
        <v>8740</v>
      </c>
      <c r="AL45" s="79"/>
      <c r="AM45" s="80" t="str">
        <f t="shared" si="4"/>
        <v/>
      </c>
      <c r="AN45" s="76" t="str">
        <f t="shared" si="5"/>
        <v/>
      </c>
      <c r="AO45" s="49" t="s">
        <v>161</v>
      </c>
      <c r="AP45" s="82">
        <v>0</v>
      </c>
      <c r="AQ45" s="4">
        <v>0</v>
      </c>
      <c r="AR45" s="4">
        <v>24</v>
      </c>
      <c r="AS45" s="4">
        <v>0</v>
      </c>
      <c r="AT45" s="4">
        <v>0</v>
      </c>
      <c r="AU45" s="4">
        <v>0</v>
      </c>
      <c r="AV45" s="1">
        <v>0</v>
      </c>
      <c r="AW45" s="1">
        <v>6</v>
      </c>
      <c r="AX45" s="1">
        <v>111</v>
      </c>
      <c r="AY45" s="86" t="str">
        <f>IFERROR(VLOOKUP(C45,#REF!,13,0),"")</f>
        <v/>
      </c>
      <c r="AZ45" s="111">
        <v>45754</v>
      </c>
      <c r="BA45" s="1" t="str">
        <f t="shared" si="6"/>
        <v>LEFT</v>
      </c>
      <c r="BB45" s="1" t="e">
        <f t="shared" ca="1" si="7"/>
        <v>#NAME?</v>
      </c>
      <c r="BC45" s="4" t="s">
        <v>161</v>
      </c>
      <c r="BD45" s="33">
        <v>0.23</v>
      </c>
      <c r="BE45" s="88" t="str">
        <v/>
      </c>
      <c r="BF45" s="1">
        <f t="shared" si="9"/>
        <v>1</v>
      </c>
      <c r="BG45" s="1" t="s">
        <v>428</v>
      </c>
      <c r="BH45" s="89">
        <f ca="1">IFERROR(__xludf.DUMMYFUNCTION("""COMPUTED_VALUE"""),13608518)</f>
        <v>13608518</v>
      </c>
      <c r="BI45" s="89">
        <f ca="1">IFERROR(__xludf.DUMMYFUNCTION("""COMPUTED_VALUE"""),4935260.5)</f>
        <v>4935260.5</v>
      </c>
      <c r="BJ45" s="109">
        <f>7/30</f>
        <v>0.23333333333333334</v>
      </c>
      <c r="BK45" s="113"/>
      <c r="BL45" s="91">
        <f t="shared" si="10"/>
        <v>0</v>
      </c>
      <c r="BM45" s="91">
        <f t="shared" si="11"/>
        <v>0</v>
      </c>
      <c r="BN45" s="91"/>
      <c r="BO45" s="92">
        <f ca="1">IFERROR(__xludf.DUMMYFUNCTION("IFERROR(ArrayFormula(SUM(VLOOKUP($C45,importrange(""1MwNMVzWE3QBVOyJjKr3eFX-Sq1Ng0Q1sghWJbgbE_8g"",""ORDER BOOKING REPORT 2024-25!C:CV""),{16,23,30},0))))"),1488251)</f>
        <v>1488251</v>
      </c>
      <c r="BP45" s="92">
        <f ca="1">IFERROR(__xludf.DUMMYFUNCTION("IFERROR(ArrayFormula(SUM(VLOOKUP($C45,importrange(""1MwNMVzWE3QBVOyJjKr3eFX-Sq1Ng0Q1sghWJbgbE_8g"",""ORDER BOOKING REPORT 2024-25!C:CV""),{37,44,51},0))))"),1013684.2)</f>
        <v>1013684.2</v>
      </c>
      <c r="BQ45" s="92">
        <f ca="1">IFERROR(__xludf.DUMMYFUNCTION("IFERROR(ArrayFormula(SUM(VLOOKUP($C45,importrange(""1MwNMVzWE3QBVOyJjKr3eFX-Sq1Ng0Q1sghWJbgbE_8g"",""ORDER BOOKING REPORT 2024-25!C:CV""),{58,65,72},0))))"),1247674.6)</f>
        <v>1247674.6000000001</v>
      </c>
      <c r="BR45" s="92">
        <f ca="1">IFERROR(__xludf.DUMMYFUNCTION("IFERROR(ArrayFormula(SUM(VLOOKUP($C45,importrange(""1MwNMVzWE3QBVOyJjKr3eFX-Sq1Ng0Q1sghWJbgbE_8g"",""ORDER BOOKING REPORT 2024-25!C:CV""),{79,86,93},0))))"),1185650.7)</f>
        <v>1185650.7</v>
      </c>
      <c r="BS45" s="93" t="str">
        <f t="shared" si="12"/>
        <v/>
      </c>
      <c r="BT45" s="93" t="str">
        <f t="shared" si="13"/>
        <v/>
      </c>
      <c r="BU45" s="37">
        <f t="shared" si="14"/>
        <v>0</v>
      </c>
      <c r="BV45" s="94"/>
      <c r="BW45" s="94"/>
      <c r="BX45" s="94"/>
      <c r="BY45" s="37">
        <f t="shared" si="15"/>
        <v>-38000</v>
      </c>
      <c r="BZ45" s="37"/>
      <c r="CA45" s="37"/>
      <c r="CB45" s="37"/>
      <c r="CC45" s="37"/>
      <c r="CD45" s="37"/>
      <c r="CE45" s="37"/>
      <c r="CF45" s="37"/>
      <c r="CG45" s="37" t="str">
        <f t="shared" si="18"/>
        <v xml:space="preserve"> </v>
      </c>
      <c r="CH45" s="37" t="str">
        <f t="shared" si="26"/>
        <v>Not 50%</v>
      </c>
      <c r="CI45" s="93">
        <f t="shared" si="19"/>
        <v>0</v>
      </c>
      <c r="CJ45" s="95"/>
      <c r="CK45" s="95"/>
      <c r="CL45" s="95"/>
      <c r="CM45" s="96">
        <f t="shared" si="20"/>
        <v>9</v>
      </c>
      <c r="CN45" s="103"/>
      <c r="CO45" s="4"/>
      <c r="CP45" s="100"/>
      <c r="CQ45" s="101"/>
      <c r="CR45" s="4"/>
      <c r="CS45" s="4"/>
      <c r="CT45" s="4"/>
      <c r="CU45" s="4"/>
      <c r="CV45" s="4"/>
      <c r="CW45" s="101"/>
      <c r="CX45" s="51"/>
      <c r="CY45" s="4"/>
      <c r="CZ45" s="4"/>
    </row>
    <row r="46" spans="1:104" ht="15.6">
      <c r="A46" s="1" t="s">
        <v>201</v>
      </c>
      <c r="B46" s="1" t="s">
        <v>469</v>
      </c>
      <c r="C46" s="1" t="s">
        <v>150</v>
      </c>
      <c r="D46" s="1" t="s">
        <v>470</v>
      </c>
      <c r="E46" s="1" t="s">
        <v>525</v>
      </c>
      <c r="F46" s="48">
        <v>44662</v>
      </c>
      <c r="G46" s="76">
        <v>1200000</v>
      </c>
      <c r="H46" s="76">
        <v>19599996</v>
      </c>
      <c r="I46" s="77">
        <v>10642239.83</v>
      </c>
      <c r="J46" s="77">
        <v>0</v>
      </c>
      <c r="K46" s="4">
        <v>52</v>
      </c>
      <c r="L46" s="4">
        <v>64</v>
      </c>
      <c r="M46" s="4">
        <v>16</v>
      </c>
      <c r="N46" s="4">
        <v>68</v>
      </c>
      <c r="O46" s="4">
        <v>4</v>
      </c>
      <c r="P46" s="77">
        <v>8957819.5700000003</v>
      </c>
      <c r="Q46" s="77">
        <v>1684420.26</v>
      </c>
      <c r="R46" s="4">
        <v>29</v>
      </c>
      <c r="S46" s="4">
        <v>16</v>
      </c>
      <c r="T46" s="4">
        <v>45</v>
      </c>
      <c r="U46" s="4">
        <v>0</v>
      </c>
      <c r="V46" s="4">
        <v>240</v>
      </c>
      <c r="W46" s="4">
        <v>457</v>
      </c>
      <c r="X46" s="4">
        <v>259</v>
      </c>
      <c r="Y46" s="4">
        <v>1</v>
      </c>
      <c r="Z46" s="4">
        <v>44</v>
      </c>
      <c r="AA46" s="4">
        <v>1</v>
      </c>
      <c r="AB46" s="4">
        <v>2</v>
      </c>
      <c r="AC46" s="4">
        <v>2</v>
      </c>
      <c r="AD46" s="4">
        <v>7</v>
      </c>
      <c r="AE46" s="4">
        <v>710</v>
      </c>
      <c r="AF46" s="4">
        <v>1220</v>
      </c>
      <c r="AG46" s="4">
        <v>261</v>
      </c>
      <c r="AH46" s="76">
        <f t="shared" si="1"/>
        <v>40774.865249042145</v>
      </c>
      <c r="AI46" s="76">
        <f t="shared" si="2"/>
        <v>4.6743295019157092</v>
      </c>
      <c r="AJ46" s="78">
        <f t="shared" ref="AJ46:AJ48" si="41">BV46</f>
        <v>51950</v>
      </c>
      <c r="AK46" s="76">
        <f t="shared" si="34"/>
        <v>623400</v>
      </c>
      <c r="AL46" s="49">
        <v>186006</v>
      </c>
      <c r="AM46" s="80">
        <f t="shared" si="4"/>
        <v>7.605598191071776E-2</v>
      </c>
      <c r="AN46" s="76">
        <f t="shared" si="5"/>
        <v>236494.21844444444</v>
      </c>
      <c r="AO46" s="102">
        <f t="shared" ref="AO46:AO63" si="42">IFERROR(SUM(I46:J46)/SUM(G46:H46),"")</f>
        <v>0.51164624406658543</v>
      </c>
      <c r="AP46" s="82">
        <v>0</v>
      </c>
      <c r="AQ46" s="4">
        <v>181</v>
      </c>
      <c r="AR46" s="4">
        <v>1967</v>
      </c>
      <c r="AS46" s="4">
        <v>2845.85</v>
      </c>
      <c r="AT46" s="4">
        <v>16</v>
      </c>
      <c r="AU46" s="4">
        <v>44</v>
      </c>
      <c r="AV46" s="1">
        <v>45</v>
      </c>
      <c r="AW46" s="1">
        <v>21</v>
      </c>
      <c r="AX46" s="1">
        <v>2</v>
      </c>
      <c r="AY46" s="86" t="str">
        <f>IFERROR(VLOOKUP(C46,#REF!,13,0),"")</f>
        <v/>
      </c>
      <c r="AZ46" s="87"/>
      <c r="BA46" s="1" t="str">
        <f t="shared" si="6"/>
        <v>Active</v>
      </c>
      <c r="BB46" s="1" t="e">
        <f t="shared" ca="1" si="7"/>
        <v>#NAME?</v>
      </c>
      <c r="BC46" s="1" t="e">
        <f t="shared" ref="BC46:BC63" ca="1" si="43">_xludf.ifs(AO46&lt;50%,"Below 50%",AO46&lt;70%,"50%-70%",AO46&lt;90%,"70%-90%",AO46&lt;100%,"90%-100%",AO46&gt;100%,"Above 100%")</f>
        <v>#NAME?</v>
      </c>
      <c r="BD46" s="33">
        <f t="shared" ref="BD46:BD50" si="44">MATCH($BD$2,{"Apr","May","Jun","Jul","Aug","Sep","Oct","Nov","Dec","Jan","Feb","Mar"},0)</f>
        <v>12</v>
      </c>
      <c r="BE46" s="88" t="str">
        <v/>
      </c>
      <c r="BF46" s="1">
        <f t="shared" si="9"/>
        <v>0</v>
      </c>
      <c r="BG46" s="1" t="s">
        <v>428</v>
      </c>
      <c r="BH46" s="89">
        <f ca="1">IFERROR(__xludf.DUMMYFUNCTION("""COMPUTED_VALUE"""),6008130)</f>
        <v>6008130</v>
      </c>
      <c r="BI46" s="89">
        <f ca="1">IFERROR(__xludf.DUMMYFUNCTION("""COMPUTED_VALUE"""),8459044.12)</f>
        <v>8459044.1199999992</v>
      </c>
      <c r="BJ46" s="90"/>
      <c r="BK46" s="91">
        <v>100000</v>
      </c>
      <c r="BL46" s="91">
        <f t="shared" si="10"/>
        <v>1200000</v>
      </c>
      <c r="BM46" s="91">
        <f t="shared" si="11"/>
        <v>20799996</v>
      </c>
      <c r="BN46" s="91"/>
      <c r="BO46" s="92">
        <f ca="1">IFERROR(__xludf.DUMMYFUNCTION("IFERROR(ArrayFormula(SUM(VLOOKUP($C46,importrange(""1MwNMVzWE3QBVOyJjKr3eFX-Sq1Ng0Q1sghWJbgbE_8g"",""ORDER BOOKING REPORT 2024-25!C:CV""),{16,23,30},0))))"),1536224.85999999)</f>
        <v>1536224.8599999901</v>
      </c>
      <c r="BP46" s="92">
        <f ca="1">IFERROR(__xludf.DUMMYFUNCTION("IFERROR(ArrayFormula(SUM(VLOOKUP($C46,importrange(""1MwNMVzWE3QBVOyJjKr3eFX-Sq1Ng0Q1sghWJbgbE_8g"",""ORDER BOOKING REPORT 2024-25!C:CV""),{37,44,51},0))))"),1501268)</f>
        <v>1501268</v>
      </c>
      <c r="BQ46" s="92">
        <f ca="1">IFERROR(__xludf.DUMMYFUNCTION("IFERROR(ArrayFormula(SUM(VLOOKUP($C46,importrange(""1MwNMVzWE3QBVOyJjKr3eFX-Sq1Ng0Q1sghWJbgbE_8g"",""ORDER BOOKING REPORT 2024-25!C:CV""),{58,65,72},0))))"),2335381.8)</f>
        <v>2335381.7999999998</v>
      </c>
      <c r="BR46" s="92">
        <f ca="1">IFERROR(__xludf.DUMMYFUNCTION("IFERROR(ArrayFormula(SUM(VLOOKUP($C46,importrange(""1MwNMVzWE3QBVOyJjKr3eFX-Sq1Ng0Q1sghWJbgbE_8g"",""ORDER BOOKING REPORT 2024-25!C:CV""),{79,86,93},0))))"),3086169.46)</f>
        <v>3086169.46</v>
      </c>
      <c r="BS46" s="93" t="str">
        <f t="shared" si="12"/>
        <v/>
      </c>
      <c r="BT46" s="93" t="str">
        <f t="shared" si="13"/>
        <v/>
      </c>
      <c r="BU46" s="37">
        <f t="shared" si="14"/>
        <v>0</v>
      </c>
      <c r="BV46" s="94">
        <v>51950</v>
      </c>
      <c r="BW46" s="94" t="s">
        <v>429</v>
      </c>
      <c r="BX46" s="94">
        <v>752</v>
      </c>
      <c r="BY46" s="37">
        <f t="shared" si="15"/>
        <v>0</v>
      </c>
      <c r="BZ46" s="37"/>
      <c r="CA46" s="37"/>
      <c r="CB46" s="37"/>
      <c r="CC46" s="37"/>
      <c r="CD46" s="37"/>
      <c r="CE46" s="37"/>
      <c r="CF46" s="37"/>
      <c r="CG46" s="37" t="str">
        <f t="shared" si="18"/>
        <v xml:space="preserve"> </v>
      </c>
      <c r="CH46" s="37" t="str">
        <f t="shared" si="26"/>
        <v>Business Achieved 50%</v>
      </c>
      <c r="CI46" s="93">
        <f t="shared" si="19"/>
        <v>0.66176470588235292</v>
      </c>
      <c r="CJ46" s="105">
        <f ca="1">IFERROR(__xludf.DUMMYFUNCTION("""COMPUTED_VALUE"""),667)</f>
        <v>667</v>
      </c>
      <c r="CK46" s="105">
        <f ca="1">IFERROR(__xludf.DUMMYFUNCTION("""COMPUTED_VALUE"""),43)</f>
        <v>43</v>
      </c>
      <c r="CL46" s="105">
        <f ca="1">IFERROR(__xludf.DUMMYFUNCTION("""COMPUTED_VALUE"""),0)</f>
        <v>0</v>
      </c>
      <c r="CM46" s="96">
        <f t="shared" ca="1" si="20"/>
        <v>0</v>
      </c>
      <c r="CN46" s="106"/>
      <c r="CO46" s="93"/>
      <c r="CP46" s="107"/>
      <c r="CQ46" s="110"/>
      <c r="CR46" s="93"/>
      <c r="CS46" s="93"/>
      <c r="CT46" s="93"/>
      <c r="CU46" s="93"/>
      <c r="CV46" s="93"/>
      <c r="CW46" s="93"/>
      <c r="CX46" s="51"/>
      <c r="CY46" s="93"/>
      <c r="CZ46" s="93"/>
    </row>
    <row r="47" spans="1:104" ht="15.6">
      <c r="A47" s="1" t="s">
        <v>136</v>
      </c>
      <c r="B47" s="1" t="s">
        <v>421</v>
      </c>
      <c r="C47" s="1" t="s">
        <v>152</v>
      </c>
      <c r="D47" s="1" t="s">
        <v>421</v>
      </c>
      <c r="E47" s="1" t="s">
        <v>526</v>
      </c>
      <c r="F47" s="108">
        <v>44684</v>
      </c>
      <c r="G47" s="76">
        <v>3999996</v>
      </c>
      <c r="H47" s="76">
        <v>24000000</v>
      </c>
      <c r="I47" s="77">
        <v>12533559.92</v>
      </c>
      <c r="J47" s="77">
        <v>448818.22</v>
      </c>
      <c r="K47" s="4">
        <v>29</v>
      </c>
      <c r="L47" s="4">
        <v>26</v>
      </c>
      <c r="M47" s="4">
        <v>1</v>
      </c>
      <c r="N47" s="4">
        <v>30</v>
      </c>
      <c r="O47" s="4">
        <v>4</v>
      </c>
      <c r="P47" s="77">
        <v>12475110.220000001</v>
      </c>
      <c r="Q47" s="77">
        <v>58449.7</v>
      </c>
      <c r="R47" s="4">
        <v>17</v>
      </c>
      <c r="S47" s="4">
        <v>1</v>
      </c>
      <c r="T47" s="4">
        <v>18</v>
      </c>
      <c r="U47" s="4">
        <v>1</v>
      </c>
      <c r="V47" s="4">
        <v>6</v>
      </c>
      <c r="W47" s="4">
        <v>7</v>
      </c>
      <c r="X47" s="4">
        <v>106</v>
      </c>
      <c r="Y47" s="4">
        <v>5</v>
      </c>
      <c r="Z47" s="4">
        <v>123</v>
      </c>
      <c r="AA47" s="4">
        <v>1</v>
      </c>
      <c r="AB47" s="4">
        <v>30</v>
      </c>
      <c r="AC47" s="4">
        <v>0</v>
      </c>
      <c r="AD47" s="4">
        <v>0</v>
      </c>
      <c r="AE47" s="4">
        <v>825</v>
      </c>
      <c r="AF47" s="4">
        <v>985</v>
      </c>
      <c r="AG47" s="4">
        <v>276</v>
      </c>
      <c r="AH47" s="76">
        <f t="shared" si="1"/>
        <v>47037.601956521743</v>
      </c>
      <c r="AI47" s="76">
        <f t="shared" si="2"/>
        <v>3.568840579710145</v>
      </c>
      <c r="AJ47" s="78">
        <f t="shared" si="41"/>
        <v>43505</v>
      </c>
      <c r="AK47" s="76">
        <f t="shared" si="34"/>
        <v>522060</v>
      </c>
      <c r="AL47" s="49">
        <v>182199</v>
      </c>
      <c r="AM47" s="80">
        <f t="shared" si="4"/>
        <v>5.4247302952153881E-2</v>
      </c>
      <c r="AN47" s="76">
        <f t="shared" si="5"/>
        <v>696308.88444444444</v>
      </c>
      <c r="AO47" s="102">
        <f t="shared" si="42"/>
        <v>0.46365642837948978</v>
      </c>
      <c r="AP47" s="82">
        <v>0.54</v>
      </c>
      <c r="AQ47" s="4">
        <v>92</v>
      </c>
      <c r="AR47" s="4">
        <v>21</v>
      </c>
      <c r="AS47" s="4">
        <v>0</v>
      </c>
      <c r="AT47" s="4">
        <v>1</v>
      </c>
      <c r="AU47" s="4">
        <v>0</v>
      </c>
      <c r="AV47" s="1">
        <v>18</v>
      </c>
      <c r="AW47" s="1">
        <v>2</v>
      </c>
      <c r="AX47" s="1">
        <v>12</v>
      </c>
      <c r="AY47" s="86" t="str">
        <f>IFERROR(VLOOKUP(C47,#REF!,13,0),"")</f>
        <v/>
      </c>
      <c r="AZ47" s="87"/>
      <c r="BA47" s="1" t="str">
        <f t="shared" si="6"/>
        <v>Active</v>
      </c>
      <c r="BB47" s="1" t="e">
        <f t="shared" ca="1" si="7"/>
        <v>#NAME?</v>
      </c>
      <c r="BC47" s="1" t="e">
        <f t="shared" ca="1" si="43"/>
        <v>#NAME?</v>
      </c>
      <c r="BD47" s="33">
        <f t="shared" si="44"/>
        <v>12</v>
      </c>
      <c r="BE47" s="88" t="str">
        <v/>
      </c>
      <c r="BF47" s="1">
        <f t="shared" si="9"/>
        <v>0</v>
      </c>
      <c r="BG47" s="1" t="s">
        <v>428</v>
      </c>
      <c r="BH47" s="89">
        <f ca="1">IFERROR(__xludf.DUMMYFUNCTION("""COMPUTED_VALUE"""),12210958)</f>
        <v>12210958</v>
      </c>
      <c r="BI47" s="89">
        <f ca="1">IFERROR(__xludf.DUMMYFUNCTION("""COMPUTED_VALUE"""),12159890.3)</f>
        <v>12159890.300000001</v>
      </c>
      <c r="BJ47" s="90"/>
      <c r="BK47" s="91">
        <v>333333</v>
      </c>
      <c r="BL47" s="91">
        <f t="shared" si="10"/>
        <v>3999996</v>
      </c>
      <c r="BM47" s="91">
        <f t="shared" si="11"/>
        <v>27999996</v>
      </c>
      <c r="BN47" s="91"/>
      <c r="BO47" s="92">
        <f ca="1">IFERROR(__xludf.DUMMYFUNCTION("IFERROR(ArrayFormula(SUM(VLOOKUP($C47,importrange(""1MwNMVzWE3QBVOyJjKr3eFX-Sq1Ng0Q1sghWJbgbE_8g"",""ORDER BOOKING REPORT 2024-25!C:CV""),{16,23,30},0))))"),2259749.3)</f>
        <v>2259749.2999999998</v>
      </c>
      <c r="BP47" s="92">
        <f ca="1">IFERROR(__xludf.DUMMYFUNCTION("IFERROR(ArrayFormula(SUM(VLOOKUP($C47,importrange(""1MwNMVzWE3QBVOyJjKr3eFX-Sq1Ng0Q1sghWJbgbE_8g"",""ORDER BOOKING REPORT 2024-25!C:CV""),{37,44,51},0))))"),2851480.55)</f>
        <v>2851480.55</v>
      </c>
      <c r="BQ47" s="92">
        <f ca="1">IFERROR(__xludf.DUMMYFUNCTION("IFERROR(ArrayFormula(SUM(VLOOKUP($C47,importrange(""1MwNMVzWE3QBVOyJjKr3eFX-Sq1Ng0Q1sghWJbgbE_8g"",""ORDER BOOKING REPORT 2024-25!C:CV""),{58,65,72},0))))"),3237314)</f>
        <v>3237314</v>
      </c>
      <c r="BR47" s="92">
        <f ca="1">IFERROR(__xludf.DUMMYFUNCTION("IFERROR(ArrayFormula(SUM(VLOOKUP($C47,importrange(""1MwNMVzWE3QBVOyJjKr3eFX-Sq1Ng0Q1sghWJbgbE_8g"",""ORDER BOOKING REPORT 2024-25!C:CV""),{79,86,93},0))))"),3811346.44999999)</f>
        <v>3811346.4499999899</v>
      </c>
      <c r="BS47" s="93" t="str">
        <f t="shared" si="12"/>
        <v/>
      </c>
      <c r="BT47" s="93" t="str">
        <f t="shared" si="13"/>
        <v/>
      </c>
      <c r="BU47" s="37">
        <f t="shared" si="14"/>
        <v>0</v>
      </c>
      <c r="BV47" s="94">
        <v>43505</v>
      </c>
      <c r="BW47" s="94" t="s">
        <v>429</v>
      </c>
      <c r="BX47" s="94">
        <v>761</v>
      </c>
      <c r="BY47" s="37">
        <f t="shared" si="15"/>
        <v>0</v>
      </c>
      <c r="BZ47" s="37"/>
      <c r="CA47" s="37"/>
      <c r="CB47" s="37"/>
      <c r="CC47" s="37"/>
      <c r="CD47" s="37"/>
      <c r="CE47" s="37"/>
      <c r="CF47" s="37"/>
      <c r="CG47" s="37" t="str">
        <f t="shared" si="18"/>
        <v>Below 60</v>
      </c>
      <c r="CH47" s="37" t="str">
        <f t="shared" si="26"/>
        <v>Business Achieved 50%</v>
      </c>
      <c r="CI47" s="93">
        <f t="shared" si="19"/>
        <v>0.6</v>
      </c>
      <c r="CJ47" s="105">
        <f ca="1">IFERROR(__xludf.DUMMYFUNCTION("""COMPUTED_VALUE"""),683)</f>
        <v>683</v>
      </c>
      <c r="CK47" s="105">
        <f ca="1">IFERROR(__xludf.DUMMYFUNCTION("""COMPUTED_VALUE"""),142)</f>
        <v>142</v>
      </c>
      <c r="CL47" s="105">
        <f ca="1">IFERROR(__xludf.DUMMYFUNCTION("""COMPUTED_VALUE"""),0)</f>
        <v>0</v>
      </c>
      <c r="CM47" s="96">
        <f t="shared" ca="1" si="20"/>
        <v>0</v>
      </c>
      <c r="CN47" s="106"/>
      <c r="CO47" s="93"/>
      <c r="CP47" s="107"/>
      <c r="CQ47" s="110"/>
      <c r="CR47" s="93"/>
      <c r="CS47" s="93"/>
      <c r="CT47" s="93"/>
      <c r="CU47" s="93"/>
      <c r="CV47" s="93"/>
      <c r="CW47" s="93"/>
      <c r="CX47" s="51"/>
      <c r="CY47" s="93"/>
      <c r="CZ47" s="93"/>
    </row>
    <row r="48" spans="1:104" ht="15.6">
      <c r="A48" s="1" t="s">
        <v>108</v>
      </c>
      <c r="B48" s="1" t="s">
        <v>465</v>
      </c>
      <c r="C48" s="1" t="s">
        <v>156</v>
      </c>
      <c r="D48" s="1" t="s">
        <v>506</v>
      </c>
      <c r="E48" s="1" t="s">
        <v>461</v>
      </c>
      <c r="F48" s="115">
        <v>44693</v>
      </c>
      <c r="G48" s="76">
        <v>0</v>
      </c>
      <c r="H48" s="76">
        <v>15860000</v>
      </c>
      <c r="I48" s="77">
        <v>11934783.380000001</v>
      </c>
      <c r="J48" s="77">
        <v>0</v>
      </c>
      <c r="K48" s="4">
        <v>74</v>
      </c>
      <c r="L48" s="4">
        <v>70</v>
      </c>
      <c r="M48" s="4">
        <v>8</v>
      </c>
      <c r="N48" s="4">
        <v>82</v>
      </c>
      <c r="O48" s="4">
        <v>12</v>
      </c>
      <c r="P48" s="77">
        <v>11592760.58</v>
      </c>
      <c r="Q48" s="77">
        <v>342022.8</v>
      </c>
      <c r="R48" s="4">
        <v>40</v>
      </c>
      <c r="S48" s="4">
        <v>3</v>
      </c>
      <c r="T48" s="4">
        <v>43</v>
      </c>
      <c r="U48" s="4">
        <v>0</v>
      </c>
      <c r="V48" s="4">
        <v>24</v>
      </c>
      <c r="W48" s="4">
        <v>84</v>
      </c>
      <c r="X48" s="4">
        <v>35</v>
      </c>
      <c r="Y48" s="4">
        <v>1</v>
      </c>
      <c r="Z48" s="4">
        <v>20</v>
      </c>
      <c r="AA48" s="4">
        <v>0</v>
      </c>
      <c r="AB48" s="4">
        <v>0</v>
      </c>
      <c r="AC48" s="4">
        <v>0</v>
      </c>
      <c r="AD48" s="4">
        <v>0</v>
      </c>
      <c r="AE48" s="4">
        <v>1284</v>
      </c>
      <c r="AF48" s="4">
        <v>1388</v>
      </c>
      <c r="AG48" s="4">
        <v>279</v>
      </c>
      <c r="AH48" s="76">
        <f t="shared" si="1"/>
        <v>42777.00136200717</v>
      </c>
      <c r="AI48" s="76">
        <f t="shared" si="2"/>
        <v>4.9749103942652333</v>
      </c>
      <c r="AJ48" s="78">
        <f t="shared" si="41"/>
        <v>32890</v>
      </c>
      <c r="AK48" s="76">
        <f t="shared" si="34"/>
        <v>394680</v>
      </c>
      <c r="AL48" s="49">
        <v>123742</v>
      </c>
      <c r="AM48" s="80">
        <f t="shared" si="4"/>
        <v>4.3437906118074847E-2</v>
      </c>
      <c r="AN48" s="76">
        <f t="shared" si="5"/>
        <v>277553.10186046513</v>
      </c>
      <c r="AO48" s="102">
        <f t="shared" si="42"/>
        <v>0.75250840983606559</v>
      </c>
      <c r="AP48" s="82">
        <v>0</v>
      </c>
      <c r="AQ48" s="4">
        <v>222</v>
      </c>
      <c r="AR48" s="4">
        <v>2641</v>
      </c>
      <c r="AS48" s="4">
        <v>2022.17</v>
      </c>
      <c r="AT48" s="4">
        <v>3</v>
      </c>
      <c r="AU48" s="4">
        <v>29</v>
      </c>
      <c r="AV48" s="1">
        <v>43</v>
      </c>
      <c r="AW48" s="1">
        <v>28</v>
      </c>
      <c r="AX48" s="1">
        <v>11</v>
      </c>
      <c r="AY48" s="86" t="str">
        <f>IFERROR(VLOOKUP(C48,#REF!,13,0),"")</f>
        <v/>
      </c>
      <c r="AZ48" s="87"/>
      <c r="BA48" s="1" t="str">
        <f t="shared" si="6"/>
        <v>Active</v>
      </c>
      <c r="BB48" s="1" t="e">
        <f t="shared" ca="1" si="7"/>
        <v>#NAME?</v>
      </c>
      <c r="BC48" s="1" t="e">
        <f t="shared" ca="1" si="43"/>
        <v>#NAME?</v>
      </c>
      <c r="BD48" s="33">
        <f t="shared" si="44"/>
        <v>12</v>
      </c>
      <c r="BE48" s="91" t="str">
        <v/>
      </c>
      <c r="BF48" s="1">
        <f t="shared" si="9"/>
        <v>5</v>
      </c>
      <c r="BG48" s="1" t="s">
        <v>428</v>
      </c>
      <c r="BH48" s="89">
        <f ca="1">IFERROR(__xludf.DUMMYFUNCTION("""COMPUTED_VALUE"""),8046618)</f>
        <v>8046618</v>
      </c>
      <c r="BI48" s="89">
        <f ca="1">IFERROR(__xludf.DUMMYFUNCTION("""COMPUTED_VALUE"""),9689618.05999999)</f>
        <v>9689618.0599999893</v>
      </c>
      <c r="BJ48" s="90"/>
      <c r="BK48" s="91"/>
      <c r="BL48" s="91">
        <f t="shared" si="10"/>
        <v>0</v>
      </c>
      <c r="BM48" s="91">
        <f t="shared" si="11"/>
        <v>15860000</v>
      </c>
      <c r="BN48" s="91"/>
      <c r="BO48" s="92">
        <f ca="1">IFERROR(__xludf.DUMMYFUNCTION("IFERROR(ArrayFormula(SUM(VLOOKUP($C48,importrange(""1MwNMVzWE3QBVOyJjKr3eFX-Sq1Ng0Q1sghWJbgbE_8g"",""ORDER BOOKING REPORT 2024-25!C:CV""),{16,23,30},0))))"),2632946.1)</f>
        <v>2632946.1</v>
      </c>
      <c r="BP48" s="92">
        <f ca="1">IFERROR(__xludf.DUMMYFUNCTION("IFERROR(ArrayFormula(SUM(VLOOKUP($C48,importrange(""1MwNMVzWE3QBVOyJjKr3eFX-Sq1Ng0Q1sghWJbgbE_8g"",""ORDER BOOKING REPORT 2024-25!C:CV""),{37,44,51},0))))"),1873230.27999999)</f>
        <v>1873230.27999999</v>
      </c>
      <c r="BQ48" s="92">
        <f ca="1">IFERROR(__xludf.DUMMYFUNCTION("IFERROR(ArrayFormula(SUM(VLOOKUP($C48,importrange(""1MwNMVzWE3QBVOyJjKr3eFX-Sq1Ng0Q1sghWJbgbE_8g"",""ORDER BOOKING REPORT 2024-25!C:CV""),{58,65,72},0))))"),1736982.26)</f>
        <v>1736982.26</v>
      </c>
      <c r="BR48" s="92">
        <f ca="1">IFERROR(__xludf.DUMMYFUNCTION("IFERROR(ArrayFormula(SUM(VLOOKUP($C48,importrange(""1MwNMVzWE3QBVOyJjKr3eFX-Sq1Ng0Q1sghWJbgbE_8g"",""ORDER BOOKING REPORT 2024-25!C:CV""),{79,86,93},0))))"),3446459.42)</f>
        <v>3446459.42</v>
      </c>
      <c r="BS48" s="93" t="str">
        <f t="shared" si="12"/>
        <v/>
      </c>
      <c r="BT48" s="93" t="str">
        <f t="shared" si="13"/>
        <v/>
      </c>
      <c r="BU48" s="37">
        <f t="shared" si="14"/>
        <v>0</v>
      </c>
      <c r="BV48" s="94">
        <v>32890</v>
      </c>
      <c r="BW48" s="94" t="s">
        <v>476</v>
      </c>
      <c r="BX48" s="94">
        <v>880</v>
      </c>
      <c r="BY48" s="37">
        <f t="shared" si="15"/>
        <v>0</v>
      </c>
      <c r="BZ48" s="37"/>
      <c r="CA48" s="37"/>
      <c r="CB48" s="37"/>
      <c r="CC48" s="37"/>
      <c r="CD48" s="37"/>
      <c r="CE48" s="37"/>
      <c r="CF48" s="37"/>
      <c r="CG48" s="37" t="str">
        <f t="shared" si="18"/>
        <v xml:space="preserve"> </v>
      </c>
      <c r="CH48" s="37" t="str">
        <f t="shared" si="26"/>
        <v>Business Achieved 50%</v>
      </c>
      <c r="CI48" s="93">
        <f t="shared" si="19"/>
        <v>0.52439024390243905</v>
      </c>
      <c r="CJ48" s="105">
        <f ca="1">IFERROR(__xludf.DUMMYFUNCTION("""COMPUTED_VALUE"""),983)</f>
        <v>983</v>
      </c>
      <c r="CK48" s="105">
        <f ca="1">IFERROR(__xludf.DUMMYFUNCTION("""COMPUTED_VALUE"""),301)</f>
        <v>301</v>
      </c>
      <c r="CL48" s="105">
        <f ca="1">IFERROR(__xludf.DUMMYFUNCTION("""COMPUTED_VALUE"""),0)</f>
        <v>0</v>
      </c>
      <c r="CM48" s="96">
        <f t="shared" ca="1" si="20"/>
        <v>0</v>
      </c>
      <c r="CN48" s="106"/>
      <c r="CO48" s="93"/>
      <c r="CP48" s="107"/>
      <c r="CQ48" s="110"/>
      <c r="CR48" s="93"/>
      <c r="CS48" s="93"/>
      <c r="CT48" s="93"/>
      <c r="CU48" s="93"/>
      <c r="CV48" s="93"/>
      <c r="CW48" s="93"/>
      <c r="CX48" s="51"/>
      <c r="CY48" s="93"/>
      <c r="CZ48" s="93"/>
    </row>
    <row r="49" spans="1:104" ht="15.6">
      <c r="A49" s="1" t="s">
        <v>124</v>
      </c>
      <c r="B49" s="1" t="s">
        <v>443</v>
      </c>
      <c r="C49" s="1" t="s">
        <v>153</v>
      </c>
      <c r="D49" s="1" t="s">
        <v>517</v>
      </c>
      <c r="E49" s="1" t="s">
        <v>527</v>
      </c>
      <c r="F49" s="115">
        <v>44697</v>
      </c>
      <c r="G49" s="76">
        <v>0</v>
      </c>
      <c r="H49" s="76">
        <v>14400000</v>
      </c>
      <c r="I49" s="77">
        <v>9167160.2400000002</v>
      </c>
      <c r="J49" s="77">
        <v>0</v>
      </c>
      <c r="K49" s="4">
        <v>76</v>
      </c>
      <c r="L49" s="4">
        <v>71</v>
      </c>
      <c r="M49" s="4">
        <v>6</v>
      </c>
      <c r="N49" s="4">
        <v>82</v>
      </c>
      <c r="O49" s="4">
        <v>11</v>
      </c>
      <c r="P49" s="77">
        <v>8565519.1400000006</v>
      </c>
      <c r="Q49" s="77">
        <v>601641.1</v>
      </c>
      <c r="R49" s="4">
        <v>36</v>
      </c>
      <c r="S49" s="4">
        <v>6</v>
      </c>
      <c r="T49" s="4">
        <v>42</v>
      </c>
      <c r="U49" s="4">
        <v>0</v>
      </c>
      <c r="V49" s="4">
        <v>51</v>
      </c>
      <c r="W49" s="4">
        <v>65</v>
      </c>
      <c r="X49" s="4">
        <v>244</v>
      </c>
      <c r="Y49" s="4">
        <v>3</v>
      </c>
      <c r="Z49" s="4">
        <v>6</v>
      </c>
      <c r="AA49" s="4">
        <v>0</v>
      </c>
      <c r="AB49" s="4">
        <v>0</v>
      </c>
      <c r="AC49" s="4">
        <v>0</v>
      </c>
      <c r="AD49" s="4">
        <v>0</v>
      </c>
      <c r="AE49" s="4">
        <v>1083</v>
      </c>
      <c r="AF49" s="4">
        <v>1154</v>
      </c>
      <c r="AG49" s="4">
        <v>276</v>
      </c>
      <c r="AH49" s="76">
        <f t="shared" si="1"/>
        <v>33214.348695652174</v>
      </c>
      <c r="AI49" s="76">
        <f t="shared" si="2"/>
        <v>4.1811594202898554</v>
      </c>
      <c r="AJ49" s="78">
        <v>36720</v>
      </c>
      <c r="AK49" s="76">
        <f t="shared" si="34"/>
        <v>440640</v>
      </c>
      <c r="AL49" s="79">
        <v>157232</v>
      </c>
      <c r="AM49" s="80">
        <f t="shared" si="4"/>
        <v>6.5218888330460772E-2</v>
      </c>
      <c r="AN49" s="76">
        <f t="shared" si="5"/>
        <v>218265.72</v>
      </c>
      <c r="AO49" s="102">
        <f t="shared" si="42"/>
        <v>0.63660835000000005</v>
      </c>
      <c r="AP49" s="82">
        <v>0</v>
      </c>
      <c r="AQ49" s="4">
        <v>327</v>
      </c>
      <c r="AR49" s="4">
        <v>2376</v>
      </c>
      <c r="AS49" s="4">
        <v>3048.93</v>
      </c>
      <c r="AT49" s="4">
        <v>6</v>
      </c>
      <c r="AU49" s="4">
        <v>43</v>
      </c>
      <c r="AV49" s="1">
        <v>42</v>
      </c>
      <c r="AW49" s="1">
        <v>29</v>
      </c>
      <c r="AX49" s="1">
        <v>11</v>
      </c>
      <c r="AY49" s="86" t="str">
        <f>IFERROR(VLOOKUP(C49,#REF!,13,0),"")</f>
        <v/>
      </c>
      <c r="AZ49" s="87"/>
      <c r="BA49" s="1" t="str">
        <f t="shared" si="6"/>
        <v>Active</v>
      </c>
      <c r="BB49" s="1" t="e">
        <f t="shared" ca="1" si="7"/>
        <v>#NAME?</v>
      </c>
      <c r="BC49" s="1" t="e">
        <f t="shared" ca="1" si="43"/>
        <v>#NAME?</v>
      </c>
      <c r="BD49" s="33">
        <f t="shared" si="44"/>
        <v>12</v>
      </c>
      <c r="BE49" s="88" t="str">
        <v/>
      </c>
      <c r="BF49" s="1">
        <f t="shared" si="9"/>
        <v>0</v>
      </c>
      <c r="BG49" s="1" t="s">
        <v>428</v>
      </c>
      <c r="BH49" s="89">
        <f ca="1">IFERROR(__xludf.DUMMYFUNCTION("""COMPUTED_VALUE"""),8307773)</f>
        <v>8307773</v>
      </c>
      <c r="BI49" s="89">
        <f ca="1">IFERROR(__xludf.DUMMYFUNCTION("""COMPUTED_VALUE"""),8154818.76)</f>
        <v>8154818.7599999998</v>
      </c>
      <c r="BJ49" s="90"/>
      <c r="BK49" s="91"/>
      <c r="BL49" s="91">
        <f t="shared" si="10"/>
        <v>0</v>
      </c>
      <c r="BM49" s="91">
        <f t="shared" si="11"/>
        <v>14400000</v>
      </c>
      <c r="BN49" s="91"/>
      <c r="BO49" s="92">
        <f ca="1">IFERROR(__xludf.DUMMYFUNCTION("IFERROR(ArrayFormula(SUM(VLOOKUP($C49,importrange(""1MwNMVzWE3QBVOyJjKr3eFX-Sq1Ng0Q1sghWJbgbE_8g"",""ORDER BOOKING REPORT 2024-25!C:CV""),{16,23,30},0))))"),1859469.69)</f>
        <v>1859469.69</v>
      </c>
      <c r="BP49" s="92">
        <f ca="1">IFERROR(__xludf.DUMMYFUNCTION("IFERROR(ArrayFormula(SUM(VLOOKUP($C49,importrange(""1MwNMVzWE3QBVOyJjKr3eFX-Sq1Ng0Q1sghWJbgbE_8g"",""ORDER BOOKING REPORT 2024-25!C:CV""),{37,44,51},0))))"),1864931.28)</f>
        <v>1864931.28</v>
      </c>
      <c r="BQ49" s="92">
        <f ca="1">IFERROR(__xludf.DUMMYFUNCTION("IFERROR(ArrayFormula(SUM(VLOOKUP($C49,importrange(""1MwNMVzWE3QBVOyJjKr3eFX-Sq1Ng0Q1sghWJbgbE_8g"",""ORDER BOOKING REPORT 2024-25!C:CV""),{58,65,72},0))))"),1390198.27)</f>
        <v>1390198.27</v>
      </c>
      <c r="BR49" s="92">
        <f ca="1">IFERROR(__xludf.DUMMYFUNCTION("IFERROR(ArrayFormula(SUM(VLOOKUP($C49,importrange(""1MwNMVzWE3QBVOyJjKr3eFX-Sq1Ng0Q1sghWJbgbE_8g"",""ORDER BOOKING REPORT 2024-25!C:CV""),{79,86,93},0))))"),3040219.51999999)</f>
        <v>3040219.5199999898</v>
      </c>
      <c r="BS49" s="93" t="str">
        <f t="shared" si="12"/>
        <v/>
      </c>
      <c r="BT49" s="93" t="str">
        <f t="shared" si="13"/>
        <v/>
      </c>
      <c r="BU49" s="37">
        <f t="shared" si="14"/>
        <v>0</v>
      </c>
      <c r="BV49" s="94">
        <v>36720</v>
      </c>
      <c r="BW49" s="94" t="s">
        <v>476</v>
      </c>
      <c r="BX49" s="94">
        <v>770</v>
      </c>
      <c r="BY49" s="37">
        <f t="shared" si="15"/>
        <v>0</v>
      </c>
      <c r="BZ49" s="37"/>
      <c r="CA49" s="37"/>
      <c r="CB49" s="37"/>
      <c r="CC49" s="37"/>
      <c r="CD49" s="37"/>
      <c r="CE49" s="37"/>
      <c r="CF49" s="37"/>
      <c r="CG49" s="37" t="str">
        <f t="shared" si="18"/>
        <v xml:space="preserve"> </v>
      </c>
      <c r="CH49" s="37" t="str">
        <f t="shared" si="26"/>
        <v>Business Achieved 50%</v>
      </c>
      <c r="CI49" s="93">
        <f t="shared" si="19"/>
        <v>0.51219512195121952</v>
      </c>
      <c r="CJ49" s="95">
        <f ca="1">IFERROR(__xludf.DUMMYFUNCTION("""COMPUTED_VALUE"""),843)</f>
        <v>843</v>
      </c>
      <c r="CK49" s="95">
        <f ca="1">IFERROR(__xludf.DUMMYFUNCTION("""COMPUTED_VALUE"""),240)</f>
        <v>240</v>
      </c>
      <c r="CL49" s="95">
        <f ca="1">IFERROR(__xludf.DUMMYFUNCTION("""COMPUTED_VALUE"""),0)</f>
        <v>0</v>
      </c>
      <c r="CM49" s="96">
        <f t="shared" ca="1" si="20"/>
        <v>0</v>
      </c>
      <c r="CN49" s="103"/>
      <c r="CO49" s="4"/>
      <c r="CP49" s="100"/>
      <c r="CQ49" s="101"/>
      <c r="CR49" s="4"/>
      <c r="CS49" s="4"/>
      <c r="CT49" s="4"/>
      <c r="CU49" s="4"/>
      <c r="CV49" s="4"/>
      <c r="CW49" s="101"/>
      <c r="CX49" s="51"/>
      <c r="CY49" s="4"/>
      <c r="CZ49" s="4"/>
    </row>
    <row r="50" spans="1:104" ht="15.6">
      <c r="A50" s="1" t="s">
        <v>118</v>
      </c>
      <c r="B50" s="1" t="s">
        <v>375</v>
      </c>
      <c r="C50" s="1" t="s">
        <v>157</v>
      </c>
      <c r="D50" s="1" t="s">
        <v>473</v>
      </c>
      <c r="E50" s="1" t="s">
        <v>502</v>
      </c>
      <c r="F50" s="104">
        <v>44743</v>
      </c>
      <c r="G50" s="76">
        <v>0</v>
      </c>
      <c r="H50" s="76">
        <v>14400000</v>
      </c>
      <c r="I50" s="77">
        <v>3864459.96</v>
      </c>
      <c r="J50" s="77">
        <v>0</v>
      </c>
      <c r="K50" s="4">
        <v>73</v>
      </c>
      <c r="L50" s="4">
        <v>72</v>
      </c>
      <c r="M50" s="4">
        <v>3</v>
      </c>
      <c r="N50" s="4">
        <v>76</v>
      </c>
      <c r="O50" s="4">
        <v>4</v>
      </c>
      <c r="P50" s="77">
        <v>3736785.16</v>
      </c>
      <c r="Q50" s="77">
        <v>127674.8</v>
      </c>
      <c r="R50" s="4">
        <v>44</v>
      </c>
      <c r="S50" s="4">
        <v>3</v>
      </c>
      <c r="T50" s="4">
        <v>47</v>
      </c>
      <c r="U50" s="4">
        <v>0</v>
      </c>
      <c r="V50" s="4">
        <v>31</v>
      </c>
      <c r="W50" s="4">
        <v>82</v>
      </c>
      <c r="X50" s="4">
        <v>142</v>
      </c>
      <c r="Y50" s="4">
        <v>3</v>
      </c>
      <c r="Z50" s="4">
        <v>25</v>
      </c>
      <c r="AA50" s="4">
        <v>0</v>
      </c>
      <c r="AB50" s="4">
        <v>0</v>
      </c>
      <c r="AC50" s="4">
        <v>0</v>
      </c>
      <c r="AD50" s="4">
        <v>0</v>
      </c>
      <c r="AE50" s="4">
        <v>1175</v>
      </c>
      <c r="AF50" s="4">
        <v>1282</v>
      </c>
      <c r="AG50" s="4">
        <v>299</v>
      </c>
      <c r="AH50" s="76">
        <f t="shared" si="1"/>
        <v>12924.615250836121</v>
      </c>
      <c r="AI50" s="76">
        <f t="shared" si="2"/>
        <v>4.2876254180602009</v>
      </c>
      <c r="AJ50" s="78">
        <f t="shared" ref="AJ50:AJ52" si="45">BV50</f>
        <v>24445</v>
      </c>
      <c r="AK50" s="76">
        <f t="shared" si="34"/>
        <v>293340</v>
      </c>
      <c r="AL50" s="49">
        <v>124559</v>
      </c>
      <c r="AM50" s="80">
        <f t="shared" si="4"/>
        <v>0.10813904253778321</v>
      </c>
      <c r="AN50" s="76">
        <f t="shared" si="5"/>
        <v>82222.552340425536</v>
      </c>
      <c r="AO50" s="102">
        <f t="shared" si="42"/>
        <v>0.26836527500000001</v>
      </c>
      <c r="AP50" s="82">
        <v>0</v>
      </c>
      <c r="AQ50" s="4">
        <v>220</v>
      </c>
      <c r="AR50" s="4">
        <v>3435</v>
      </c>
      <c r="AS50" s="4">
        <v>3035.69</v>
      </c>
      <c r="AT50" s="4">
        <v>3</v>
      </c>
      <c r="AU50" s="4">
        <v>42</v>
      </c>
      <c r="AV50" s="1">
        <v>47</v>
      </c>
      <c r="AW50" s="1">
        <v>26</v>
      </c>
      <c r="AX50" s="1">
        <v>3</v>
      </c>
      <c r="AY50" s="86" t="str">
        <f>IFERROR(VLOOKUP(C50,#REF!,13,0),"")</f>
        <v/>
      </c>
      <c r="AZ50" s="87"/>
      <c r="BA50" s="1" t="str">
        <f t="shared" si="6"/>
        <v>Active</v>
      </c>
      <c r="BB50" s="1" t="e">
        <f t="shared" ca="1" si="7"/>
        <v>#NAME?</v>
      </c>
      <c r="BC50" s="1" t="e">
        <f t="shared" ca="1" si="43"/>
        <v>#NAME?</v>
      </c>
      <c r="BD50" s="33">
        <f t="shared" si="44"/>
        <v>12</v>
      </c>
      <c r="BE50" s="88" t="str">
        <v/>
      </c>
      <c r="BF50" s="1">
        <f t="shared" si="9"/>
        <v>0</v>
      </c>
      <c r="BG50" s="1" t="s">
        <v>428</v>
      </c>
      <c r="BH50" s="89">
        <f ca="1">IFERROR(__xludf.DUMMYFUNCTION("""COMPUTED_VALUE"""),4730158)</f>
        <v>4730158</v>
      </c>
      <c r="BI50" s="89">
        <f ca="1">IFERROR(__xludf.DUMMYFUNCTION("""COMPUTED_VALUE"""),4785001.22)</f>
        <v>4785001.22</v>
      </c>
      <c r="BJ50" s="90"/>
      <c r="BK50" s="91"/>
      <c r="BL50" s="91">
        <f t="shared" si="10"/>
        <v>0</v>
      </c>
      <c r="BM50" s="91">
        <f t="shared" si="11"/>
        <v>14400000</v>
      </c>
      <c r="BN50" s="91"/>
      <c r="BO50" s="92">
        <f ca="1">IFERROR(__xludf.DUMMYFUNCTION("IFERROR(ArrayFormula(SUM(VLOOKUP($C50,importrange(""1MwNMVzWE3QBVOyJjKr3eFX-Sq1Ng0Q1sghWJbgbE_8g"",""ORDER BOOKING REPORT 2024-25!C:CV""),{16,23,30},0))))"),1034616.6)</f>
        <v>1034616.6</v>
      </c>
      <c r="BP50" s="92">
        <f ca="1">IFERROR(__xludf.DUMMYFUNCTION("IFERROR(ArrayFormula(SUM(VLOOKUP($C50,importrange(""1MwNMVzWE3QBVOyJjKr3eFX-Sq1Ng0Q1sghWJbgbE_8g"",""ORDER BOOKING REPORT 2024-25!C:CV""),{37,44,51},0))))"),1015304.79999999)</f>
        <v>1015304.79999999</v>
      </c>
      <c r="BQ50" s="92">
        <f ca="1">IFERROR(__xludf.DUMMYFUNCTION("IFERROR(ArrayFormula(SUM(VLOOKUP($C50,importrange(""1MwNMVzWE3QBVOyJjKr3eFX-Sq1Ng0Q1sghWJbgbE_8g"",""ORDER BOOKING REPORT 2024-25!C:CV""),{58,65,72},0))))"),1347077.6)</f>
        <v>1347077.6</v>
      </c>
      <c r="BR50" s="92">
        <f ca="1">IFERROR(__xludf.DUMMYFUNCTION("IFERROR(ArrayFormula(SUM(VLOOKUP($C50,importrange(""1MwNMVzWE3QBVOyJjKr3eFX-Sq1Ng0Q1sghWJbgbE_8g"",""ORDER BOOKING REPORT 2024-25!C:CV""),{79,86,93},0))))"),1388002.22)</f>
        <v>1388002.22</v>
      </c>
      <c r="BS50" s="93" t="str">
        <f t="shared" si="12"/>
        <v/>
      </c>
      <c r="BT50" s="93" t="str">
        <f t="shared" si="13"/>
        <v/>
      </c>
      <c r="BU50" s="37">
        <f t="shared" si="14"/>
        <v>0</v>
      </c>
      <c r="BV50" s="94">
        <v>24445</v>
      </c>
      <c r="BW50" s="94" t="s">
        <v>476</v>
      </c>
      <c r="BX50" s="94">
        <v>784</v>
      </c>
      <c r="BY50" s="37">
        <f t="shared" si="15"/>
        <v>0</v>
      </c>
      <c r="BZ50" s="37"/>
      <c r="CA50" s="37"/>
      <c r="CB50" s="37"/>
      <c r="CC50" s="37"/>
      <c r="CD50" s="37"/>
      <c r="CE50" s="37"/>
      <c r="CF50" s="37"/>
      <c r="CG50" s="37" t="str">
        <f t="shared" si="18"/>
        <v xml:space="preserve"> </v>
      </c>
      <c r="CH50" s="37" t="str">
        <f t="shared" si="26"/>
        <v>Business Achieved 50%</v>
      </c>
      <c r="CI50" s="93">
        <f t="shared" si="19"/>
        <v>0.61842105263157898</v>
      </c>
      <c r="CJ50" s="105">
        <f ca="1">IFERROR(__xludf.DUMMYFUNCTION("""COMPUTED_VALUE"""),743)</f>
        <v>743</v>
      </c>
      <c r="CK50" s="105">
        <f ca="1">IFERROR(__xludf.DUMMYFUNCTION("""COMPUTED_VALUE"""),432)</f>
        <v>432</v>
      </c>
      <c r="CL50" s="105">
        <f ca="1">IFERROR(__xludf.DUMMYFUNCTION("""COMPUTED_VALUE"""),0)</f>
        <v>0</v>
      </c>
      <c r="CM50" s="96">
        <f t="shared" ca="1" si="20"/>
        <v>0</v>
      </c>
      <c r="CN50" s="106"/>
      <c r="CO50" s="93"/>
      <c r="CP50" s="107"/>
      <c r="CQ50" s="110"/>
      <c r="CR50" s="93"/>
      <c r="CS50" s="93"/>
      <c r="CT50" s="93"/>
      <c r="CU50" s="93"/>
      <c r="CV50" s="93"/>
      <c r="CW50" s="93"/>
      <c r="CX50" s="51"/>
      <c r="CY50" s="93"/>
      <c r="CZ50" s="93"/>
    </row>
    <row r="51" spans="1:104" ht="15.6">
      <c r="A51" s="1" t="s">
        <v>201</v>
      </c>
      <c r="B51" s="1" t="s">
        <v>469</v>
      </c>
      <c r="C51" s="1" t="s">
        <v>159</v>
      </c>
      <c r="D51" s="1" t="s">
        <v>470</v>
      </c>
      <c r="E51" s="1" t="s">
        <v>528</v>
      </c>
      <c r="F51" s="104">
        <v>44805</v>
      </c>
      <c r="G51" s="76">
        <v>1200000</v>
      </c>
      <c r="H51" s="76">
        <v>8800002</v>
      </c>
      <c r="I51" s="77">
        <v>1115217.75</v>
      </c>
      <c r="J51" s="77">
        <v>773216.52</v>
      </c>
      <c r="K51" s="4">
        <v>77</v>
      </c>
      <c r="L51" s="4">
        <v>69</v>
      </c>
      <c r="M51" s="4">
        <v>15</v>
      </c>
      <c r="N51" s="4">
        <v>92</v>
      </c>
      <c r="O51" s="4">
        <v>23</v>
      </c>
      <c r="P51" s="77">
        <v>1057744.05</v>
      </c>
      <c r="Q51" s="77">
        <v>57473.7</v>
      </c>
      <c r="R51" s="4">
        <v>34</v>
      </c>
      <c r="S51" s="4">
        <v>2</v>
      </c>
      <c r="T51" s="4">
        <v>36</v>
      </c>
      <c r="U51" s="4">
        <v>2</v>
      </c>
      <c r="V51" s="4">
        <v>107</v>
      </c>
      <c r="W51" s="4">
        <v>138</v>
      </c>
      <c r="X51" s="4">
        <v>267</v>
      </c>
      <c r="Y51" s="4">
        <v>2</v>
      </c>
      <c r="Z51" s="4">
        <v>35</v>
      </c>
      <c r="AA51" s="4">
        <v>3</v>
      </c>
      <c r="AB51" s="4">
        <v>24</v>
      </c>
      <c r="AC51" s="4">
        <v>1</v>
      </c>
      <c r="AD51" s="4">
        <v>1</v>
      </c>
      <c r="AE51" s="4">
        <v>352</v>
      </c>
      <c r="AF51" s="4">
        <v>550</v>
      </c>
      <c r="AG51" s="4">
        <v>130</v>
      </c>
      <c r="AH51" s="76">
        <f t="shared" si="1"/>
        <v>14526.417461538462</v>
      </c>
      <c r="AI51" s="76">
        <f t="shared" si="2"/>
        <v>4.2307692307692308</v>
      </c>
      <c r="AJ51" s="78">
        <f t="shared" si="45"/>
        <v>38834</v>
      </c>
      <c r="AK51" s="76">
        <f t="shared" si="34"/>
        <v>210868.62</v>
      </c>
      <c r="AL51" s="49">
        <v>64931</v>
      </c>
      <c r="AM51" s="80">
        <f t="shared" si="4"/>
        <v>0.14604671413848044</v>
      </c>
      <c r="AN51" s="76">
        <f t="shared" si="5"/>
        <v>30978.270833333332</v>
      </c>
      <c r="AO51" s="102">
        <f t="shared" si="42"/>
        <v>0.18884338923132216</v>
      </c>
      <c r="AP51" s="82">
        <v>0.64</v>
      </c>
      <c r="AQ51" s="4">
        <v>82</v>
      </c>
      <c r="AR51" s="4">
        <v>1062</v>
      </c>
      <c r="AS51" s="4">
        <v>0</v>
      </c>
      <c r="AT51" s="4">
        <v>2</v>
      </c>
      <c r="AU51" s="4">
        <v>0</v>
      </c>
      <c r="AV51" s="1">
        <v>36</v>
      </c>
      <c r="AW51" s="1">
        <v>33</v>
      </c>
      <c r="AX51" s="1">
        <v>23</v>
      </c>
      <c r="AY51" s="86" t="str">
        <f>IFERROR(VLOOKUP(C51,#REF!,13,0),"")</f>
        <v/>
      </c>
      <c r="AZ51" s="87">
        <v>45913</v>
      </c>
      <c r="BA51" s="1" t="str">
        <f t="shared" si="6"/>
        <v>LEFT</v>
      </c>
      <c r="BB51" s="1" t="e">
        <f t="shared" ca="1" si="7"/>
        <v>#NAME?</v>
      </c>
      <c r="BC51" s="1" t="e">
        <f t="shared" ca="1" si="43"/>
        <v>#NAME?</v>
      </c>
      <c r="BD51" s="33">
        <v>5.43</v>
      </c>
      <c r="BE51" s="88" t="str">
        <v/>
      </c>
      <c r="BF51" s="1">
        <f t="shared" si="9"/>
        <v>13</v>
      </c>
      <c r="BG51" s="1" t="s">
        <v>428</v>
      </c>
      <c r="BH51" s="89">
        <f ca="1">IFERROR(__xludf.DUMMYFUNCTION("""COMPUTED_VALUE"""),3178281)</f>
        <v>3178281</v>
      </c>
      <c r="BI51" s="89">
        <f ca="1">IFERROR(__xludf.DUMMYFUNCTION("""COMPUTED_VALUE"""),3968260.82)</f>
        <v>3968260.82</v>
      </c>
      <c r="BJ51" s="90"/>
      <c r="BK51" s="91">
        <v>200000</v>
      </c>
      <c r="BL51" s="91">
        <f>BK51*6</f>
        <v>1200000</v>
      </c>
      <c r="BM51" s="91">
        <f t="shared" si="11"/>
        <v>10000002</v>
      </c>
      <c r="BN51" s="91"/>
      <c r="BO51" s="92">
        <f ca="1">IFERROR(__xludf.DUMMYFUNCTION("IFERROR(ArrayFormula(SUM(VLOOKUP($C51,importrange(""1MwNMVzWE3QBVOyJjKr3eFX-Sq1Ng0Q1sghWJbgbE_8g"",""ORDER BOOKING REPORT 2024-25!C:CV""),{16,23,30},0))))"),1449578.59999999)</f>
        <v>1449578.5999999901</v>
      </c>
      <c r="BP51" s="92">
        <f ca="1">IFERROR(__xludf.DUMMYFUNCTION("IFERROR(ArrayFormula(SUM(VLOOKUP($C51,importrange(""1MwNMVzWE3QBVOyJjKr3eFX-Sq1Ng0Q1sghWJbgbE_8g"",""ORDER BOOKING REPORT 2024-25!C:CV""),{37,44,51},0))))"),304601.7)</f>
        <v>304601.7</v>
      </c>
      <c r="BQ51" s="92">
        <f ca="1">IFERROR(__xludf.DUMMYFUNCTION("IFERROR(ArrayFormula(SUM(VLOOKUP($C51,importrange(""1MwNMVzWE3QBVOyJjKr3eFX-Sq1Ng0Q1sghWJbgbE_8g"",""ORDER BOOKING REPORT 2024-25!C:CV""),{58,65,72},0))))"),597554)</f>
        <v>597554</v>
      </c>
      <c r="BR51" s="92">
        <f ca="1">IFERROR(__xludf.DUMMYFUNCTION("IFERROR(ArrayFormula(SUM(VLOOKUP($C51,importrange(""1MwNMVzWE3QBVOyJjKr3eFX-Sq1Ng0Q1sghWJbgbE_8g"",""ORDER BOOKING REPORT 2024-25!C:CV""),{79,86,93},0))))"),1616526.52)</f>
        <v>1616526.52</v>
      </c>
      <c r="BS51" s="93" t="str">
        <f t="shared" si="12"/>
        <v/>
      </c>
      <c r="BT51" s="93" t="str">
        <f t="shared" si="13"/>
        <v/>
      </c>
      <c r="BU51" s="37">
        <f t="shared" si="14"/>
        <v>0</v>
      </c>
      <c r="BV51" s="94">
        <v>38834</v>
      </c>
      <c r="BW51" s="94" t="s">
        <v>445</v>
      </c>
      <c r="BX51" s="94">
        <v>812</v>
      </c>
      <c r="BY51" s="37">
        <f t="shared" si="15"/>
        <v>0</v>
      </c>
      <c r="BZ51" s="37"/>
      <c r="CA51" s="37" t="e">
        <f>BE51*BD51</f>
        <v>#VALUE!</v>
      </c>
      <c r="CB51" s="37"/>
      <c r="CC51" s="37" t="e">
        <f>CA51-H51</f>
        <v>#VALUE!</v>
      </c>
      <c r="CD51" s="37"/>
      <c r="CE51" s="37"/>
      <c r="CF51" s="37"/>
      <c r="CG51" s="37" t="str">
        <f t="shared" si="18"/>
        <v xml:space="preserve"> </v>
      </c>
      <c r="CH51" s="37" t="str">
        <f t="shared" si="26"/>
        <v>Not 50%</v>
      </c>
      <c r="CI51" s="93">
        <f t="shared" si="19"/>
        <v>0.39130434782608697</v>
      </c>
      <c r="CJ51" s="105">
        <f ca="1">IFERROR(__xludf.DUMMYFUNCTION("""COMPUTED_VALUE"""),233)</f>
        <v>233</v>
      </c>
      <c r="CK51" s="105">
        <f ca="1">IFERROR(__xludf.DUMMYFUNCTION("""COMPUTED_VALUE"""),119)</f>
        <v>119</v>
      </c>
      <c r="CL51" s="105">
        <f ca="1">IFERROR(__xludf.DUMMYFUNCTION("""COMPUTED_VALUE"""),0)</f>
        <v>0</v>
      </c>
      <c r="CM51" s="96">
        <f t="shared" ca="1" si="20"/>
        <v>0</v>
      </c>
      <c r="CN51" s="106"/>
      <c r="CO51" s="93"/>
      <c r="CP51" s="107"/>
      <c r="CQ51" s="110"/>
      <c r="CR51" s="93"/>
      <c r="CS51" s="93"/>
      <c r="CT51" s="93"/>
      <c r="CU51" s="93"/>
      <c r="CV51" s="93"/>
      <c r="CW51" s="93"/>
      <c r="CX51" s="51"/>
      <c r="CY51" s="93"/>
      <c r="CZ51" s="93"/>
    </row>
    <row r="52" spans="1:104" ht="15.6">
      <c r="A52" s="1" t="s">
        <v>120</v>
      </c>
      <c r="B52" s="1" t="s">
        <v>206</v>
      </c>
      <c r="C52" s="1" t="s">
        <v>139</v>
      </c>
      <c r="D52" s="1" t="s">
        <v>206</v>
      </c>
      <c r="E52" s="1" t="s">
        <v>141</v>
      </c>
      <c r="F52" s="104">
        <v>44809</v>
      </c>
      <c r="G52" s="76">
        <v>0</v>
      </c>
      <c r="H52" s="76">
        <v>21600000</v>
      </c>
      <c r="I52" s="77">
        <v>20551332.859999999</v>
      </c>
      <c r="J52" s="77">
        <v>0</v>
      </c>
      <c r="K52" s="4">
        <v>97</v>
      </c>
      <c r="L52" s="4">
        <v>98</v>
      </c>
      <c r="M52" s="4">
        <v>12</v>
      </c>
      <c r="N52" s="4">
        <v>109</v>
      </c>
      <c r="O52" s="4">
        <v>11</v>
      </c>
      <c r="P52" s="77">
        <v>19313262.149999999</v>
      </c>
      <c r="Q52" s="77">
        <v>1238070.71</v>
      </c>
      <c r="R52" s="4">
        <v>81</v>
      </c>
      <c r="S52" s="4">
        <v>10</v>
      </c>
      <c r="T52" s="4">
        <v>91</v>
      </c>
      <c r="U52" s="4">
        <v>0</v>
      </c>
      <c r="V52" s="4">
        <v>47</v>
      </c>
      <c r="W52" s="4">
        <v>104</v>
      </c>
      <c r="X52" s="4">
        <v>172</v>
      </c>
      <c r="Y52" s="4">
        <v>7</v>
      </c>
      <c r="Z52" s="4">
        <v>239</v>
      </c>
      <c r="AA52" s="4">
        <v>0</v>
      </c>
      <c r="AB52" s="4">
        <v>0</v>
      </c>
      <c r="AC52" s="4">
        <v>3</v>
      </c>
      <c r="AD52" s="4">
        <v>3</v>
      </c>
      <c r="AE52" s="4">
        <v>1447</v>
      </c>
      <c r="AF52" s="4">
        <v>1793</v>
      </c>
      <c r="AG52" s="4">
        <v>289</v>
      </c>
      <c r="AH52" s="76">
        <f t="shared" si="1"/>
        <v>71111.878408304503</v>
      </c>
      <c r="AI52" s="76">
        <f t="shared" si="2"/>
        <v>6.2041522491349479</v>
      </c>
      <c r="AJ52" s="78">
        <f t="shared" si="45"/>
        <v>32910</v>
      </c>
      <c r="AK52" s="76">
        <f t="shared" si="34"/>
        <v>394920</v>
      </c>
      <c r="AL52" s="49">
        <v>128294</v>
      </c>
      <c r="AM52" s="80">
        <f t="shared" si="4"/>
        <v>2.5458884032692371E-2</v>
      </c>
      <c r="AN52" s="76">
        <f t="shared" si="5"/>
        <v>225838.82263736264</v>
      </c>
      <c r="AO52" s="102">
        <f t="shared" si="42"/>
        <v>0.95145059537037036</v>
      </c>
      <c r="AP52" s="82">
        <v>0</v>
      </c>
      <c r="AQ52" s="4">
        <v>936</v>
      </c>
      <c r="AR52" s="4">
        <v>2757</v>
      </c>
      <c r="AS52" s="4">
        <v>1794.08</v>
      </c>
      <c r="AT52" s="4">
        <v>10</v>
      </c>
      <c r="AU52" s="4">
        <v>18</v>
      </c>
      <c r="AV52" s="1">
        <v>91</v>
      </c>
      <c r="AW52" s="1">
        <v>13</v>
      </c>
      <c r="AX52" s="1">
        <v>5</v>
      </c>
      <c r="AY52" s="86" t="str">
        <f>IFERROR(VLOOKUP(C52,#REF!,13,0),"")</f>
        <v/>
      </c>
      <c r="AZ52" s="87"/>
      <c r="BA52" s="1" t="str">
        <f t="shared" si="6"/>
        <v>Active</v>
      </c>
      <c r="BB52" s="1" t="e">
        <f t="shared" ca="1" si="7"/>
        <v>#NAME?</v>
      </c>
      <c r="BC52" s="1" t="e">
        <f t="shared" ca="1" si="43"/>
        <v>#NAME?</v>
      </c>
      <c r="BD52" s="33">
        <f t="shared" ref="BD52:BD55" si="46">MATCH($BD$2,{"Apr","May","Jun","Jul","Aug","Sep","Oct","Nov","Dec","Jan","Feb","Mar"},0)</f>
        <v>12</v>
      </c>
      <c r="BE52" s="88" t="str">
        <v/>
      </c>
      <c r="BF52" s="1">
        <f t="shared" si="9"/>
        <v>2</v>
      </c>
      <c r="BG52" s="1" t="s">
        <v>428</v>
      </c>
      <c r="BH52" s="89">
        <f ca="1">IFERROR(__xludf.DUMMYFUNCTION("""COMPUTED_VALUE"""),21927090)</f>
        <v>21927090</v>
      </c>
      <c r="BI52" s="89">
        <f ca="1">IFERROR(__xludf.DUMMYFUNCTION("""COMPUTED_VALUE"""),20056689.4599999)</f>
        <v>20056689.4599999</v>
      </c>
      <c r="BJ52" s="90"/>
      <c r="BK52" s="91"/>
      <c r="BL52" s="91">
        <f t="shared" ref="BL52:BL192" si="47">BK52*BD52</f>
        <v>0</v>
      </c>
      <c r="BM52" s="91">
        <f t="shared" si="11"/>
        <v>21600000</v>
      </c>
      <c r="BN52" s="91"/>
      <c r="BO52" s="92">
        <f ca="1">IFERROR(__xludf.DUMMYFUNCTION("IFERROR(ArrayFormula(SUM(VLOOKUP($C52,importrange(""1MwNMVzWE3QBVOyJjKr3eFX-Sq1Ng0Q1sghWJbgbE_8g"",""ORDER BOOKING REPORT 2024-25!C:CV""),{16,23,30},0))))"),5968719.90999999)</f>
        <v>5968719.9099999899</v>
      </c>
      <c r="BP52" s="92">
        <f ca="1">IFERROR(__xludf.DUMMYFUNCTION("IFERROR(ArrayFormula(SUM(VLOOKUP($C52,importrange(""1MwNMVzWE3QBVOyJjKr3eFX-Sq1Ng0Q1sghWJbgbE_8g"",""ORDER BOOKING REPORT 2024-25!C:CV""),{37,44,51},0))))"),4939521.6)</f>
        <v>4939521.5999999996</v>
      </c>
      <c r="BQ52" s="92">
        <f ca="1">IFERROR(__xludf.DUMMYFUNCTION("IFERROR(ArrayFormula(SUM(VLOOKUP($C52,importrange(""1MwNMVzWE3QBVOyJjKr3eFX-Sq1Ng0Q1sghWJbgbE_8g"",""ORDER BOOKING REPORT 2024-25!C:CV""),{58,65,72},0))))"),4573381.96)</f>
        <v>4573381.96</v>
      </c>
      <c r="BR52" s="92">
        <f ca="1">IFERROR(__xludf.DUMMYFUNCTION("IFERROR(ArrayFormula(SUM(VLOOKUP($C52,importrange(""1MwNMVzWE3QBVOyJjKr3eFX-Sq1Ng0Q1sghWJbgbE_8g"",""ORDER BOOKING REPORT 2024-25!C:CV""),{79,86,93},0))))"),4575065.99)</f>
        <v>4575065.99</v>
      </c>
      <c r="BS52" s="93" t="str">
        <f t="shared" si="12"/>
        <v/>
      </c>
      <c r="BT52" s="93" t="str">
        <f t="shared" si="13"/>
        <v/>
      </c>
      <c r="BU52" s="37">
        <f t="shared" si="14"/>
        <v>0</v>
      </c>
      <c r="BV52" s="94">
        <v>32910</v>
      </c>
      <c r="BW52" s="94" t="s">
        <v>476</v>
      </c>
      <c r="BX52" s="94">
        <v>806</v>
      </c>
      <c r="BY52" s="37">
        <f t="shared" si="15"/>
        <v>0</v>
      </c>
      <c r="BZ52" s="37"/>
      <c r="CA52" s="37"/>
      <c r="CB52" s="37"/>
      <c r="CC52" s="37"/>
      <c r="CD52" s="37"/>
      <c r="CE52" s="37"/>
      <c r="CF52" s="37"/>
      <c r="CG52" s="37" t="str">
        <f t="shared" si="18"/>
        <v xml:space="preserve"> </v>
      </c>
      <c r="CH52" s="37" t="str">
        <f t="shared" si="26"/>
        <v>Business Achieved 50%</v>
      </c>
      <c r="CI52" s="93">
        <f t="shared" si="19"/>
        <v>0.83486238532110091</v>
      </c>
      <c r="CJ52" s="105">
        <f ca="1">IFERROR(__xludf.DUMMYFUNCTION("""COMPUTED_VALUE"""),1378)</f>
        <v>1378</v>
      </c>
      <c r="CK52" s="105">
        <f ca="1">IFERROR(__xludf.DUMMYFUNCTION("""COMPUTED_VALUE"""),69)</f>
        <v>69</v>
      </c>
      <c r="CL52" s="105">
        <f ca="1">IFERROR(__xludf.DUMMYFUNCTION("""COMPUTED_VALUE"""),0)</f>
        <v>0</v>
      </c>
      <c r="CM52" s="96">
        <f t="shared" ca="1" si="20"/>
        <v>0</v>
      </c>
      <c r="CN52" s="106"/>
      <c r="CO52" s="93"/>
      <c r="CP52" s="107"/>
      <c r="CQ52" s="110"/>
      <c r="CR52" s="93"/>
      <c r="CS52" s="93"/>
      <c r="CT52" s="93"/>
      <c r="CU52" s="93"/>
      <c r="CV52" s="93"/>
      <c r="CW52" s="93"/>
      <c r="CX52" s="51"/>
      <c r="CY52" s="93"/>
      <c r="CZ52" s="93"/>
    </row>
    <row r="53" spans="1:104" ht="15.6">
      <c r="A53" s="1" t="s">
        <v>124</v>
      </c>
      <c r="B53" s="1" t="s">
        <v>443</v>
      </c>
      <c r="C53" s="1" t="s">
        <v>162</v>
      </c>
      <c r="D53" s="1" t="s">
        <v>517</v>
      </c>
      <c r="E53" s="1" t="s">
        <v>503</v>
      </c>
      <c r="F53" s="48">
        <v>44825</v>
      </c>
      <c r="G53" s="76">
        <v>0</v>
      </c>
      <c r="H53" s="76">
        <v>21600000</v>
      </c>
      <c r="I53" s="77">
        <v>12341859.32</v>
      </c>
      <c r="J53" s="77">
        <v>0</v>
      </c>
      <c r="K53" s="4">
        <v>92</v>
      </c>
      <c r="L53" s="4">
        <v>95</v>
      </c>
      <c r="M53" s="4">
        <v>9</v>
      </c>
      <c r="N53" s="4">
        <v>101</v>
      </c>
      <c r="O53" s="4">
        <v>6</v>
      </c>
      <c r="P53" s="77">
        <v>12133874.119999999</v>
      </c>
      <c r="Q53" s="77">
        <v>207985.2</v>
      </c>
      <c r="R53" s="4">
        <v>48</v>
      </c>
      <c r="S53" s="4">
        <v>5</v>
      </c>
      <c r="T53" s="4">
        <v>53</v>
      </c>
      <c r="U53" s="4">
        <v>0</v>
      </c>
      <c r="V53" s="4">
        <v>46</v>
      </c>
      <c r="W53" s="4">
        <v>105</v>
      </c>
      <c r="X53" s="4">
        <v>136</v>
      </c>
      <c r="Y53" s="4">
        <v>1</v>
      </c>
      <c r="Z53" s="4">
        <v>89</v>
      </c>
      <c r="AA53" s="4">
        <v>1</v>
      </c>
      <c r="AB53" s="4">
        <v>3</v>
      </c>
      <c r="AC53" s="4">
        <v>0</v>
      </c>
      <c r="AD53" s="4">
        <v>0</v>
      </c>
      <c r="AE53" s="4">
        <v>1452</v>
      </c>
      <c r="AF53" s="4">
        <v>1649</v>
      </c>
      <c r="AG53" s="4">
        <v>295</v>
      </c>
      <c r="AH53" s="76">
        <f t="shared" si="1"/>
        <v>41836.811254237291</v>
      </c>
      <c r="AI53" s="76">
        <f t="shared" si="2"/>
        <v>5.5898305084745763</v>
      </c>
      <c r="AJ53" s="78">
        <v>45000</v>
      </c>
      <c r="AK53" s="76">
        <f t="shared" si="34"/>
        <v>540000</v>
      </c>
      <c r="AL53" s="79">
        <v>198284</v>
      </c>
      <c r="AM53" s="80">
        <f t="shared" si="4"/>
        <v>5.9819511862658305E-2</v>
      </c>
      <c r="AN53" s="76">
        <f t="shared" si="5"/>
        <v>232865.27018867925</v>
      </c>
      <c r="AO53" s="102">
        <f t="shared" si="42"/>
        <v>0.57138237592592589</v>
      </c>
      <c r="AP53" s="82">
        <v>0</v>
      </c>
      <c r="AQ53" s="4">
        <v>396</v>
      </c>
      <c r="AR53" s="4">
        <v>2928</v>
      </c>
      <c r="AS53" s="4">
        <v>3101.82</v>
      </c>
      <c r="AT53" s="4">
        <v>5</v>
      </c>
      <c r="AU53" s="4">
        <v>33</v>
      </c>
      <c r="AV53" s="1">
        <v>53</v>
      </c>
      <c r="AW53" s="1">
        <v>44</v>
      </c>
      <c r="AX53" s="1">
        <v>4</v>
      </c>
      <c r="AY53" s="86" t="str">
        <f>IFERROR(VLOOKUP(C53,#REF!,13,0),"")</f>
        <v/>
      </c>
      <c r="AZ53" s="87"/>
      <c r="BA53" s="1" t="str">
        <f t="shared" si="6"/>
        <v>Active</v>
      </c>
      <c r="BB53" s="1" t="e">
        <f t="shared" ca="1" si="7"/>
        <v>#NAME?</v>
      </c>
      <c r="BC53" s="1" t="e">
        <f t="shared" ca="1" si="43"/>
        <v>#NAME?</v>
      </c>
      <c r="BD53" s="33">
        <f t="shared" si="46"/>
        <v>12</v>
      </c>
      <c r="BE53" s="88" t="str">
        <v/>
      </c>
      <c r="BF53" s="1">
        <f t="shared" si="9"/>
        <v>4</v>
      </c>
      <c r="BG53" s="1" t="s">
        <v>428</v>
      </c>
      <c r="BH53" s="89">
        <f ca="1">IFERROR(__xludf.DUMMYFUNCTION("""COMPUTED_VALUE"""),11046346)</f>
        <v>11046346</v>
      </c>
      <c r="BI53" s="89">
        <f ca="1">IFERROR(__xludf.DUMMYFUNCTION("""COMPUTED_VALUE"""),11122377.62)</f>
        <v>11122377.619999999</v>
      </c>
      <c r="BJ53" s="90"/>
      <c r="BK53" s="91"/>
      <c r="BL53" s="91">
        <f t="shared" si="47"/>
        <v>0</v>
      </c>
      <c r="BM53" s="91">
        <f t="shared" si="11"/>
        <v>21600000</v>
      </c>
      <c r="BN53" s="91"/>
      <c r="BO53" s="92">
        <f ca="1">IFERROR(__xludf.DUMMYFUNCTION("IFERROR(ArrayFormula(SUM(VLOOKUP($C53,importrange(""1MwNMVzWE3QBVOyJjKr3eFX-Sq1Ng0Q1sghWJbgbE_8g"",""ORDER BOOKING REPORT 2024-25!C:CV""),{16,23,30},0))))"),2627640.5)</f>
        <v>2627640.5</v>
      </c>
      <c r="BP53" s="92">
        <f ca="1">IFERROR(__xludf.DUMMYFUNCTION("IFERROR(ArrayFormula(SUM(VLOOKUP($C53,importrange(""1MwNMVzWE3QBVOyJjKr3eFX-Sq1Ng0Q1sghWJbgbE_8g"",""ORDER BOOKING REPORT 2024-25!C:CV""),{37,44,51},0))))"),3015989.92)</f>
        <v>3015989.92</v>
      </c>
      <c r="BQ53" s="92">
        <f ca="1">IFERROR(__xludf.DUMMYFUNCTION("IFERROR(ArrayFormula(SUM(VLOOKUP($C53,importrange(""1MwNMVzWE3QBVOyJjKr3eFX-Sq1Ng0Q1sghWJbgbE_8g"",""ORDER BOOKING REPORT 2024-25!C:CV""),{58,65,72},0))))"),2456046.3)</f>
        <v>2456046.2999999998</v>
      </c>
      <c r="BR53" s="92">
        <f ca="1">IFERROR(__xludf.DUMMYFUNCTION("IFERROR(ArrayFormula(SUM(VLOOKUP($C53,importrange(""1MwNMVzWE3QBVOyJjKr3eFX-Sq1Ng0Q1sghWJbgbE_8g"",""ORDER BOOKING REPORT 2024-25!C:CV""),{79,86,93},0))))"),3022700.9)</f>
        <v>3022700.9</v>
      </c>
      <c r="BS53" s="93" t="str">
        <f t="shared" si="12"/>
        <v/>
      </c>
      <c r="BT53" s="93" t="str">
        <f t="shared" si="13"/>
        <v/>
      </c>
      <c r="BU53" s="37">
        <f t="shared" si="14"/>
        <v>0</v>
      </c>
      <c r="BV53" s="94">
        <v>45000</v>
      </c>
      <c r="BW53" s="94" t="s">
        <v>445</v>
      </c>
      <c r="BX53" s="94">
        <v>809</v>
      </c>
      <c r="BY53" s="37">
        <f t="shared" si="15"/>
        <v>0</v>
      </c>
      <c r="BZ53" s="37"/>
      <c r="CA53" s="37"/>
      <c r="CB53" s="37"/>
      <c r="CC53" s="37"/>
      <c r="CD53" s="37"/>
      <c r="CE53" s="37"/>
      <c r="CF53" s="37"/>
      <c r="CG53" s="37" t="str">
        <f t="shared" si="18"/>
        <v xml:space="preserve"> </v>
      </c>
      <c r="CH53" s="37" t="str">
        <f t="shared" si="26"/>
        <v>Business Achieved 50%</v>
      </c>
      <c r="CI53" s="93">
        <f t="shared" si="19"/>
        <v>0.52475247524752477</v>
      </c>
      <c r="CJ53" s="95">
        <f ca="1">IFERROR(__xludf.DUMMYFUNCTION("""COMPUTED_VALUE"""),903)</f>
        <v>903</v>
      </c>
      <c r="CK53" s="95">
        <f ca="1">IFERROR(__xludf.DUMMYFUNCTION("""COMPUTED_VALUE"""),549)</f>
        <v>549</v>
      </c>
      <c r="CL53" s="95">
        <f ca="1">IFERROR(__xludf.DUMMYFUNCTION("""COMPUTED_VALUE"""),0)</f>
        <v>0</v>
      </c>
      <c r="CM53" s="96">
        <f t="shared" ca="1" si="20"/>
        <v>0</v>
      </c>
      <c r="CN53" s="103"/>
      <c r="CO53" s="4"/>
      <c r="CP53" s="100"/>
      <c r="CQ53" s="101"/>
      <c r="CR53" s="4"/>
      <c r="CS53" s="4"/>
      <c r="CT53" s="4"/>
      <c r="CU53" s="4"/>
      <c r="CV53" s="4"/>
      <c r="CW53" s="101"/>
      <c r="CX53" s="51"/>
      <c r="CY53" s="4"/>
      <c r="CZ53" s="4"/>
    </row>
    <row r="54" spans="1:104" ht="15.6">
      <c r="A54" s="1" t="s">
        <v>118</v>
      </c>
      <c r="B54" s="1" t="s">
        <v>484</v>
      </c>
      <c r="C54" s="1" t="s">
        <v>133</v>
      </c>
      <c r="D54" s="1" t="s">
        <v>529</v>
      </c>
      <c r="E54" s="1" t="s">
        <v>530</v>
      </c>
      <c r="F54" s="104">
        <v>44868</v>
      </c>
      <c r="G54" s="76">
        <v>0</v>
      </c>
      <c r="H54" s="76">
        <v>18000000</v>
      </c>
      <c r="I54" s="77">
        <v>9855471.1300000008</v>
      </c>
      <c r="J54" s="77">
        <v>0</v>
      </c>
      <c r="K54" s="4">
        <v>71</v>
      </c>
      <c r="L54" s="4">
        <v>73</v>
      </c>
      <c r="M54" s="4">
        <v>8</v>
      </c>
      <c r="N54" s="4">
        <v>79</v>
      </c>
      <c r="O54" s="4">
        <v>6</v>
      </c>
      <c r="P54" s="77">
        <v>8744673.0299999993</v>
      </c>
      <c r="Q54" s="77">
        <v>1110798.1000000001</v>
      </c>
      <c r="R54" s="4">
        <v>39</v>
      </c>
      <c r="S54" s="4">
        <v>8</v>
      </c>
      <c r="T54" s="4">
        <v>47</v>
      </c>
      <c r="U54" s="4">
        <v>0</v>
      </c>
      <c r="V54" s="4">
        <v>20</v>
      </c>
      <c r="W54" s="4">
        <v>39</v>
      </c>
      <c r="X54" s="4">
        <v>32</v>
      </c>
      <c r="Y54" s="4">
        <v>1</v>
      </c>
      <c r="Z54" s="4">
        <v>73</v>
      </c>
      <c r="AA54" s="4">
        <v>0</v>
      </c>
      <c r="AB54" s="4">
        <v>0</v>
      </c>
      <c r="AC54" s="4">
        <v>0</v>
      </c>
      <c r="AD54" s="4">
        <v>0</v>
      </c>
      <c r="AE54" s="4">
        <v>688</v>
      </c>
      <c r="AF54" s="4">
        <v>800</v>
      </c>
      <c r="AG54" s="4">
        <v>264</v>
      </c>
      <c r="AH54" s="76">
        <f t="shared" si="1"/>
        <v>37331.33003787879</v>
      </c>
      <c r="AI54" s="76">
        <f t="shared" si="2"/>
        <v>3.0303030303030303</v>
      </c>
      <c r="AJ54" s="78">
        <v>31625</v>
      </c>
      <c r="AK54" s="76">
        <f t="shared" si="34"/>
        <v>379500</v>
      </c>
      <c r="AL54" s="79">
        <v>169733</v>
      </c>
      <c r="AM54" s="80">
        <f t="shared" si="4"/>
        <v>5.5728741199204339E-2</v>
      </c>
      <c r="AN54" s="76">
        <f t="shared" si="5"/>
        <v>209690.875106383</v>
      </c>
      <c r="AO54" s="102">
        <f t="shared" si="42"/>
        <v>0.54752617388888891</v>
      </c>
      <c r="AP54" s="82">
        <v>0</v>
      </c>
      <c r="AQ54" s="4">
        <v>167</v>
      </c>
      <c r="AR54" s="4">
        <v>2310</v>
      </c>
      <c r="AS54" s="4">
        <v>1005.82</v>
      </c>
      <c r="AT54" s="4">
        <v>8</v>
      </c>
      <c r="AU54" s="4">
        <v>14</v>
      </c>
      <c r="AV54" s="1">
        <v>47</v>
      </c>
      <c r="AW54" s="1">
        <v>27</v>
      </c>
      <c r="AX54" s="1">
        <v>5</v>
      </c>
      <c r="AY54" s="86" t="str">
        <f>IFERROR(VLOOKUP(C54,#REF!,13,0),"")</f>
        <v/>
      </c>
      <c r="AZ54" s="87"/>
      <c r="BA54" s="1" t="str">
        <f t="shared" si="6"/>
        <v>Active</v>
      </c>
      <c r="BB54" s="1" t="e">
        <f t="shared" ca="1" si="7"/>
        <v>#NAME?</v>
      </c>
      <c r="BC54" s="1" t="e">
        <f t="shared" ca="1" si="43"/>
        <v>#NAME?</v>
      </c>
      <c r="BD54" s="33">
        <f t="shared" si="46"/>
        <v>12</v>
      </c>
      <c r="BE54" s="88" t="str">
        <v/>
      </c>
      <c r="BF54" s="1">
        <f t="shared" si="9"/>
        <v>0</v>
      </c>
      <c r="BG54" s="1" t="s">
        <v>428</v>
      </c>
      <c r="BH54" s="89">
        <f ca="1">IFERROR(__xludf.DUMMYFUNCTION("""COMPUTED_VALUE"""),10577915.36)</f>
        <v>10577915.359999999</v>
      </c>
      <c r="BI54" s="89">
        <f ca="1">IFERROR(__xludf.DUMMYFUNCTION("""COMPUTED_VALUE"""),10770987.2)</f>
        <v>10770987.199999999</v>
      </c>
      <c r="BJ54" s="90"/>
      <c r="BK54" s="91"/>
      <c r="BL54" s="91">
        <f t="shared" si="47"/>
        <v>0</v>
      </c>
      <c r="BM54" s="91">
        <f t="shared" si="11"/>
        <v>18000000</v>
      </c>
      <c r="BN54" s="91"/>
      <c r="BO54" s="92">
        <f ca="1">IFERROR(__xludf.DUMMYFUNCTION("IFERROR(ArrayFormula(SUM(VLOOKUP($C54,importrange(""1MwNMVzWE3QBVOyJjKr3eFX-Sq1Ng0Q1sghWJbgbE_8g"",""ORDER BOOKING REPORT 2024-25!C:CV""),{16,23,30},0))))"),2474235.3)</f>
        <v>2474235.2999999998</v>
      </c>
      <c r="BP54" s="92">
        <f ca="1">IFERROR(__xludf.DUMMYFUNCTION("IFERROR(ArrayFormula(SUM(VLOOKUP($C54,importrange(""1MwNMVzWE3QBVOyJjKr3eFX-Sq1Ng0Q1sghWJbgbE_8g"",""ORDER BOOKING REPORT 2024-25!C:CV""),{37,44,51},0))))"),2816418.5)</f>
        <v>2816418.5</v>
      </c>
      <c r="BQ54" s="92">
        <f ca="1">IFERROR(__xludf.DUMMYFUNCTION("IFERROR(ArrayFormula(SUM(VLOOKUP($C54,importrange(""1MwNMVzWE3QBVOyJjKr3eFX-Sq1Ng0Q1sghWJbgbE_8g"",""ORDER BOOKING REPORT 2024-25!C:CV""),{58,65,72},0))))"),2683364.7)</f>
        <v>2683364.7000000002</v>
      </c>
      <c r="BR54" s="92">
        <f ca="1">IFERROR(__xludf.DUMMYFUNCTION("IFERROR(ArrayFormula(SUM(VLOOKUP($C54,importrange(""1MwNMVzWE3QBVOyJjKr3eFX-Sq1Ng0Q1sghWJbgbE_8g"",""ORDER BOOKING REPORT 2024-25!C:CV""),{79,86,93},0))))"),2796968.7)</f>
        <v>2796968.7</v>
      </c>
      <c r="BS54" s="93" t="str">
        <f t="shared" si="12"/>
        <v/>
      </c>
      <c r="BT54" s="93" t="str">
        <f t="shared" si="13"/>
        <v/>
      </c>
      <c r="BU54" s="37">
        <f t="shared" si="14"/>
        <v>0</v>
      </c>
      <c r="BV54" s="94">
        <v>31625</v>
      </c>
      <c r="BW54" s="94" t="s">
        <v>445</v>
      </c>
      <c r="BX54" s="94">
        <v>826</v>
      </c>
      <c r="BY54" s="37">
        <f t="shared" si="15"/>
        <v>0</v>
      </c>
      <c r="BZ54" s="37"/>
      <c r="CA54" s="37"/>
      <c r="CB54" s="37"/>
      <c r="CC54" s="37"/>
      <c r="CD54" s="37"/>
      <c r="CE54" s="37"/>
      <c r="CF54" s="37"/>
      <c r="CG54" s="37" t="str">
        <f t="shared" si="18"/>
        <v xml:space="preserve"> </v>
      </c>
      <c r="CH54" s="37" t="str">
        <f t="shared" si="26"/>
        <v>Business Achieved 50%</v>
      </c>
      <c r="CI54" s="93">
        <f t="shared" si="19"/>
        <v>0.59493670886075944</v>
      </c>
      <c r="CJ54" s="95">
        <f ca="1">IFERROR(__xludf.DUMMYFUNCTION("""COMPUTED_VALUE"""),464)</f>
        <v>464</v>
      </c>
      <c r="CK54" s="95">
        <f ca="1">IFERROR(__xludf.DUMMYFUNCTION("""COMPUTED_VALUE"""),224)</f>
        <v>224</v>
      </c>
      <c r="CL54" s="95">
        <f ca="1">IFERROR(__xludf.DUMMYFUNCTION("""COMPUTED_VALUE"""),0)</f>
        <v>0</v>
      </c>
      <c r="CM54" s="96">
        <f t="shared" ca="1" si="20"/>
        <v>0</v>
      </c>
      <c r="CN54" s="103"/>
      <c r="CO54" s="4"/>
      <c r="CP54" s="100"/>
      <c r="CQ54" s="101"/>
      <c r="CR54" s="4"/>
      <c r="CS54" s="4"/>
      <c r="CT54" s="4"/>
      <c r="CU54" s="4"/>
      <c r="CV54" s="4"/>
      <c r="CW54" s="101"/>
      <c r="CX54" s="51"/>
      <c r="CY54" s="4"/>
      <c r="CZ54" s="4"/>
    </row>
    <row r="55" spans="1:104" ht="15.6">
      <c r="A55" s="1" t="s">
        <v>201</v>
      </c>
      <c r="B55" s="1" t="s">
        <v>431</v>
      </c>
      <c r="C55" s="1" t="s">
        <v>164</v>
      </c>
      <c r="D55" s="1" t="s">
        <v>431</v>
      </c>
      <c r="E55" s="1" t="s">
        <v>531</v>
      </c>
      <c r="F55" s="48">
        <v>44911</v>
      </c>
      <c r="G55" s="76">
        <v>0</v>
      </c>
      <c r="H55" s="76">
        <v>20000004</v>
      </c>
      <c r="I55" s="77">
        <v>20833737.710000001</v>
      </c>
      <c r="J55" s="77">
        <v>204300.69</v>
      </c>
      <c r="K55" s="4">
        <v>214</v>
      </c>
      <c r="L55" s="4">
        <v>240</v>
      </c>
      <c r="M55" s="4">
        <v>65</v>
      </c>
      <c r="N55" s="4">
        <v>279</v>
      </c>
      <c r="O55" s="4">
        <v>39</v>
      </c>
      <c r="P55" s="77">
        <v>17197013.809999999</v>
      </c>
      <c r="Q55" s="77">
        <v>3636723.9</v>
      </c>
      <c r="R55" s="4">
        <v>160</v>
      </c>
      <c r="S55" s="4">
        <v>57</v>
      </c>
      <c r="T55" s="4">
        <v>217</v>
      </c>
      <c r="U55" s="4">
        <v>1</v>
      </c>
      <c r="V55" s="4">
        <v>49</v>
      </c>
      <c r="W55" s="4">
        <v>80</v>
      </c>
      <c r="X55" s="4">
        <v>123</v>
      </c>
      <c r="Y55" s="4">
        <v>2</v>
      </c>
      <c r="Z55" s="4">
        <v>196</v>
      </c>
      <c r="AA55" s="4">
        <v>1</v>
      </c>
      <c r="AB55" s="4">
        <v>3</v>
      </c>
      <c r="AC55" s="4">
        <v>0</v>
      </c>
      <c r="AD55" s="4">
        <v>0</v>
      </c>
      <c r="AE55" s="4">
        <v>1715</v>
      </c>
      <c r="AF55" s="4">
        <v>1994</v>
      </c>
      <c r="AG55" s="4">
        <v>296</v>
      </c>
      <c r="AH55" s="76">
        <f t="shared" si="1"/>
        <v>71074.454054054062</v>
      </c>
      <c r="AI55" s="76">
        <f t="shared" si="2"/>
        <v>6.7364864864864868</v>
      </c>
      <c r="AJ55" s="78">
        <f>BV55</f>
        <v>45935</v>
      </c>
      <c r="AK55" s="76">
        <f t="shared" si="34"/>
        <v>551220</v>
      </c>
      <c r="AL55" s="49">
        <v>259890</v>
      </c>
      <c r="AM55" s="80">
        <f t="shared" si="4"/>
        <v>3.8554450019446677E-2</v>
      </c>
      <c r="AN55" s="76">
        <f t="shared" si="5"/>
        <v>96008.007880184334</v>
      </c>
      <c r="AO55" s="102">
        <f t="shared" si="42"/>
        <v>1.0519017096196581</v>
      </c>
      <c r="AP55" s="82">
        <v>0</v>
      </c>
      <c r="AQ55" s="4">
        <v>1159</v>
      </c>
      <c r="AR55" s="4">
        <v>2066</v>
      </c>
      <c r="AS55" s="4">
        <v>2387.63</v>
      </c>
      <c r="AT55" s="4">
        <v>57</v>
      </c>
      <c r="AU55" s="4">
        <v>10</v>
      </c>
      <c r="AV55" s="1">
        <v>217</v>
      </c>
      <c r="AW55" s="1">
        <v>32</v>
      </c>
      <c r="AX55" s="1">
        <v>30</v>
      </c>
      <c r="AY55" s="86" t="str">
        <f>IFERROR(VLOOKUP(C55,#REF!,13,0),"")</f>
        <v/>
      </c>
      <c r="AZ55" s="87"/>
      <c r="BA55" s="1" t="str">
        <f t="shared" si="6"/>
        <v>Active</v>
      </c>
      <c r="BB55" s="1" t="e">
        <f t="shared" ca="1" si="7"/>
        <v>#NAME?</v>
      </c>
      <c r="BC55" s="1" t="e">
        <f t="shared" ca="1" si="43"/>
        <v>#NAME?</v>
      </c>
      <c r="BD55" s="33">
        <f t="shared" si="46"/>
        <v>12</v>
      </c>
      <c r="BE55" s="88" t="str">
        <v/>
      </c>
      <c r="BF55" s="1">
        <f t="shared" si="9"/>
        <v>8</v>
      </c>
      <c r="BG55" s="1" t="s">
        <v>428</v>
      </c>
      <c r="BH55" s="89">
        <f ca="1">IFERROR(__xludf.DUMMYFUNCTION("""COMPUTED_VALUE"""),13718152)</f>
        <v>13718152</v>
      </c>
      <c r="BI55" s="89">
        <f ca="1">IFERROR(__xludf.DUMMYFUNCTION("""COMPUTED_VALUE"""),13038969.14)</f>
        <v>13038969.140000001</v>
      </c>
      <c r="BJ55" s="90"/>
      <c r="BK55" s="91"/>
      <c r="BL55" s="91">
        <f t="shared" si="47"/>
        <v>0</v>
      </c>
      <c r="BM55" s="91">
        <f t="shared" si="11"/>
        <v>20000004</v>
      </c>
      <c r="BN55" s="91"/>
      <c r="BO55" s="92">
        <f ca="1">IFERROR(__xludf.DUMMYFUNCTION("IFERROR(ArrayFormula(SUM(VLOOKUP($C55,importrange(""1MwNMVzWE3QBVOyJjKr3eFX-Sq1Ng0Q1sghWJbgbE_8g"",""ORDER BOOKING REPORT 2024-25!C:CV""),{16,23,30},0))))"),2846643.75)</f>
        <v>2846643.75</v>
      </c>
      <c r="BP55" s="92">
        <f ca="1">IFERROR(__xludf.DUMMYFUNCTION("IFERROR(ArrayFormula(SUM(VLOOKUP($C55,importrange(""1MwNMVzWE3QBVOyJjKr3eFX-Sq1Ng0Q1sghWJbgbE_8g"",""ORDER BOOKING REPORT 2024-25!C:CV""),{37,44,51},0))))"),3167477.67)</f>
        <v>3167477.67</v>
      </c>
      <c r="BQ55" s="92">
        <f ca="1">IFERROR(__xludf.DUMMYFUNCTION("IFERROR(ArrayFormula(SUM(VLOOKUP($C55,importrange(""1MwNMVzWE3QBVOyJjKr3eFX-Sq1Ng0Q1sghWJbgbE_8g"",""ORDER BOOKING REPORT 2024-25!C:CV""),{58,65,72},0))))"),2622988.55)</f>
        <v>2622988.5499999998</v>
      </c>
      <c r="BR55" s="92">
        <f ca="1">IFERROR(__xludf.DUMMYFUNCTION("IFERROR(ArrayFormula(SUM(VLOOKUP($C55,importrange(""1MwNMVzWE3QBVOyJjKr3eFX-Sq1Ng0Q1sghWJbgbE_8g"",""ORDER BOOKING REPORT 2024-25!C:CV""),{79,86,93},0))))"),4401859.17)</f>
        <v>4401859.17</v>
      </c>
      <c r="BS55" s="93" t="str">
        <f t="shared" si="12"/>
        <v/>
      </c>
      <c r="BT55" s="93" t="str">
        <f t="shared" si="13"/>
        <v/>
      </c>
      <c r="BU55" s="37">
        <f t="shared" si="14"/>
        <v>0</v>
      </c>
      <c r="BV55" s="94">
        <v>45935</v>
      </c>
      <c r="BW55" s="94" t="s">
        <v>429</v>
      </c>
      <c r="BX55" s="94">
        <v>832</v>
      </c>
      <c r="BY55" s="37">
        <f t="shared" si="15"/>
        <v>0</v>
      </c>
      <c r="BZ55" s="37"/>
      <c r="CA55" s="37"/>
      <c r="CB55" s="37"/>
      <c r="CC55" s="37"/>
      <c r="CD55" s="37"/>
      <c r="CE55" s="37"/>
      <c r="CF55" s="37"/>
      <c r="CG55" s="37" t="str">
        <f t="shared" si="18"/>
        <v xml:space="preserve"> </v>
      </c>
      <c r="CH55" s="37" t="str">
        <f t="shared" si="26"/>
        <v>Business Achieved 50%</v>
      </c>
      <c r="CI55" s="93">
        <f t="shared" si="19"/>
        <v>0.77777777777777779</v>
      </c>
      <c r="CJ55" s="105">
        <f ca="1">IFERROR(__xludf.DUMMYFUNCTION("""COMPUTED_VALUE"""),1647)</f>
        <v>1647</v>
      </c>
      <c r="CK55" s="105">
        <f ca="1">IFERROR(__xludf.DUMMYFUNCTION("""COMPUTED_VALUE"""),68)</f>
        <v>68</v>
      </c>
      <c r="CL55" s="105">
        <f ca="1">IFERROR(__xludf.DUMMYFUNCTION("""COMPUTED_VALUE"""),0)</f>
        <v>0</v>
      </c>
      <c r="CM55" s="96">
        <f t="shared" ca="1" si="20"/>
        <v>0</v>
      </c>
      <c r="CN55" s="106"/>
      <c r="CO55" s="93"/>
      <c r="CP55" s="107"/>
      <c r="CQ55" s="110"/>
      <c r="CR55" s="93"/>
      <c r="CS55" s="93"/>
      <c r="CT55" s="93"/>
      <c r="CU55" s="93"/>
      <c r="CV55" s="93"/>
      <c r="CW55" s="93"/>
      <c r="CX55" s="51"/>
      <c r="CY55" s="93"/>
      <c r="CZ55" s="93"/>
    </row>
    <row r="56" spans="1:104" ht="15.6">
      <c r="A56" s="1" t="s">
        <v>117</v>
      </c>
      <c r="B56" s="1" t="s">
        <v>450</v>
      </c>
      <c r="C56" s="1" t="s">
        <v>165</v>
      </c>
      <c r="D56" s="1" t="s">
        <v>482</v>
      </c>
      <c r="E56" s="1" t="s">
        <v>532</v>
      </c>
      <c r="F56" s="104">
        <v>44928</v>
      </c>
      <c r="G56" s="76">
        <v>0</v>
      </c>
      <c r="H56" s="76">
        <v>5833331</v>
      </c>
      <c r="I56" s="77">
        <v>1788891.24</v>
      </c>
      <c r="J56" s="77">
        <v>0</v>
      </c>
      <c r="K56" s="4">
        <v>65</v>
      </c>
      <c r="L56" s="4">
        <v>80</v>
      </c>
      <c r="M56" s="4">
        <v>24</v>
      </c>
      <c r="N56" s="4">
        <v>89</v>
      </c>
      <c r="O56" s="4">
        <v>9</v>
      </c>
      <c r="P56" s="77">
        <v>1327703.29</v>
      </c>
      <c r="Q56" s="77">
        <v>461187.95</v>
      </c>
      <c r="R56" s="4">
        <v>43</v>
      </c>
      <c r="S56" s="4">
        <v>20</v>
      </c>
      <c r="T56" s="4">
        <v>63</v>
      </c>
      <c r="U56" s="4">
        <v>0</v>
      </c>
      <c r="V56" s="4">
        <v>92</v>
      </c>
      <c r="W56" s="4">
        <v>199</v>
      </c>
      <c r="X56" s="4">
        <v>134</v>
      </c>
      <c r="Y56" s="4">
        <v>3</v>
      </c>
      <c r="Z56" s="4">
        <v>64</v>
      </c>
      <c r="AA56" s="4">
        <v>0</v>
      </c>
      <c r="AB56" s="4">
        <v>0</v>
      </c>
      <c r="AC56" s="4">
        <v>1</v>
      </c>
      <c r="AD56" s="4">
        <v>1</v>
      </c>
      <c r="AE56" s="4">
        <v>458</v>
      </c>
      <c r="AF56" s="4">
        <v>722</v>
      </c>
      <c r="AG56" s="4">
        <v>174</v>
      </c>
      <c r="AH56" s="76">
        <f t="shared" si="1"/>
        <v>10280.984137931035</v>
      </c>
      <c r="AI56" s="76">
        <f t="shared" si="2"/>
        <v>4.1494252873563218</v>
      </c>
      <c r="AJ56" s="78">
        <v>49500</v>
      </c>
      <c r="AK56" s="76">
        <f t="shared" si="34"/>
        <v>351450</v>
      </c>
      <c r="AL56" s="79">
        <v>69684</v>
      </c>
      <c r="AM56" s="80">
        <f t="shared" si="4"/>
        <v>0.23541621233496565</v>
      </c>
      <c r="AN56" s="76">
        <f t="shared" si="5"/>
        <v>28395.099047619049</v>
      </c>
      <c r="AO56" s="102">
        <f t="shared" si="42"/>
        <v>0.30666719238116269</v>
      </c>
      <c r="AP56" s="82">
        <v>0</v>
      </c>
      <c r="AQ56" s="4">
        <v>121</v>
      </c>
      <c r="AR56" s="4">
        <v>1629</v>
      </c>
      <c r="AS56" s="4">
        <v>0</v>
      </c>
      <c r="AT56" s="4">
        <v>20</v>
      </c>
      <c r="AU56" s="4">
        <v>0</v>
      </c>
      <c r="AV56" s="1">
        <v>63</v>
      </c>
      <c r="AW56" s="1">
        <v>19</v>
      </c>
      <c r="AX56" s="1">
        <v>7</v>
      </c>
      <c r="AY56" s="86" t="str">
        <f>IFERROR(VLOOKUP(C56,#REF!,13,0),"")</f>
        <v/>
      </c>
      <c r="AZ56" s="87">
        <v>45971</v>
      </c>
      <c r="BA56" s="1" t="str">
        <f t="shared" si="6"/>
        <v>LEFT</v>
      </c>
      <c r="BB56" s="1" t="e">
        <f t="shared" ca="1" si="7"/>
        <v>#NAME?</v>
      </c>
      <c r="BC56" s="1" t="e">
        <f t="shared" ca="1" si="43"/>
        <v>#NAME?</v>
      </c>
      <c r="BD56" s="33">
        <v>7.1</v>
      </c>
      <c r="BE56" s="88" t="str">
        <v/>
      </c>
      <c r="BF56" s="1">
        <f t="shared" si="9"/>
        <v>4</v>
      </c>
      <c r="BG56" s="1" t="s">
        <v>428</v>
      </c>
      <c r="BH56" s="89">
        <f ca="1">IFERROR(__xludf.DUMMYFUNCTION("""COMPUTED_VALUE"""),3181012)</f>
        <v>3181012</v>
      </c>
      <c r="BI56" s="89">
        <f ca="1">IFERROR(__xludf.DUMMYFUNCTION("""COMPUTED_VALUE"""),3306516.15)</f>
        <v>3306516.15</v>
      </c>
      <c r="BJ56" s="90"/>
      <c r="BK56" s="91"/>
      <c r="BL56" s="91">
        <f t="shared" si="47"/>
        <v>0</v>
      </c>
      <c r="BM56" s="91">
        <f t="shared" si="11"/>
        <v>5833331</v>
      </c>
      <c r="BN56" s="91"/>
      <c r="BO56" s="92">
        <f ca="1">IFERROR(__xludf.DUMMYFUNCTION("IFERROR(ArrayFormula(SUM(VLOOKUP($C56,importrange(""1MwNMVzWE3QBVOyJjKr3eFX-Sq1Ng0Q1sghWJbgbE_8g"",""ORDER BOOKING REPORT 2024-25!C:CV""),{16,23,30},0))))"),652304.5)</f>
        <v>652304.5</v>
      </c>
      <c r="BP56" s="92">
        <f ca="1">IFERROR(__xludf.DUMMYFUNCTION("IFERROR(ArrayFormula(SUM(VLOOKUP($C56,importrange(""1MwNMVzWE3QBVOyJjKr3eFX-Sq1Ng0Q1sghWJbgbE_8g"",""ORDER BOOKING REPORT 2024-25!C:CV""),{37,44,51},0))))"),395992.9)</f>
        <v>395992.9</v>
      </c>
      <c r="BQ56" s="92">
        <f ca="1">IFERROR(__xludf.DUMMYFUNCTION("IFERROR(ArrayFormula(SUM(VLOOKUP($C56,importrange(""1MwNMVzWE3QBVOyJjKr3eFX-Sq1Ng0Q1sghWJbgbE_8g"",""ORDER BOOKING REPORT 2024-25!C:CV""),{58,65,72},0))))"),1407421.98)</f>
        <v>1407421.98</v>
      </c>
      <c r="BR56" s="92">
        <f ca="1">IFERROR(__xludf.DUMMYFUNCTION("IFERROR(ArrayFormula(SUM(VLOOKUP($C56,importrange(""1MwNMVzWE3QBVOyJjKr3eFX-Sq1Ng0Q1sghWJbgbE_8g"",""ORDER BOOKING REPORT 2024-25!C:CV""),{79,86,93},0))))"),850796.77)</f>
        <v>850796.77</v>
      </c>
      <c r="BS56" s="93" t="str">
        <f t="shared" si="12"/>
        <v/>
      </c>
      <c r="BT56" s="93" t="str">
        <f t="shared" si="13"/>
        <v/>
      </c>
      <c r="BU56" s="37">
        <f t="shared" si="14"/>
        <v>0</v>
      </c>
      <c r="BV56" s="94">
        <v>49500</v>
      </c>
      <c r="BW56" s="94" t="s">
        <v>429</v>
      </c>
      <c r="BX56" s="94">
        <v>839</v>
      </c>
      <c r="BY56" s="37">
        <f t="shared" si="15"/>
        <v>0</v>
      </c>
      <c r="BZ56" s="37"/>
      <c r="CA56" s="37"/>
      <c r="CB56" s="37"/>
      <c r="CC56" s="37"/>
      <c r="CD56" s="37"/>
      <c r="CE56" s="37"/>
      <c r="CF56" s="37"/>
      <c r="CG56" s="37" t="str">
        <f t="shared" si="18"/>
        <v xml:space="preserve"> </v>
      </c>
      <c r="CH56" s="37" t="str">
        <f t="shared" si="26"/>
        <v>Business Achieved 50%</v>
      </c>
      <c r="CI56" s="93">
        <f t="shared" si="19"/>
        <v>0.7078651685393258</v>
      </c>
      <c r="CJ56" s="95">
        <f ca="1">IFERROR(__xludf.DUMMYFUNCTION("""COMPUTED_VALUE"""),366)</f>
        <v>366</v>
      </c>
      <c r="CK56" s="95">
        <f ca="1">IFERROR(__xludf.DUMMYFUNCTION("""COMPUTED_VALUE"""),92)</f>
        <v>92</v>
      </c>
      <c r="CL56" s="95">
        <f ca="1">IFERROR(__xludf.DUMMYFUNCTION("""COMPUTED_VALUE"""),0)</f>
        <v>0</v>
      </c>
      <c r="CM56" s="96">
        <f t="shared" ca="1" si="20"/>
        <v>0</v>
      </c>
      <c r="CN56" s="103"/>
      <c r="CO56" s="4"/>
      <c r="CP56" s="100"/>
      <c r="CQ56" s="101"/>
      <c r="CR56" s="4"/>
      <c r="CS56" s="4"/>
      <c r="CT56" s="4"/>
      <c r="CU56" s="4"/>
      <c r="CV56" s="4"/>
      <c r="CW56" s="101"/>
      <c r="CX56" s="51"/>
      <c r="CY56" s="4"/>
      <c r="CZ56" s="4"/>
    </row>
    <row r="57" spans="1:104" ht="15.6">
      <c r="A57" s="1" t="s">
        <v>118</v>
      </c>
      <c r="B57" s="1" t="s">
        <v>375</v>
      </c>
      <c r="C57" s="1" t="s">
        <v>166</v>
      </c>
      <c r="D57" s="1" t="s">
        <v>473</v>
      </c>
      <c r="E57" s="1" t="s">
        <v>508</v>
      </c>
      <c r="F57" s="48">
        <v>44953</v>
      </c>
      <c r="G57" s="76">
        <v>0</v>
      </c>
      <c r="H57" s="76">
        <v>16800000</v>
      </c>
      <c r="I57" s="77">
        <v>7713644.6799999997</v>
      </c>
      <c r="J57" s="77">
        <v>0</v>
      </c>
      <c r="K57" s="4">
        <v>133</v>
      </c>
      <c r="L57" s="4">
        <v>132</v>
      </c>
      <c r="M57" s="4">
        <v>10</v>
      </c>
      <c r="N57" s="4">
        <v>143</v>
      </c>
      <c r="O57" s="4">
        <v>11</v>
      </c>
      <c r="P57" s="77">
        <v>6891808.2999999998</v>
      </c>
      <c r="Q57" s="77">
        <v>821836.38</v>
      </c>
      <c r="R57" s="4">
        <v>110</v>
      </c>
      <c r="S57" s="4">
        <v>10</v>
      </c>
      <c r="T57" s="4">
        <v>120</v>
      </c>
      <c r="U57" s="4">
        <v>0</v>
      </c>
      <c r="V57" s="4">
        <v>4</v>
      </c>
      <c r="W57" s="4">
        <v>9</v>
      </c>
      <c r="X57" s="4">
        <v>41</v>
      </c>
      <c r="Y57" s="4">
        <v>1</v>
      </c>
      <c r="Z57" s="4">
        <v>3</v>
      </c>
      <c r="AA57" s="4">
        <v>0</v>
      </c>
      <c r="AB57" s="4">
        <v>0</v>
      </c>
      <c r="AC57" s="4">
        <v>0</v>
      </c>
      <c r="AD57" s="4">
        <v>0</v>
      </c>
      <c r="AE57" s="4">
        <v>2065</v>
      </c>
      <c r="AF57" s="4">
        <v>2077</v>
      </c>
      <c r="AG57" s="4">
        <v>284</v>
      </c>
      <c r="AH57" s="76">
        <f t="shared" si="1"/>
        <v>27160.72070422535</v>
      </c>
      <c r="AI57" s="76">
        <f t="shared" si="2"/>
        <v>7.313380281690141</v>
      </c>
      <c r="AJ57" s="78">
        <f>BV57</f>
        <v>34920</v>
      </c>
      <c r="AK57" s="76">
        <f t="shared" si="34"/>
        <v>419040</v>
      </c>
      <c r="AL57" s="49">
        <v>163530</v>
      </c>
      <c r="AM57" s="80">
        <f t="shared" si="4"/>
        <v>7.5524609204581622E-2</v>
      </c>
      <c r="AN57" s="76">
        <f t="shared" si="5"/>
        <v>64280.372333333333</v>
      </c>
      <c r="AO57" s="102">
        <f t="shared" si="42"/>
        <v>0.45914551666666664</v>
      </c>
      <c r="AP57" s="82">
        <v>0</v>
      </c>
      <c r="AQ57" s="4">
        <v>672</v>
      </c>
      <c r="AR57" s="4">
        <v>3066</v>
      </c>
      <c r="AS57" s="4">
        <v>2280.11</v>
      </c>
      <c r="AT57" s="4">
        <v>10</v>
      </c>
      <c r="AU57" s="4">
        <v>17</v>
      </c>
      <c r="AV57" s="1">
        <v>120</v>
      </c>
      <c r="AW57" s="1">
        <v>12</v>
      </c>
      <c r="AX57" s="1">
        <v>11</v>
      </c>
      <c r="AY57" s="86" t="str">
        <f>IFERROR(VLOOKUP(C57,#REF!,13,0),"")</f>
        <v/>
      </c>
      <c r="AZ57" s="87"/>
      <c r="BA57" s="1" t="str">
        <f t="shared" si="6"/>
        <v>Active</v>
      </c>
      <c r="BB57" s="1" t="e">
        <f t="shared" ca="1" si="7"/>
        <v>#NAME?</v>
      </c>
      <c r="BC57" s="1" t="e">
        <f t="shared" ca="1" si="43"/>
        <v>#NAME?</v>
      </c>
      <c r="BD57" s="33">
        <f t="shared" ref="BD57:BD59" si="48">MATCH($BD$2,{"Apr","May","Jun","Jul","Aug","Sep","Oct","Nov","Dec","Jan","Feb","Mar"},0)</f>
        <v>12</v>
      </c>
      <c r="BE57" s="88" t="str">
        <v/>
      </c>
      <c r="BF57" s="1">
        <f t="shared" si="9"/>
        <v>0</v>
      </c>
      <c r="BG57" s="1" t="s">
        <v>428</v>
      </c>
      <c r="BH57" s="89">
        <f ca="1">IFERROR(__xludf.DUMMYFUNCTION("""COMPUTED_VALUE"""),11302117)</f>
        <v>11302117</v>
      </c>
      <c r="BI57" s="89">
        <f ca="1">IFERROR(__xludf.DUMMYFUNCTION("""COMPUTED_VALUE"""),9604709.78899999)</f>
        <v>9604709.7889999896</v>
      </c>
      <c r="BJ57" s="90"/>
      <c r="BK57" s="91"/>
      <c r="BL57" s="91">
        <f t="shared" si="47"/>
        <v>0</v>
      </c>
      <c r="BM57" s="91">
        <f t="shared" si="11"/>
        <v>16800000</v>
      </c>
      <c r="BN57" s="91"/>
      <c r="BO57" s="92">
        <f ca="1">IFERROR(__xludf.DUMMYFUNCTION("IFERROR(ArrayFormula(SUM(VLOOKUP($C57,importrange(""1MwNMVzWE3QBVOyJjKr3eFX-Sq1Ng0Q1sghWJbgbE_8g"",""ORDER BOOKING REPORT 2024-25!C:CV""),{16,23,30},0))))"),2715875.46999999)</f>
        <v>2715875.46999999</v>
      </c>
      <c r="BP57" s="92">
        <f ca="1">IFERROR(__xludf.DUMMYFUNCTION("IFERROR(ArrayFormula(SUM(VLOOKUP($C57,importrange(""1MwNMVzWE3QBVOyJjKr3eFX-Sq1Ng0Q1sghWJbgbE_8g"",""ORDER BOOKING REPORT 2024-25!C:CV""),{37,44,51},0))))"),2208224.897)</f>
        <v>2208224.8969999999</v>
      </c>
      <c r="BQ57" s="92">
        <f ca="1">IFERROR(__xludf.DUMMYFUNCTION("IFERROR(ArrayFormula(SUM(VLOOKUP($C57,importrange(""1MwNMVzWE3QBVOyJjKr3eFX-Sq1Ng0Q1sghWJbgbE_8g"",""ORDER BOOKING REPORT 2024-25!C:CV""),{58,65,72},0))))"),2091501.572)</f>
        <v>2091501.5719999999</v>
      </c>
      <c r="BR57" s="92">
        <f ca="1">IFERROR(__xludf.DUMMYFUNCTION("IFERROR(ArrayFormula(SUM(VLOOKUP($C57,importrange(""1MwNMVzWE3QBVOyJjKr3eFX-Sq1Ng0Q1sghWJbgbE_8g"",""ORDER BOOKING REPORT 2024-25!C:CV""),{79,86,93},0))))"),2589107.85)</f>
        <v>2589107.85</v>
      </c>
      <c r="BS57" s="93" t="str">
        <f t="shared" si="12"/>
        <v/>
      </c>
      <c r="BT57" s="93" t="str">
        <f t="shared" si="13"/>
        <v/>
      </c>
      <c r="BU57" s="37">
        <f t="shared" si="14"/>
        <v>0</v>
      </c>
      <c r="BV57" s="94">
        <v>34920</v>
      </c>
      <c r="BW57" s="94" t="s">
        <v>445</v>
      </c>
      <c r="BX57" s="94">
        <v>849</v>
      </c>
      <c r="BY57" s="37">
        <f t="shared" si="15"/>
        <v>0</v>
      </c>
      <c r="BZ57" s="37"/>
      <c r="CA57" s="37"/>
      <c r="CB57" s="37"/>
      <c r="CC57" s="37"/>
      <c r="CD57" s="37"/>
      <c r="CE57" s="37"/>
      <c r="CF57" s="37"/>
      <c r="CG57" s="37" t="str">
        <f t="shared" si="18"/>
        <v xml:space="preserve"> </v>
      </c>
      <c r="CH57" s="37" t="str">
        <f t="shared" si="26"/>
        <v>Business Achieved 50%</v>
      </c>
      <c r="CI57" s="93">
        <f t="shared" si="19"/>
        <v>0.83916083916083917</v>
      </c>
      <c r="CJ57" s="105">
        <f ca="1">IFERROR(__xludf.DUMMYFUNCTION("""COMPUTED_VALUE"""),1952)</f>
        <v>1952</v>
      </c>
      <c r="CK57" s="105">
        <f ca="1">IFERROR(__xludf.DUMMYFUNCTION("""COMPUTED_VALUE"""),113)</f>
        <v>113</v>
      </c>
      <c r="CL57" s="105">
        <f ca="1">IFERROR(__xludf.DUMMYFUNCTION("""COMPUTED_VALUE"""),0)</f>
        <v>0</v>
      </c>
      <c r="CM57" s="96">
        <f t="shared" ca="1" si="20"/>
        <v>0</v>
      </c>
      <c r="CN57" s="106"/>
      <c r="CO57" s="93"/>
      <c r="CP57" s="107"/>
      <c r="CQ57" s="110"/>
      <c r="CR57" s="93"/>
      <c r="CS57" s="93"/>
      <c r="CT57" s="93"/>
      <c r="CU57" s="93"/>
      <c r="CV57" s="93"/>
      <c r="CW57" s="93"/>
      <c r="CX57" s="51"/>
      <c r="CY57" s="93"/>
      <c r="CZ57" s="93"/>
    </row>
    <row r="58" spans="1:104" ht="15.6">
      <c r="A58" s="1" t="s">
        <v>118</v>
      </c>
      <c r="B58" s="1" t="s">
        <v>362</v>
      </c>
      <c r="C58" s="1" t="s">
        <v>167</v>
      </c>
      <c r="D58" s="1" t="s">
        <v>419</v>
      </c>
      <c r="E58" s="1" t="s">
        <v>533</v>
      </c>
      <c r="F58" s="104">
        <v>44958</v>
      </c>
      <c r="G58" s="76">
        <v>0</v>
      </c>
      <c r="H58" s="76">
        <v>48000000</v>
      </c>
      <c r="I58" s="77">
        <v>46129853.409999996</v>
      </c>
      <c r="J58" s="77">
        <v>0</v>
      </c>
      <c r="K58" s="4">
        <v>66</v>
      </c>
      <c r="L58" s="4">
        <v>71</v>
      </c>
      <c r="M58" s="4">
        <v>6</v>
      </c>
      <c r="N58" s="4">
        <v>72</v>
      </c>
      <c r="O58" s="4">
        <v>1</v>
      </c>
      <c r="P58" s="77">
        <v>45135383.509999998</v>
      </c>
      <c r="Q58" s="77">
        <v>994469.9</v>
      </c>
      <c r="R58" s="4">
        <v>63</v>
      </c>
      <c r="S58" s="4">
        <v>5</v>
      </c>
      <c r="T58" s="4">
        <v>68</v>
      </c>
      <c r="U58" s="4">
        <v>0</v>
      </c>
      <c r="V58" s="4">
        <v>1</v>
      </c>
      <c r="W58" s="4">
        <v>2</v>
      </c>
      <c r="X58" s="4">
        <v>60</v>
      </c>
      <c r="Y58" s="4">
        <v>2</v>
      </c>
      <c r="Z58" s="4">
        <v>32</v>
      </c>
      <c r="AA58" s="4">
        <v>0</v>
      </c>
      <c r="AB58" s="4">
        <v>0</v>
      </c>
      <c r="AC58" s="4">
        <v>0</v>
      </c>
      <c r="AD58" s="4">
        <v>0</v>
      </c>
      <c r="AE58" s="4">
        <v>1325</v>
      </c>
      <c r="AF58" s="4">
        <v>1359</v>
      </c>
      <c r="AG58" s="4">
        <v>294</v>
      </c>
      <c r="AH58" s="76">
        <f t="shared" si="1"/>
        <v>156904.26329931972</v>
      </c>
      <c r="AI58" s="76">
        <f t="shared" si="2"/>
        <v>4.6224489795918364</v>
      </c>
      <c r="AJ58" s="78">
        <v>24116</v>
      </c>
      <c r="AK58" s="76">
        <f t="shared" si="34"/>
        <v>289392</v>
      </c>
      <c r="AL58" s="79">
        <v>122777</v>
      </c>
      <c r="AM58" s="80">
        <f t="shared" si="4"/>
        <v>8.93497311462625E-3</v>
      </c>
      <c r="AN58" s="76">
        <f t="shared" si="5"/>
        <v>678380.19720588229</v>
      </c>
      <c r="AO58" s="102">
        <f t="shared" si="42"/>
        <v>0.96103861270833324</v>
      </c>
      <c r="AP58" s="82">
        <v>0</v>
      </c>
      <c r="AQ58" s="4">
        <v>423</v>
      </c>
      <c r="AR58" s="4">
        <v>3304</v>
      </c>
      <c r="AS58" s="4">
        <v>2040.04</v>
      </c>
      <c r="AT58" s="4">
        <v>5</v>
      </c>
      <c r="AU58" s="4">
        <v>29</v>
      </c>
      <c r="AV58" s="1">
        <v>68</v>
      </c>
      <c r="AW58" s="1">
        <v>3</v>
      </c>
      <c r="AX58" s="1">
        <v>1</v>
      </c>
      <c r="AY58" s="86" t="str">
        <f>IFERROR(VLOOKUP(C58,#REF!,13,0),"")</f>
        <v/>
      </c>
      <c r="AZ58" s="87"/>
      <c r="BA58" s="1" t="str">
        <f t="shared" si="6"/>
        <v>Active</v>
      </c>
      <c r="BB58" s="1" t="e">
        <f t="shared" ca="1" si="7"/>
        <v>#NAME?</v>
      </c>
      <c r="BC58" s="1" t="e">
        <f t="shared" ca="1" si="43"/>
        <v>#NAME?</v>
      </c>
      <c r="BD58" s="33">
        <f t="shared" si="48"/>
        <v>12</v>
      </c>
      <c r="BE58" s="88" t="str">
        <v/>
      </c>
      <c r="BF58" s="1">
        <f t="shared" si="9"/>
        <v>1</v>
      </c>
      <c r="BG58" s="1" t="s">
        <v>428</v>
      </c>
      <c r="BH58" s="89">
        <f ca="1">IFERROR(__xludf.DUMMYFUNCTION("""COMPUTED_VALUE"""),19406539.4)</f>
        <v>19406539.399999999</v>
      </c>
      <c r="BI58" s="89">
        <f ca="1">IFERROR(__xludf.DUMMYFUNCTION("""COMPUTED_VALUE"""),19618329.56)</f>
        <v>19618329.559999999</v>
      </c>
      <c r="BJ58" s="90"/>
      <c r="BK58" s="91"/>
      <c r="BL58" s="91">
        <f t="shared" si="47"/>
        <v>0</v>
      </c>
      <c r="BM58" s="91">
        <f t="shared" si="11"/>
        <v>48000000</v>
      </c>
      <c r="BN58" s="91"/>
      <c r="BO58" s="92">
        <f ca="1">IFERROR(__xludf.DUMMYFUNCTION("IFERROR(ArrayFormula(SUM(VLOOKUP($C58,importrange(""1MwNMVzWE3QBVOyJjKr3eFX-Sq1Ng0Q1sghWJbgbE_8g"",""ORDER BOOKING REPORT 2024-25!C:CV""),{16,23,30},0))))"),2335924.2)</f>
        <v>2335924.2000000002</v>
      </c>
      <c r="BP58" s="92">
        <f ca="1">IFERROR(__xludf.DUMMYFUNCTION("IFERROR(ArrayFormula(SUM(VLOOKUP($C58,importrange(""1MwNMVzWE3QBVOyJjKr3eFX-Sq1Ng0Q1sghWJbgbE_8g"",""ORDER BOOKING REPORT 2024-25!C:CV""),{37,44,51},0))))"),4923505.1)</f>
        <v>4923505.0999999996</v>
      </c>
      <c r="BQ58" s="92">
        <f ca="1">IFERROR(__xludf.DUMMYFUNCTION("IFERROR(ArrayFormula(SUM(VLOOKUP($C58,importrange(""1MwNMVzWE3QBVOyJjKr3eFX-Sq1Ng0Q1sghWJbgbE_8g"",""ORDER BOOKING REPORT 2024-25!C:CV""),{58,65,72},0))))"),5593617.82)</f>
        <v>5593617.8200000003</v>
      </c>
      <c r="BR58" s="92">
        <f ca="1">IFERROR(__xludf.DUMMYFUNCTION("IFERROR(ArrayFormula(SUM(VLOOKUP($C58,importrange(""1MwNMVzWE3QBVOyJjKr3eFX-Sq1Ng0Q1sghWJbgbE_8g"",""ORDER BOOKING REPORT 2024-25!C:CV""),{79,86,93},0))))"),6765282.44)</f>
        <v>6765282.4400000004</v>
      </c>
      <c r="BS58" s="93" t="str">
        <f t="shared" si="12"/>
        <v/>
      </c>
      <c r="BT58" s="93" t="str">
        <f t="shared" si="13"/>
        <v/>
      </c>
      <c r="BU58" s="37">
        <f t="shared" si="14"/>
        <v>0</v>
      </c>
      <c r="BV58" s="94">
        <v>24116</v>
      </c>
      <c r="BW58" s="94" t="s">
        <v>476</v>
      </c>
      <c r="BX58" s="94">
        <v>853</v>
      </c>
      <c r="BY58" s="37">
        <f t="shared" si="15"/>
        <v>0</v>
      </c>
      <c r="BZ58" s="37"/>
      <c r="CA58" s="37"/>
      <c r="CB58" s="37"/>
      <c r="CC58" s="37"/>
      <c r="CD58" s="37"/>
      <c r="CE58" s="37"/>
      <c r="CF58" s="37"/>
      <c r="CG58" s="37" t="str">
        <f t="shared" si="18"/>
        <v xml:space="preserve"> </v>
      </c>
      <c r="CH58" s="37" t="str">
        <f t="shared" si="26"/>
        <v>Business Achieved 50%</v>
      </c>
      <c r="CI58" s="93">
        <f t="shared" si="19"/>
        <v>0.94444444444444442</v>
      </c>
      <c r="CJ58" s="95">
        <f ca="1">IFERROR(__xludf.DUMMYFUNCTION("""COMPUTED_VALUE"""),1278)</f>
        <v>1278</v>
      </c>
      <c r="CK58" s="95">
        <f ca="1">IFERROR(__xludf.DUMMYFUNCTION("""COMPUTED_VALUE"""),47)</f>
        <v>47</v>
      </c>
      <c r="CL58" s="95">
        <f ca="1">IFERROR(__xludf.DUMMYFUNCTION("""COMPUTED_VALUE"""),0)</f>
        <v>0</v>
      </c>
      <c r="CM58" s="96">
        <f t="shared" ca="1" si="20"/>
        <v>0</v>
      </c>
      <c r="CN58" s="103"/>
      <c r="CO58" s="4"/>
      <c r="CP58" s="100"/>
      <c r="CQ58" s="101"/>
      <c r="CR58" s="4"/>
      <c r="CS58" s="4"/>
      <c r="CT58" s="4"/>
      <c r="CU58" s="4"/>
      <c r="CV58" s="4"/>
      <c r="CW58" s="101"/>
      <c r="CX58" s="51"/>
      <c r="CY58" s="4"/>
      <c r="CZ58" s="4"/>
    </row>
    <row r="59" spans="1:104" ht="15.6">
      <c r="A59" s="1" t="s">
        <v>120</v>
      </c>
      <c r="B59" s="1" t="s">
        <v>163</v>
      </c>
      <c r="C59" s="1" t="s">
        <v>170</v>
      </c>
      <c r="D59" s="1" t="s">
        <v>534</v>
      </c>
      <c r="E59" s="1" t="s">
        <v>163</v>
      </c>
      <c r="F59" s="104">
        <v>44994</v>
      </c>
      <c r="G59" s="76">
        <v>2400000</v>
      </c>
      <c r="H59" s="76">
        <v>18000000</v>
      </c>
      <c r="I59" s="77">
        <v>8148002.96</v>
      </c>
      <c r="J59" s="77">
        <v>1522428.68</v>
      </c>
      <c r="K59" s="4">
        <v>85</v>
      </c>
      <c r="L59" s="4">
        <v>74</v>
      </c>
      <c r="M59" s="4">
        <v>3</v>
      </c>
      <c r="N59" s="4">
        <v>88</v>
      </c>
      <c r="O59" s="4">
        <v>14</v>
      </c>
      <c r="P59" s="77">
        <v>7726671.1100000003</v>
      </c>
      <c r="Q59" s="77">
        <v>421331.85</v>
      </c>
      <c r="R59" s="4">
        <v>46</v>
      </c>
      <c r="S59" s="4">
        <v>3</v>
      </c>
      <c r="T59" s="4">
        <v>49</v>
      </c>
      <c r="U59" s="4">
        <v>4</v>
      </c>
      <c r="V59" s="4">
        <v>27</v>
      </c>
      <c r="W59" s="4">
        <v>53</v>
      </c>
      <c r="X59" s="4">
        <v>113</v>
      </c>
      <c r="Y59" s="4">
        <v>3</v>
      </c>
      <c r="Z59" s="4">
        <v>111</v>
      </c>
      <c r="AA59" s="4">
        <v>7</v>
      </c>
      <c r="AB59" s="4">
        <v>211</v>
      </c>
      <c r="AC59" s="4">
        <v>3</v>
      </c>
      <c r="AD59" s="4">
        <v>80</v>
      </c>
      <c r="AE59" s="4">
        <v>1228</v>
      </c>
      <c r="AF59" s="4">
        <v>1683</v>
      </c>
      <c r="AG59" s="4">
        <v>280</v>
      </c>
      <c r="AH59" s="76">
        <f t="shared" si="1"/>
        <v>34537.25585714286</v>
      </c>
      <c r="AI59" s="76">
        <f t="shared" si="2"/>
        <v>6.0107142857142861</v>
      </c>
      <c r="AJ59" s="78">
        <f t="shared" ref="AJ59:AJ60" si="49">BV59</f>
        <v>46390</v>
      </c>
      <c r="AK59" s="76">
        <f t="shared" si="34"/>
        <v>556680</v>
      </c>
      <c r="AL59" s="49">
        <v>91472</v>
      </c>
      <c r="AM59" s="80">
        <f t="shared" si="4"/>
        <v>6.7024102349168765E-2</v>
      </c>
      <c r="AN59" s="76">
        <f t="shared" si="5"/>
        <v>166285.77469387755</v>
      </c>
      <c r="AO59" s="102">
        <f t="shared" si="42"/>
        <v>0.47404076666666667</v>
      </c>
      <c r="AP59" s="82">
        <v>0.63</v>
      </c>
      <c r="AQ59" s="4">
        <v>273</v>
      </c>
      <c r="AR59" s="4">
        <v>2918</v>
      </c>
      <c r="AS59" s="4">
        <v>1645.64</v>
      </c>
      <c r="AT59" s="4">
        <v>3</v>
      </c>
      <c r="AU59" s="4">
        <v>22</v>
      </c>
      <c r="AV59" s="1">
        <v>49</v>
      </c>
      <c r="AW59" s="1">
        <v>25</v>
      </c>
      <c r="AX59" s="1">
        <v>14</v>
      </c>
      <c r="AY59" s="86" t="str">
        <f>IFERROR(VLOOKUP(C59,#REF!,13,0),"")</f>
        <v/>
      </c>
      <c r="AZ59" s="87"/>
      <c r="BA59" s="1" t="str">
        <f t="shared" si="6"/>
        <v>Active</v>
      </c>
      <c r="BB59" s="1" t="e">
        <f t="shared" ca="1" si="7"/>
        <v>#NAME?</v>
      </c>
      <c r="BC59" s="1" t="e">
        <f t="shared" ca="1" si="43"/>
        <v>#NAME?</v>
      </c>
      <c r="BD59" s="33">
        <f t="shared" si="48"/>
        <v>12</v>
      </c>
      <c r="BE59" s="88" t="str">
        <v/>
      </c>
      <c r="BF59" s="1">
        <f t="shared" si="9"/>
        <v>0</v>
      </c>
      <c r="BG59" s="1" t="s">
        <v>428</v>
      </c>
      <c r="BH59" s="89">
        <f ca="1">IFERROR(__xludf.DUMMYFUNCTION("""COMPUTED_VALUE"""),11621619)</f>
        <v>11621619</v>
      </c>
      <c r="BI59" s="89">
        <f ca="1">IFERROR(__xludf.DUMMYFUNCTION("""COMPUTED_VALUE"""),11345861)</f>
        <v>11345861</v>
      </c>
      <c r="BJ59" s="90"/>
      <c r="BK59" s="91">
        <v>200000</v>
      </c>
      <c r="BL59" s="91">
        <f t="shared" si="47"/>
        <v>2400000</v>
      </c>
      <c r="BM59" s="91">
        <f t="shared" si="11"/>
        <v>20400000</v>
      </c>
      <c r="BN59" s="91"/>
      <c r="BO59" s="92">
        <f ca="1">IFERROR(__xludf.DUMMYFUNCTION("IFERROR(ArrayFormula(SUM(VLOOKUP($C59,importrange(""1MwNMVzWE3QBVOyJjKr3eFX-Sq1Ng0Q1sghWJbgbE_8g"",""ORDER BOOKING REPORT 2024-25!C:CV""),{16,23,30},0))))"),2283050.9)</f>
        <v>2283050.9</v>
      </c>
      <c r="BP59" s="92">
        <f ca="1">IFERROR(__xludf.DUMMYFUNCTION("IFERROR(ArrayFormula(SUM(VLOOKUP($C59,importrange(""1MwNMVzWE3QBVOyJjKr3eFX-Sq1Ng0Q1sghWJbgbE_8g"",""ORDER BOOKING REPORT 2024-25!C:CV""),{37,44,51},0))))"),1719727.1)</f>
        <v>1719727.1</v>
      </c>
      <c r="BQ59" s="92">
        <f ca="1">IFERROR(__xludf.DUMMYFUNCTION("IFERROR(ArrayFormula(SUM(VLOOKUP($C59,importrange(""1MwNMVzWE3QBVOyJjKr3eFX-Sq1Ng0Q1sghWJbgbE_8g"",""ORDER BOOKING REPORT 2024-25!C:CV""),{58,65,72},0))))"),2356826.5)</f>
        <v>2356826.5</v>
      </c>
      <c r="BR59" s="92">
        <f ca="1">IFERROR(__xludf.DUMMYFUNCTION("IFERROR(ArrayFormula(SUM(VLOOKUP($C59,importrange(""1MwNMVzWE3QBVOyJjKr3eFX-Sq1Ng0Q1sghWJbgbE_8g"",""ORDER BOOKING REPORT 2024-25!C:CV""),{79,86,93},0))))"),4986256.5)</f>
        <v>4986256.5</v>
      </c>
      <c r="BS59" s="93" t="str">
        <f t="shared" si="12"/>
        <v/>
      </c>
      <c r="BT59" s="93" t="str">
        <f t="shared" si="13"/>
        <v/>
      </c>
      <c r="BU59" s="37">
        <f t="shared" si="14"/>
        <v>0</v>
      </c>
      <c r="BV59" s="94">
        <v>46390</v>
      </c>
      <c r="BW59" s="94" t="s">
        <v>429</v>
      </c>
      <c r="BX59" s="94">
        <v>861</v>
      </c>
      <c r="BY59" s="37">
        <f t="shared" si="15"/>
        <v>0</v>
      </c>
      <c r="BZ59" s="37"/>
      <c r="CA59" s="37"/>
      <c r="CB59" s="37"/>
      <c r="CC59" s="37"/>
      <c r="CD59" s="37"/>
      <c r="CE59" s="37"/>
      <c r="CF59" s="37"/>
      <c r="CG59" s="37" t="str">
        <f t="shared" si="18"/>
        <v xml:space="preserve"> </v>
      </c>
      <c r="CH59" s="37" t="str">
        <f t="shared" si="26"/>
        <v>Business Achieved 50%</v>
      </c>
      <c r="CI59" s="93">
        <f t="shared" si="19"/>
        <v>0.55681818181818177</v>
      </c>
      <c r="CJ59" s="105">
        <f ca="1">IFERROR(__xludf.DUMMYFUNCTION("""COMPUTED_VALUE"""),1046)</f>
        <v>1046</v>
      </c>
      <c r="CK59" s="105">
        <f ca="1">IFERROR(__xludf.DUMMYFUNCTION("""COMPUTED_VALUE"""),182)</f>
        <v>182</v>
      </c>
      <c r="CL59" s="105">
        <f ca="1">IFERROR(__xludf.DUMMYFUNCTION("""COMPUTED_VALUE"""),0)</f>
        <v>0</v>
      </c>
      <c r="CM59" s="96">
        <f t="shared" ca="1" si="20"/>
        <v>0</v>
      </c>
      <c r="CN59" s="106"/>
      <c r="CO59" s="93"/>
      <c r="CP59" s="107"/>
      <c r="CQ59" s="110"/>
      <c r="CR59" s="93"/>
      <c r="CS59" s="93"/>
      <c r="CT59" s="93"/>
      <c r="CU59" s="93"/>
      <c r="CV59" s="93"/>
      <c r="CW59" s="93"/>
      <c r="CX59" s="51"/>
      <c r="CY59" s="93"/>
      <c r="CZ59" s="93"/>
    </row>
    <row r="60" spans="1:104" ht="15.6">
      <c r="A60" s="1" t="s">
        <v>201</v>
      </c>
      <c r="B60" s="1" t="s">
        <v>431</v>
      </c>
      <c r="C60" s="1" t="s">
        <v>171</v>
      </c>
      <c r="D60" s="1" t="s">
        <v>431</v>
      </c>
      <c r="E60" s="1" t="s">
        <v>535</v>
      </c>
      <c r="F60" s="48">
        <v>45000</v>
      </c>
      <c r="G60" s="76">
        <v>0</v>
      </c>
      <c r="H60" s="76">
        <v>10416665</v>
      </c>
      <c r="I60" s="77">
        <v>1970484.12</v>
      </c>
      <c r="J60" s="77">
        <v>0</v>
      </c>
      <c r="K60" s="4">
        <v>30</v>
      </c>
      <c r="L60" s="4">
        <v>29</v>
      </c>
      <c r="M60" s="4">
        <v>4</v>
      </c>
      <c r="N60" s="4">
        <v>34</v>
      </c>
      <c r="O60" s="4">
        <v>5</v>
      </c>
      <c r="P60" s="77">
        <v>1733087.18</v>
      </c>
      <c r="Q60" s="77">
        <v>237396.94</v>
      </c>
      <c r="R60" s="4">
        <v>17</v>
      </c>
      <c r="S60" s="4">
        <v>4</v>
      </c>
      <c r="T60" s="4">
        <v>21</v>
      </c>
      <c r="U60" s="4">
        <v>0</v>
      </c>
      <c r="V60" s="4">
        <v>8</v>
      </c>
      <c r="W60" s="4">
        <v>9</v>
      </c>
      <c r="X60" s="4">
        <v>100</v>
      </c>
      <c r="Y60" s="4">
        <v>1</v>
      </c>
      <c r="Z60" s="4">
        <v>23</v>
      </c>
      <c r="AA60" s="4">
        <v>0</v>
      </c>
      <c r="AB60" s="4">
        <v>0</v>
      </c>
      <c r="AC60" s="4">
        <v>0</v>
      </c>
      <c r="AD60" s="4">
        <v>0</v>
      </c>
      <c r="AE60" s="4">
        <v>418</v>
      </c>
      <c r="AF60" s="4">
        <v>450</v>
      </c>
      <c r="AG60" s="4">
        <v>111</v>
      </c>
      <c r="AH60" s="76">
        <f t="shared" si="1"/>
        <v>17752.109189189192</v>
      </c>
      <c r="AI60" s="76">
        <f t="shared" si="2"/>
        <v>4.0540540540540544</v>
      </c>
      <c r="AJ60" s="78">
        <f t="shared" si="49"/>
        <v>28360</v>
      </c>
      <c r="AK60" s="76">
        <f t="shared" si="34"/>
        <v>141800</v>
      </c>
      <c r="AL60" s="49">
        <v>73560</v>
      </c>
      <c r="AM60" s="80">
        <f t="shared" si="4"/>
        <v>0.10929293863073608</v>
      </c>
      <c r="AN60" s="76">
        <f t="shared" si="5"/>
        <v>93832.577142857146</v>
      </c>
      <c r="AO60" s="102">
        <f t="shared" si="42"/>
        <v>0.18916650578664093</v>
      </c>
      <c r="AP60" s="82">
        <v>0</v>
      </c>
      <c r="AQ60" s="4">
        <v>40</v>
      </c>
      <c r="AR60" s="4">
        <v>773</v>
      </c>
      <c r="AS60" s="4">
        <v>0</v>
      </c>
      <c r="AT60" s="4">
        <v>4</v>
      </c>
      <c r="AU60" s="4">
        <v>0</v>
      </c>
      <c r="AV60" s="1">
        <v>21</v>
      </c>
      <c r="AW60" s="1">
        <v>8</v>
      </c>
      <c r="AX60" s="1">
        <v>5</v>
      </c>
      <c r="AY60" s="86" t="str">
        <f>IFERROR(VLOOKUP(C60,#REF!,13,0),"")</f>
        <v/>
      </c>
      <c r="AZ60" s="87">
        <v>45900</v>
      </c>
      <c r="BA60" s="1" t="str">
        <f t="shared" si="6"/>
        <v>LEFT</v>
      </c>
      <c r="BB60" s="1" t="e">
        <f t="shared" ca="1" si="7"/>
        <v>#NAME?</v>
      </c>
      <c r="BC60" s="1" t="e">
        <f t="shared" ca="1" si="43"/>
        <v>#NAME?</v>
      </c>
      <c r="BD60" s="33">
        <v>5</v>
      </c>
      <c r="BE60" s="91" t="str">
        <v/>
      </c>
      <c r="BF60" s="1">
        <f t="shared" si="9"/>
        <v>0</v>
      </c>
      <c r="BG60" s="1" t="s">
        <v>428</v>
      </c>
      <c r="BH60" s="89">
        <f ca="1">IFERROR(__xludf.DUMMYFUNCTION("""COMPUTED_VALUE"""),8973760)</f>
        <v>8973760</v>
      </c>
      <c r="BI60" s="89">
        <f ca="1">IFERROR(__xludf.DUMMYFUNCTION("""COMPUTED_VALUE"""),8754061.92)</f>
        <v>8754061.9199999999</v>
      </c>
      <c r="BJ60" s="90"/>
      <c r="BK60" s="91"/>
      <c r="BL60" s="91">
        <f t="shared" si="47"/>
        <v>0</v>
      </c>
      <c r="BM60" s="91">
        <f t="shared" si="11"/>
        <v>10416665</v>
      </c>
      <c r="BN60" s="91"/>
      <c r="BO60" s="92">
        <f ca="1">IFERROR(__xludf.DUMMYFUNCTION("IFERROR(ArrayFormula(SUM(VLOOKUP($C60,importrange(""1MwNMVzWE3QBVOyJjKr3eFX-Sq1Ng0Q1sghWJbgbE_8g"",""ORDER BOOKING REPORT 2024-25!C:CV""),{16,23,30},0))))"),1706342.36)</f>
        <v>1706342.36</v>
      </c>
      <c r="BP60" s="92">
        <f ca="1">IFERROR(__xludf.DUMMYFUNCTION("IFERROR(ArrayFormula(SUM(VLOOKUP($C60,importrange(""1MwNMVzWE3QBVOyJjKr3eFX-Sq1Ng0Q1sghWJbgbE_8g"",""ORDER BOOKING REPORT 2024-25!C:CV""),{37,44,51},0))))"),1948076.32)</f>
        <v>1948076.32</v>
      </c>
      <c r="BQ60" s="92">
        <f ca="1">IFERROR(__xludf.DUMMYFUNCTION("IFERROR(ArrayFormula(SUM(VLOOKUP($C60,importrange(""1MwNMVzWE3QBVOyJjKr3eFX-Sq1Ng0Q1sghWJbgbE_8g"",""ORDER BOOKING REPORT 2024-25!C:CV""),{58,65,72},0))))"),2312552.24)</f>
        <v>2312552.2400000002</v>
      </c>
      <c r="BR60" s="92">
        <f ca="1">IFERROR(__xludf.DUMMYFUNCTION("IFERROR(ArrayFormula(SUM(VLOOKUP($C60,importrange(""1MwNMVzWE3QBVOyJjKr3eFX-Sq1Ng0Q1sghWJbgbE_8g"",""ORDER BOOKING REPORT 2024-25!C:CV""),{79,86,93},0))))"),2787091)</f>
        <v>2787091</v>
      </c>
      <c r="BS60" s="93" t="str">
        <f t="shared" si="12"/>
        <v/>
      </c>
      <c r="BT60" s="93" t="str">
        <f t="shared" si="13"/>
        <v/>
      </c>
      <c r="BU60" s="37">
        <f t="shared" si="14"/>
        <v>0</v>
      </c>
      <c r="BV60" s="94">
        <v>28360</v>
      </c>
      <c r="BW60" s="94" t="s">
        <v>476</v>
      </c>
      <c r="BX60" s="94">
        <v>870</v>
      </c>
      <c r="BY60" s="37">
        <f t="shared" si="15"/>
        <v>0</v>
      </c>
      <c r="BZ60" s="37"/>
      <c r="CA60" s="37" t="e">
        <f>BE60*BD60</f>
        <v>#VALUE!</v>
      </c>
      <c r="CB60" s="37"/>
      <c r="CC60" s="37" t="e">
        <f>CA60-H60</f>
        <v>#VALUE!</v>
      </c>
      <c r="CD60" s="37"/>
      <c r="CE60" s="37"/>
      <c r="CF60" s="37"/>
      <c r="CG60" s="37" t="str">
        <f t="shared" si="18"/>
        <v>Below 60</v>
      </c>
      <c r="CH60" s="37" t="str">
        <f t="shared" si="26"/>
        <v>Business Achieved 50%</v>
      </c>
      <c r="CI60" s="93">
        <f t="shared" si="19"/>
        <v>0.61764705882352944</v>
      </c>
      <c r="CJ60" s="105">
        <f ca="1">IFERROR(__xludf.DUMMYFUNCTION("""COMPUTED_VALUE"""),337)</f>
        <v>337</v>
      </c>
      <c r="CK60" s="105">
        <f ca="1">IFERROR(__xludf.DUMMYFUNCTION("""COMPUTED_VALUE"""),81)</f>
        <v>81</v>
      </c>
      <c r="CL60" s="105">
        <f ca="1">IFERROR(__xludf.DUMMYFUNCTION("""COMPUTED_VALUE"""),0)</f>
        <v>0</v>
      </c>
      <c r="CM60" s="96">
        <f t="shared" ca="1" si="20"/>
        <v>0</v>
      </c>
      <c r="CN60" s="106"/>
      <c r="CO60" s="93"/>
      <c r="CP60" s="107"/>
      <c r="CQ60" s="110"/>
      <c r="CR60" s="93"/>
      <c r="CS60" s="93"/>
      <c r="CT60" s="93"/>
      <c r="CU60" s="93"/>
      <c r="CV60" s="93"/>
      <c r="CW60" s="93"/>
      <c r="CX60" s="51"/>
      <c r="CY60" s="93"/>
      <c r="CZ60" s="93"/>
    </row>
    <row r="61" spans="1:104" ht="15.6">
      <c r="A61" s="1" t="s">
        <v>118</v>
      </c>
      <c r="B61" s="1" t="s">
        <v>468</v>
      </c>
      <c r="C61" s="1" t="s">
        <v>173</v>
      </c>
      <c r="D61" s="1" t="s">
        <v>509</v>
      </c>
      <c r="E61" s="1" t="s">
        <v>536</v>
      </c>
      <c r="F61" s="48">
        <v>45040</v>
      </c>
      <c r="G61" s="76">
        <v>0</v>
      </c>
      <c r="H61" s="76">
        <v>18000000</v>
      </c>
      <c r="I61" s="77">
        <v>13289263.119999999</v>
      </c>
      <c r="J61" s="77">
        <v>0</v>
      </c>
      <c r="K61" s="4">
        <v>27</v>
      </c>
      <c r="L61" s="4">
        <v>41</v>
      </c>
      <c r="M61" s="4">
        <v>14</v>
      </c>
      <c r="N61" s="4">
        <v>41</v>
      </c>
      <c r="O61" s="4">
        <v>0</v>
      </c>
      <c r="P61" s="77">
        <v>9077784.4000000004</v>
      </c>
      <c r="Q61" s="77">
        <v>4211478.72</v>
      </c>
      <c r="R61" s="4">
        <v>17</v>
      </c>
      <c r="S61" s="4">
        <v>14</v>
      </c>
      <c r="T61" s="4">
        <v>31</v>
      </c>
      <c r="U61" s="4">
        <v>0</v>
      </c>
      <c r="V61" s="4">
        <v>60</v>
      </c>
      <c r="W61" s="4">
        <v>145</v>
      </c>
      <c r="X61" s="4">
        <v>61</v>
      </c>
      <c r="Y61" s="4">
        <v>1</v>
      </c>
      <c r="Z61" s="4">
        <v>12</v>
      </c>
      <c r="AA61" s="4">
        <v>0</v>
      </c>
      <c r="AB61" s="4">
        <v>0</v>
      </c>
      <c r="AC61" s="4">
        <v>0</v>
      </c>
      <c r="AD61" s="4">
        <v>0</v>
      </c>
      <c r="AE61" s="4">
        <v>1505</v>
      </c>
      <c r="AF61" s="4">
        <v>1662</v>
      </c>
      <c r="AG61" s="4">
        <v>294</v>
      </c>
      <c r="AH61" s="76">
        <f t="shared" si="1"/>
        <v>45201.575238095233</v>
      </c>
      <c r="AI61" s="76">
        <f t="shared" si="2"/>
        <v>5.6530612244897958</v>
      </c>
      <c r="AJ61" s="78">
        <v>36400</v>
      </c>
      <c r="AK61" s="76">
        <f t="shared" si="34"/>
        <v>436800</v>
      </c>
      <c r="AL61" s="79">
        <v>218741</v>
      </c>
      <c r="AM61" s="80">
        <f t="shared" si="4"/>
        <v>4.9328619207894803E-2</v>
      </c>
      <c r="AN61" s="76">
        <f t="shared" si="5"/>
        <v>428685.90709677414</v>
      </c>
      <c r="AO61" s="102">
        <f t="shared" si="42"/>
        <v>0.73829239555555548</v>
      </c>
      <c r="AP61" s="82">
        <v>0</v>
      </c>
      <c r="AQ61" s="4">
        <v>137</v>
      </c>
      <c r="AR61" s="4">
        <v>2400</v>
      </c>
      <c r="AS61" s="4">
        <v>2159.7600000000002</v>
      </c>
      <c r="AT61" s="4">
        <v>14</v>
      </c>
      <c r="AU61" s="4">
        <v>53</v>
      </c>
      <c r="AV61" s="1">
        <v>31</v>
      </c>
      <c r="AW61" s="1">
        <v>10</v>
      </c>
      <c r="AX61" s="1">
        <v>0</v>
      </c>
      <c r="AY61" s="86" t="str">
        <f>IFERROR(VLOOKUP(C61,#REF!,13,0),"")</f>
        <v/>
      </c>
      <c r="AZ61" s="87"/>
      <c r="BA61" s="1" t="str">
        <f t="shared" si="6"/>
        <v>Active</v>
      </c>
      <c r="BB61" s="1" t="e">
        <f t="shared" ca="1" si="7"/>
        <v>#NAME?</v>
      </c>
      <c r="BC61" s="1" t="e">
        <f t="shared" ca="1" si="43"/>
        <v>#NAME?</v>
      </c>
      <c r="BD61" s="33">
        <f t="array" ref="BD61">MATCH($BD$2,{"Apr","May","Jun","Jul","Aug","Sep","Oct","Nov","Dec","Jan","Feb","Mar"},0)</f>
        <v>12</v>
      </c>
      <c r="BE61" s="88" t="str">
        <v/>
      </c>
      <c r="BF61" s="1">
        <f t="shared" si="9"/>
        <v>0</v>
      </c>
      <c r="BG61" s="1" t="s">
        <v>428</v>
      </c>
      <c r="BH61" s="89">
        <f ca="1">IFERROR(__xludf.DUMMYFUNCTION("""COMPUTED_VALUE"""),9731676)</f>
        <v>9731676</v>
      </c>
      <c r="BI61" s="89">
        <f ca="1">IFERROR(__xludf.DUMMYFUNCTION("""COMPUTED_VALUE"""),12183395.24)</f>
        <v>12183395.24</v>
      </c>
      <c r="BJ61" s="90"/>
      <c r="BK61" s="91"/>
      <c r="BL61" s="91">
        <f t="shared" si="47"/>
        <v>0</v>
      </c>
      <c r="BM61" s="91">
        <f t="shared" si="11"/>
        <v>18000000</v>
      </c>
      <c r="BN61" s="91"/>
      <c r="BO61" s="92">
        <f ca="1">IFERROR(__xludf.DUMMYFUNCTION("IFERROR(ArrayFormula(SUM(VLOOKUP($C61,importrange(""1MwNMVzWE3QBVOyJjKr3eFX-Sq1Ng0Q1sghWJbgbE_8g"",""ORDER BOOKING REPORT 2024-25!C:CV""),{16,23,30},0))))"),2317912.54)</f>
        <v>2317912.54</v>
      </c>
      <c r="BP61" s="92">
        <f ca="1">IFERROR(__xludf.DUMMYFUNCTION("IFERROR(ArrayFormula(SUM(VLOOKUP($C61,importrange(""1MwNMVzWE3QBVOyJjKr3eFX-Sq1Ng0Q1sghWJbgbE_8g"",""ORDER BOOKING REPORT 2024-25!C:CV""),{37,44,51},0))))"),3111418.82)</f>
        <v>3111418.82</v>
      </c>
      <c r="BQ61" s="92">
        <f ca="1">IFERROR(__xludf.DUMMYFUNCTION("IFERROR(ArrayFormula(SUM(VLOOKUP($C61,importrange(""1MwNMVzWE3QBVOyJjKr3eFX-Sq1Ng0Q1sghWJbgbE_8g"",""ORDER BOOKING REPORT 2024-25!C:CV""),{58,65,72},0))))"),3463379.28)</f>
        <v>3463379.28</v>
      </c>
      <c r="BR61" s="92">
        <f ca="1">IFERROR(__xludf.DUMMYFUNCTION("IFERROR(ArrayFormula(SUM(VLOOKUP($C61,importrange(""1MwNMVzWE3QBVOyJjKr3eFX-Sq1Ng0Q1sghWJbgbE_8g"",""ORDER BOOKING REPORT 2024-25!C:CV""),{79,86,93},0))))"),3290684.59999999)</f>
        <v>3290684.5999999898</v>
      </c>
      <c r="BS61" s="93" t="str">
        <f t="shared" si="12"/>
        <v/>
      </c>
      <c r="BT61" s="93" t="str">
        <f t="shared" si="13"/>
        <v/>
      </c>
      <c r="BU61" s="37">
        <f t="shared" si="14"/>
        <v>0</v>
      </c>
      <c r="BV61" s="94">
        <v>36400</v>
      </c>
      <c r="BW61" s="94" t="s">
        <v>476</v>
      </c>
      <c r="BX61" s="94">
        <v>886</v>
      </c>
      <c r="BY61" s="37">
        <f t="shared" si="15"/>
        <v>0</v>
      </c>
      <c r="BZ61" s="37"/>
      <c r="CA61" s="37"/>
      <c r="CB61" s="37"/>
      <c r="CC61" s="37"/>
      <c r="CD61" s="37"/>
      <c r="CE61" s="37"/>
      <c r="CF61" s="37"/>
      <c r="CG61" s="37" t="str">
        <f t="shared" si="18"/>
        <v>Below 60</v>
      </c>
      <c r="CH61" s="37" t="str">
        <f t="shared" si="26"/>
        <v>Business Achieved 50%</v>
      </c>
      <c r="CI61" s="93">
        <f t="shared" si="19"/>
        <v>0.75609756097560976</v>
      </c>
      <c r="CJ61" s="95">
        <f ca="1">IFERROR(__xludf.DUMMYFUNCTION("""COMPUTED_VALUE"""),1410)</f>
        <v>1410</v>
      </c>
      <c r="CK61" s="95">
        <f ca="1">IFERROR(__xludf.DUMMYFUNCTION("""COMPUTED_VALUE"""),95)</f>
        <v>95</v>
      </c>
      <c r="CL61" s="95">
        <f ca="1">IFERROR(__xludf.DUMMYFUNCTION("""COMPUTED_VALUE"""),0)</f>
        <v>0</v>
      </c>
      <c r="CM61" s="96">
        <f t="shared" ca="1" si="20"/>
        <v>0</v>
      </c>
      <c r="CN61" s="103"/>
      <c r="CO61" s="4"/>
      <c r="CP61" s="100"/>
      <c r="CQ61" s="101"/>
      <c r="CR61" s="4"/>
      <c r="CS61" s="4"/>
      <c r="CT61" s="4"/>
      <c r="CU61" s="4"/>
      <c r="CV61" s="4"/>
      <c r="CW61" s="101"/>
      <c r="CX61" s="51"/>
      <c r="CY61" s="4"/>
      <c r="CZ61" s="4"/>
    </row>
    <row r="62" spans="1:104" ht="15.6">
      <c r="A62" s="1" t="s">
        <v>118</v>
      </c>
      <c r="B62" s="1" t="s">
        <v>362</v>
      </c>
      <c r="C62" s="1" t="s">
        <v>174</v>
      </c>
      <c r="D62" s="1" t="s">
        <v>419</v>
      </c>
      <c r="E62" s="1" t="s">
        <v>490</v>
      </c>
      <c r="F62" s="48">
        <v>45040</v>
      </c>
      <c r="G62" s="76">
        <v>0</v>
      </c>
      <c r="H62" s="76">
        <v>10500000</v>
      </c>
      <c r="I62" s="77">
        <v>4573013.75</v>
      </c>
      <c r="J62" s="77">
        <v>0</v>
      </c>
      <c r="K62" s="4">
        <v>75</v>
      </c>
      <c r="L62" s="4">
        <v>65</v>
      </c>
      <c r="M62" s="4">
        <v>1</v>
      </c>
      <c r="N62" s="4">
        <v>76</v>
      </c>
      <c r="O62" s="4">
        <v>11</v>
      </c>
      <c r="P62" s="77">
        <v>4571337.3499999996</v>
      </c>
      <c r="Q62" s="77">
        <v>1676.4</v>
      </c>
      <c r="R62" s="4">
        <v>28</v>
      </c>
      <c r="S62" s="4">
        <v>1</v>
      </c>
      <c r="T62" s="4">
        <v>29</v>
      </c>
      <c r="U62" s="4">
        <v>0</v>
      </c>
      <c r="V62" s="4">
        <v>6</v>
      </c>
      <c r="W62" s="4">
        <v>17</v>
      </c>
      <c r="X62" s="4">
        <v>45</v>
      </c>
      <c r="Y62" s="4">
        <v>2</v>
      </c>
      <c r="Z62" s="4">
        <v>2</v>
      </c>
      <c r="AA62" s="4">
        <v>0</v>
      </c>
      <c r="AB62" s="4">
        <v>0</v>
      </c>
      <c r="AC62" s="4">
        <v>0</v>
      </c>
      <c r="AD62" s="4">
        <v>0</v>
      </c>
      <c r="AE62" s="4">
        <v>770</v>
      </c>
      <c r="AF62" s="4">
        <v>789</v>
      </c>
      <c r="AG62" s="4">
        <v>162</v>
      </c>
      <c r="AH62" s="76">
        <f t="shared" si="1"/>
        <v>28228.479938271605</v>
      </c>
      <c r="AI62" s="76">
        <f t="shared" si="2"/>
        <v>4.8703703703703702</v>
      </c>
      <c r="AJ62" s="112">
        <v>25690</v>
      </c>
      <c r="AK62" s="76">
        <f t="shared" si="34"/>
        <v>179830</v>
      </c>
      <c r="AL62" s="79">
        <v>58731</v>
      </c>
      <c r="AM62" s="80">
        <f t="shared" si="4"/>
        <v>5.2167129390328207E-2</v>
      </c>
      <c r="AN62" s="76">
        <f t="shared" si="5"/>
        <v>157690.12931034484</v>
      </c>
      <c r="AO62" s="102">
        <f t="shared" si="42"/>
        <v>0.43552511904761904</v>
      </c>
      <c r="AP62" s="82">
        <v>0</v>
      </c>
      <c r="AQ62" s="4">
        <v>83</v>
      </c>
      <c r="AR62" s="4">
        <v>1345</v>
      </c>
      <c r="AS62" s="4">
        <v>0</v>
      </c>
      <c r="AT62" s="4">
        <v>1</v>
      </c>
      <c r="AU62" s="4">
        <v>0</v>
      </c>
      <c r="AV62" s="1">
        <v>29</v>
      </c>
      <c r="AW62" s="1">
        <v>36</v>
      </c>
      <c r="AX62" s="1">
        <v>11</v>
      </c>
      <c r="AY62" s="86" t="str">
        <f>IFERROR(VLOOKUP(C62,#REF!,13,0),"")</f>
        <v/>
      </c>
      <c r="AZ62" s="87">
        <v>45961</v>
      </c>
      <c r="BA62" s="1" t="str">
        <f t="shared" si="6"/>
        <v>LEFT</v>
      </c>
      <c r="BB62" s="1" t="e">
        <f t="shared" ca="1" si="7"/>
        <v>#NAME?</v>
      </c>
      <c r="BC62" s="1" t="e">
        <f t="shared" ca="1" si="43"/>
        <v>#NAME?</v>
      </c>
      <c r="BD62" s="33">
        <v>7</v>
      </c>
      <c r="BE62" s="88" t="str">
        <v/>
      </c>
      <c r="BF62" s="1">
        <f t="shared" si="9"/>
        <v>0</v>
      </c>
      <c r="BG62" s="1" t="s">
        <v>428</v>
      </c>
      <c r="BH62" s="89">
        <f ca="1">IFERROR(__xludf.DUMMYFUNCTION("""COMPUTED_VALUE"""),2909376)</f>
        <v>2909376</v>
      </c>
      <c r="BI62" s="89">
        <f ca="1">IFERROR(__xludf.DUMMYFUNCTION("""COMPUTED_VALUE"""),7745483.4)</f>
        <v>7745483.4000000004</v>
      </c>
      <c r="BJ62" s="90"/>
      <c r="BK62" s="91"/>
      <c r="BL62" s="91">
        <f t="shared" si="47"/>
        <v>0</v>
      </c>
      <c r="BM62" s="91">
        <f t="shared" si="11"/>
        <v>10500000</v>
      </c>
      <c r="BN62" s="91"/>
      <c r="BO62" s="92">
        <f ca="1">IFERROR(__xludf.DUMMYFUNCTION("IFERROR(ArrayFormula(SUM(VLOOKUP($C62,importrange(""1MwNMVzWE3QBVOyJjKr3eFX-Sq1Ng0Q1sghWJbgbE_8g"",""ORDER BOOKING REPORT 2024-25!C:CV""),{16,23,30},0))))"),932918.5)</f>
        <v>932918.5</v>
      </c>
      <c r="BP62" s="92">
        <f ca="1">IFERROR(__xludf.DUMMYFUNCTION("IFERROR(ArrayFormula(SUM(VLOOKUP($C62,importrange(""1MwNMVzWE3QBVOyJjKr3eFX-Sq1Ng0Q1sghWJbgbE_8g"",""ORDER BOOKING REPORT 2024-25!C:CV""),{37,44,51},0))))"),1319700.9)</f>
        <v>1319700.8999999999</v>
      </c>
      <c r="BQ62" s="92">
        <f ca="1">IFERROR(__xludf.DUMMYFUNCTION("IFERROR(ArrayFormula(SUM(VLOOKUP($C62,importrange(""1MwNMVzWE3QBVOyJjKr3eFX-Sq1Ng0Q1sghWJbgbE_8g"",""ORDER BOOKING REPORT 2024-25!C:CV""),{58,65,72},0))))"),2373025.7)</f>
        <v>2373025.7000000002</v>
      </c>
      <c r="BR62" s="92">
        <f ca="1">IFERROR(__xludf.DUMMYFUNCTION("IFERROR(ArrayFormula(SUM(VLOOKUP($C62,importrange(""1MwNMVzWE3QBVOyJjKr3eFX-Sq1Ng0Q1sghWJbgbE_8g"",""ORDER BOOKING REPORT 2024-25!C:CV""),{79,86,93},0))))"),3119838.3)</f>
        <v>3119838.3</v>
      </c>
      <c r="BS62" s="93" t="str">
        <f t="shared" si="12"/>
        <v/>
      </c>
      <c r="BT62" s="93" t="str">
        <f t="shared" si="13"/>
        <v/>
      </c>
      <c r="BU62" s="37">
        <f t="shared" si="14"/>
        <v>0</v>
      </c>
      <c r="BV62" s="94">
        <v>25690</v>
      </c>
      <c r="BW62" s="94" t="s">
        <v>476</v>
      </c>
      <c r="BX62" s="94">
        <v>884</v>
      </c>
      <c r="BY62" s="37">
        <f t="shared" si="15"/>
        <v>0</v>
      </c>
      <c r="BZ62" s="37"/>
      <c r="CA62" s="37"/>
      <c r="CB62" s="37"/>
      <c r="CC62" s="37"/>
      <c r="CD62" s="37"/>
      <c r="CE62" s="37"/>
      <c r="CF62" s="37"/>
      <c r="CG62" s="37" t="str">
        <f t="shared" si="18"/>
        <v xml:space="preserve"> </v>
      </c>
      <c r="CH62" s="37" t="str">
        <f t="shared" si="26"/>
        <v>Not 50%</v>
      </c>
      <c r="CI62" s="93">
        <f t="shared" si="19"/>
        <v>0.38157894736842107</v>
      </c>
      <c r="CJ62" s="95">
        <f ca="1">IFERROR(__xludf.DUMMYFUNCTION("""COMPUTED_VALUE"""),495)</f>
        <v>495</v>
      </c>
      <c r="CK62" s="95">
        <f ca="1">IFERROR(__xludf.DUMMYFUNCTION("""COMPUTED_VALUE"""),275)</f>
        <v>275</v>
      </c>
      <c r="CL62" s="95">
        <f ca="1">IFERROR(__xludf.DUMMYFUNCTION("""COMPUTED_VALUE"""),0)</f>
        <v>0</v>
      </c>
      <c r="CM62" s="96">
        <f t="shared" ca="1" si="20"/>
        <v>0</v>
      </c>
      <c r="CN62" s="103"/>
      <c r="CO62" s="4"/>
      <c r="CP62" s="100"/>
      <c r="CQ62" s="101"/>
      <c r="CR62" s="4"/>
      <c r="CS62" s="4"/>
      <c r="CT62" s="4"/>
      <c r="CU62" s="4"/>
      <c r="CV62" s="4"/>
      <c r="CW62" s="101"/>
      <c r="CX62" s="51"/>
      <c r="CY62" s="4"/>
      <c r="CZ62" s="4"/>
    </row>
    <row r="63" spans="1:104" ht="15.6">
      <c r="A63" s="1" t="s">
        <v>124</v>
      </c>
      <c r="B63" s="1" t="s">
        <v>443</v>
      </c>
      <c r="C63" s="1" t="s">
        <v>175</v>
      </c>
      <c r="D63" s="1" t="s">
        <v>517</v>
      </c>
      <c r="E63" s="1" t="s">
        <v>518</v>
      </c>
      <c r="F63" s="108">
        <v>45047</v>
      </c>
      <c r="G63" s="76">
        <v>0</v>
      </c>
      <c r="H63" s="76">
        <v>14400000</v>
      </c>
      <c r="I63" s="77">
        <v>7163532.3700000001</v>
      </c>
      <c r="J63" s="77">
        <v>0</v>
      </c>
      <c r="K63" s="4">
        <v>113</v>
      </c>
      <c r="L63" s="4">
        <v>105</v>
      </c>
      <c r="M63" s="4">
        <v>11</v>
      </c>
      <c r="N63" s="4">
        <v>124</v>
      </c>
      <c r="O63" s="4">
        <v>19</v>
      </c>
      <c r="P63" s="77">
        <v>6272949.0700000003</v>
      </c>
      <c r="Q63" s="77">
        <v>890583.3</v>
      </c>
      <c r="R63" s="4">
        <v>72</v>
      </c>
      <c r="S63" s="4">
        <v>9</v>
      </c>
      <c r="T63" s="4">
        <v>81</v>
      </c>
      <c r="U63" s="4">
        <v>0</v>
      </c>
      <c r="V63" s="4">
        <v>10</v>
      </c>
      <c r="W63" s="4">
        <v>20</v>
      </c>
      <c r="X63" s="4">
        <v>157</v>
      </c>
      <c r="Y63" s="4">
        <v>3</v>
      </c>
      <c r="Z63" s="4">
        <v>51</v>
      </c>
      <c r="AA63" s="4">
        <v>0</v>
      </c>
      <c r="AB63" s="4">
        <v>0</v>
      </c>
      <c r="AC63" s="4">
        <v>0</v>
      </c>
      <c r="AD63" s="4">
        <v>0</v>
      </c>
      <c r="AE63" s="4">
        <v>1288</v>
      </c>
      <c r="AF63" s="4">
        <v>1359</v>
      </c>
      <c r="AG63" s="4">
        <v>290</v>
      </c>
      <c r="AH63" s="76">
        <f t="shared" si="1"/>
        <v>24701.835758620691</v>
      </c>
      <c r="AI63" s="76">
        <f t="shared" si="2"/>
        <v>4.6862068965517238</v>
      </c>
      <c r="AJ63" s="112">
        <v>37990</v>
      </c>
      <c r="AK63" s="76">
        <f t="shared" si="34"/>
        <v>455880</v>
      </c>
      <c r="AL63" s="79">
        <v>115985</v>
      </c>
      <c r="AM63" s="80">
        <f t="shared" si="4"/>
        <v>7.9830029441187542E-2</v>
      </c>
      <c r="AN63" s="76">
        <f t="shared" si="5"/>
        <v>88438.671234567897</v>
      </c>
      <c r="AO63" s="102">
        <f t="shared" si="42"/>
        <v>0.49746752569444447</v>
      </c>
      <c r="AP63" s="82">
        <v>0</v>
      </c>
      <c r="AQ63" s="4">
        <v>557</v>
      </c>
      <c r="AR63" s="4">
        <v>2892</v>
      </c>
      <c r="AS63" s="4">
        <v>1849.17</v>
      </c>
      <c r="AT63" s="4">
        <v>9</v>
      </c>
      <c r="AU63" s="4">
        <v>18</v>
      </c>
      <c r="AV63" s="1">
        <v>81</v>
      </c>
      <c r="AW63" s="1">
        <v>27</v>
      </c>
      <c r="AX63" s="1">
        <v>16</v>
      </c>
      <c r="AY63" s="86" t="str">
        <f>IFERROR(VLOOKUP(C63,#REF!,13,0),"")</f>
        <v/>
      </c>
      <c r="AZ63" s="87"/>
      <c r="BA63" s="1" t="str">
        <f t="shared" si="6"/>
        <v>Active</v>
      </c>
      <c r="BB63" s="1" t="e">
        <f t="shared" ca="1" si="7"/>
        <v>#NAME?</v>
      </c>
      <c r="BC63" s="1" t="e">
        <f t="shared" ca="1" si="43"/>
        <v>#NAME?</v>
      </c>
      <c r="BD63" s="33">
        <f t="array" ref="BD63">MATCH($BD$2,{"Apr","May","Jun","Jul","Aug","Sep","Oct","Nov","Dec","Jan","Feb","Mar"},0)</f>
        <v>12</v>
      </c>
      <c r="BE63" s="88" t="str">
        <v/>
      </c>
      <c r="BF63" s="1">
        <f t="shared" si="9"/>
        <v>2</v>
      </c>
      <c r="BG63" s="1" t="s">
        <v>428</v>
      </c>
      <c r="BH63" s="89">
        <f ca="1">IFERROR(__xludf.DUMMYFUNCTION("""COMPUTED_VALUE"""),7311644)</f>
        <v>7311644</v>
      </c>
      <c r="BI63" s="89">
        <f ca="1">IFERROR(__xludf.DUMMYFUNCTION("""COMPUTED_VALUE"""),7401315.19)</f>
        <v>7401315.1900000004</v>
      </c>
      <c r="BJ63" s="90"/>
      <c r="BK63" s="91"/>
      <c r="BL63" s="91">
        <f t="shared" si="47"/>
        <v>0</v>
      </c>
      <c r="BM63" s="91">
        <f t="shared" si="11"/>
        <v>14400000</v>
      </c>
      <c r="BN63" s="91"/>
      <c r="BO63" s="92">
        <f ca="1">IFERROR(__xludf.DUMMYFUNCTION("IFERROR(ArrayFormula(SUM(VLOOKUP($C63,importrange(""1MwNMVzWE3QBVOyJjKr3eFX-Sq1Ng0Q1sghWJbgbE_8g"",""ORDER BOOKING REPORT 2024-25!C:CV""),{16,23,30},0))))"),1692578.96)</f>
        <v>1692578.96</v>
      </c>
      <c r="BP63" s="92">
        <f ca="1">IFERROR(__xludf.DUMMYFUNCTION("IFERROR(ArrayFormula(SUM(VLOOKUP($C63,importrange(""1MwNMVzWE3QBVOyJjKr3eFX-Sq1Ng0Q1sghWJbgbE_8g"",""ORDER BOOKING REPORT 2024-25!C:CV""),{37,44,51},0))))"),1715364.72)</f>
        <v>1715364.72</v>
      </c>
      <c r="BQ63" s="92">
        <f ca="1">IFERROR(__xludf.DUMMYFUNCTION("IFERROR(ArrayFormula(SUM(VLOOKUP($C63,importrange(""1MwNMVzWE3QBVOyJjKr3eFX-Sq1Ng0Q1sghWJbgbE_8g"",""ORDER BOOKING REPORT 2024-25!C:CV""),{58,65,72},0))))"),1782553.12)</f>
        <v>1782553.12</v>
      </c>
      <c r="BR63" s="92">
        <f ca="1">IFERROR(__xludf.DUMMYFUNCTION("IFERROR(ArrayFormula(SUM(VLOOKUP($C63,importrange(""1MwNMVzWE3QBVOyJjKr3eFX-Sq1Ng0Q1sghWJbgbE_8g"",""ORDER BOOKING REPORT 2024-25!C:CV""),{79,86,93},0))))"),2210818.39)</f>
        <v>2210818.39</v>
      </c>
      <c r="BS63" s="93" t="str">
        <f t="shared" si="12"/>
        <v/>
      </c>
      <c r="BT63" s="93" t="str">
        <f t="shared" si="13"/>
        <v/>
      </c>
      <c r="BU63" s="37">
        <f t="shared" si="14"/>
        <v>0</v>
      </c>
      <c r="BV63" s="94">
        <v>37990</v>
      </c>
      <c r="BW63" s="94" t="s">
        <v>445</v>
      </c>
      <c r="BX63" s="94">
        <v>896</v>
      </c>
      <c r="BY63" s="37">
        <f t="shared" si="15"/>
        <v>0</v>
      </c>
      <c r="BZ63" s="37"/>
      <c r="CA63" s="37"/>
      <c r="CB63" s="37"/>
      <c r="CC63" s="37"/>
      <c r="CD63" s="37"/>
      <c r="CE63" s="37"/>
      <c r="CF63" s="37"/>
      <c r="CG63" s="37" t="str">
        <f t="shared" si="18"/>
        <v xml:space="preserve"> </v>
      </c>
      <c r="CH63" s="37" t="str">
        <f t="shared" si="26"/>
        <v>Business Achieved 50%</v>
      </c>
      <c r="CI63" s="93">
        <f t="shared" si="19"/>
        <v>0.65322580645161288</v>
      </c>
      <c r="CJ63" s="95">
        <f ca="1">IFERROR(__xludf.DUMMYFUNCTION("""COMPUTED_VALUE"""),1167)</f>
        <v>1167</v>
      </c>
      <c r="CK63" s="95">
        <f ca="1">IFERROR(__xludf.DUMMYFUNCTION("""COMPUTED_VALUE"""),121)</f>
        <v>121</v>
      </c>
      <c r="CL63" s="95">
        <f ca="1">IFERROR(__xludf.DUMMYFUNCTION("""COMPUTED_VALUE"""),0)</f>
        <v>0</v>
      </c>
      <c r="CM63" s="96">
        <f t="shared" ca="1" si="20"/>
        <v>0</v>
      </c>
      <c r="CN63" s="103"/>
      <c r="CO63" s="4"/>
      <c r="CP63" s="100"/>
      <c r="CQ63" s="101"/>
      <c r="CR63" s="4"/>
      <c r="CS63" s="4"/>
      <c r="CT63" s="4"/>
      <c r="CU63" s="4"/>
      <c r="CV63" s="4"/>
      <c r="CW63" s="101"/>
      <c r="CX63" s="51"/>
      <c r="CY63" s="4"/>
      <c r="CZ63" s="4"/>
    </row>
    <row r="64" spans="1:104" ht="15.6">
      <c r="A64" s="1" t="s">
        <v>124</v>
      </c>
      <c r="B64" s="1" t="s">
        <v>443</v>
      </c>
      <c r="C64" s="1" t="s">
        <v>176</v>
      </c>
      <c r="D64" s="1" t="s">
        <v>517</v>
      </c>
      <c r="E64" s="1" t="s">
        <v>537</v>
      </c>
      <c r="F64" s="108">
        <v>45047</v>
      </c>
      <c r="G64" s="76">
        <v>0</v>
      </c>
      <c r="H64" s="76">
        <v>0</v>
      </c>
      <c r="I64" s="77">
        <v>0</v>
      </c>
      <c r="J64" s="77">
        <v>0</v>
      </c>
      <c r="K64" s="4">
        <v>35</v>
      </c>
      <c r="L64" s="4">
        <v>28</v>
      </c>
      <c r="M64" s="4">
        <v>1</v>
      </c>
      <c r="N64" s="4">
        <v>36</v>
      </c>
      <c r="O64" s="4">
        <v>8</v>
      </c>
      <c r="P64" s="77">
        <v>0</v>
      </c>
      <c r="Q64" s="77">
        <v>0</v>
      </c>
      <c r="R64" s="4">
        <v>0</v>
      </c>
      <c r="S64" s="4">
        <v>0</v>
      </c>
      <c r="T64" s="4">
        <v>0</v>
      </c>
      <c r="U64" s="4">
        <v>0</v>
      </c>
      <c r="V64" s="4">
        <v>3</v>
      </c>
      <c r="W64" s="4">
        <v>4</v>
      </c>
      <c r="X64" s="4">
        <v>120</v>
      </c>
      <c r="Y64" s="4">
        <v>5</v>
      </c>
      <c r="Z64" s="4">
        <v>26</v>
      </c>
      <c r="AA64" s="4">
        <v>1</v>
      </c>
      <c r="AB64" s="4">
        <v>4</v>
      </c>
      <c r="AC64" s="4">
        <v>2</v>
      </c>
      <c r="AD64" s="4">
        <v>5</v>
      </c>
      <c r="AE64" s="4">
        <v>74</v>
      </c>
      <c r="AF64" s="4">
        <v>113</v>
      </c>
      <c r="AG64" s="4">
        <v>32</v>
      </c>
      <c r="AH64" s="76">
        <f t="shared" si="1"/>
        <v>0</v>
      </c>
      <c r="AI64" s="76">
        <f t="shared" si="2"/>
        <v>3.53125</v>
      </c>
      <c r="AJ64" s="112">
        <v>37335</v>
      </c>
      <c r="AK64" s="76">
        <f t="shared" si="34"/>
        <v>47042.1</v>
      </c>
      <c r="AL64" s="79">
        <v>11050</v>
      </c>
      <c r="AM64" s="80" t="str">
        <f t="shared" si="4"/>
        <v/>
      </c>
      <c r="AN64" s="76" t="str">
        <f t="shared" si="5"/>
        <v/>
      </c>
      <c r="AO64" s="49" t="s">
        <v>161</v>
      </c>
      <c r="AP64" s="82">
        <v>0</v>
      </c>
      <c r="AQ64" s="4">
        <v>0</v>
      </c>
      <c r="AR64" s="4">
        <v>275</v>
      </c>
      <c r="AS64" s="4">
        <v>0</v>
      </c>
      <c r="AT64" s="4">
        <v>0</v>
      </c>
      <c r="AU64" s="4">
        <v>0</v>
      </c>
      <c r="AV64" s="1">
        <v>0</v>
      </c>
      <c r="AW64" s="1">
        <v>28</v>
      </c>
      <c r="AX64" s="1">
        <v>8</v>
      </c>
      <c r="AY64" s="86" t="str">
        <f>IFERROR(VLOOKUP(C64,#REF!,13,0),"")</f>
        <v/>
      </c>
      <c r="AZ64" s="111">
        <v>45785</v>
      </c>
      <c r="BA64" s="1" t="str">
        <f t="shared" si="6"/>
        <v>LEFT</v>
      </c>
      <c r="BB64" s="1" t="e">
        <f t="shared" ca="1" si="7"/>
        <v>#NAME?</v>
      </c>
      <c r="BC64" s="4" t="s">
        <v>161</v>
      </c>
      <c r="BD64" s="33">
        <v>1.26</v>
      </c>
      <c r="BE64" s="88" t="str">
        <v/>
      </c>
      <c r="BF64" s="1">
        <f t="shared" si="9"/>
        <v>1</v>
      </c>
      <c r="BG64" s="1" t="s">
        <v>428</v>
      </c>
      <c r="BH64" s="89">
        <f ca="1">IFERROR(__xludf.DUMMYFUNCTION("""COMPUTED_VALUE"""),3836040)</f>
        <v>3836040</v>
      </c>
      <c r="BI64" s="89">
        <f ca="1">IFERROR(__xludf.DUMMYFUNCTION("""COMPUTED_VALUE"""),4643794.6)</f>
        <v>4643794.5999999996</v>
      </c>
      <c r="BJ64" s="109">
        <f>8/31</f>
        <v>0.25806451612903225</v>
      </c>
      <c r="BK64" s="113"/>
      <c r="BL64" s="91">
        <f t="shared" si="47"/>
        <v>0</v>
      </c>
      <c r="BM64" s="91">
        <f t="shared" si="11"/>
        <v>0</v>
      </c>
      <c r="BN64" s="91"/>
      <c r="BO64" s="92">
        <f ca="1">IFERROR(__xludf.DUMMYFUNCTION("IFERROR(ArrayFormula(SUM(VLOOKUP($C64,importrange(""1MwNMVzWE3QBVOyJjKr3eFX-Sq1Ng0Q1sghWJbgbE_8g"",""ORDER BOOKING REPORT 2024-25!C:CV""),{16,23,30},0))))"),505157.6)</f>
        <v>505157.6</v>
      </c>
      <c r="BP64" s="92">
        <f ca="1">IFERROR(__xludf.DUMMYFUNCTION("IFERROR(ArrayFormula(SUM(VLOOKUP($C64,importrange(""1MwNMVzWE3QBVOyJjKr3eFX-Sq1Ng0Q1sghWJbgbE_8g"",""ORDER BOOKING REPORT 2024-25!C:CV""),{37,44,51},0))))"),691492.2)</f>
        <v>691492.2</v>
      </c>
      <c r="BQ64" s="92">
        <f ca="1">IFERROR(__xludf.DUMMYFUNCTION("IFERROR(ArrayFormula(SUM(VLOOKUP($C64,importrange(""1MwNMVzWE3QBVOyJjKr3eFX-Sq1Ng0Q1sghWJbgbE_8g"",""ORDER BOOKING REPORT 2024-25!C:CV""),{58,65,72},0))))"),1165454.2)</f>
        <v>1165454.2</v>
      </c>
      <c r="BR64" s="92">
        <f ca="1">IFERROR(__xludf.DUMMYFUNCTION("IFERROR(ArrayFormula(SUM(VLOOKUP($C64,importrange(""1MwNMVzWE3QBVOyJjKr3eFX-Sq1Ng0Q1sghWJbgbE_8g"",""ORDER BOOKING REPORT 2024-25!C:CV""),{79,86,93},0))))"),2281690.6)</f>
        <v>2281690.6</v>
      </c>
      <c r="BS64" s="93" t="str">
        <f t="shared" si="12"/>
        <v/>
      </c>
      <c r="BT64" s="93" t="str">
        <f t="shared" si="13"/>
        <v/>
      </c>
      <c r="BU64" s="37">
        <f t="shared" si="14"/>
        <v>0</v>
      </c>
      <c r="BV64" s="94"/>
      <c r="BW64" s="94"/>
      <c r="BX64" s="94"/>
      <c r="BY64" s="37">
        <f t="shared" si="15"/>
        <v>-37335</v>
      </c>
      <c r="BZ64" s="37"/>
      <c r="CA64" s="37"/>
      <c r="CB64" s="37"/>
      <c r="CC64" s="37"/>
      <c r="CD64" s="37"/>
      <c r="CE64" s="37"/>
      <c r="CF64" s="37"/>
      <c r="CG64" s="37" t="str">
        <f t="shared" si="18"/>
        <v>Below 60</v>
      </c>
      <c r="CH64" s="37" t="str">
        <f t="shared" si="26"/>
        <v>Not 50%</v>
      </c>
      <c r="CI64" s="93">
        <f t="shared" si="19"/>
        <v>0</v>
      </c>
      <c r="CJ64" s="95">
        <f ca="1">IFERROR(__xludf.DUMMYFUNCTION("""COMPUTED_VALUE"""),0)</f>
        <v>0</v>
      </c>
      <c r="CK64" s="95">
        <f ca="1">IFERROR(__xludf.DUMMYFUNCTION("""COMPUTED_VALUE"""),74)</f>
        <v>74</v>
      </c>
      <c r="CL64" s="95">
        <f ca="1">IFERROR(__xludf.DUMMYFUNCTION("""COMPUTED_VALUE"""),0)</f>
        <v>0</v>
      </c>
      <c r="CM64" s="96">
        <f t="shared" ca="1" si="20"/>
        <v>0</v>
      </c>
      <c r="CN64" s="103"/>
      <c r="CO64" s="4"/>
      <c r="CP64" s="100"/>
      <c r="CQ64" s="101"/>
      <c r="CR64" s="4"/>
      <c r="CS64" s="4"/>
      <c r="CT64" s="4"/>
      <c r="CU64" s="4"/>
      <c r="CV64" s="4"/>
      <c r="CW64" s="101"/>
      <c r="CX64" s="51"/>
      <c r="CY64" s="4"/>
      <c r="CZ64" s="4"/>
    </row>
    <row r="65" spans="1:104" ht="15.6">
      <c r="A65" s="1" t="s">
        <v>118</v>
      </c>
      <c r="B65" s="1" t="s">
        <v>362</v>
      </c>
      <c r="C65" s="1" t="s">
        <v>179</v>
      </c>
      <c r="D65" s="1" t="s">
        <v>419</v>
      </c>
      <c r="E65" s="1" t="s">
        <v>538</v>
      </c>
      <c r="F65" s="108">
        <v>45047</v>
      </c>
      <c r="G65" s="76">
        <v>0</v>
      </c>
      <c r="H65" s="76">
        <v>18000000</v>
      </c>
      <c r="I65" s="77">
        <v>14450866.6</v>
      </c>
      <c r="J65" s="77">
        <v>0</v>
      </c>
      <c r="K65" s="4">
        <v>45</v>
      </c>
      <c r="L65" s="4">
        <v>51</v>
      </c>
      <c r="M65" s="4">
        <v>10</v>
      </c>
      <c r="N65" s="4">
        <v>55</v>
      </c>
      <c r="O65" s="4">
        <v>4</v>
      </c>
      <c r="P65" s="77">
        <v>12801150.65</v>
      </c>
      <c r="Q65" s="77">
        <v>1649715.95</v>
      </c>
      <c r="R65" s="4">
        <v>20</v>
      </c>
      <c r="S65" s="4">
        <v>6</v>
      </c>
      <c r="T65" s="4">
        <v>26</v>
      </c>
      <c r="U65" s="4">
        <v>0</v>
      </c>
      <c r="V65" s="4">
        <v>67</v>
      </c>
      <c r="W65" s="4">
        <v>187</v>
      </c>
      <c r="X65" s="4">
        <v>154</v>
      </c>
      <c r="Y65" s="4">
        <v>2</v>
      </c>
      <c r="Z65" s="4">
        <v>6</v>
      </c>
      <c r="AA65" s="4">
        <v>0</v>
      </c>
      <c r="AB65" s="4">
        <v>0</v>
      </c>
      <c r="AC65" s="4">
        <v>0</v>
      </c>
      <c r="AD65" s="4">
        <v>0</v>
      </c>
      <c r="AE65" s="4">
        <v>1555</v>
      </c>
      <c r="AF65" s="4">
        <v>1748</v>
      </c>
      <c r="AG65" s="4">
        <v>293</v>
      </c>
      <c r="AH65" s="76">
        <f t="shared" si="1"/>
        <v>49320.363822525593</v>
      </c>
      <c r="AI65" s="76">
        <f t="shared" si="2"/>
        <v>5.9658703071672354</v>
      </c>
      <c r="AJ65" s="78">
        <v>31500</v>
      </c>
      <c r="AK65" s="76">
        <f t="shared" si="34"/>
        <v>378000</v>
      </c>
      <c r="AL65" s="79">
        <v>142750</v>
      </c>
      <c r="AM65" s="80">
        <f t="shared" si="4"/>
        <v>3.6035901127202986E-2</v>
      </c>
      <c r="AN65" s="76">
        <f t="shared" si="5"/>
        <v>555802.56153846148</v>
      </c>
      <c r="AO65" s="102">
        <f t="shared" ref="AO65:AO68" si="50">IFERROR(SUM(I65:J65)/SUM(G65:H65),"")</f>
        <v>0.80282592222222215</v>
      </c>
      <c r="AP65" s="82">
        <v>0</v>
      </c>
      <c r="AQ65" s="4">
        <v>102</v>
      </c>
      <c r="AR65" s="4">
        <v>2881</v>
      </c>
      <c r="AS65" s="4">
        <v>3418.73</v>
      </c>
      <c r="AT65" s="4">
        <v>6</v>
      </c>
      <c r="AU65" s="4">
        <v>67</v>
      </c>
      <c r="AV65" s="1">
        <v>26</v>
      </c>
      <c r="AW65" s="1">
        <v>25</v>
      </c>
      <c r="AX65" s="1">
        <v>4</v>
      </c>
      <c r="AY65" s="86" t="str">
        <f>IFERROR(VLOOKUP(C65,#REF!,13,0),"")</f>
        <v/>
      </c>
      <c r="AZ65" s="87"/>
      <c r="BA65" s="1" t="str">
        <f t="shared" si="6"/>
        <v>Active</v>
      </c>
      <c r="BB65" s="1" t="e">
        <f t="shared" ca="1" si="7"/>
        <v>#NAME?</v>
      </c>
      <c r="BC65" s="1" t="e">
        <f t="shared" ref="BC65:BC68" ca="1" si="51">_xludf.ifs(AO65&lt;50%,"Below 50%",AO65&lt;70%,"50%-70%",AO65&lt;90%,"70%-90%",AO65&lt;100%,"90%-100%",AO65&gt;100%,"Above 100%")</f>
        <v>#NAME?</v>
      </c>
      <c r="BD65" s="33">
        <f t="shared" ref="BD65:BD66" si="52">MATCH($BD$2,{"Apr","May","Jun","Jul","Aug","Sep","Oct","Nov","Dec","Jan","Feb","Mar"},0)</f>
        <v>12</v>
      </c>
      <c r="BE65" s="88" t="str">
        <v/>
      </c>
      <c r="BF65" s="1">
        <f t="shared" si="9"/>
        <v>4</v>
      </c>
      <c r="BG65" s="1" t="s">
        <v>428</v>
      </c>
      <c r="BH65" s="89">
        <f ca="1">IFERROR(__xludf.DUMMYFUNCTION("""COMPUTED_VALUE"""),7721539)</f>
        <v>7721539</v>
      </c>
      <c r="BI65" s="89">
        <f ca="1">IFERROR(__xludf.DUMMYFUNCTION("""COMPUTED_VALUE"""),9094347.39999999)</f>
        <v>9094347.3999999892</v>
      </c>
      <c r="BJ65" s="90"/>
      <c r="BK65" s="91"/>
      <c r="BL65" s="91">
        <f t="shared" si="47"/>
        <v>0</v>
      </c>
      <c r="BM65" s="91">
        <f t="shared" si="11"/>
        <v>18000000</v>
      </c>
      <c r="BN65" s="91"/>
      <c r="BO65" s="92">
        <f ca="1">IFERROR(__xludf.DUMMYFUNCTION("IFERROR(ArrayFormula(SUM(VLOOKUP($C65,importrange(""1MwNMVzWE3QBVOyJjKr3eFX-Sq1Ng0Q1sghWJbgbE_8g"",""ORDER BOOKING REPORT 2024-25!C:CV""),{16,23,30},0))))"),1470412.5)</f>
        <v>1470412.5</v>
      </c>
      <c r="BP65" s="92">
        <f ca="1">IFERROR(__xludf.DUMMYFUNCTION("IFERROR(ArrayFormula(SUM(VLOOKUP($C65,importrange(""1MwNMVzWE3QBVOyJjKr3eFX-Sq1Ng0Q1sghWJbgbE_8g"",""ORDER BOOKING REPORT 2024-25!C:CV""),{37,44,51},0))))"),2361463.3)</f>
        <v>2361463.2999999998</v>
      </c>
      <c r="BQ65" s="92">
        <f ca="1">IFERROR(__xludf.DUMMYFUNCTION("IFERROR(ArrayFormula(SUM(VLOOKUP($C65,importrange(""1MwNMVzWE3QBVOyJjKr3eFX-Sq1Ng0Q1sghWJbgbE_8g"",""ORDER BOOKING REPORT 2024-25!C:CV""),{58,65,72},0))))"),2574447.09999999)</f>
        <v>2574447.0999999898</v>
      </c>
      <c r="BR65" s="92">
        <f ca="1">IFERROR(__xludf.DUMMYFUNCTION("IFERROR(ArrayFormula(SUM(VLOOKUP($C65,importrange(""1MwNMVzWE3QBVOyJjKr3eFX-Sq1Ng0Q1sghWJbgbE_8g"",""ORDER BOOKING REPORT 2024-25!C:CV""),{79,86,93},0))))"),2688024.5)</f>
        <v>2688024.5</v>
      </c>
      <c r="BS65" s="93" t="str">
        <f t="shared" si="12"/>
        <v/>
      </c>
      <c r="BT65" s="93" t="str">
        <f t="shared" si="13"/>
        <v/>
      </c>
      <c r="BU65" s="37">
        <f t="shared" si="14"/>
        <v>0</v>
      </c>
      <c r="BV65" s="94">
        <v>31500</v>
      </c>
      <c r="BW65" s="94" t="s">
        <v>476</v>
      </c>
      <c r="BX65" s="94">
        <v>899</v>
      </c>
      <c r="BY65" s="37">
        <f t="shared" si="15"/>
        <v>0</v>
      </c>
      <c r="BZ65" s="37"/>
      <c r="CA65" s="37"/>
      <c r="CB65" s="37"/>
      <c r="CC65" s="37"/>
      <c r="CD65" s="37"/>
      <c r="CE65" s="37"/>
      <c r="CF65" s="37"/>
      <c r="CG65" s="37" t="str">
        <f t="shared" si="18"/>
        <v>Below 60</v>
      </c>
      <c r="CH65" s="37" t="str">
        <f t="shared" si="26"/>
        <v>Not 50%</v>
      </c>
      <c r="CI65" s="93">
        <f t="shared" si="19"/>
        <v>0.47272727272727272</v>
      </c>
      <c r="CJ65" s="95">
        <f ca="1">IFERROR(__xludf.DUMMYFUNCTION("""COMPUTED_VALUE"""),1050)</f>
        <v>1050</v>
      </c>
      <c r="CK65" s="95">
        <f ca="1">IFERROR(__xludf.DUMMYFUNCTION("""COMPUTED_VALUE"""),505)</f>
        <v>505</v>
      </c>
      <c r="CL65" s="95">
        <f ca="1">IFERROR(__xludf.DUMMYFUNCTION("""COMPUTED_VALUE"""),0)</f>
        <v>0</v>
      </c>
      <c r="CM65" s="96">
        <f t="shared" ca="1" si="20"/>
        <v>0</v>
      </c>
      <c r="CN65" s="103"/>
      <c r="CO65" s="4"/>
      <c r="CP65" s="100"/>
      <c r="CQ65" s="101"/>
      <c r="CR65" s="4"/>
      <c r="CS65" s="4"/>
      <c r="CT65" s="4"/>
      <c r="CU65" s="4"/>
      <c r="CV65" s="4"/>
      <c r="CW65" s="101"/>
      <c r="CX65" s="51"/>
      <c r="CY65" s="4"/>
      <c r="CZ65" s="4"/>
    </row>
    <row r="66" spans="1:104" ht="15.6">
      <c r="A66" s="1" t="s">
        <v>118</v>
      </c>
      <c r="B66" s="1" t="s">
        <v>362</v>
      </c>
      <c r="C66" s="1" t="s">
        <v>181</v>
      </c>
      <c r="D66" s="1" t="s">
        <v>419</v>
      </c>
      <c r="E66" s="1" t="s">
        <v>538</v>
      </c>
      <c r="F66" s="108">
        <v>45047</v>
      </c>
      <c r="G66" s="76">
        <v>0</v>
      </c>
      <c r="H66" s="76">
        <v>18000000</v>
      </c>
      <c r="I66" s="77">
        <v>15161492.84</v>
      </c>
      <c r="J66" s="77">
        <v>0</v>
      </c>
      <c r="K66" s="4">
        <v>55</v>
      </c>
      <c r="L66" s="4">
        <v>55</v>
      </c>
      <c r="M66" s="4">
        <v>13</v>
      </c>
      <c r="N66" s="4">
        <v>68</v>
      </c>
      <c r="O66" s="4">
        <v>13</v>
      </c>
      <c r="P66" s="77">
        <v>13690347.34</v>
      </c>
      <c r="Q66" s="77">
        <v>1471145.5</v>
      </c>
      <c r="R66" s="4">
        <v>17</v>
      </c>
      <c r="S66" s="4">
        <v>10</v>
      </c>
      <c r="T66" s="4">
        <v>27</v>
      </c>
      <c r="U66" s="4">
        <v>0</v>
      </c>
      <c r="V66" s="4">
        <v>75</v>
      </c>
      <c r="W66" s="4">
        <v>151</v>
      </c>
      <c r="X66" s="4">
        <v>208</v>
      </c>
      <c r="Y66" s="4">
        <v>3</v>
      </c>
      <c r="Z66" s="4">
        <v>15</v>
      </c>
      <c r="AA66" s="4">
        <v>0</v>
      </c>
      <c r="AB66" s="4">
        <v>0</v>
      </c>
      <c r="AC66" s="4">
        <v>0</v>
      </c>
      <c r="AD66" s="4">
        <v>0</v>
      </c>
      <c r="AE66" s="4">
        <v>1100</v>
      </c>
      <c r="AF66" s="4">
        <v>1266</v>
      </c>
      <c r="AG66" s="4">
        <v>296</v>
      </c>
      <c r="AH66" s="76">
        <f t="shared" si="1"/>
        <v>51221.259594594594</v>
      </c>
      <c r="AI66" s="76">
        <f t="shared" si="2"/>
        <v>4.2770270270270272</v>
      </c>
      <c r="AJ66" s="78">
        <v>26000</v>
      </c>
      <c r="AK66" s="76">
        <f t="shared" si="34"/>
        <v>312000</v>
      </c>
      <c r="AL66" s="79">
        <v>111002</v>
      </c>
      <c r="AM66" s="80">
        <f t="shared" si="4"/>
        <v>2.789975924296911E-2</v>
      </c>
      <c r="AN66" s="76">
        <f t="shared" si="5"/>
        <v>561536.77185185184</v>
      </c>
      <c r="AO66" s="102">
        <f t="shared" si="50"/>
        <v>0.84230515777777781</v>
      </c>
      <c r="AP66" s="82">
        <v>0</v>
      </c>
      <c r="AQ66" s="4">
        <v>100</v>
      </c>
      <c r="AR66" s="4">
        <v>2249</v>
      </c>
      <c r="AS66" s="4">
        <v>1816.06</v>
      </c>
      <c r="AT66" s="4">
        <v>10</v>
      </c>
      <c r="AU66" s="4">
        <v>33</v>
      </c>
      <c r="AV66" s="1">
        <v>27</v>
      </c>
      <c r="AW66" s="1">
        <v>28</v>
      </c>
      <c r="AX66" s="1">
        <v>13</v>
      </c>
      <c r="AY66" s="86" t="str">
        <f>IFERROR(VLOOKUP(C66,#REF!,13,0),"")</f>
        <v/>
      </c>
      <c r="AZ66" s="87"/>
      <c r="BA66" s="1" t="str">
        <f t="shared" si="6"/>
        <v>Active</v>
      </c>
      <c r="BB66" s="1" t="e">
        <f t="shared" ca="1" si="7"/>
        <v>#NAME?</v>
      </c>
      <c r="BC66" s="1" t="e">
        <f t="shared" ca="1" si="51"/>
        <v>#NAME?</v>
      </c>
      <c r="BD66" s="33">
        <f t="shared" si="52"/>
        <v>12</v>
      </c>
      <c r="BE66" s="88" t="str">
        <v/>
      </c>
      <c r="BF66" s="1">
        <f t="shared" si="9"/>
        <v>3</v>
      </c>
      <c r="BG66" s="1" t="s">
        <v>428</v>
      </c>
      <c r="BH66" s="89">
        <f ca="1">IFERROR(__xludf.DUMMYFUNCTION("""COMPUTED_VALUE"""),10161192)</f>
        <v>10161192</v>
      </c>
      <c r="BI66" s="89">
        <f ca="1">IFERROR(__xludf.DUMMYFUNCTION("""COMPUTED_VALUE"""),10739839.48)</f>
        <v>10739839.48</v>
      </c>
      <c r="BJ66" s="90"/>
      <c r="BK66" s="91"/>
      <c r="BL66" s="91">
        <f t="shared" si="47"/>
        <v>0</v>
      </c>
      <c r="BM66" s="91">
        <f t="shared" si="11"/>
        <v>18000000</v>
      </c>
      <c r="BN66" s="91"/>
      <c r="BO66" s="92">
        <f ca="1">IFERROR(__xludf.DUMMYFUNCTION("IFERROR(ArrayFormula(SUM(VLOOKUP($C66,importrange(""1MwNMVzWE3QBVOyJjKr3eFX-Sq1Ng0Q1sghWJbgbE_8g"",""ORDER BOOKING REPORT 2024-25!C:CV""),{16,23,30},0))))"),1606595.8)</f>
        <v>1606595.8</v>
      </c>
      <c r="BP66" s="92">
        <f ca="1">IFERROR(__xludf.DUMMYFUNCTION("IFERROR(ArrayFormula(SUM(VLOOKUP($C66,importrange(""1MwNMVzWE3QBVOyJjKr3eFX-Sq1Ng0Q1sghWJbgbE_8g"",""ORDER BOOKING REPORT 2024-25!C:CV""),{37,44,51},0))))"),2739585.23999999)</f>
        <v>2739585.23999999</v>
      </c>
      <c r="BQ66" s="92">
        <f ca="1">IFERROR(__xludf.DUMMYFUNCTION("IFERROR(ArrayFormula(SUM(VLOOKUP($C66,importrange(""1MwNMVzWE3QBVOyJjKr3eFX-Sq1Ng0Q1sghWJbgbE_8g"",""ORDER BOOKING REPORT 2024-25!C:CV""),{58,65,72},0))))"),3025599.94)</f>
        <v>3025599.94</v>
      </c>
      <c r="BR66" s="92">
        <f ca="1">IFERROR(__xludf.DUMMYFUNCTION("IFERROR(ArrayFormula(SUM(VLOOKUP($C66,importrange(""1MwNMVzWE3QBVOyJjKr3eFX-Sq1Ng0Q1sghWJbgbE_8g"",""ORDER BOOKING REPORT 2024-25!C:CV""),{79,86,93},0))))"),3368058.5)</f>
        <v>3368058.5</v>
      </c>
      <c r="BS66" s="93" t="str">
        <f t="shared" si="12"/>
        <v/>
      </c>
      <c r="BT66" s="93" t="str">
        <f t="shared" si="13"/>
        <v/>
      </c>
      <c r="BU66" s="37">
        <f t="shared" si="14"/>
        <v>0</v>
      </c>
      <c r="BV66" s="94">
        <v>26000</v>
      </c>
      <c r="BW66" s="94" t="s">
        <v>476</v>
      </c>
      <c r="BX66" s="94">
        <v>904</v>
      </c>
      <c r="BY66" s="37">
        <f t="shared" si="15"/>
        <v>0</v>
      </c>
      <c r="BZ66" s="37"/>
      <c r="CA66" s="37"/>
      <c r="CB66" s="37"/>
      <c r="CC66" s="37"/>
      <c r="CD66" s="37"/>
      <c r="CE66" s="37"/>
      <c r="CF66" s="37"/>
      <c r="CG66" s="37" t="str">
        <f t="shared" si="18"/>
        <v xml:space="preserve"> </v>
      </c>
      <c r="CH66" s="37" t="str">
        <f t="shared" si="26"/>
        <v>Not 50%</v>
      </c>
      <c r="CI66" s="93">
        <f t="shared" si="19"/>
        <v>0.39705882352941174</v>
      </c>
      <c r="CJ66" s="95">
        <f ca="1">IFERROR(__xludf.DUMMYFUNCTION("""COMPUTED_VALUE"""),726)</f>
        <v>726</v>
      </c>
      <c r="CK66" s="95">
        <f ca="1">IFERROR(__xludf.DUMMYFUNCTION("""COMPUTED_VALUE"""),374)</f>
        <v>374</v>
      </c>
      <c r="CL66" s="95">
        <f ca="1">IFERROR(__xludf.DUMMYFUNCTION("""COMPUTED_VALUE"""),0)</f>
        <v>0</v>
      </c>
      <c r="CM66" s="96">
        <f t="shared" ca="1" si="20"/>
        <v>0</v>
      </c>
      <c r="CN66" s="103"/>
      <c r="CO66" s="4"/>
      <c r="CP66" s="100"/>
      <c r="CQ66" s="101"/>
      <c r="CR66" s="4"/>
      <c r="CS66" s="4"/>
      <c r="CT66" s="4"/>
      <c r="CU66" s="4"/>
      <c r="CV66" s="4"/>
      <c r="CW66" s="101"/>
      <c r="CX66" s="51"/>
      <c r="CY66" s="4"/>
      <c r="CZ66" s="4"/>
    </row>
    <row r="67" spans="1:104" ht="15.6">
      <c r="A67" s="1" t="s">
        <v>118</v>
      </c>
      <c r="B67" s="1" t="s">
        <v>362</v>
      </c>
      <c r="C67" s="1" t="s">
        <v>184</v>
      </c>
      <c r="D67" s="1" t="s">
        <v>419</v>
      </c>
      <c r="E67" s="1" t="s">
        <v>539</v>
      </c>
      <c r="F67" s="108">
        <v>45047</v>
      </c>
      <c r="G67" s="76">
        <v>0</v>
      </c>
      <c r="H67" s="76">
        <v>13200000</v>
      </c>
      <c r="I67" s="77">
        <v>6097041.9199999999</v>
      </c>
      <c r="J67" s="77">
        <v>0</v>
      </c>
      <c r="K67" s="4">
        <v>108</v>
      </c>
      <c r="L67" s="4">
        <v>107</v>
      </c>
      <c r="M67" s="4">
        <v>6</v>
      </c>
      <c r="N67" s="4">
        <v>114</v>
      </c>
      <c r="O67" s="4">
        <v>7</v>
      </c>
      <c r="P67" s="77">
        <v>5950781.9000000004</v>
      </c>
      <c r="Q67" s="77">
        <v>146260.01999999999</v>
      </c>
      <c r="R67" s="4">
        <v>76</v>
      </c>
      <c r="S67" s="4">
        <v>3</v>
      </c>
      <c r="T67" s="4">
        <v>79</v>
      </c>
      <c r="U67" s="4">
        <v>0</v>
      </c>
      <c r="V67" s="4">
        <v>2</v>
      </c>
      <c r="W67" s="4">
        <v>5</v>
      </c>
      <c r="X67" s="4">
        <v>48</v>
      </c>
      <c r="Y67" s="4">
        <v>1</v>
      </c>
      <c r="Z67" s="4">
        <v>15</v>
      </c>
      <c r="AA67" s="4">
        <v>0</v>
      </c>
      <c r="AB67" s="4">
        <v>0</v>
      </c>
      <c r="AC67" s="4">
        <v>0</v>
      </c>
      <c r="AD67" s="4">
        <v>0</v>
      </c>
      <c r="AE67" s="4">
        <v>518</v>
      </c>
      <c r="AF67" s="4">
        <v>538</v>
      </c>
      <c r="AG67" s="4">
        <v>103</v>
      </c>
      <c r="AH67" s="76">
        <f t="shared" si="1"/>
        <v>59194.581747572818</v>
      </c>
      <c r="AI67" s="76">
        <f t="shared" si="2"/>
        <v>5.2233009708737868</v>
      </c>
      <c r="AJ67" s="78">
        <v>27260</v>
      </c>
      <c r="AK67" s="76">
        <f t="shared" si="34"/>
        <v>109040</v>
      </c>
      <c r="AL67" s="79">
        <v>37224</v>
      </c>
      <c r="AM67" s="80">
        <f t="shared" si="4"/>
        <v>2.3989338095284082E-2</v>
      </c>
      <c r="AN67" s="76">
        <f t="shared" si="5"/>
        <v>77177.745822784811</v>
      </c>
      <c r="AO67" s="102">
        <f t="shared" si="50"/>
        <v>0.46189711515151516</v>
      </c>
      <c r="AP67" s="82">
        <v>0</v>
      </c>
      <c r="AQ67" s="4">
        <v>208</v>
      </c>
      <c r="AR67" s="4">
        <v>1027</v>
      </c>
      <c r="AS67" s="4">
        <v>0</v>
      </c>
      <c r="AT67" s="4">
        <v>3</v>
      </c>
      <c r="AU67" s="4">
        <v>0</v>
      </c>
      <c r="AV67" s="1">
        <v>79</v>
      </c>
      <c r="AW67" s="1">
        <v>28</v>
      </c>
      <c r="AX67" s="1">
        <v>7</v>
      </c>
      <c r="AY67" s="86" t="str">
        <f>IFERROR(VLOOKUP(C67,#REF!,13,0),"")</f>
        <v/>
      </c>
      <c r="AZ67" s="87">
        <v>45869</v>
      </c>
      <c r="BA67" s="1" t="str">
        <f t="shared" si="6"/>
        <v>LEFT</v>
      </c>
      <c r="BB67" s="1" t="e">
        <f t="shared" ca="1" si="7"/>
        <v>#NAME?</v>
      </c>
      <c r="BC67" s="1" t="e">
        <f t="shared" ca="1" si="51"/>
        <v>#NAME?</v>
      </c>
      <c r="BD67" s="33">
        <v>4</v>
      </c>
      <c r="BE67" s="91" t="str">
        <v/>
      </c>
      <c r="BF67" s="1">
        <f t="shared" si="9"/>
        <v>3</v>
      </c>
      <c r="BG67" s="1" t="s">
        <v>428</v>
      </c>
      <c r="BH67" s="89">
        <f ca="1">IFERROR(__xludf.DUMMYFUNCTION("""COMPUTED_VALUE"""),26259193)</f>
        <v>26259193</v>
      </c>
      <c r="BI67" s="89">
        <f ca="1">IFERROR(__xludf.DUMMYFUNCTION("""COMPUTED_VALUE"""),25138940.35)</f>
        <v>25138940.350000001</v>
      </c>
      <c r="BJ67" s="90"/>
      <c r="BK67" s="91"/>
      <c r="BL67" s="91">
        <f t="shared" si="47"/>
        <v>0</v>
      </c>
      <c r="BM67" s="91">
        <f t="shared" si="11"/>
        <v>13200000</v>
      </c>
      <c r="BN67" s="91"/>
      <c r="BO67" s="92">
        <f ca="1">IFERROR(__xludf.DUMMYFUNCTION("IFERROR(ArrayFormula(SUM(VLOOKUP($C67,importrange(""1MwNMVzWE3QBVOyJjKr3eFX-Sq1Ng0Q1sghWJbgbE_8g"",""ORDER BOOKING REPORT 2024-25!C:CV""),{16,23,30},0))))"),6909255.81)</f>
        <v>6909255.8099999996</v>
      </c>
      <c r="BP67" s="92">
        <f ca="1">IFERROR(__xludf.DUMMYFUNCTION("IFERROR(ArrayFormula(SUM(VLOOKUP($C67,importrange(""1MwNMVzWE3QBVOyJjKr3eFX-Sq1Ng0Q1sghWJbgbE_8g"",""ORDER BOOKING REPORT 2024-25!C:CV""),{37,44,51},0))))"),6319240.62999999)</f>
        <v>6319240.6299999896</v>
      </c>
      <c r="BQ67" s="92">
        <f ca="1">IFERROR(__xludf.DUMMYFUNCTION("IFERROR(ArrayFormula(SUM(VLOOKUP($C67,importrange(""1MwNMVzWE3QBVOyJjKr3eFX-Sq1Ng0Q1sghWJbgbE_8g"",""ORDER BOOKING REPORT 2024-25!C:CV""),{58,65,72},0))))"),4627071.93)</f>
        <v>4627071.93</v>
      </c>
      <c r="BR67" s="92">
        <f ca="1">IFERROR(__xludf.DUMMYFUNCTION("IFERROR(ArrayFormula(SUM(VLOOKUP($C67,importrange(""1MwNMVzWE3QBVOyJjKr3eFX-Sq1Ng0Q1sghWJbgbE_8g"",""ORDER BOOKING REPORT 2024-25!C:CV""),{79,86,93},0))))"),7283371.97999999)</f>
        <v>7283371.9799999902</v>
      </c>
      <c r="BS67" s="93" t="str">
        <f t="shared" si="12"/>
        <v/>
      </c>
      <c r="BT67" s="93" t="str">
        <f t="shared" si="13"/>
        <v/>
      </c>
      <c r="BU67" s="37">
        <f t="shared" si="14"/>
        <v>0</v>
      </c>
      <c r="BV67" s="94">
        <v>27260</v>
      </c>
      <c r="BW67" s="94" t="s">
        <v>445</v>
      </c>
      <c r="BX67" s="94">
        <v>900</v>
      </c>
      <c r="BY67" s="37">
        <f t="shared" si="15"/>
        <v>0</v>
      </c>
      <c r="BZ67" s="37"/>
      <c r="CA67" s="37"/>
      <c r="CB67" s="37"/>
      <c r="CC67" s="37"/>
      <c r="CD67" s="37"/>
      <c r="CE67" s="37"/>
      <c r="CF67" s="37"/>
      <c r="CG67" s="37" t="str">
        <f t="shared" si="18"/>
        <v xml:space="preserve"> </v>
      </c>
      <c r="CH67" s="37" t="str">
        <f t="shared" si="26"/>
        <v>Business Achieved 50%</v>
      </c>
      <c r="CI67" s="93">
        <f t="shared" si="19"/>
        <v>0.69298245614035092</v>
      </c>
      <c r="CJ67" s="95">
        <f ca="1">IFERROR(__xludf.DUMMYFUNCTION("""COMPUTED_VALUE"""),420)</f>
        <v>420</v>
      </c>
      <c r="CK67" s="95">
        <f ca="1">IFERROR(__xludf.DUMMYFUNCTION("""COMPUTED_VALUE"""),98)</f>
        <v>98</v>
      </c>
      <c r="CL67" s="95">
        <f ca="1">IFERROR(__xludf.DUMMYFUNCTION("""COMPUTED_VALUE"""),0)</f>
        <v>0</v>
      </c>
      <c r="CM67" s="96">
        <f t="shared" ca="1" si="20"/>
        <v>0</v>
      </c>
      <c r="CN67" s="103"/>
      <c r="CO67" s="4"/>
      <c r="CP67" s="100"/>
      <c r="CQ67" s="101"/>
      <c r="CR67" s="4"/>
      <c r="CS67" s="4"/>
      <c r="CT67" s="4"/>
      <c r="CU67" s="4"/>
      <c r="CV67" s="4"/>
      <c r="CW67" s="101"/>
      <c r="CX67" s="51"/>
      <c r="CY67" s="4"/>
      <c r="CZ67" s="4"/>
    </row>
    <row r="68" spans="1:104" ht="15.6">
      <c r="A68" s="1" t="s">
        <v>118</v>
      </c>
      <c r="B68" s="1" t="s">
        <v>362</v>
      </c>
      <c r="C68" s="1" t="s">
        <v>183</v>
      </c>
      <c r="D68" s="1" t="s">
        <v>419</v>
      </c>
      <c r="E68" s="1" t="s">
        <v>540</v>
      </c>
      <c r="F68" s="108">
        <v>45048</v>
      </c>
      <c r="G68" s="76">
        <v>0</v>
      </c>
      <c r="H68" s="76">
        <v>18000000</v>
      </c>
      <c r="I68" s="77">
        <v>14058907.67</v>
      </c>
      <c r="J68" s="77">
        <v>0</v>
      </c>
      <c r="K68" s="4">
        <v>51</v>
      </c>
      <c r="L68" s="4">
        <v>58</v>
      </c>
      <c r="M68" s="4">
        <v>7</v>
      </c>
      <c r="N68" s="4">
        <v>58</v>
      </c>
      <c r="O68" s="4">
        <v>0</v>
      </c>
      <c r="P68" s="77">
        <v>12951549.779999999</v>
      </c>
      <c r="Q68" s="77">
        <v>1107357.8899999999</v>
      </c>
      <c r="R68" s="4">
        <v>43</v>
      </c>
      <c r="S68" s="4">
        <v>7</v>
      </c>
      <c r="T68" s="4">
        <v>50</v>
      </c>
      <c r="U68" s="4">
        <v>0</v>
      </c>
      <c r="V68" s="4">
        <v>0</v>
      </c>
      <c r="W68" s="4">
        <v>0</v>
      </c>
      <c r="X68" s="4">
        <v>1</v>
      </c>
      <c r="Y68" s="4">
        <v>3</v>
      </c>
      <c r="Z68" s="4">
        <v>235</v>
      </c>
      <c r="AA68" s="4">
        <v>0</v>
      </c>
      <c r="AB68" s="4">
        <v>0</v>
      </c>
      <c r="AC68" s="4">
        <v>0</v>
      </c>
      <c r="AD68" s="4">
        <v>0</v>
      </c>
      <c r="AE68" s="4">
        <v>1180</v>
      </c>
      <c r="AF68" s="4">
        <v>1415</v>
      </c>
      <c r="AG68" s="4">
        <v>281</v>
      </c>
      <c r="AH68" s="76">
        <f t="shared" si="1"/>
        <v>50031.69989323843</v>
      </c>
      <c r="AI68" s="76">
        <f t="shared" si="2"/>
        <v>5.0355871886120998</v>
      </c>
      <c r="AJ68" s="78">
        <v>26000</v>
      </c>
      <c r="AK68" s="76">
        <f t="shared" si="34"/>
        <v>312000</v>
      </c>
      <c r="AL68" s="79">
        <v>158553</v>
      </c>
      <c r="AM68" s="80">
        <f t="shared" si="4"/>
        <v>3.3470096756101679E-2</v>
      </c>
      <c r="AN68" s="76">
        <f t="shared" si="5"/>
        <v>281178.15340000001</v>
      </c>
      <c r="AO68" s="102">
        <f t="shared" si="50"/>
        <v>0.78105042611111108</v>
      </c>
      <c r="AP68" s="82">
        <v>0</v>
      </c>
      <c r="AQ68" s="4">
        <v>289</v>
      </c>
      <c r="AR68" s="4">
        <v>2637</v>
      </c>
      <c r="AS68" s="4">
        <v>2281.7199999999998</v>
      </c>
      <c r="AT68" s="4">
        <v>7</v>
      </c>
      <c r="AU68" s="4">
        <v>39</v>
      </c>
      <c r="AV68" s="1">
        <v>50</v>
      </c>
      <c r="AW68" s="1">
        <v>8</v>
      </c>
      <c r="AX68" s="1">
        <v>0</v>
      </c>
      <c r="AY68" s="86" t="str">
        <f>IFERROR(VLOOKUP(C68,#REF!,13,0),"")</f>
        <v/>
      </c>
      <c r="AZ68" s="87"/>
      <c r="BA68" s="1" t="str">
        <f t="shared" si="6"/>
        <v>Active</v>
      </c>
      <c r="BB68" s="1" t="e">
        <f t="shared" ca="1" si="7"/>
        <v>#NAME?</v>
      </c>
      <c r="BC68" s="1" t="e">
        <f t="shared" ca="1" si="51"/>
        <v>#NAME?</v>
      </c>
      <c r="BD68" s="33">
        <f t="array" ref="BD68">MATCH($BD$2,{"Apr","May","Jun","Jul","Aug","Sep","Oct","Nov","Dec","Jan","Feb","Mar"},0)</f>
        <v>12</v>
      </c>
      <c r="BE68" s="88" t="str">
        <v/>
      </c>
      <c r="BF68" s="1">
        <f t="shared" si="9"/>
        <v>0</v>
      </c>
      <c r="BG68" s="1" t="s">
        <v>428</v>
      </c>
      <c r="BH68" s="89">
        <f ca="1">IFERROR(__xludf.DUMMYFUNCTION("""COMPUTED_VALUE"""),10441561)</f>
        <v>10441561</v>
      </c>
      <c r="BI68" s="89">
        <f ca="1">IFERROR(__xludf.DUMMYFUNCTION("""COMPUTED_VALUE"""),9914008.1)</f>
        <v>9914008.0999999996</v>
      </c>
      <c r="BJ68" s="90"/>
      <c r="BK68" s="91"/>
      <c r="BL68" s="91">
        <f t="shared" si="47"/>
        <v>0</v>
      </c>
      <c r="BM68" s="91">
        <f t="shared" si="11"/>
        <v>18000000</v>
      </c>
      <c r="BN68" s="91"/>
      <c r="BO68" s="92">
        <f ca="1">IFERROR(__xludf.DUMMYFUNCTION("IFERROR(ArrayFormula(SUM(VLOOKUP($C68,importrange(""1MwNMVzWE3QBVOyJjKr3eFX-Sq1Ng0Q1sghWJbgbE_8g"",""ORDER BOOKING REPORT 2024-25!C:CV""),{16,23,30},0))))"),1784850.5)</f>
        <v>1784850.5</v>
      </c>
      <c r="BP68" s="92">
        <f ca="1">IFERROR(__xludf.DUMMYFUNCTION("IFERROR(ArrayFormula(SUM(VLOOKUP($C68,importrange(""1MwNMVzWE3QBVOyJjKr3eFX-Sq1Ng0Q1sghWJbgbE_8g"",""ORDER BOOKING REPORT 2024-25!C:CV""),{37,44,51},0))))"),2521056.19999999)</f>
        <v>2521056.1999999899</v>
      </c>
      <c r="BQ68" s="92">
        <f ca="1">IFERROR(__xludf.DUMMYFUNCTION("IFERROR(ArrayFormula(SUM(VLOOKUP($C68,importrange(""1MwNMVzWE3QBVOyJjKr3eFX-Sq1Ng0Q1sghWJbgbE_8g"",""ORDER BOOKING REPORT 2024-25!C:CV""),{58,65,72},0))))"),2678253)</f>
        <v>2678253</v>
      </c>
      <c r="BR68" s="92">
        <f ca="1">IFERROR(__xludf.DUMMYFUNCTION("IFERROR(ArrayFormula(SUM(VLOOKUP($C68,importrange(""1MwNMVzWE3QBVOyJjKr3eFX-Sq1Ng0Q1sghWJbgbE_8g"",""ORDER BOOKING REPORT 2024-25!C:CV""),{79,86,93},0))))"),2929848.39999999)</f>
        <v>2929848.3999999901</v>
      </c>
      <c r="BS68" s="93" t="str">
        <f t="shared" si="12"/>
        <v/>
      </c>
      <c r="BT68" s="93" t="str">
        <f t="shared" si="13"/>
        <v/>
      </c>
      <c r="BU68" s="37">
        <f t="shared" si="14"/>
        <v>0</v>
      </c>
      <c r="BV68" s="94">
        <v>26000</v>
      </c>
      <c r="BW68" s="94" t="s">
        <v>476</v>
      </c>
      <c r="BX68" s="94">
        <v>908</v>
      </c>
      <c r="BY68" s="37">
        <f t="shared" si="15"/>
        <v>0</v>
      </c>
      <c r="BZ68" s="37"/>
      <c r="CA68" s="37"/>
      <c r="CB68" s="37"/>
      <c r="CC68" s="37"/>
      <c r="CD68" s="37"/>
      <c r="CE68" s="37"/>
      <c r="CF68" s="37"/>
      <c r="CG68" s="37" t="str">
        <f t="shared" si="18"/>
        <v>Below 60</v>
      </c>
      <c r="CH68" s="37" t="str">
        <f t="shared" si="26"/>
        <v>Business Achieved 50%</v>
      </c>
      <c r="CI68" s="93">
        <f t="shared" si="19"/>
        <v>0.86206896551724133</v>
      </c>
      <c r="CJ68" s="95">
        <f ca="1">IFERROR(__xludf.DUMMYFUNCTION("""COMPUTED_VALUE"""),1074)</f>
        <v>1074</v>
      </c>
      <c r="CK68" s="95">
        <f ca="1">IFERROR(__xludf.DUMMYFUNCTION("""COMPUTED_VALUE"""),106)</f>
        <v>106</v>
      </c>
      <c r="CL68" s="95">
        <f ca="1">IFERROR(__xludf.DUMMYFUNCTION("""COMPUTED_VALUE"""),0)</f>
        <v>0</v>
      </c>
      <c r="CM68" s="96">
        <f t="shared" ca="1" si="20"/>
        <v>0</v>
      </c>
      <c r="CN68" s="103"/>
      <c r="CO68" s="4"/>
      <c r="CP68" s="100"/>
      <c r="CQ68" s="101"/>
      <c r="CR68" s="4"/>
      <c r="CS68" s="4"/>
      <c r="CT68" s="4"/>
      <c r="CU68" s="4"/>
      <c r="CV68" s="4"/>
      <c r="CW68" s="101"/>
      <c r="CX68" s="51"/>
      <c r="CY68" s="4"/>
      <c r="CZ68" s="4"/>
    </row>
    <row r="69" spans="1:104" ht="15.6">
      <c r="A69" s="1" t="s">
        <v>118</v>
      </c>
      <c r="B69" s="1" t="s">
        <v>436</v>
      </c>
      <c r="C69" s="1" t="s">
        <v>178</v>
      </c>
      <c r="D69" s="1" t="s">
        <v>499</v>
      </c>
      <c r="E69" s="1" t="s">
        <v>437</v>
      </c>
      <c r="F69" s="108">
        <v>45054</v>
      </c>
      <c r="G69" s="76">
        <v>0</v>
      </c>
      <c r="H69" s="76">
        <v>0</v>
      </c>
      <c r="I69" s="77">
        <v>490239.23</v>
      </c>
      <c r="J69" s="77">
        <v>0</v>
      </c>
      <c r="K69" s="4">
        <v>86</v>
      </c>
      <c r="L69" s="4">
        <v>71</v>
      </c>
      <c r="M69" s="4">
        <v>3</v>
      </c>
      <c r="N69" s="4">
        <v>89</v>
      </c>
      <c r="O69" s="4">
        <v>18</v>
      </c>
      <c r="P69" s="77">
        <v>466978.31</v>
      </c>
      <c r="Q69" s="77">
        <v>23260.92</v>
      </c>
      <c r="R69" s="4">
        <v>22</v>
      </c>
      <c r="S69" s="4">
        <v>3</v>
      </c>
      <c r="T69" s="4">
        <v>25</v>
      </c>
      <c r="U69" s="4">
        <v>0</v>
      </c>
      <c r="V69" s="4">
        <v>1</v>
      </c>
      <c r="W69" s="4">
        <v>1</v>
      </c>
      <c r="X69" s="4">
        <v>9</v>
      </c>
      <c r="Y69" s="4">
        <v>1</v>
      </c>
      <c r="Z69" s="4">
        <v>2</v>
      </c>
      <c r="AA69" s="4">
        <v>0</v>
      </c>
      <c r="AB69" s="4">
        <v>0</v>
      </c>
      <c r="AC69" s="4">
        <v>0</v>
      </c>
      <c r="AD69" s="4">
        <v>0</v>
      </c>
      <c r="AE69" s="4">
        <v>241</v>
      </c>
      <c r="AF69" s="4">
        <v>244</v>
      </c>
      <c r="AG69" s="4">
        <v>43</v>
      </c>
      <c r="AH69" s="76">
        <f t="shared" si="1"/>
        <v>11400.912325581396</v>
      </c>
      <c r="AI69" s="76">
        <f t="shared" si="2"/>
        <v>5.6744186046511631</v>
      </c>
      <c r="AJ69" s="78">
        <v>22300</v>
      </c>
      <c r="AK69" s="76">
        <f t="shared" si="34"/>
        <v>39471</v>
      </c>
      <c r="AL69" s="49">
        <v>31945</v>
      </c>
      <c r="AM69" s="80">
        <f t="shared" si="4"/>
        <v>0.14567581627443402</v>
      </c>
      <c r="AN69" s="76">
        <f t="shared" si="5"/>
        <v>19609.569199999998</v>
      </c>
      <c r="AO69" s="49" t="s">
        <v>161</v>
      </c>
      <c r="AP69" s="82">
        <v>0</v>
      </c>
      <c r="AQ69" s="4">
        <v>31</v>
      </c>
      <c r="AR69" s="4">
        <v>431</v>
      </c>
      <c r="AS69" s="4">
        <v>0</v>
      </c>
      <c r="AT69" s="4">
        <v>3</v>
      </c>
      <c r="AU69" s="4">
        <v>0</v>
      </c>
      <c r="AV69" s="1">
        <v>25</v>
      </c>
      <c r="AW69" s="1">
        <v>48</v>
      </c>
      <c r="AX69" s="1">
        <v>16</v>
      </c>
      <c r="AY69" s="86" t="str">
        <f>IFERROR(VLOOKUP(C69,#REF!,13,0),"")</f>
        <v/>
      </c>
      <c r="AZ69" s="111">
        <v>45801</v>
      </c>
      <c r="BA69" s="1" t="str">
        <f t="shared" si="6"/>
        <v>LEFT</v>
      </c>
      <c r="BB69" s="1" t="e">
        <f t="shared" ca="1" si="7"/>
        <v>#NAME?</v>
      </c>
      <c r="BC69" s="4" t="s">
        <v>161</v>
      </c>
      <c r="BD69" s="33">
        <v>1.77</v>
      </c>
      <c r="BE69" s="88" t="str">
        <v/>
      </c>
      <c r="BF69" s="1">
        <f t="shared" si="9"/>
        <v>0</v>
      </c>
      <c r="BG69" s="1" t="s">
        <v>428</v>
      </c>
      <c r="BH69" s="89">
        <f ca="1">IFERROR(__xludf.DUMMYFUNCTION("""COMPUTED_VALUE"""),5601796)</f>
        <v>5601796</v>
      </c>
      <c r="BI69" s="89">
        <f ca="1">IFERROR(__xludf.DUMMYFUNCTION("""COMPUTED_VALUE"""),5372901.65999999)</f>
        <v>5372901.6599999899</v>
      </c>
      <c r="BJ69" s="109">
        <f>24/31</f>
        <v>0.77419354838709675</v>
      </c>
      <c r="BK69" s="113"/>
      <c r="BL69" s="91">
        <f t="shared" si="47"/>
        <v>0</v>
      </c>
      <c r="BM69" s="91">
        <f t="shared" si="11"/>
        <v>0</v>
      </c>
      <c r="BN69" s="91"/>
      <c r="BO69" s="92">
        <f ca="1">IFERROR(__xludf.DUMMYFUNCTION("IFERROR(ArrayFormula(SUM(VLOOKUP($C69,importrange(""1MwNMVzWE3QBVOyJjKr3eFX-Sq1Ng0Q1sghWJbgbE_8g"",""ORDER BOOKING REPORT 2024-25!C:CV""),{16,23,30},0))))"),1074704.64)</f>
        <v>1074704.6399999999</v>
      </c>
      <c r="BP69" s="92">
        <f ca="1">IFERROR(__xludf.DUMMYFUNCTION("IFERROR(ArrayFormula(SUM(VLOOKUP($C69,importrange(""1MwNMVzWE3QBVOyJjKr3eFX-Sq1Ng0Q1sghWJbgbE_8g"",""ORDER BOOKING REPORT 2024-25!C:CV""),{37,44,51},0))))"),1570563.18)</f>
        <v>1570563.18</v>
      </c>
      <c r="BQ69" s="92">
        <f ca="1">IFERROR(__xludf.DUMMYFUNCTION("IFERROR(ArrayFormula(SUM(VLOOKUP($C69,importrange(""1MwNMVzWE3QBVOyJjKr3eFX-Sq1Ng0Q1sghWJbgbE_8g"",""ORDER BOOKING REPORT 2024-25!C:CV""),{58,65,72},0))))"),1215506.08)</f>
        <v>1215506.08</v>
      </c>
      <c r="BR69" s="92">
        <f ca="1">IFERROR(__xludf.DUMMYFUNCTION("IFERROR(ArrayFormula(SUM(VLOOKUP($C69,importrange(""1MwNMVzWE3QBVOyJjKr3eFX-Sq1Ng0Q1sghWJbgbE_8g"",""ORDER BOOKING REPORT 2024-25!C:CV""),{79,86,93},0))))"),1512127.75999999)</f>
        <v>1512127.75999999</v>
      </c>
      <c r="BS69" s="93" t="str">
        <f t="shared" si="12"/>
        <v/>
      </c>
      <c r="BT69" s="93" t="str">
        <f t="shared" si="13"/>
        <v/>
      </c>
      <c r="BU69" s="37">
        <f t="shared" si="14"/>
        <v>0</v>
      </c>
      <c r="BV69" s="94"/>
      <c r="BW69" s="94"/>
      <c r="BX69" s="94"/>
      <c r="BY69" s="37">
        <f t="shared" si="15"/>
        <v>-22300</v>
      </c>
      <c r="BZ69" s="37"/>
      <c r="CA69" s="37"/>
      <c r="CB69" s="37"/>
      <c r="CC69" s="37"/>
      <c r="CD69" s="37"/>
      <c r="CE69" s="37"/>
      <c r="CF69" s="37"/>
      <c r="CG69" s="37" t="str">
        <f t="shared" si="18"/>
        <v xml:space="preserve"> </v>
      </c>
      <c r="CH69" s="37" t="str">
        <f t="shared" si="26"/>
        <v>Not 50%</v>
      </c>
      <c r="CI69" s="93">
        <f t="shared" si="19"/>
        <v>0.2808988764044944</v>
      </c>
      <c r="CJ69" s="105">
        <f ca="1">IFERROR(__xludf.DUMMYFUNCTION("""COMPUTED_VALUE"""),91)</f>
        <v>91</v>
      </c>
      <c r="CK69" s="105">
        <f ca="1">IFERROR(__xludf.DUMMYFUNCTION("""COMPUTED_VALUE"""),150)</f>
        <v>150</v>
      </c>
      <c r="CL69" s="105">
        <f ca="1">IFERROR(__xludf.DUMMYFUNCTION("""COMPUTED_VALUE"""),0)</f>
        <v>0</v>
      </c>
      <c r="CM69" s="96">
        <f t="shared" ca="1" si="20"/>
        <v>0</v>
      </c>
      <c r="CN69" s="106"/>
      <c r="CO69" s="93"/>
      <c r="CP69" s="107"/>
      <c r="CQ69" s="110"/>
      <c r="CR69" s="93"/>
      <c r="CS69" s="93"/>
      <c r="CT69" s="93"/>
      <c r="CU69" s="93"/>
      <c r="CV69" s="93"/>
      <c r="CW69" s="93"/>
      <c r="CX69" s="51"/>
      <c r="CY69" s="93"/>
      <c r="CZ69" s="93"/>
    </row>
    <row r="70" spans="1:104" ht="15.6">
      <c r="A70" s="1" t="s">
        <v>118</v>
      </c>
      <c r="B70" s="1" t="s">
        <v>362</v>
      </c>
      <c r="C70" s="1" t="s">
        <v>186</v>
      </c>
      <c r="D70" s="1" t="s">
        <v>419</v>
      </c>
      <c r="E70" s="1" t="s">
        <v>538</v>
      </c>
      <c r="F70" s="115">
        <v>45056</v>
      </c>
      <c r="G70" s="76">
        <v>0</v>
      </c>
      <c r="H70" s="76">
        <v>18000000</v>
      </c>
      <c r="I70" s="77">
        <v>17661120.91</v>
      </c>
      <c r="J70" s="77">
        <v>0</v>
      </c>
      <c r="K70" s="4">
        <v>60</v>
      </c>
      <c r="L70" s="4">
        <v>71</v>
      </c>
      <c r="M70" s="4">
        <v>16</v>
      </c>
      <c r="N70" s="4">
        <v>76</v>
      </c>
      <c r="O70" s="4">
        <v>5</v>
      </c>
      <c r="P70" s="77">
        <v>11166305.76</v>
      </c>
      <c r="Q70" s="77">
        <v>6494815.1500000004</v>
      </c>
      <c r="R70" s="4">
        <v>26</v>
      </c>
      <c r="S70" s="4">
        <v>12</v>
      </c>
      <c r="T70" s="4">
        <v>38</v>
      </c>
      <c r="U70" s="4">
        <v>0</v>
      </c>
      <c r="V70" s="4">
        <v>161</v>
      </c>
      <c r="W70" s="4">
        <v>436</v>
      </c>
      <c r="X70" s="4">
        <v>151</v>
      </c>
      <c r="Y70" s="4">
        <v>2</v>
      </c>
      <c r="Z70" s="4">
        <v>5</v>
      </c>
      <c r="AA70" s="4">
        <v>0</v>
      </c>
      <c r="AB70" s="4">
        <v>0</v>
      </c>
      <c r="AC70" s="4">
        <v>0</v>
      </c>
      <c r="AD70" s="4">
        <v>0</v>
      </c>
      <c r="AE70" s="4">
        <v>1253</v>
      </c>
      <c r="AF70" s="4">
        <v>1694</v>
      </c>
      <c r="AG70" s="4">
        <v>275</v>
      </c>
      <c r="AH70" s="76">
        <f t="shared" si="1"/>
        <v>64222.257854545453</v>
      </c>
      <c r="AI70" s="76">
        <f t="shared" si="2"/>
        <v>6.16</v>
      </c>
      <c r="AJ70" s="78">
        <v>24850</v>
      </c>
      <c r="AK70" s="76">
        <f t="shared" si="34"/>
        <v>298200</v>
      </c>
      <c r="AL70" s="79">
        <v>157584</v>
      </c>
      <c r="AM70" s="80">
        <f t="shared" si="4"/>
        <v>2.5807195495837869E-2</v>
      </c>
      <c r="AN70" s="76">
        <f t="shared" si="5"/>
        <v>464766.33973684208</v>
      </c>
      <c r="AO70" s="102">
        <f t="shared" ref="AO70:AO76" si="53">IFERROR(SUM(I70:J70)/SUM(G70:H70),"")</f>
        <v>0.98117338388888886</v>
      </c>
      <c r="AP70" s="82">
        <v>0</v>
      </c>
      <c r="AQ70" s="4">
        <v>129</v>
      </c>
      <c r="AR70" s="4">
        <v>2941</v>
      </c>
      <c r="AS70" s="4">
        <v>2346.77</v>
      </c>
      <c r="AT70" s="4">
        <v>12</v>
      </c>
      <c r="AU70" s="4">
        <v>33</v>
      </c>
      <c r="AV70" s="1">
        <v>38</v>
      </c>
      <c r="AW70" s="1">
        <v>33</v>
      </c>
      <c r="AX70" s="1">
        <v>5</v>
      </c>
      <c r="AY70" s="86" t="str">
        <f>IFERROR(VLOOKUP(C70,#REF!,13,0),"")</f>
        <v/>
      </c>
      <c r="AZ70" s="87"/>
      <c r="BA70" s="1" t="str">
        <f t="shared" si="6"/>
        <v>Active</v>
      </c>
      <c r="BB70" s="1" t="e">
        <f t="shared" ca="1" si="7"/>
        <v>#NAME?</v>
      </c>
      <c r="BC70" s="1" t="e">
        <f t="shared" ref="BC70:BC76" ca="1" si="54">_xludf.ifs(AO70&lt;50%,"Below 50%",AO70&lt;70%,"50%-70%",AO70&lt;90%,"70%-90%",AO70&lt;100%,"90%-100%",AO70&gt;100%,"Above 100%")</f>
        <v>#NAME?</v>
      </c>
      <c r="BD70" s="33">
        <f t="array" ref="BD70">MATCH($BD$2,{"Apr","May","Jun","Jul","Aug","Sep","Oct","Nov","Dec","Jan","Feb","Mar"},0)</f>
        <v>12</v>
      </c>
      <c r="BE70" s="88" t="str">
        <v/>
      </c>
      <c r="BF70" s="1">
        <f t="shared" si="9"/>
        <v>4</v>
      </c>
      <c r="BG70" s="1" t="s">
        <v>428</v>
      </c>
      <c r="BH70" s="89">
        <f ca="1">IFERROR(__xludf.DUMMYFUNCTION("""COMPUTED_VALUE"""),10208613)</f>
        <v>10208613</v>
      </c>
      <c r="BI70" s="89">
        <f ca="1">IFERROR(__xludf.DUMMYFUNCTION("""COMPUTED_VALUE"""),11609923.7)</f>
        <v>11609923.699999999</v>
      </c>
      <c r="BJ70" s="90"/>
      <c r="BK70" s="91"/>
      <c r="BL70" s="91">
        <f t="shared" si="47"/>
        <v>0</v>
      </c>
      <c r="BM70" s="91">
        <f t="shared" si="11"/>
        <v>18000000</v>
      </c>
      <c r="BN70" s="91"/>
      <c r="BO70" s="92">
        <f ca="1">IFERROR(__xludf.DUMMYFUNCTION("IFERROR(ArrayFormula(SUM(VLOOKUP($C70,importrange(""1MwNMVzWE3QBVOyJjKr3eFX-Sq1Ng0Q1sghWJbgbE_8g"",""ORDER BOOKING REPORT 2024-25!C:CV""),{16,23,30},0))))"),2007170.5)</f>
        <v>2007170.5</v>
      </c>
      <c r="BP70" s="92">
        <f ca="1">IFERROR(__xludf.DUMMYFUNCTION("IFERROR(ArrayFormula(SUM(VLOOKUP($C70,importrange(""1MwNMVzWE3QBVOyJjKr3eFX-Sq1Ng0Q1sghWJbgbE_8g"",""ORDER BOOKING REPORT 2024-25!C:CV""),{37,44,51},0))))"),3065803.2)</f>
        <v>3065803.2</v>
      </c>
      <c r="BQ70" s="92">
        <f ca="1">IFERROR(__xludf.DUMMYFUNCTION("IFERROR(ArrayFormula(SUM(VLOOKUP($C70,importrange(""1MwNMVzWE3QBVOyJjKr3eFX-Sq1Ng0Q1sghWJbgbE_8g"",""ORDER BOOKING REPORT 2024-25!C:CV""),{58,65,72},0))))"),3198365.4)</f>
        <v>3198365.4</v>
      </c>
      <c r="BR70" s="92">
        <f ca="1">IFERROR(__xludf.DUMMYFUNCTION("IFERROR(ArrayFormula(SUM(VLOOKUP($C70,importrange(""1MwNMVzWE3QBVOyJjKr3eFX-Sq1Ng0Q1sghWJbgbE_8g"",""ORDER BOOKING REPORT 2024-25!C:CV""),{79,86,93},0))))"),3338584.6)</f>
        <v>3338584.6</v>
      </c>
      <c r="BS70" s="93" t="str">
        <f t="shared" si="12"/>
        <v/>
      </c>
      <c r="BT70" s="93" t="str">
        <f t="shared" si="13"/>
        <v/>
      </c>
      <c r="BU70" s="37">
        <f t="shared" si="14"/>
        <v>0</v>
      </c>
      <c r="BV70" s="94">
        <v>24850</v>
      </c>
      <c r="BW70" s="94" t="s">
        <v>476</v>
      </c>
      <c r="BX70" s="94">
        <v>907</v>
      </c>
      <c r="BY70" s="37">
        <f t="shared" si="15"/>
        <v>0</v>
      </c>
      <c r="BZ70" s="37"/>
      <c r="CA70" s="37"/>
      <c r="CB70" s="37"/>
      <c r="CC70" s="37"/>
      <c r="CD70" s="37"/>
      <c r="CE70" s="37"/>
      <c r="CF70" s="37"/>
      <c r="CG70" s="37" t="str">
        <f t="shared" si="18"/>
        <v xml:space="preserve"> </v>
      </c>
      <c r="CH70" s="37" t="str">
        <f t="shared" si="26"/>
        <v>Business Achieved 50%</v>
      </c>
      <c r="CI70" s="93">
        <f t="shared" si="19"/>
        <v>0.5</v>
      </c>
      <c r="CJ70" s="95">
        <f ca="1">IFERROR(__xludf.DUMMYFUNCTION("""COMPUTED_VALUE"""),817)</f>
        <v>817</v>
      </c>
      <c r="CK70" s="95">
        <f ca="1">IFERROR(__xludf.DUMMYFUNCTION("""COMPUTED_VALUE"""),436)</f>
        <v>436</v>
      </c>
      <c r="CL70" s="95">
        <f ca="1">IFERROR(__xludf.DUMMYFUNCTION("""COMPUTED_VALUE"""),0)</f>
        <v>0</v>
      </c>
      <c r="CM70" s="96">
        <f t="shared" ca="1" si="20"/>
        <v>0</v>
      </c>
      <c r="CN70" s="103"/>
      <c r="CO70" s="4"/>
      <c r="CP70" s="100"/>
      <c r="CQ70" s="101"/>
      <c r="CR70" s="4"/>
      <c r="CS70" s="4"/>
      <c r="CT70" s="4"/>
      <c r="CU70" s="4"/>
      <c r="CV70" s="4"/>
      <c r="CW70" s="101"/>
      <c r="CX70" s="51"/>
      <c r="CY70" s="4"/>
      <c r="CZ70" s="4"/>
    </row>
    <row r="71" spans="1:104" ht="15.6">
      <c r="A71" s="1" t="s">
        <v>118</v>
      </c>
      <c r="B71" s="1" t="s">
        <v>372</v>
      </c>
      <c r="C71" s="1" t="s">
        <v>187</v>
      </c>
      <c r="D71" s="1" t="s">
        <v>447</v>
      </c>
      <c r="E71" s="1" t="s">
        <v>514</v>
      </c>
      <c r="F71" s="115">
        <v>45058</v>
      </c>
      <c r="G71" s="76">
        <v>0</v>
      </c>
      <c r="H71" s="76">
        <v>16000000</v>
      </c>
      <c r="I71" s="77">
        <v>5399095.8499999996</v>
      </c>
      <c r="J71" s="77">
        <v>0</v>
      </c>
      <c r="K71" s="4">
        <v>111</v>
      </c>
      <c r="L71" s="4">
        <v>101</v>
      </c>
      <c r="M71" s="4">
        <v>11</v>
      </c>
      <c r="N71" s="4">
        <v>122</v>
      </c>
      <c r="O71" s="4">
        <v>21</v>
      </c>
      <c r="P71" s="77">
        <v>5146498.2300000004</v>
      </c>
      <c r="Q71" s="77">
        <v>252597.62</v>
      </c>
      <c r="R71" s="4">
        <v>46</v>
      </c>
      <c r="S71" s="4">
        <v>6</v>
      </c>
      <c r="T71" s="4">
        <v>52</v>
      </c>
      <c r="U71" s="4">
        <v>0</v>
      </c>
      <c r="V71" s="4">
        <v>93</v>
      </c>
      <c r="W71" s="4">
        <v>121</v>
      </c>
      <c r="X71" s="4">
        <v>291</v>
      </c>
      <c r="Y71" s="4">
        <v>1</v>
      </c>
      <c r="Z71" s="4">
        <v>89</v>
      </c>
      <c r="AA71" s="4">
        <v>0</v>
      </c>
      <c r="AB71" s="4">
        <v>0</v>
      </c>
      <c r="AC71" s="4">
        <v>0</v>
      </c>
      <c r="AD71" s="4">
        <v>0</v>
      </c>
      <c r="AE71" s="4">
        <v>518</v>
      </c>
      <c r="AF71" s="4">
        <v>728</v>
      </c>
      <c r="AG71" s="4">
        <v>170</v>
      </c>
      <c r="AH71" s="76">
        <f t="shared" si="1"/>
        <v>31759.387352941176</v>
      </c>
      <c r="AI71" s="76">
        <f t="shared" si="2"/>
        <v>4.2823529411764705</v>
      </c>
      <c r="AJ71" s="78">
        <v>30770</v>
      </c>
      <c r="AK71" s="76">
        <f t="shared" si="34"/>
        <v>240006</v>
      </c>
      <c r="AL71" s="79">
        <v>77127</v>
      </c>
      <c r="AM71" s="80">
        <f t="shared" si="4"/>
        <v>5.8738168169398218E-2</v>
      </c>
      <c r="AN71" s="76">
        <f t="shared" si="5"/>
        <v>103828.76634615383</v>
      </c>
      <c r="AO71" s="102">
        <f t="shared" si="53"/>
        <v>0.33744349062499995</v>
      </c>
      <c r="AP71" s="82">
        <v>0</v>
      </c>
      <c r="AQ71" s="4">
        <v>117</v>
      </c>
      <c r="AR71" s="4">
        <v>1651</v>
      </c>
      <c r="AS71" s="4">
        <v>0</v>
      </c>
      <c r="AT71" s="4">
        <v>6</v>
      </c>
      <c r="AU71" s="4">
        <v>0</v>
      </c>
      <c r="AV71" s="1">
        <v>52</v>
      </c>
      <c r="AW71" s="1">
        <v>52</v>
      </c>
      <c r="AX71" s="1">
        <v>18</v>
      </c>
      <c r="AY71" s="86" t="str">
        <f>IFERROR(VLOOKUP(C71,#REF!,13,0),"")</f>
        <v/>
      </c>
      <c r="AZ71" s="87">
        <v>45981</v>
      </c>
      <c r="BA71" s="1" t="str">
        <f t="shared" si="6"/>
        <v>LEFT</v>
      </c>
      <c r="BB71" s="1" t="e">
        <f t="shared" ca="1" si="7"/>
        <v>#NAME?</v>
      </c>
      <c r="BC71" s="1" t="e">
        <f t="shared" ca="1" si="54"/>
        <v>#NAME?</v>
      </c>
      <c r="BD71" s="33">
        <v>7.8</v>
      </c>
      <c r="BE71" s="88" t="str">
        <v/>
      </c>
      <c r="BF71" s="1">
        <f t="shared" si="9"/>
        <v>5</v>
      </c>
      <c r="BG71" s="1" t="s">
        <v>428</v>
      </c>
      <c r="BH71" s="89">
        <f ca="1">IFERROR(__xludf.DUMMYFUNCTION("""COMPUTED_VALUE"""),3487336)</f>
        <v>3487336</v>
      </c>
      <c r="BI71" s="89">
        <f ca="1">IFERROR(__xludf.DUMMYFUNCTION("""COMPUTED_VALUE"""),7164894.52)</f>
        <v>7164894.5199999996</v>
      </c>
      <c r="BJ71" s="90"/>
      <c r="BK71" s="91"/>
      <c r="BL71" s="91">
        <f t="shared" si="47"/>
        <v>0</v>
      </c>
      <c r="BM71" s="91">
        <f t="shared" si="11"/>
        <v>16000000</v>
      </c>
      <c r="BN71" s="91"/>
      <c r="BO71" s="92">
        <f ca="1">IFERROR(__xludf.DUMMYFUNCTION("IFERROR(ArrayFormula(SUM(VLOOKUP($C71,importrange(""1MwNMVzWE3QBVOyJjKr3eFX-Sq1Ng0Q1sghWJbgbE_8g"",""ORDER BOOKING REPORT 2024-25!C:CV""),{16,23,30},0))))"),1282278.75999999)</f>
        <v>1282278.75999999</v>
      </c>
      <c r="BP71" s="92">
        <f ca="1">IFERROR(__xludf.DUMMYFUNCTION("IFERROR(ArrayFormula(SUM(VLOOKUP($C71,importrange(""1MwNMVzWE3QBVOyJjKr3eFX-Sq1Ng0Q1sghWJbgbE_8g"",""ORDER BOOKING REPORT 2024-25!C:CV""),{37,44,51},0))))"),1541439.5)</f>
        <v>1541439.5</v>
      </c>
      <c r="BQ71" s="92">
        <f ca="1">IFERROR(__xludf.DUMMYFUNCTION("IFERROR(ArrayFormula(SUM(VLOOKUP($C71,importrange(""1MwNMVzWE3QBVOyJjKr3eFX-Sq1Ng0Q1sghWJbgbE_8g"",""ORDER BOOKING REPORT 2024-25!C:CV""),{58,65,72},0))))"),1365811.17)</f>
        <v>1365811.17</v>
      </c>
      <c r="BR71" s="92">
        <f ca="1">IFERROR(__xludf.DUMMYFUNCTION("IFERROR(ArrayFormula(SUM(VLOOKUP($C71,importrange(""1MwNMVzWE3QBVOyJjKr3eFX-Sq1Ng0Q1sghWJbgbE_8g"",""ORDER BOOKING REPORT 2024-25!C:CV""),{79,86,93},0))))"),2975365.09)</f>
        <v>2975365.09</v>
      </c>
      <c r="BS71" s="93" t="str">
        <f t="shared" si="12"/>
        <v/>
      </c>
      <c r="BT71" s="93" t="str">
        <f t="shared" si="13"/>
        <v/>
      </c>
      <c r="BU71" s="37">
        <f t="shared" si="14"/>
        <v>0</v>
      </c>
      <c r="BV71" s="94">
        <v>30770</v>
      </c>
      <c r="BW71" s="94" t="s">
        <v>445</v>
      </c>
      <c r="BX71" s="94">
        <v>916</v>
      </c>
      <c r="BY71" s="37">
        <f t="shared" si="15"/>
        <v>0</v>
      </c>
      <c r="BZ71" s="37"/>
      <c r="CA71" s="37"/>
      <c r="CB71" s="37"/>
      <c r="CC71" s="37"/>
      <c r="CD71" s="37"/>
      <c r="CE71" s="37"/>
      <c r="CF71" s="37"/>
      <c r="CG71" s="37" t="str">
        <f t="shared" si="18"/>
        <v xml:space="preserve"> </v>
      </c>
      <c r="CH71" s="37" t="str">
        <f t="shared" si="26"/>
        <v>Not 50%</v>
      </c>
      <c r="CI71" s="93">
        <f t="shared" si="19"/>
        <v>0.42622950819672129</v>
      </c>
      <c r="CJ71" s="95">
        <f ca="1">IFERROR(__xludf.DUMMYFUNCTION("""COMPUTED_VALUE"""),294)</f>
        <v>294</v>
      </c>
      <c r="CK71" s="95">
        <f ca="1">IFERROR(__xludf.DUMMYFUNCTION("""COMPUTED_VALUE"""),224)</f>
        <v>224</v>
      </c>
      <c r="CL71" s="95">
        <f ca="1">IFERROR(__xludf.DUMMYFUNCTION("""COMPUTED_VALUE"""),0)</f>
        <v>0</v>
      </c>
      <c r="CM71" s="96">
        <f t="shared" ca="1" si="20"/>
        <v>0</v>
      </c>
      <c r="CN71" s="103"/>
      <c r="CO71" s="4"/>
      <c r="CP71" s="100"/>
      <c r="CQ71" s="101"/>
      <c r="CR71" s="4"/>
      <c r="CS71" s="4"/>
      <c r="CT71" s="4"/>
      <c r="CU71" s="4"/>
      <c r="CV71" s="4"/>
      <c r="CW71" s="101"/>
      <c r="CX71" s="51"/>
      <c r="CY71" s="4"/>
      <c r="CZ71" s="4"/>
    </row>
    <row r="72" spans="1:104" ht="15.6">
      <c r="A72" s="114" t="s">
        <v>154</v>
      </c>
      <c r="B72" s="114" t="s">
        <v>370</v>
      </c>
      <c r="C72" s="114" t="s">
        <v>188</v>
      </c>
      <c r="D72" s="1" t="s">
        <v>542</v>
      </c>
      <c r="E72" s="1" t="s">
        <v>369</v>
      </c>
      <c r="F72" s="115">
        <v>45061</v>
      </c>
      <c r="G72" s="76">
        <v>0</v>
      </c>
      <c r="H72" s="76">
        <v>17800000</v>
      </c>
      <c r="I72" s="77">
        <v>12354768.67</v>
      </c>
      <c r="J72" s="77">
        <v>0</v>
      </c>
      <c r="K72" s="4">
        <v>116</v>
      </c>
      <c r="L72" s="4">
        <v>113</v>
      </c>
      <c r="M72" s="4">
        <v>15</v>
      </c>
      <c r="N72" s="4">
        <v>131</v>
      </c>
      <c r="O72" s="4">
        <v>18</v>
      </c>
      <c r="P72" s="77">
        <v>10568027.16</v>
      </c>
      <c r="Q72" s="77">
        <v>1786741.51</v>
      </c>
      <c r="R72" s="4">
        <v>50</v>
      </c>
      <c r="S72" s="4">
        <v>15</v>
      </c>
      <c r="T72" s="4">
        <v>65</v>
      </c>
      <c r="U72" s="4">
        <v>0</v>
      </c>
      <c r="V72" s="4">
        <v>158</v>
      </c>
      <c r="W72" s="4">
        <v>276</v>
      </c>
      <c r="X72" s="4">
        <v>352</v>
      </c>
      <c r="Y72" s="4">
        <v>5</v>
      </c>
      <c r="Z72" s="4">
        <v>77</v>
      </c>
      <c r="AA72" s="4">
        <v>0</v>
      </c>
      <c r="AB72" s="4">
        <v>0</v>
      </c>
      <c r="AC72" s="4">
        <v>4</v>
      </c>
      <c r="AD72" s="4">
        <v>18</v>
      </c>
      <c r="AE72" s="4">
        <v>1496</v>
      </c>
      <c r="AF72" s="4">
        <v>1867</v>
      </c>
      <c r="AG72" s="4">
        <v>275</v>
      </c>
      <c r="AH72" s="76">
        <f t="shared" si="1"/>
        <v>44926.431527272725</v>
      </c>
      <c r="AI72" s="76">
        <f t="shared" si="2"/>
        <v>6.7890909090909091</v>
      </c>
      <c r="AJ72" s="78">
        <f t="shared" ref="AJ72:AJ73" si="55">BV72</f>
        <v>40590</v>
      </c>
      <c r="AK72" s="76">
        <f t="shared" si="34"/>
        <v>487080</v>
      </c>
      <c r="AL72" s="49">
        <v>230144</v>
      </c>
      <c r="AM72" s="80">
        <f t="shared" si="4"/>
        <v>5.8052402206572436E-2</v>
      </c>
      <c r="AN72" s="76">
        <f t="shared" si="5"/>
        <v>190073.36415384617</v>
      </c>
      <c r="AO72" s="102">
        <f t="shared" si="53"/>
        <v>0.6940881275280899</v>
      </c>
      <c r="AP72" s="82">
        <v>0</v>
      </c>
      <c r="AQ72" s="4">
        <v>254</v>
      </c>
      <c r="AR72" s="4">
        <v>2926</v>
      </c>
      <c r="AS72" s="4">
        <v>2976.67</v>
      </c>
      <c r="AT72" s="4">
        <v>15</v>
      </c>
      <c r="AU72" s="4">
        <v>26</v>
      </c>
      <c r="AV72" s="1">
        <v>65</v>
      </c>
      <c r="AW72" s="1">
        <v>48</v>
      </c>
      <c r="AX72" s="1">
        <v>18</v>
      </c>
      <c r="AY72" s="86" t="str">
        <f>IFERROR(VLOOKUP(C72,#REF!,13,0),"")</f>
        <v/>
      </c>
      <c r="AZ72" s="87"/>
      <c r="BA72" s="1" t="str">
        <f t="shared" si="6"/>
        <v>Active</v>
      </c>
      <c r="BB72" s="1" t="e">
        <f t="shared" ca="1" si="7"/>
        <v>#NAME?</v>
      </c>
      <c r="BC72" s="1" t="e">
        <f t="shared" ca="1" si="54"/>
        <v>#NAME?</v>
      </c>
      <c r="BD72" s="33">
        <f t="shared" ref="BD72:BD75" si="56">MATCH($BD$2,{"Apr","May","Jun","Jul","Aug","Sep","Oct","Nov","Dec","Jan","Feb","Mar"},0)</f>
        <v>12</v>
      </c>
      <c r="BE72" s="91" t="str">
        <v/>
      </c>
      <c r="BF72" s="1">
        <f t="shared" si="9"/>
        <v>0</v>
      </c>
      <c r="BG72" s="1" t="s">
        <v>428</v>
      </c>
      <c r="BH72" s="89">
        <f ca="1">IFERROR(__xludf.DUMMYFUNCTION("""COMPUTED_VALUE"""),10859936)</f>
        <v>10859936</v>
      </c>
      <c r="BI72" s="89">
        <f ca="1">IFERROR(__xludf.DUMMYFUNCTION("""COMPUTED_VALUE"""),6861600.18)</f>
        <v>6861600.1799999997</v>
      </c>
      <c r="BJ72" s="90"/>
      <c r="BK72" s="91"/>
      <c r="BL72" s="91">
        <f t="shared" si="47"/>
        <v>0</v>
      </c>
      <c r="BM72" s="91">
        <f t="shared" si="11"/>
        <v>17800000</v>
      </c>
      <c r="BN72" s="91"/>
      <c r="BO72" s="92">
        <f ca="1">IFERROR(__xludf.DUMMYFUNCTION("IFERROR(ArrayFormula(SUM(VLOOKUP($C72,importrange(""1MwNMVzWE3QBVOyJjKr3eFX-Sq1Ng0Q1sghWJbgbE_8g"",""ORDER BOOKING REPORT 2024-25!C:CV""),{16,23,30},0))))"),2190126)</f>
        <v>2190126</v>
      </c>
      <c r="BP72" s="92">
        <f ca="1">IFERROR(__xludf.DUMMYFUNCTION("IFERROR(ArrayFormula(SUM(VLOOKUP($C72,importrange(""1MwNMVzWE3QBVOyJjKr3eFX-Sq1Ng0Q1sghWJbgbE_8g"",""ORDER BOOKING REPORT 2024-25!C:CV""),{37,44,51},0))))"),1860122.2)</f>
        <v>1860122.2</v>
      </c>
      <c r="BQ72" s="92">
        <f ca="1">IFERROR(__xludf.DUMMYFUNCTION("IFERROR(ArrayFormula(SUM(VLOOKUP($C72,importrange(""1MwNMVzWE3QBVOyJjKr3eFX-Sq1Ng0Q1sghWJbgbE_8g"",""ORDER BOOKING REPORT 2024-25!C:CV""),{58,65,72},0))))"),487382.2)</f>
        <v>487382.2</v>
      </c>
      <c r="BR72" s="92">
        <f ca="1">IFERROR(__xludf.DUMMYFUNCTION("IFERROR(ArrayFormula(SUM(VLOOKUP($C72,importrange(""1MwNMVzWE3QBVOyJjKr3eFX-Sq1Ng0Q1sghWJbgbE_8g"",""ORDER BOOKING REPORT 2024-25!C:CV""),{79,86,93},0))))"),2323969.78)</f>
        <v>2323969.7799999998</v>
      </c>
      <c r="BS72" s="93" t="str">
        <f t="shared" si="12"/>
        <v/>
      </c>
      <c r="BT72" s="93" t="str">
        <f t="shared" si="13"/>
        <v/>
      </c>
      <c r="BU72" s="37">
        <f t="shared" si="14"/>
        <v>0</v>
      </c>
      <c r="BV72" s="94">
        <v>40590</v>
      </c>
      <c r="BW72" s="94" t="s">
        <v>445</v>
      </c>
      <c r="BX72" s="94">
        <v>918</v>
      </c>
      <c r="BY72" s="37">
        <f t="shared" si="15"/>
        <v>0</v>
      </c>
      <c r="BZ72" s="37"/>
      <c r="CA72" s="37"/>
      <c r="CB72" s="37"/>
      <c r="CC72" s="37"/>
      <c r="CD72" s="37"/>
      <c r="CE72" s="37"/>
      <c r="CF72" s="37"/>
      <c r="CG72" s="37" t="str">
        <f t="shared" si="18"/>
        <v xml:space="preserve"> </v>
      </c>
      <c r="CH72" s="37" t="str">
        <f t="shared" si="26"/>
        <v>Not 50%</v>
      </c>
      <c r="CI72" s="93">
        <f t="shared" si="19"/>
        <v>0.49618320610687022</v>
      </c>
      <c r="CJ72" s="105">
        <f ca="1">IFERROR(__xludf.DUMMYFUNCTION("""COMPUTED_VALUE"""),1195)</f>
        <v>1195</v>
      </c>
      <c r="CK72" s="105">
        <f ca="1">IFERROR(__xludf.DUMMYFUNCTION("""COMPUTED_VALUE"""),301)</f>
        <v>301</v>
      </c>
      <c r="CL72" s="105">
        <f ca="1">IFERROR(__xludf.DUMMYFUNCTION("""COMPUTED_VALUE"""),0)</f>
        <v>0</v>
      </c>
      <c r="CM72" s="96">
        <f t="shared" ca="1" si="20"/>
        <v>0</v>
      </c>
      <c r="CN72" s="106"/>
      <c r="CO72" s="93"/>
      <c r="CP72" s="107"/>
      <c r="CQ72" s="110"/>
      <c r="CR72" s="93"/>
      <c r="CS72" s="93"/>
      <c r="CT72" s="93"/>
      <c r="CU72" s="93"/>
      <c r="CV72" s="93"/>
      <c r="CW72" s="93"/>
      <c r="CX72" s="51"/>
      <c r="CY72" s="93"/>
      <c r="CZ72" s="93"/>
    </row>
    <row r="73" spans="1:104" ht="15.6">
      <c r="A73" s="1" t="s">
        <v>136</v>
      </c>
      <c r="B73" s="1" t="s">
        <v>421</v>
      </c>
      <c r="C73" s="1" t="s">
        <v>192</v>
      </c>
      <c r="D73" s="1" t="s">
        <v>421</v>
      </c>
      <c r="E73" s="1" t="s">
        <v>422</v>
      </c>
      <c r="F73" s="115">
        <v>45068</v>
      </c>
      <c r="G73" s="76">
        <v>1500000</v>
      </c>
      <c r="H73" s="76">
        <v>24000000</v>
      </c>
      <c r="I73" s="77">
        <v>5245728.8600000003</v>
      </c>
      <c r="J73" s="77">
        <v>5888581.1399999997</v>
      </c>
      <c r="K73" s="4">
        <v>49</v>
      </c>
      <c r="L73" s="4">
        <v>42</v>
      </c>
      <c r="M73" s="4">
        <v>1</v>
      </c>
      <c r="N73" s="4">
        <v>50</v>
      </c>
      <c r="O73" s="4">
        <v>8</v>
      </c>
      <c r="P73" s="77">
        <v>5205892.3600000003</v>
      </c>
      <c r="Q73" s="77">
        <v>39836.5</v>
      </c>
      <c r="R73" s="4">
        <v>23</v>
      </c>
      <c r="S73" s="4">
        <v>1</v>
      </c>
      <c r="T73" s="4">
        <v>24</v>
      </c>
      <c r="U73" s="4">
        <v>13</v>
      </c>
      <c r="V73" s="4">
        <v>22</v>
      </c>
      <c r="W73" s="4">
        <v>65</v>
      </c>
      <c r="X73" s="4">
        <v>133</v>
      </c>
      <c r="Y73" s="4">
        <v>9</v>
      </c>
      <c r="Z73" s="4">
        <v>119</v>
      </c>
      <c r="AA73" s="4">
        <v>17</v>
      </c>
      <c r="AB73" s="4">
        <v>312</v>
      </c>
      <c r="AC73" s="4">
        <v>8</v>
      </c>
      <c r="AD73" s="4">
        <v>20</v>
      </c>
      <c r="AE73" s="4">
        <v>418</v>
      </c>
      <c r="AF73" s="4">
        <v>934</v>
      </c>
      <c r="AG73" s="4">
        <v>300</v>
      </c>
      <c r="AH73" s="76">
        <f t="shared" si="1"/>
        <v>37114.366666666669</v>
      </c>
      <c r="AI73" s="76">
        <f t="shared" si="2"/>
        <v>3.1133333333333333</v>
      </c>
      <c r="AJ73" s="78">
        <f t="shared" si="55"/>
        <v>31660</v>
      </c>
      <c r="AK73" s="76">
        <f t="shared" si="34"/>
        <v>379920</v>
      </c>
      <c r="AL73" s="49">
        <v>111398</v>
      </c>
      <c r="AM73" s="80">
        <f t="shared" si="4"/>
        <v>4.4126488305067851E-2</v>
      </c>
      <c r="AN73" s="76">
        <f t="shared" si="5"/>
        <v>218572.03583333336</v>
      </c>
      <c r="AO73" s="102">
        <f t="shared" si="53"/>
        <v>0.43663960784313727</v>
      </c>
      <c r="AP73" s="82">
        <v>3.92</v>
      </c>
      <c r="AQ73" s="4">
        <v>106</v>
      </c>
      <c r="AR73" s="4">
        <v>2454</v>
      </c>
      <c r="AS73" s="4">
        <v>1362.44</v>
      </c>
      <c r="AT73" s="4">
        <v>1</v>
      </c>
      <c r="AU73" s="4">
        <v>32</v>
      </c>
      <c r="AV73" s="1">
        <v>24</v>
      </c>
      <c r="AW73" s="1">
        <v>18</v>
      </c>
      <c r="AX73" s="1">
        <v>8</v>
      </c>
      <c r="AY73" s="86" t="str">
        <f>IFERROR(VLOOKUP(C73,#REF!,13,0),"")</f>
        <v/>
      </c>
      <c r="AZ73" s="87"/>
      <c r="BA73" s="1" t="str">
        <f t="shared" si="6"/>
        <v>Active</v>
      </c>
      <c r="BB73" s="1" t="e">
        <f t="shared" ca="1" si="7"/>
        <v>#NAME?</v>
      </c>
      <c r="BC73" s="1" t="e">
        <f t="shared" ca="1" si="54"/>
        <v>#NAME?</v>
      </c>
      <c r="BD73" s="33">
        <f t="shared" si="56"/>
        <v>12</v>
      </c>
      <c r="BE73" s="88" t="str">
        <v/>
      </c>
      <c r="BF73" s="1">
        <f t="shared" si="9"/>
        <v>0</v>
      </c>
      <c r="BG73" s="1" t="s">
        <v>428</v>
      </c>
      <c r="BH73" s="89">
        <f ca="1">IFERROR(__xludf.DUMMYFUNCTION("""COMPUTED_VALUE"""),9383403)</f>
        <v>9383403</v>
      </c>
      <c r="BI73" s="89">
        <f ca="1">IFERROR(__xludf.DUMMYFUNCTION("""COMPUTED_VALUE"""),10091787.24)</f>
        <v>10091787.24</v>
      </c>
      <c r="BJ73" s="90"/>
      <c r="BK73" s="91">
        <v>125000</v>
      </c>
      <c r="BL73" s="91">
        <f t="shared" si="47"/>
        <v>1500000</v>
      </c>
      <c r="BM73" s="91">
        <f t="shared" si="11"/>
        <v>25500000</v>
      </c>
      <c r="BN73" s="91"/>
      <c r="BO73" s="92">
        <f ca="1">IFERROR(__xludf.DUMMYFUNCTION("IFERROR(ArrayFormula(SUM(VLOOKUP($C73,importrange(""1MwNMVzWE3QBVOyJjKr3eFX-Sq1Ng0Q1sghWJbgbE_8g"",""ORDER BOOKING REPORT 2024-25!C:CV""),{16,23,30},0))))"),1749592.09999999)</f>
        <v>1749592.0999999901</v>
      </c>
      <c r="BP73" s="92">
        <f ca="1">IFERROR(__xludf.DUMMYFUNCTION("IFERROR(ArrayFormula(SUM(VLOOKUP($C73,importrange(""1MwNMVzWE3QBVOyJjKr3eFX-Sq1Ng0Q1sghWJbgbE_8g"",""ORDER BOOKING REPORT 2024-25!C:CV""),{37,44,51},0))))"),3357755.46999999)</f>
        <v>3357755.46999999</v>
      </c>
      <c r="BQ73" s="92">
        <f ca="1">IFERROR(__xludf.DUMMYFUNCTION("IFERROR(ArrayFormula(SUM(VLOOKUP($C73,importrange(""1MwNMVzWE3QBVOyJjKr3eFX-Sq1Ng0Q1sghWJbgbE_8g"",""ORDER BOOKING REPORT 2024-25!C:CV""),{58,65,72},0))))"),2335532.59999999)</f>
        <v>2335532.5999999898</v>
      </c>
      <c r="BR73" s="92">
        <f ca="1">IFERROR(__xludf.DUMMYFUNCTION("IFERROR(ArrayFormula(SUM(VLOOKUP($C73,importrange(""1MwNMVzWE3QBVOyJjKr3eFX-Sq1Ng0Q1sghWJbgbE_8g"",""ORDER BOOKING REPORT 2024-25!C:CV""),{79,86,93},0))))"),2648907.07)</f>
        <v>2648907.0699999998</v>
      </c>
      <c r="BS73" s="93" t="str">
        <f t="shared" si="12"/>
        <v/>
      </c>
      <c r="BT73" s="93" t="str">
        <f t="shared" si="13"/>
        <v/>
      </c>
      <c r="BU73" s="37">
        <f t="shared" si="14"/>
        <v>0</v>
      </c>
      <c r="BV73" s="94">
        <v>31660</v>
      </c>
      <c r="BW73" s="94" t="s">
        <v>429</v>
      </c>
      <c r="BX73" s="94">
        <v>914</v>
      </c>
      <c r="BY73" s="37">
        <f t="shared" si="15"/>
        <v>0</v>
      </c>
      <c r="BZ73" s="37"/>
      <c r="CA73" s="37"/>
      <c r="CB73" s="37"/>
      <c r="CC73" s="37"/>
      <c r="CD73" s="37"/>
      <c r="CE73" s="37"/>
      <c r="CF73" s="37"/>
      <c r="CG73" s="37" t="str">
        <f t="shared" si="18"/>
        <v>Below 60</v>
      </c>
      <c r="CH73" s="37" t="str">
        <f t="shared" si="26"/>
        <v>Not 50%</v>
      </c>
      <c r="CI73" s="93">
        <f t="shared" si="19"/>
        <v>0.48</v>
      </c>
      <c r="CJ73" s="105">
        <f ca="1">IFERROR(__xludf.DUMMYFUNCTION("""COMPUTED_VALUE"""),368)</f>
        <v>368</v>
      </c>
      <c r="CK73" s="105">
        <f ca="1">IFERROR(__xludf.DUMMYFUNCTION("""COMPUTED_VALUE"""),50)</f>
        <v>50</v>
      </c>
      <c r="CL73" s="105">
        <f ca="1">IFERROR(__xludf.DUMMYFUNCTION("""COMPUTED_VALUE"""),0)</f>
        <v>0</v>
      </c>
      <c r="CM73" s="96">
        <f t="shared" ca="1" si="20"/>
        <v>0</v>
      </c>
      <c r="CN73" s="106"/>
      <c r="CO73" s="93"/>
      <c r="CP73" s="107"/>
      <c r="CQ73" s="110"/>
      <c r="CR73" s="93"/>
      <c r="CS73" s="93"/>
      <c r="CT73" s="93"/>
      <c r="CU73" s="93"/>
      <c r="CV73" s="93"/>
      <c r="CW73" s="93"/>
      <c r="CX73" s="51"/>
      <c r="CY73" s="93"/>
      <c r="CZ73" s="93"/>
    </row>
    <row r="74" spans="1:104" ht="15.6">
      <c r="A74" s="1" t="s">
        <v>118</v>
      </c>
      <c r="B74" s="1" t="s">
        <v>362</v>
      </c>
      <c r="C74" s="1" t="s">
        <v>189</v>
      </c>
      <c r="D74" s="1" t="s">
        <v>419</v>
      </c>
      <c r="E74" s="1" t="s">
        <v>544</v>
      </c>
      <c r="F74" s="115">
        <v>45069</v>
      </c>
      <c r="G74" s="76">
        <v>0</v>
      </c>
      <c r="H74" s="76">
        <v>18000000</v>
      </c>
      <c r="I74" s="77">
        <v>9637243.9900000002</v>
      </c>
      <c r="J74" s="77">
        <v>0</v>
      </c>
      <c r="K74" s="4">
        <v>42</v>
      </c>
      <c r="L74" s="4">
        <v>42</v>
      </c>
      <c r="M74" s="4">
        <v>6</v>
      </c>
      <c r="N74" s="4">
        <v>48</v>
      </c>
      <c r="O74" s="4">
        <v>6</v>
      </c>
      <c r="P74" s="77">
        <v>7969029.5999999996</v>
      </c>
      <c r="Q74" s="77">
        <v>1668214.39</v>
      </c>
      <c r="R74" s="4">
        <v>24</v>
      </c>
      <c r="S74" s="4">
        <v>5</v>
      </c>
      <c r="T74" s="4">
        <v>29</v>
      </c>
      <c r="U74" s="4">
        <v>0</v>
      </c>
      <c r="V74" s="4">
        <v>24</v>
      </c>
      <c r="W74" s="4">
        <v>76</v>
      </c>
      <c r="X74" s="4">
        <v>71</v>
      </c>
      <c r="Y74" s="4">
        <v>3</v>
      </c>
      <c r="Z74" s="4">
        <v>20</v>
      </c>
      <c r="AA74" s="4">
        <v>0</v>
      </c>
      <c r="AB74" s="4">
        <v>0</v>
      </c>
      <c r="AC74" s="4">
        <v>0</v>
      </c>
      <c r="AD74" s="4">
        <v>0</v>
      </c>
      <c r="AE74" s="4">
        <v>1236</v>
      </c>
      <c r="AF74" s="4">
        <v>1332</v>
      </c>
      <c r="AG74" s="4">
        <v>295</v>
      </c>
      <c r="AH74" s="76">
        <f t="shared" si="1"/>
        <v>32668.623694915255</v>
      </c>
      <c r="AI74" s="76">
        <f t="shared" si="2"/>
        <v>4.5152542372881355</v>
      </c>
      <c r="AJ74" s="78">
        <v>29042</v>
      </c>
      <c r="AK74" s="76">
        <f t="shared" si="34"/>
        <v>348504</v>
      </c>
      <c r="AL74" s="79">
        <v>107610</v>
      </c>
      <c r="AM74" s="80">
        <f t="shared" si="4"/>
        <v>4.7328261116277914E-2</v>
      </c>
      <c r="AN74" s="76">
        <f t="shared" si="5"/>
        <v>332318.75827586208</v>
      </c>
      <c r="AO74" s="102">
        <f t="shared" si="53"/>
        <v>0.53540244388888891</v>
      </c>
      <c r="AP74" s="82">
        <v>0</v>
      </c>
      <c r="AQ74" s="4">
        <v>166</v>
      </c>
      <c r="AR74" s="4">
        <v>3287</v>
      </c>
      <c r="AS74" s="4">
        <v>3022.74</v>
      </c>
      <c r="AT74" s="4">
        <v>5</v>
      </c>
      <c r="AU74" s="4">
        <v>72</v>
      </c>
      <c r="AV74" s="1">
        <v>29</v>
      </c>
      <c r="AW74" s="1">
        <v>13</v>
      </c>
      <c r="AX74" s="1">
        <v>6</v>
      </c>
      <c r="AY74" s="86" t="str">
        <f>IFERROR(VLOOKUP(C74,#REF!,13,0),"")</f>
        <v/>
      </c>
      <c r="AZ74" s="87"/>
      <c r="BA74" s="1" t="str">
        <f t="shared" si="6"/>
        <v>Active</v>
      </c>
      <c r="BB74" s="1" t="e">
        <f t="shared" ca="1" si="7"/>
        <v>#NAME?</v>
      </c>
      <c r="BC74" s="1" t="e">
        <f t="shared" ca="1" si="54"/>
        <v>#NAME?</v>
      </c>
      <c r="BD74" s="33">
        <f t="shared" si="56"/>
        <v>12</v>
      </c>
      <c r="BE74" s="88" t="str">
        <v/>
      </c>
      <c r="BF74" s="1">
        <f t="shared" si="9"/>
        <v>1</v>
      </c>
      <c r="BG74" s="1" t="s">
        <v>428</v>
      </c>
      <c r="BH74" s="89">
        <f ca="1">IFERROR(__xludf.DUMMYFUNCTION("""COMPUTED_VALUE"""),12280918.9)</f>
        <v>12280918.9</v>
      </c>
      <c r="BI74" s="89">
        <f ca="1">IFERROR(__xludf.DUMMYFUNCTION("""COMPUTED_VALUE"""),13775318.3099999)</f>
        <v>13775318.3099999</v>
      </c>
      <c r="BJ74" s="90"/>
      <c r="BK74" s="91"/>
      <c r="BL74" s="91">
        <f t="shared" si="47"/>
        <v>0</v>
      </c>
      <c r="BM74" s="91">
        <f t="shared" si="11"/>
        <v>18000000</v>
      </c>
      <c r="BN74" s="91"/>
      <c r="BO74" s="92">
        <f ca="1">IFERROR(__xludf.DUMMYFUNCTION("IFERROR(ArrayFormula(SUM(VLOOKUP($C74,importrange(""1MwNMVzWE3QBVOyJjKr3eFX-Sq1Ng0Q1sghWJbgbE_8g"",""ORDER BOOKING REPORT 2024-25!C:CV""),{16,23,30},0))))"),3180455.98)</f>
        <v>3180455.98</v>
      </c>
      <c r="BP74" s="92">
        <f ca="1">IFERROR(__xludf.DUMMYFUNCTION("IFERROR(ArrayFormula(SUM(VLOOKUP($C74,importrange(""1MwNMVzWE3QBVOyJjKr3eFX-Sq1Ng0Q1sghWJbgbE_8g"",""ORDER BOOKING REPORT 2024-25!C:CV""),{37,44,51},0))))"),2939569.8)</f>
        <v>2939569.8</v>
      </c>
      <c r="BQ74" s="92">
        <f ca="1">IFERROR(__xludf.DUMMYFUNCTION("IFERROR(ArrayFormula(SUM(VLOOKUP($C74,importrange(""1MwNMVzWE3QBVOyJjKr3eFX-Sq1Ng0Q1sghWJbgbE_8g"",""ORDER BOOKING REPORT 2024-25!C:CV""),{58,65,72},0))))"),3582529.62)</f>
        <v>3582529.62</v>
      </c>
      <c r="BR74" s="92">
        <f ca="1">IFERROR(__xludf.DUMMYFUNCTION("IFERROR(ArrayFormula(SUM(VLOOKUP($C74,importrange(""1MwNMVzWE3QBVOyJjKr3eFX-Sq1Ng0Q1sghWJbgbE_8g"",""ORDER BOOKING REPORT 2024-25!C:CV""),{79,86,93},0))))"),4072762.90999999)</f>
        <v>4072762.9099999899</v>
      </c>
      <c r="BS74" s="93" t="str">
        <f t="shared" si="12"/>
        <v/>
      </c>
      <c r="BT74" s="93" t="str">
        <f t="shared" si="13"/>
        <v/>
      </c>
      <c r="BU74" s="37">
        <f t="shared" si="14"/>
        <v>0</v>
      </c>
      <c r="BV74" s="94">
        <v>29042</v>
      </c>
      <c r="BW74" s="94" t="s">
        <v>476</v>
      </c>
      <c r="BX74" s="94">
        <v>923</v>
      </c>
      <c r="BY74" s="37">
        <f t="shared" si="15"/>
        <v>0</v>
      </c>
      <c r="BZ74" s="37"/>
      <c r="CA74" s="37"/>
      <c r="CB74" s="37"/>
      <c r="CC74" s="37"/>
      <c r="CD74" s="37"/>
      <c r="CE74" s="37"/>
      <c r="CF74" s="37"/>
      <c r="CG74" s="37" t="str">
        <f t="shared" si="18"/>
        <v>Below 60</v>
      </c>
      <c r="CH74" s="37" t="str">
        <f t="shared" si="26"/>
        <v>Business Achieved 50%</v>
      </c>
      <c r="CI74" s="93">
        <f t="shared" si="19"/>
        <v>0.60416666666666663</v>
      </c>
      <c r="CJ74" s="95">
        <f ca="1">IFERROR(__xludf.DUMMYFUNCTION("""COMPUTED_VALUE"""),1013)</f>
        <v>1013</v>
      </c>
      <c r="CK74" s="95">
        <f ca="1">IFERROR(__xludf.DUMMYFUNCTION("""COMPUTED_VALUE"""),223)</f>
        <v>223</v>
      </c>
      <c r="CL74" s="95">
        <f ca="1">IFERROR(__xludf.DUMMYFUNCTION("""COMPUTED_VALUE"""),0)</f>
        <v>0</v>
      </c>
      <c r="CM74" s="96">
        <f t="shared" ca="1" si="20"/>
        <v>0</v>
      </c>
      <c r="CN74" s="103"/>
      <c r="CO74" s="4"/>
      <c r="CP74" s="100"/>
      <c r="CQ74" s="101"/>
      <c r="CR74" s="4"/>
      <c r="CS74" s="4"/>
      <c r="CT74" s="4"/>
      <c r="CU74" s="4"/>
      <c r="CV74" s="4"/>
      <c r="CW74" s="101"/>
      <c r="CX74" s="51"/>
      <c r="CY74" s="4"/>
      <c r="CZ74" s="4"/>
    </row>
    <row r="75" spans="1:104" ht="15.6">
      <c r="A75" s="1" t="s">
        <v>118</v>
      </c>
      <c r="B75" s="1" t="s">
        <v>362</v>
      </c>
      <c r="C75" s="1" t="s">
        <v>190</v>
      </c>
      <c r="D75" s="1" t="s">
        <v>419</v>
      </c>
      <c r="E75" s="1" t="s">
        <v>539</v>
      </c>
      <c r="F75" s="115">
        <v>45069</v>
      </c>
      <c r="G75" s="76">
        <v>0</v>
      </c>
      <c r="H75" s="76">
        <v>18000000</v>
      </c>
      <c r="I75" s="77">
        <v>16285524.84</v>
      </c>
      <c r="J75" s="77">
        <v>0</v>
      </c>
      <c r="K75" s="4">
        <v>123</v>
      </c>
      <c r="L75" s="4">
        <v>114</v>
      </c>
      <c r="M75" s="4">
        <v>7</v>
      </c>
      <c r="N75" s="4">
        <v>130</v>
      </c>
      <c r="O75" s="4">
        <v>16</v>
      </c>
      <c r="P75" s="77">
        <v>15952405.18</v>
      </c>
      <c r="Q75" s="77">
        <v>333119.65999999997</v>
      </c>
      <c r="R75" s="4">
        <v>104</v>
      </c>
      <c r="S75" s="4">
        <v>4</v>
      </c>
      <c r="T75" s="4">
        <v>108</v>
      </c>
      <c r="U75" s="4">
        <v>0</v>
      </c>
      <c r="V75" s="4">
        <v>3</v>
      </c>
      <c r="W75" s="4">
        <v>3</v>
      </c>
      <c r="X75" s="4">
        <v>71</v>
      </c>
      <c r="Y75" s="4">
        <v>1</v>
      </c>
      <c r="Z75" s="4">
        <v>83</v>
      </c>
      <c r="AA75" s="4">
        <v>0</v>
      </c>
      <c r="AB75" s="4">
        <v>0</v>
      </c>
      <c r="AC75" s="4">
        <v>0</v>
      </c>
      <c r="AD75" s="4">
        <v>0</v>
      </c>
      <c r="AE75" s="4">
        <v>1442</v>
      </c>
      <c r="AF75" s="4">
        <v>1528</v>
      </c>
      <c r="AG75" s="4">
        <v>285</v>
      </c>
      <c r="AH75" s="76">
        <f t="shared" si="1"/>
        <v>57142.192421052634</v>
      </c>
      <c r="AI75" s="76">
        <f t="shared" si="2"/>
        <v>5.3614035087719296</v>
      </c>
      <c r="AJ75" s="78">
        <v>25212</v>
      </c>
      <c r="AK75" s="76">
        <f t="shared" si="34"/>
        <v>302544</v>
      </c>
      <c r="AL75" s="79">
        <v>68495</v>
      </c>
      <c r="AM75" s="80">
        <f t="shared" si="4"/>
        <v>2.2783361521678782E-2</v>
      </c>
      <c r="AN75" s="76">
        <f t="shared" si="5"/>
        <v>150791.89666666667</v>
      </c>
      <c r="AO75" s="102">
        <f t="shared" si="53"/>
        <v>0.90475137999999999</v>
      </c>
      <c r="AP75" s="82">
        <v>0</v>
      </c>
      <c r="AQ75" s="4">
        <v>632</v>
      </c>
      <c r="AR75" s="4">
        <v>3057</v>
      </c>
      <c r="AS75" s="4">
        <v>2318.73</v>
      </c>
      <c r="AT75" s="4">
        <v>4</v>
      </c>
      <c r="AU75" s="4">
        <v>20</v>
      </c>
      <c r="AV75" s="1">
        <v>108</v>
      </c>
      <c r="AW75" s="1">
        <v>10</v>
      </c>
      <c r="AX75" s="1">
        <v>12</v>
      </c>
      <c r="AY75" s="86" t="str">
        <f>IFERROR(VLOOKUP(C75,#REF!,13,0),"")</f>
        <v/>
      </c>
      <c r="AZ75" s="87"/>
      <c r="BA75" s="1" t="str">
        <f t="shared" si="6"/>
        <v>Active</v>
      </c>
      <c r="BB75" s="1" t="e">
        <f t="shared" ca="1" si="7"/>
        <v>#NAME?</v>
      </c>
      <c r="BC75" s="1" t="e">
        <f t="shared" ca="1" si="54"/>
        <v>#NAME?</v>
      </c>
      <c r="BD75" s="33">
        <f t="shared" si="56"/>
        <v>12</v>
      </c>
      <c r="BE75" s="88" t="str">
        <v/>
      </c>
      <c r="BF75" s="1">
        <f t="shared" si="9"/>
        <v>3</v>
      </c>
      <c r="BG75" s="1" t="s">
        <v>428</v>
      </c>
      <c r="BH75" s="89">
        <f ca="1">IFERROR(__xludf.DUMMYFUNCTION("""COMPUTED_VALUE"""),16611055.6299999)</f>
        <v>16611055.6299999</v>
      </c>
      <c r="BI75" s="89">
        <f ca="1">IFERROR(__xludf.DUMMYFUNCTION("""COMPUTED_VALUE"""),12982973.65)</f>
        <v>12982973.65</v>
      </c>
      <c r="BJ75" s="90"/>
      <c r="BK75" s="91"/>
      <c r="BL75" s="91">
        <f t="shared" si="47"/>
        <v>0</v>
      </c>
      <c r="BM75" s="91">
        <f t="shared" si="11"/>
        <v>18000000</v>
      </c>
      <c r="BN75" s="91"/>
      <c r="BO75" s="92">
        <f ca="1">IFERROR(__xludf.DUMMYFUNCTION("IFERROR(ArrayFormula(SUM(VLOOKUP($C75,importrange(""1MwNMVzWE3QBVOyJjKr3eFX-Sq1Ng0Q1sghWJbgbE_8g"",""ORDER BOOKING REPORT 2024-25!C:CV""),{16,23,30},0))))"),2737761.2)</f>
        <v>2737761.2</v>
      </c>
      <c r="BP75" s="92">
        <f ca="1">IFERROR(__xludf.DUMMYFUNCTION("IFERROR(ArrayFormula(SUM(VLOOKUP($C75,importrange(""1MwNMVzWE3QBVOyJjKr3eFX-Sq1Ng0Q1sghWJbgbE_8g"",""ORDER BOOKING REPORT 2024-25!C:CV""),{37,44,51},0))))"),2976444.85)</f>
        <v>2976444.85</v>
      </c>
      <c r="BQ75" s="92">
        <f ca="1">IFERROR(__xludf.DUMMYFUNCTION("IFERROR(ArrayFormula(SUM(VLOOKUP($C75,importrange(""1MwNMVzWE3QBVOyJjKr3eFX-Sq1Ng0Q1sghWJbgbE_8g"",""ORDER BOOKING REPORT 2024-25!C:CV""),{58,65,72},0))))"),3394684.62)</f>
        <v>3394684.62</v>
      </c>
      <c r="BR75" s="92">
        <f ca="1">IFERROR(__xludf.DUMMYFUNCTION("IFERROR(ArrayFormula(SUM(VLOOKUP($C75,importrange(""1MwNMVzWE3QBVOyJjKr3eFX-Sq1Ng0Q1sghWJbgbE_8g"",""ORDER BOOKING REPORT 2024-25!C:CV""),{79,86,93},0))))"),3874082.98)</f>
        <v>3874082.98</v>
      </c>
      <c r="BS75" s="93" t="str">
        <f t="shared" si="12"/>
        <v/>
      </c>
      <c r="BT75" s="93" t="str">
        <f t="shared" si="13"/>
        <v/>
      </c>
      <c r="BU75" s="37">
        <f t="shared" si="14"/>
        <v>0</v>
      </c>
      <c r="BV75" s="94">
        <v>25212</v>
      </c>
      <c r="BW75" s="94" t="s">
        <v>445</v>
      </c>
      <c r="BX75" s="94">
        <v>926</v>
      </c>
      <c r="BY75" s="37">
        <f t="shared" si="15"/>
        <v>0</v>
      </c>
      <c r="BZ75" s="37"/>
      <c r="CA75" s="37"/>
      <c r="CB75" s="37"/>
      <c r="CC75" s="37"/>
      <c r="CD75" s="37"/>
      <c r="CE75" s="37"/>
      <c r="CF75" s="37"/>
      <c r="CG75" s="37" t="str">
        <f t="shared" si="18"/>
        <v xml:space="preserve"> </v>
      </c>
      <c r="CH75" s="37" t="str">
        <f t="shared" si="26"/>
        <v>Business Achieved 50%</v>
      </c>
      <c r="CI75" s="93">
        <f t="shared" si="19"/>
        <v>0.83076923076923082</v>
      </c>
      <c r="CJ75" s="95">
        <f ca="1">IFERROR(__xludf.DUMMYFUNCTION("""COMPUTED_VALUE"""),1391)</f>
        <v>1391</v>
      </c>
      <c r="CK75" s="95">
        <f ca="1">IFERROR(__xludf.DUMMYFUNCTION("""COMPUTED_VALUE"""),51)</f>
        <v>51</v>
      </c>
      <c r="CL75" s="95">
        <f ca="1">IFERROR(__xludf.DUMMYFUNCTION("""COMPUTED_VALUE"""),0)</f>
        <v>0</v>
      </c>
      <c r="CM75" s="96">
        <f t="shared" ca="1" si="20"/>
        <v>0</v>
      </c>
      <c r="CN75" s="103"/>
      <c r="CO75" s="4"/>
      <c r="CP75" s="100"/>
      <c r="CQ75" s="101"/>
      <c r="CR75" s="4"/>
      <c r="CS75" s="4"/>
      <c r="CT75" s="4"/>
      <c r="CU75" s="4"/>
      <c r="CV75" s="4"/>
      <c r="CW75" s="101"/>
      <c r="CX75" s="51"/>
      <c r="CY75" s="4"/>
      <c r="CZ75" s="4"/>
    </row>
    <row r="76" spans="1:104" ht="15.6">
      <c r="A76" s="1" t="s">
        <v>118</v>
      </c>
      <c r="B76" s="1" t="s">
        <v>375</v>
      </c>
      <c r="C76" s="1" t="s">
        <v>191</v>
      </c>
      <c r="D76" s="1" t="s">
        <v>473</v>
      </c>
      <c r="E76" s="1" t="s">
        <v>545</v>
      </c>
      <c r="F76" s="115">
        <v>45071</v>
      </c>
      <c r="G76" s="76">
        <v>0</v>
      </c>
      <c r="H76" s="76">
        <v>2400000</v>
      </c>
      <c r="I76" s="77">
        <v>606786.61</v>
      </c>
      <c r="J76" s="77">
        <v>0</v>
      </c>
      <c r="K76" s="4">
        <v>56</v>
      </c>
      <c r="L76" s="4">
        <v>55</v>
      </c>
      <c r="M76" s="4">
        <v>2</v>
      </c>
      <c r="N76" s="4">
        <v>58</v>
      </c>
      <c r="O76" s="4">
        <v>3</v>
      </c>
      <c r="P76" s="77">
        <v>581284.21</v>
      </c>
      <c r="Q76" s="77">
        <v>25502.400000000001</v>
      </c>
      <c r="R76" s="4">
        <v>21</v>
      </c>
      <c r="S76" s="4">
        <v>1</v>
      </c>
      <c r="T76" s="4">
        <v>22</v>
      </c>
      <c r="U76" s="4">
        <v>0</v>
      </c>
      <c r="V76" s="4">
        <v>32</v>
      </c>
      <c r="W76" s="4">
        <v>44</v>
      </c>
      <c r="X76" s="4">
        <v>185</v>
      </c>
      <c r="Y76" s="4">
        <v>1</v>
      </c>
      <c r="Z76" s="4">
        <v>1</v>
      </c>
      <c r="AA76" s="4">
        <v>0</v>
      </c>
      <c r="AB76" s="4">
        <v>0</v>
      </c>
      <c r="AC76" s="4">
        <v>0</v>
      </c>
      <c r="AD76" s="4">
        <v>0</v>
      </c>
      <c r="AE76" s="4">
        <v>221</v>
      </c>
      <c r="AF76" s="4">
        <v>266</v>
      </c>
      <c r="AG76" s="4">
        <v>49</v>
      </c>
      <c r="AH76" s="76">
        <f t="shared" si="1"/>
        <v>12383.400204081632</v>
      </c>
      <c r="AI76" s="76">
        <f t="shared" si="2"/>
        <v>5.4285714285714288</v>
      </c>
      <c r="AJ76" s="78">
        <v>24167</v>
      </c>
      <c r="AK76" s="76">
        <f t="shared" si="34"/>
        <v>48334</v>
      </c>
      <c r="AL76" s="49">
        <v>27708</v>
      </c>
      <c r="AM76" s="80">
        <f t="shared" si="4"/>
        <v>0.12531917934049336</v>
      </c>
      <c r="AN76" s="76">
        <f t="shared" si="5"/>
        <v>27581.209545454545</v>
      </c>
      <c r="AO76" s="102">
        <f t="shared" si="53"/>
        <v>0.25282775416666664</v>
      </c>
      <c r="AP76" s="82">
        <v>0</v>
      </c>
      <c r="AQ76" s="4">
        <v>31</v>
      </c>
      <c r="AR76" s="4">
        <v>400</v>
      </c>
      <c r="AS76" s="4">
        <v>0</v>
      </c>
      <c r="AT76" s="4">
        <v>1</v>
      </c>
      <c r="AU76" s="4">
        <v>0</v>
      </c>
      <c r="AV76" s="1">
        <v>22</v>
      </c>
      <c r="AW76" s="1">
        <v>33</v>
      </c>
      <c r="AX76" s="1">
        <v>3</v>
      </c>
      <c r="AY76" s="86" t="str">
        <f>IFERROR(VLOOKUP(C76,#REF!,13,0),"")</f>
        <v/>
      </c>
      <c r="AZ76" s="111">
        <v>45808</v>
      </c>
      <c r="BA76" s="1" t="str">
        <f t="shared" si="6"/>
        <v>LEFT</v>
      </c>
      <c r="BB76" s="1" t="e">
        <f t="shared" ca="1" si="7"/>
        <v>#NAME?</v>
      </c>
      <c r="BC76" s="1" t="e">
        <f t="shared" ca="1" si="54"/>
        <v>#NAME?</v>
      </c>
      <c r="BD76" s="33">
        <v>2</v>
      </c>
      <c r="BE76" s="91" t="str">
        <v/>
      </c>
      <c r="BF76" s="1">
        <f t="shared" si="9"/>
        <v>1</v>
      </c>
      <c r="BG76" s="1" t="s">
        <v>428</v>
      </c>
      <c r="BH76" s="89">
        <f ca="1">IFERROR(__xludf.DUMMYFUNCTION("""COMPUTED_VALUE"""),3069474)</f>
        <v>3069474</v>
      </c>
      <c r="BI76" s="89">
        <f ca="1">IFERROR(__xludf.DUMMYFUNCTION("""COMPUTED_VALUE"""),3696074.3)</f>
        <v>3696074.3</v>
      </c>
      <c r="BJ76" s="90"/>
      <c r="BK76" s="91"/>
      <c r="BL76" s="91">
        <f t="shared" si="47"/>
        <v>0</v>
      </c>
      <c r="BM76" s="91">
        <f t="shared" si="11"/>
        <v>2400000</v>
      </c>
      <c r="BN76" s="91"/>
      <c r="BO76" s="92">
        <f ca="1">IFERROR(__xludf.DUMMYFUNCTION("IFERROR(ArrayFormula(SUM(VLOOKUP($C76,importrange(""1MwNMVzWE3QBVOyJjKr3eFX-Sq1Ng0Q1sghWJbgbE_8g"",""ORDER BOOKING REPORT 2024-25!C:CV""),{16,23,30},0))))"),972392.299999999)</f>
        <v>972392.299999999</v>
      </c>
      <c r="BP76" s="92">
        <f ca="1">IFERROR(__xludf.DUMMYFUNCTION("IFERROR(ArrayFormula(SUM(VLOOKUP($C76,importrange(""1MwNMVzWE3QBVOyJjKr3eFX-Sq1Ng0Q1sghWJbgbE_8g"",""ORDER BOOKING REPORT 2024-25!C:CV""),{37,44,51},0))))"),909919.399999999)</f>
        <v>909919.39999999898</v>
      </c>
      <c r="BQ76" s="92">
        <f ca="1">IFERROR(__xludf.DUMMYFUNCTION("IFERROR(ArrayFormula(SUM(VLOOKUP($C76,importrange(""1MwNMVzWE3QBVOyJjKr3eFX-Sq1Ng0Q1sghWJbgbE_8g"",""ORDER BOOKING REPORT 2024-25!C:CV""),{58,65,72},0))))"),878006.399999999)</f>
        <v>878006.39999999898</v>
      </c>
      <c r="BR76" s="92">
        <f ca="1">IFERROR(__xludf.DUMMYFUNCTION("IFERROR(ArrayFormula(SUM(VLOOKUP($C76,importrange(""1MwNMVzWE3QBVOyJjKr3eFX-Sq1Ng0Q1sghWJbgbE_8g"",""ORDER BOOKING REPORT 2024-25!C:CV""),{79,86,93},0))))"),935756.2)</f>
        <v>935756.2</v>
      </c>
      <c r="BS76" s="93" t="str">
        <f t="shared" si="12"/>
        <v/>
      </c>
      <c r="BT76" s="93" t="str">
        <f t="shared" si="13"/>
        <v/>
      </c>
      <c r="BU76" s="37">
        <f t="shared" si="14"/>
        <v>0</v>
      </c>
      <c r="BV76" s="94"/>
      <c r="BW76" s="94"/>
      <c r="BX76" s="94"/>
      <c r="BY76" s="37">
        <f t="shared" si="15"/>
        <v>-24167</v>
      </c>
      <c r="BZ76" s="37"/>
      <c r="CA76" s="37" t="e">
        <f>BE76*BD76</f>
        <v>#VALUE!</v>
      </c>
      <c r="CB76" s="37"/>
      <c r="CC76" s="37" t="e">
        <f>CA76-H76</f>
        <v>#VALUE!</v>
      </c>
      <c r="CD76" s="37"/>
      <c r="CE76" s="37"/>
      <c r="CF76" s="37"/>
      <c r="CG76" s="37" t="str">
        <f t="shared" si="18"/>
        <v>Below 60</v>
      </c>
      <c r="CH76" s="37" t="str">
        <f t="shared" si="26"/>
        <v>Not 50%</v>
      </c>
      <c r="CI76" s="93">
        <f t="shared" si="19"/>
        <v>0.37931034482758619</v>
      </c>
      <c r="CJ76" s="105">
        <f ca="1">IFERROR(__xludf.DUMMYFUNCTION("""COMPUTED_VALUE"""),90)</f>
        <v>90</v>
      </c>
      <c r="CK76" s="105">
        <f ca="1">IFERROR(__xludf.DUMMYFUNCTION("""COMPUTED_VALUE"""),131)</f>
        <v>131</v>
      </c>
      <c r="CL76" s="105">
        <f ca="1">IFERROR(__xludf.DUMMYFUNCTION("""COMPUTED_VALUE"""),0)</f>
        <v>0</v>
      </c>
      <c r="CM76" s="96">
        <f t="shared" ca="1" si="20"/>
        <v>0</v>
      </c>
      <c r="CN76" s="106"/>
      <c r="CO76" s="93"/>
      <c r="CP76" s="107"/>
      <c r="CQ76" s="110"/>
      <c r="CR76" s="93"/>
      <c r="CS76" s="93"/>
      <c r="CT76" s="93"/>
      <c r="CU76" s="93"/>
      <c r="CV76" s="93"/>
      <c r="CW76" s="93"/>
      <c r="CX76" s="51"/>
      <c r="CY76" s="93"/>
      <c r="CZ76" s="93"/>
    </row>
    <row r="77" spans="1:104" ht="15.6">
      <c r="A77" s="1" t="s">
        <v>154</v>
      </c>
      <c r="B77" s="1" t="s">
        <v>370</v>
      </c>
      <c r="C77" s="1" t="s">
        <v>193</v>
      </c>
      <c r="D77" s="1" t="s">
        <v>542</v>
      </c>
      <c r="E77" s="1" t="s">
        <v>369</v>
      </c>
      <c r="F77" s="104">
        <v>45079</v>
      </c>
      <c r="G77" s="76">
        <v>0</v>
      </c>
      <c r="H77" s="76">
        <v>0</v>
      </c>
      <c r="I77" s="77">
        <v>301773.34999999998</v>
      </c>
      <c r="J77" s="77">
        <v>0</v>
      </c>
      <c r="K77" s="4">
        <v>95</v>
      </c>
      <c r="L77" s="4">
        <v>71</v>
      </c>
      <c r="M77" s="4">
        <v>8</v>
      </c>
      <c r="N77" s="4">
        <v>103</v>
      </c>
      <c r="O77" s="4">
        <v>32</v>
      </c>
      <c r="P77" s="77">
        <v>284357.99</v>
      </c>
      <c r="Q77" s="77">
        <v>17415.36</v>
      </c>
      <c r="R77" s="4">
        <v>30</v>
      </c>
      <c r="S77" s="4">
        <v>1</v>
      </c>
      <c r="T77" s="4">
        <v>31</v>
      </c>
      <c r="U77" s="4">
        <v>0</v>
      </c>
      <c r="V77" s="4">
        <v>107</v>
      </c>
      <c r="W77" s="4">
        <v>116</v>
      </c>
      <c r="X77" s="4">
        <v>513</v>
      </c>
      <c r="Y77" s="4">
        <v>3</v>
      </c>
      <c r="Z77" s="4">
        <v>12</v>
      </c>
      <c r="AA77" s="4">
        <v>0</v>
      </c>
      <c r="AB77" s="4">
        <v>0</v>
      </c>
      <c r="AC77" s="4">
        <v>1</v>
      </c>
      <c r="AD77" s="4">
        <v>1</v>
      </c>
      <c r="AE77" s="4">
        <v>127</v>
      </c>
      <c r="AF77" s="4">
        <v>256</v>
      </c>
      <c r="AG77" s="4">
        <v>37</v>
      </c>
      <c r="AH77" s="76">
        <f t="shared" si="1"/>
        <v>8156.036486486486</v>
      </c>
      <c r="AI77" s="76">
        <f t="shared" si="2"/>
        <v>6.9189189189189193</v>
      </c>
      <c r="AJ77" s="78">
        <v>24085</v>
      </c>
      <c r="AK77" s="76">
        <f t="shared" si="34"/>
        <v>37331.75</v>
      </c>
      <c r="AL77" s="49">
        <v>24883</v>
      </c>
      <c r="AM77" s="80">
        <f t="shared" si="4"/>
        <v>0.20616383123294355</v>
      </c>
      <c r="AN77" s="76">
        <f t="shared" si="5"/>
        <v>9734.6241935483868</v>
      </c>
      <c r="AO77" s="49" t="s">
        <v>161</v>
      </c>
      <c r="AP77" s="82">
        <v>0</v>
      </c>
      <c r="AQ77" s="4">
        <v>35</v>
      </c>
      <c r="AR77" s="4">
        <v>441</v>
      </c>
      <c r="AS77" s="4">
        <v>0</v>
      </c>
      <c r="AT77" s="4">
        <v>1</v>
      </c>
      <c r="AU77" s="4">
        <v>0</v>
      </c>
      <c r="AV77" s="1">
        <v>31</v>
      </c>
      <c r="AW77" s="1">
        <v>43</v>
      </c>
      <c r="AX77" s="1">
        <v>29</v>
      </c>
      <c r="AY77" s="86" t="str">
        <f>IFERROR(VLOOKUP(C77,#REF!,13,0),"")</f>
        <v/>
      </c>
      <c r="AZ77" s="111">
        <v>45794</v>
      </c>
      <c r="BA77" s="1" t="str">
        <f t="shared" si="6"/>
        <v>LEFT</v>
      </c>
      <c r="BB77" s="1" t="e">
        <f t="shared" ca="1" si="7"/>
        <v>#NAME?</v>
      </c>
      <c r="BC77" s="4" t="s">
        <v>161</v>
      </c>
      <c r="BD77" s="33">
        <v>1.55</v>
      </c>
      <c r="BE77" s="88" t="str">
        <v/>
      </c>
      <c r="BF77" s="1">
        <f t="shared" si="9"/>
        <v>7</v>
      </c>
      <c r="BG77" s="1" t="s">
        <v>428</v>
      </c>
      <c r="BH77" s="89">
        <f ca="1">IFERROR(__xludf.DUMMYFUNCTION("""COMPUTED_VALUE"""),6258334)</f>
        <v>6258334</v>
      </c>
      <c r="BI77" s="89">
        <f ca="1">IFERROR(__xludf.DUMMYFUNCTION("""COMPUTED_VALUE"""),5503133.1)</f>
        <v>5503133.0999999996</v>
      </c>
      <c r="BJ77" s="109">
        <f>17/31</f>
        <v>0.54838709677419351</v>
      </c>
      <c r="BK77" s="113"/>
      <c r="BL77" s="91">
        <f t="shared" si="47"/>
        <v>0</v>
      </c>
      <c r="BM77" s="91">
        <f t="shared" si="11"/>
        <v>0</v>
      </c>
      <c r="BN77" s="91"/>
      <c r="BO77" s="92">
        <f ca="1">IFERROR(__xludf.DUMMYFUNCTION("IFERROR(ArrayFormula(SUM(VLOOKUP($C77,importrange(""1MwNMVzWE3QBVOyJjKr3eFX-Sq1Ng0Q1sghWJbgbE_8g"",""ORDER BOOKING REPORT 2024-25!C:CV""),{16,23,30},0))))"),1245415.49)</f>
        <v>1245415.49</v>
      </c>
      <c r="BP77" s="92">
        <f ca="1">IFERROR(__xludf.DUMMYFUNCTION("IFERROR(ArrayFormula(SUM(VLOOKUP($C77,importrange(""1MwNMVzWE3QBVOyJjKr3eFX-Sq1Ng0Q1sghWJbgbE_8g"",""ORDER BOOKING REPORT 2024-25!C:CV""),{37,44,51},0))))"),1093126.94)</f>
        <v>1093126.94</v>
      </c>
      <c r="BQ77" s="92">
        <f ca="1">IFERROR(__xludf.DUMMYFUNCTION("IFERROR(ArrayFormula(SUM(VLOOKUP($C77,importrange(""1MwNMVzWE3QBVOyJjKr3eFX-Sq1Ng0Q1sghWJbgbE_8g"",""ORDER BOOKING REPORT 2024-25!C:CV""),{58,65,72},0))))"),1684912.54999999)</f>
        <v>1684912.54999999</v>
      </c>
      <c r="BR77" s="92">
        <f ca="1">IFERROR(__xludf.DUMMYFUNCTION("IFERROR(ArrayFormula(SUM(VLOOKUP($C77,importrange(""1MwNMVzWE3QBVOyJjKr3eFX-Sq1Ng0Q1sghWJbgbE_8g"",""ORDER BOOKING REPORT 2024-25!C:CV""),{79,86,93},0))))"),1479678.12)</f>
        <v>1479678.12</v>
      </c>
      <c r="BS77" s="93" t="str">
        <f t="shared" si="12"/>
        <v/>
      </c>
      <c r="BT77" s="93" t="str">
        <f t="shared" si="13"/>
        <v/>
      </c>
      <c r="BU77" s="37">
        <f t="shared" si="14"/>
        <v>0</v>
      </c>
      <c r="BV77" s="94"/>
      <c r="BW77" s="94"/>
      <c r="BX77" s="94"/>
      <c r="BY77" s="37">
        <f t="shared" si="15"/>
        <v>-24085</v>
      </c>
      <c r="BZ77" s="37"/>
      <c r="CA77" s="37"/>
      <c r="CB77" s="37"/>
      <c r="CC77" s="37"/>
      <c r="CD77" s="37"/>
      <c r="CE77" s="37"/>
      <c r="CF77" s="37"/>
      <c r="CG77" s="37" t="str">
        <f t="shared" si="18"/>
        <v xml:space="preserve"> </v>
      </c>
      <c r="CH77" s="37" t="str">
        <f t="shared" si="26"/>
        <v>Not 50%</v>
      </c>
      <c r="CI77" s="93">
        <f t="shared" si="19"/>
        <v>0.30097087378640774</v>
      </c>
      <c r="CJ77" s="105">
        <f ca="1">IFERROR(__xludf.DUMMYFUNCTION("""COMPUTED_VALUE"""),57)</f>
        <v>57</v>
      </c>
      <c r="CK77" s="105">
        <f ca="1">IFERROR(__xludf.DUMMYFUNCTION("""COMPUTED_VALUE"""),70)</f>
        <v>70</v>
      </c>
      <c r="CL77" s="105">
        <f ca="1">IFERROR(__xludf.DUMMYFUNCTION("""COMPUTED_VALUE"""),0)</f>
        <v>0</v>
      </c>
      <c r="CM77" s="96">
        <f t="shared" ca="1" si="20"/>
        <v>0</v>
      </c>
      <c r="CN77" s="106"/>
      <c r="CO77" s="93"/>
      <c r="CP77" s="107"/>
      <c r="CQ77" s="110"/>
      <c r="CR77" s="93"/>
      <c r="CS77" s="93"/>
      <c r="CT77" s="93"/>
      <c r="CU77" s="93"/>
      <c r="CV77" s="93"/>
      <c r="CW77" s="93"/>
      <c r="CX77" s="51"/>
      <c r="CY77" s="93"/>
      <c r="CZ77" s="93"/>
    </row>
    <row r="78" spans="1:104" ht="15.6">
      <c r="A78" s="1" t="s">
        <v>201</v>
      </c>
      <c r="B78" s="1" t="s">
        <v>431</v>
      </c>
      <c r="C78" s="1" t="s">
        <v>195</v>
      </c>
      <c r="D78" s="1" t="s">
        <v>431</v>
      </c>
      <c r="E78" s="1" t="s">
        <v>541</v>
      </c>
      <c r="F78" s="104">
        <v>45080</v>
      </c>
      <c r="G78" s="76">
        <v>4800000</v>
      </c>
      <c r="H78" s="76">
        <v>25200000</v>
      </c>
      <c r="I78" s="77">
        <v>16832670.390000001</v>
      </c>
      <c r="J78" s="77">
        <v>5548253.5800000001</v>
      </c>
      <c r="K78" s="4">
        <v>131</v>
      </c>
      <c r="L78" s="4">
        <v>131</v>
      </c>
      <c r="M78" s="4">
        <v>13</v>
      </c>
      <c r="N78" s="4">
        <v>144</v>
      </c>
      <c r="O78" s="4">
        <v>13</v>
      </c>
      <c r="P78" s="77">
        <v>14821267.949999999</v>
      </c>
      <c r="Q78" s="77">
        <v>2011402.44</v>
      </c>
      <c r="R78" s="4">
        <v>48</v>
      </c>
      <c r="S78" s="4">
        <v>9</v>
      </c>
      <c r="T78" s="4">
        <v>57</v>
      </c>
      <c r="U78" s="4">
        <v>9</v>
      </c>
      <c r="V78" s="4">
        <v>146</v>
      </c>
      <c r="W78" s="4">
        <v>270</v>
      </c>
      <c r="X78" s="4">
        <v>181</v>
      </c>
      <c r="Y78" s="4">
        <v>7</v>
      </c>
      <c r="Z78" s="4">
        <v>126</v>
      </c>
      <c r="AA78" s="4">
        <v>10</v>
      </c>
      <c r="AB78" s="4">
        <v>120</v>
      </c>
      <c r="AC78" s="4">
        <v>0</v>
      </c>
      <c r="AD78" s="4">
        <v>0</v>
      </c>
      <c r="AE78" s="4">
        <v>1432</v>
      </c>
      <c r="AF78" s="4">
        <v>1948</v>
      </c>
      <c r="AG78" s="4">
        <v>295</v>
      </c>
      <c r="AH78" s="76">
        <f t="shared" si="1"/>
        <v>75867.538881355926</v>
      </c>
      <c r="AI78" s="76">
        <f t="shared" si="2"/>
        <v>6.6033898305084744</v>
      </c>
      <c r="AJ78" s="78">
        <f>BV78</f>
        <v>57990</v>
      </c>
      <c r="AK78" s="76">
        <f t="shared" si="34"/>
        <v>695880</v>
      </c>
      <c r="AL78" s="49">
        <v>196119</v>
      </c>
      <c r="AM78" s="80">
        <f t="shared" si="4"/>
        <v>3.9855325061452326E-2</v>
      </c>
      <c r="AN78" s="76">
        <f t="shared" si="5"/>
        <v>295310.0068421053</v>
      </c>
      <c r="AO78" s="102">
        <f t="shared" ref="AO78:AO89" si="57">IFERROR(SUM(I78:J78)/SUM(G78:H78),"")</f>
        <v>0.74603079899999991</v>
      </c>
      <c r="AP78" s="82">
        <v>1.1599999999999999</v>
      </c>
      <c r="AQ78" s="4">
        <v>293</v>
      </c>
      <c r="AR78" s="4">
        <v>3167</v>
      </c>
      <c r="AS78" s="4">
        <v>3591.31</v>
      </c>
      <c r="AT78" s="4">
        <v>9</v>
      </c>
      <c r="AU78" s="4">
        <v>27</v>
      </c>
      <c r="AV78" s="1">
        <v>57</v>
      </c>
      <c r="AW78" s="1">
        <v>76</v>
      </c>
      <c r="AX78" s="1">
        <v>11</v>
      </c>
      <c r="AY78" s="86" t="str">
        <f>IFERROR(VLOOKUP(C78,#REF!,13,0),"")</f>
        <v/>
      </c>
      <c r="AZ78" s="87"/>
      <c r="BA78" s="1" t="str">
        <f t="shared" si="6"/>
        <v>Active</v>
      </c>
      <c r="BB78" s="1" t="e">
        <f t="shared" ca="1" si="7"/>
        <v>#NAME?</v>
      </c>
      <c r="BC78" s="1" t="e">
        <f t="shared" ref="BC78:BC89" ca="1" si="58">_xludf.ifs(AO78&lt;50%,"Below 50%",AO78&lt;70%,"50%-70%",AO78&lt;90%,"70%-90%",AO78&lt;100%,"90%-100%",AO78&gt;100%,"Above 100%")</f>
        <v>#NAME?</v>
      </c>
      <c r="BD78" s="33">
        <f t="array" ref="BD78">MATCH($BD$2,{"Apr","May","Jun","Jul","Aug","Sep","Oct","Nov","Dec","Jan","Feb","Mar"},0)</f>
        <v>12</v>
      </c>
      <c r="BE78" s="88" t="str">
        <v/>
      </c>
      <c r="BF78" s="1">
        <f t="shared" si="9"/>
        <v>4</v>
      </c>
      <c r="BG78" s="1" t="s">
        <v>428</v>
      </c>
      <c r="BH78" s="89">
        <f ca="1">IFERROR(__xludf.DUMMYFUNCTION("""COMPUTED_VALUE"""),17874712)</f>
        <v>17874712</v>
      </c>
      <c r="BI78" s="89">
        <f ca="1">IFERROR(__xludf.DUMMYFUNCTION("""COMPUTED_VALUE"""),21910008.4399999)</f>
        <v>21910008.439999901</v>
      </c>
      <c r="BJ78" s="90"/>
      <c r="BK78" s="91">
        <v>400000</v>
      </c>
      <c r="BL78" s="91">
        <f t="shared" si="47"/>
        <v>4800000</v>
      </c>
      <c r="BM78" s="91">
        <f t="shared" si="11"/>
        <v>30000000</v>
      </c>
      <c r="BN78" s="91"/>
      <c r="BO78" s="92">
        <f ca="1">IFERROR(__xludf.DUMMYFUNCTION("IFERROR(ArrayFormula(SUM(VLOOKUP($C78,importrange(""1MwNMVzWE3QBVOyJjKr3eFX-Sq1Ng0Q1sghWJbgbE_8g"",""ORDER BOOKING REPORT 2024-25!C:CV""),{16,23,30},0))))"),4321489.35)</f>
        <v>4321489.3499999996</v>
      </c>
      <c r="BP78" s="92">
        <f ca="1">IFERROR(__xludf.DUMMYFUNCTION("IFERROR(ArrayFormula(SUM(VLOOKUP($C78,importrange(""1MwNMVzWE3QBVOyJjKr3eFX-Sq1Ng0Q1sghWJbgbE_8g"",""ORDER BOOKING REPORT 2024-25!C:CV""),{37,44,51},0))))"),5820061.96999999)</f>
        <v>5820061.9699999904</v>
      </c>
      <c r="BQ78" s="92">
        <f ca="1">IFERROR(__xludf.DUMMYFUNCTION("IFERROR(ArrayFormula(SUM(VLOOKUP($C78,importrange(""1MwNMVzWE3QBVOyJjKr3eFX-Sq1Ng0Q1sghWJbgbE_8g"",""ORDER BOOKING REPORT 2024-25!C:CV""),{58,65,72},0))))"),5486218.47)</f>
        <v>5486218.4699999997</v>
      </c>
      <c r="BR78" s="92">
        <f ca="1">IFERROR(__xludf.DUMMYFUNCTION("IFERROR(ArrayFormula(SUM(VLOOKUP($C78,importrange(""1MwNMVzWE3QBVOyJjKr3eFX-Sq1Ng0Q1sghWJbgbE_8g"",""ORDER BOOKING REPORT 2024-25!C:CV""),{79,86,93},0))))"),6282238.64999999)</f>
        <v>6282238.6499999901</v>
      </c>
      <c r="BS78" s="93" t="str">
        <f t="shared" si="12"/>
        <v/>
      </c>
      <c r="BT78" s="93" t="str">
        <f t="shared" si="13"/>
        <v/>
      </c>
      <c r="BU78" s="37">
        <f t="shared" si="14"/>
        <v>0</v>
      </c>
      <c r="BV78" s="94">
        <v>57990</v>
      </c>
      <c r="BW78" s="94" t="s">
        <v>429</v>
      </c>
      <c r="BX78" s="94">
        <v>932</v>
      </c>
      <c r="BY78" s="37">
        <f t="shared" si="15"/>
        <v>0</v>
      </c>
      <c r="BZ78" s="37"/>
      <c r="CA78" s="37"/>
      <c r="CB78" s="37"/>
      <c r="CC78" s="37"/>
      <c r="CD78" s="37"/>
      <c r="CE78" s="37"/>
      <c r="CF78" s="37"/>
      <c r="CG78" s="37" t="str">
        <f t="shared" si="18"/>
        <v xml:space="preserve"> </v>
      </c>
      <c r="CH78" s="37" t="str">
        <f t="shared" si="26"/>
        <v>Not 50%</v>
      </c>
      <c r="CI78" s="93">
        <f t="shared" si="19"/>
        <v>0.39583333333333331</v>
      </c>
      <c r="CJ78" s="105">
        <f ca="1">IFERROR(__xludf.DUMMYFUNCTION("""COMPUTED_VALUE"""),960)</f>
        <v>960</v>
      </c>
      <c r="CK78" s="105">
        <f ca="1">IFERROR(__xludf.DUMMYFUNCTION("""COMPUTED_VALUE"""),472)</f>
        <v>472</v>
      </c>
      <c r="CL78" s="105">
        <f ca="1">IFERROR(__xludf.DUMMYFUNCTION("""COMPUTED_VALUE"""),0)</f>
        <v>0</v>
      </c>
      <c r="CM78" s="96">
        <f t="shared" ca="1" si="20"/>
        <v>0</v>
      </c>
      <c r="CN78" s="106"/>
      <c r="CO78" s="93"/>
      <c r="CP78" s="107"/>
      <c r="CQ78" s="110"/>
      <c r="CR78" s="93"/>
      <c r="CS78" s="93"/>
      <c r="CT78" s="93"/>
      <c r="CU78" s="93"/>
      <c r="CV78" s="93"/>
      <c r="CW78" s="93"/>
      <c r="CX78" s="51"/>
      <c r="CY78" s="93"/>
      <c r="CZ78" s="93"/>
    </row>
    <row r="79" spans="1:104" ht="15.6">
      <c r="A79" s="1" t="s">
        <v>118</v>
      </c>
      <c r="B79" s="1" t="s">
        <v>362</v>
      </c>
      <c r="C79" s="1" t="s">
        <v>197</v>
      </c>
      <c r="D79" s="1" t="s">
        <v>419</v>
      </c>
      <c r="E79" s="1" t="s">
        <v>547</v>
      </c>
      <c r="F79" s="104">
        <v>45084</v>
      </c>
      <c r="G79" s="76">
        <v>0</v>
      </c>
      <c r="H79" s="76">
        <v>10000000</v>
      </c>
      <c r="I79" s="77">
        <v>2069428.86</v>
      </c>
      <c r="J79" s="77">
        <v>0</v>
      </c>
      <c r="K79" s="4">
        <v>80</v>
      </c>
      <c r="L79" s="4">
        <v>81</v>
      </c>
      <c r="M79" s="4">
        <v>12</v>
      </c>
      <c r="N79" s="4">
        <v>92</v>
      </c>
      <c r="O79" s="4">
        <v>11</v>
      </c>
      <c r="P79" s="77">
        <v>1755462.62</v>
      </c>
      <c r="Q79" s="77">
        <v>313966.24</v>
      </c>
      <c r="R79" s="4">
        <v>19</v>
      </c>
      <c r="S79" s="4">
        <v>3</v>
      </c>
      <c r="T79" s="4">
        <v>22</v>
      </c>
      <c r="U79" s="4">
        <v>0</v>
      </c>
      <c r="V79" s="4">
        <v>40</v>
      </c>
      <c r="W79" s="4">
        <v>72</v>
      </c>
      <c r="X79" s="4">
        <v>142</v>
      </c>
      <c r="Y79" s="4">
        <v>2</v>
      </c>
      <c r="Z79" s="4">
        <v>10</v>
      </c>
      <c r="AA79" s="4">
        <v>0</v>
      </c>
      <c r="AB79" s="4">
        <v>0</v>
      </c>
      <c r="AC79" s="4">
        <v>0</v>
      </c>
      <c r="AD79" s="4">
        <v>0</v>
      </c>
      <c r="AE79" s="4">
        <v>305</v>
      </c>
      <c r="AF79" s="4">
        <v>387</v>
      </c>
      <c r="AG79" s="4">
        <v>69</v>
      </c>
      <c r="AH79" s="76">
        <f t="shared" si="1"/>
        <v>29991.722608695654</v>
      </c>
      <c r="AI79" s="76">
        <f t="shared" si="2"/>
        <v>5.6086956521739131</v>
      </c>
      <c r="AJ79" s="78">
        <v>25850</v>
      </c>
      <c r="AK79" s="76">
        <f t="shared" si="34"/>
        <v>103400</v>
      </c>
      <c r="AL79" s="79">
        <v>13750</v>
      </c>
      <c r="AM79" s="80">
        <f t="shared" si="4"/>
        <v>5.6609822286908668E-2</v>
      </c>
      <c r="AN79" s="76">
        <f t="shared" si="5"/>
        <v>94064.948181818181</v>
      </c>
      <c r="AO79" s="102">
        <f t="shared" si="57"/>
        <v>0.20694288600000002</v>
      </c>
      <c r="AP79" s="82">
        <v>0</v>
      </c>
      <c r="AQ79" s="4">
        <v>35</v>
      </c>
      <c r="AR79" s="4">
        <v>564</v>
      </c>
      <c r="AS79" s="4">
        <v>0</v>
      </c>
      <c r="AT79" s="4">
        <v>3</v>
      </c>
      <c r="AU79" s="4">
        <v>0</v>
      </c>
      <c r="AV79" s="1">
        <v>22</v>
      </c>
      <c r="AW79" s="1">
        <v>59</v>
      </c>
      <c r="AX79" s="1">
        <v>11</v>
      </c>
      <c r="AY79" s="86" t="str">
        <f>IFERROR(VLOOKUP(C79,#REF!,13,0),"")</f>
        <v/>
      </c>
      <c r="AZ79" s="87">
        <v>45869</v>
      </c>
      <c r="BA79" s="1" t="str">
        <f t="shared" si="6"/>
        <v>LEFT</v>
      </c>
      <c r="BB79" s="1" t="e">
        <f t="shared" ca="1" si="7"/>
        <v>#NAME?</v>
      </c>
      <c r="BC79" s="1" t="e">
        <f t="shared" ca="1" si="58"/>
        <v>#NAME?</v>
      </c>
      <c r="BD79" s="33">
        <v>4</v>
      </c>
      <c r="BE79" s="91" t="str">
        <v/>
      </c>
      <c r="BF79" s="1">
        <f t="shared" si="9"/>
        <v>9</v>
      </c>
      <c r="BG79" s="1" t="s">
        <v>428</v>
      </c>
      <c r="BH79" s="89">
        <f ca="1">IFERROR(__xludf.DUMMYFUNCTION("""COMPUTED_VALUE"""),7732005)</f>
        <v>7732005</v>
      </c>
      <c r="BI79" s="89">
        <f ca="1">IFERROR(__xludf.DUMMYFUNCTION("""COMPUTED_VALUE"""),7780368.72)</f>
        <v>7780368.7199999997</v>
      </c>
      <c r="BJ79" s="90"/>
      <c r="BK79" s="91"/>
      <c r="BL79" s="91">
        <f t="shared" si="47"/>
        <v>0</v>
      </c>
      <c r="BM79" s="91">
        <f t="shared" si="11"/>
        <v>10000000</v>
      </c>
      <c r="BN79" s="91"/>
      <c r="BO79" s="92">
        <f ca="1">IFERROR(__xludf.DUMMYFUNCTION("IFERROR(ArrayFormula(SUM(VLOOKUP($C79,importrange(""1MwNMVzWE3QBVOyJjKr3eFX-Sq1Ng0Q1sghWJbgbE_8g"",""ORDER BOOKING REPORT 2024-25!C:CV""),{16,23,30},0))))"),873421.98)</f>
        <v>873421.98</v>
      </c>
      <c r="BP79" s="92">
        <f ca="1">IFERROR(__xludf.DUMMYFUNCTION("IFERROR(ArrayFormula(SUM(VLOOKUP($C79,importrange(""1MwNMVzWE3QBVOyJjKr3eFX-Sq1Ng0Q1sghWJbgbE_8g"",""ORDER BOOKING REPORT 2024-25!C:CV""),{37,44,51},0))))"),2319420.4)</f>
        <v>2319420.4</v>
      </c>
      <c r="BQ79" s="92">
        <f ca="1">IFERROR(__xludf.DUMMYFUNCTION("IFERROR(ArrayFormula(SUM(VLOOKUP($C79,importrange(""1MwNMVzWE3QBVOyJjKr3eFX-Sq1Ng0Q1sghWJbgbE_8g"",""ORDER BOOKING REPORT 2024-25!C:CV""),{58,65,72},0))))"),2533606.5)</f>
        <v>2533606.5</v>
      </c>
      <c r="BR79" s="92">
        <f ca="1">IFERROR(__xludf.DUMMYFUNCTION("IFERROR(ArrayFormula(SUM(VLOOKUP($C79,importrange(""1MwNMVzWE3QBVOyJjKr3eFX-Sq1Ng0Q1sghWJbgbE_8g"",""ORDER BOOKING REPORT 2024-25!C:CV""),{79,86,93},0))))"),2053919.83999999)</f>
        <v>2053919.8399999901</v>
      </c>
      <c r="BS79" s="93" t="str">
        <f t="shared" si="12"/>
        <v/>
      </c>
      <c r="BT79" s="93" t="str">
        <f t="shared" si="13"/>
        <v/>
      </c>
      <c r="BU79" s="37">
        <f t="shared" si="14"/>
        <v>0</v>
      </c>
      <c r="BV79" s="94">
        <v>25850</v>
      </c>
      <c r="BW79" s="94" t="s">
        <v>476</v>
      </c>
      <c r="BX79" s="94">
        <v>938</v>
      </c>
      <c r="BY79" s="37">
        <f t="shared" si="15"/>
        <v>0</v>
      </c>
      <c r="BZ79" s="37"/>
      <c r="CA79" s="37"/>
      <c r="CB79" s="37"/>
      <c r="CC79" s="37"/>
      <c r="CD79" s="37"/>
      <c r="CE79" s="37"/>
      <c r="CF79" s="37"/>
      <c r="CG79" s="37" t="str">
        <f t="shared" si="18"/>
        <v xml:space="preserve"> </v>
      </c>
      <c r="CH79" s="37" t="str">
        <f t="shared" si="26"/>
        <v>Not 50%</v>
      </c>
      <c r="CI79" s="93">
        <f t="shared" si="19"/>
        <v>0.2391304347826087</v>
      </c>
      <c r="CJ79" s="95">
        <f ca="1">IFERROR(__xludf.DUMMYFUNCTION("""COMPUTED_VALUE"""),88)</f>
        <v>88</v>
      </c>
      <c r="CK79" s="95">
        <f ca="1">IFERROR(__xludf.DUMMYFUNCTION("""COMPUTED_VALUE"""),217)</f>
        <v>217</v>
      </c>
      <c r="CL79" s="95">
        <f ca="1">IFERROR(__xludf.DUMMYFUNCTION("""COMPUTED_VALUE"""),0)</f>
        <v>0</v>
      </c>
      <c r="CM79" s="96">
        <f t="shared" ca="1" si="20"/>
        <v>0</v>
      </c>
      <c r="CN79" s="103"/>
      <c r="CO79" s="4"/>
      <c r="CP79" s="100"/>
      <c r="CQ79" s="101"/>
      <c r="CR79" s="4"/>
      <c r="CS79" s="4"/>
      <c r="CT79" s="4"/>
      <c r="CU79" s="4"/>
      <c r="CV79" s="4"/>
      <c r="CW79" s="101"/>
      <c r="CX79" s="51"/>
      <c r="CY79" s="4"/>
      <c r="CZ79" s="4"/>
    </row>
    <row r="80" spans="1:104" ht="15.6">
      <c r="A80" s="1" t="s">
        <v>118</v>
      </c>
      <c r="B80" s="1" t="s">
        <v>484</v>
      </c>
      <c r="C80" s="1" t="s">
        <v>199</v>
      </c>
      <c r="D80" s="1" t="s">
        <v>548</v>
      </c>
      <c r="E80" s="1" t="s">
        <v>549</v>
      </c>
      <c r="F80" s="104">
        <v>45108</v>
      </c>
      <c r="G80" s="76">
        <v>0</v>
      </c>
      <c r="H80" s="76">
        <v>18000000</v>
      </c>
      <c r="I80" s="77">
        <v>14860334.76</v>
      </c>
      <c r="J80" s="77">
        <v>0</v>
      </c>
      <c r="K80" s="4">
        <v>64</v>
      </c>
      <c r="L80" s="4">
        <v>77</v>
      </c>
      <c r="M80" s="4">
        <v>13</v>
      </c>
      <c r="N80" s="4">
        <v>77</v>
      </c>
      <c r="O80" s="4">
        <v>0</v>
      </c>
      <c r="P80" s="77">
        <v>10668194.890000001</v>
      </c>
      <c r="Q80" s="77">
        <v>4192139.87</v>
      </c>
      <c r="R80" s="4">
        <v>36</v>
      </c>
      <c r="S80" s="4">
        <v>13</v>
      </c>
      <c r="T80" s="4">
        <v>49</v>
      </c>
      <c r="U80" s="4">
        <v>0</v>
      </c>
      <c r="V80" s="4">
        <v>117</v>
      </c>
      <c r="W80" s="4">
        <v>298</v>
      </c>
      <c r="X80" s="4">
        <v>205</v>
      </c>
      <c r="Y80" s="4">
        <v>1</v>
      </c>
      <c r="Z80" s="4">
        <v>3</v>
      </c>
      <c r="AA80" s="4">
        <v>0</v>
      </c>
      <c r="AB80" s="4">
        <v>0</v>
      </c>
      <c r="AC80" s="4">
        <v>0</v>
      </c>
      <c r="AD80" s="4">
        <v>0</v>
      </c>
      <c r="AE80" s="4">
        <v>1364</v>
      </c>
      <c r="AF80" s="4">
        <v>1665</v>
      </c>
      <c r="AG80" s="4">
        <v>293</v>
      </c>
      <c r="AH80" s="76">
        <f t="shared" si="1"/>
        <v>50717.866075085323</v>
      </c>
      <c r="AI80" s="76">
        <f t="shared" si="2"/>
        <v>5.6825938566552905</v>
      </c>
      <c r="AJ80" s="78">
        <v>27680</v>
      </c>
      <c r="AK80" s="76">
        <f t="shared" si="34"/>
        <v>332160</v>
      </c>
      <c r="AL80" s="79">
        <v>195183</v>
      </c>
      <c r="AM80" s="80">
        <f t="shared" si="4"/>
        <v>3.5486616453585196E-2</v>
      </c>
      <c r="AN80" s="76">
        <f t="shared" si="5"/>
        <v>303272.13795918366</v>
      </c>
      <c r="AO80" s="102">
        <f t="shared" si="57"/>
        <v>0.82557415333333328</v>
      </c>
      <c r="AP80" s="82">
        <v>0</v>
      </c>
      <c r="AQ80" s="4">
        <v>138</v>
      </c>
      <c r="AR80" s="4">
        <v>3169</v>
      </c>
      <c r="AS80" s="4">
        <v>4121.2</v>
      </c>
      <c r="AT80" s="4">
        <v>13</v>
      </c>
      <c r="AU80" s="4">
        <v>54</v>
      </c>
      <c r="AV80" s="1">
        <v>49</v>
      </c>
      <c r="AW80" s="1">
        <v>28</v>
      </c>
      <c r="AX80" s="1">
        <v>0</v>
      </c>
      <c r="AY80" s="86" t="str">
        <f>IFERROR(VLOOKUP(C80,#REF!,13,0),"")</f>
        <v/>
      </c>
      <c r="AZ80" s="87"/>
      <c r="BA80" s="1" t="str">
        <f t="shared" si="6"/>
        <v>Active</v>
      </c>
      <c r="BB80" s="1" t="e">
        <f t="shared" ca="1" si="7"/>
        <v>#NAME?</v>
      </c>
      <c r="BC80" s="1" t="e">
        <f t="shared" ca="1" si="58"/>
        <v>#NAME?</v>
      </c>
      <c r="BD80" s="33">
        <f t="shared" ref="BD80:BD86" si="59">MATCH($BD$2,{"Apr","May","Jun","Jul","Aug","Sep","Oct","Nov","Dec","Jan","Feb","Mar"},0)</f>
        <v>12</v>
      </c>
      <c r="BE80" s="88" t="str">
        <v/>
      </c>
      <c r="BF80" s="1">
        <f t="shared" si="9"/>
        <v>0</v>
      </c>
      <c r="BG80" s="1" t="s">
        <v>428</v>
      </c>
      <c r="BH80" s="89">
        <f ca="1">IFERROR(__xludf.DUMMYFUNCTION("""COMPUTED_VALUE"""),10769962)</f>
        <v>10769962</v>
      </c>
      <c r="BI80" s="89">
        <f ca="1">IFERROR(__xludf.DUMMYFUNCTION("""COMPUTED_VALUE"""),16239272.76)</f>
        <v>16239272.76</v>
      </c>
      <c r="BJ80" s="90"/>
      <c r="BK80" s="91"/>
      <c r="BL80" s="91">
        <f t="shared" si="47"/>
        <v>0</v>
      </c>
      <c r="BM80" s="91">
        <f t="shared" si="11"/>
        <v>18000000</v>
      </c>
      <c r="BN80" s="91"/>
      <c r="BO80" s="92">
        <f ca="1">IFERROR(__xludf.DUMMYFUNCTION("IFERROR(ArrayFormula(SUM(VLOOKUP($C80,importrange(""1MwNMVzWE3QBVOyJjKr3eFX-Sq1Ng0Q1sghWJbgbE_8g"",""ORDER BOOKING REPORT 2024-25!C:CV""),{16,23,30},0))))"),4211663.56)</f>
        <v>4211663.5599999996</v>
      </c>
      <c r="BP80" s="92">
        <f ca="1">IFERROR(__xludf.DUMMYFUNCTION("IFERROR(ArrayFormula(SUM(VLOOKUP($C80,importrange(""1MwNMVzWE3QBVOyJjKr3eFX-Sq1Ng0Q1sghWJbgbE_8g"",""ORDER BOOKING REPORT 2024-25!C:CV""),{37,44,51},0))))"),4360724.6)</f>
        <v>4360724.5999999996</v>
      </c>
      <c r="BQ80" s="92">
        <f ca="1">IFERROR(__xludf.DUMMYFUNCTION("IFERROR(ArrayFormula(SUM(VLOOKUP($C80,importrange(""1MwNMVzWE3QBVOyJjKr3eFX-Sq1Ng0Q1sghWJbgbE_8g"",""ORDER BOOKING REPORT 2024-25!C:CV""),{58,65,72},0))))"),3738182.1)</f>
        <v>3738182.1</v>
      </c>
      <c r="BR80" s="92">
        <f ca="1">IFERROR(__xludf.DUMMYFUNCTION("IFERROR(ArrayFormula(SUM(VLOOKUP($C80,importrange(""1MwNMVzWE3QBVOyJjKr3eFX-Sq1Ng0Q1sghWJbgbE_8g"",""ORDER BOOKING REPORT 2024-25!C:CV""),{79,86,93},0))))"),3928702.49999999)</f>
        <v>3928702.4999999902</v>
      </c>
      <c r="BS80" s="93" t="str">
        <f t="shared" si="12"/>
        <v/>
      </c>
      <c r="BT80" s="93" t="str">
        <f t="shared" si="13"/>
        <v/>
      </c>
      <c r="BU80" s="37">
        <f t="shared" si="14"/>
        <v>0</v>
      </c>
      <c r="BV80" s="94">
        <v>27680</v>
      </c>
      <c r="BW80" s="94" t="s">
        <v>476</v>
      </c>
      <c r="BX80" s="94">
        <v>949</v>
      </c>
      <c r="BY80" s="37">
        <f t="shared" si="15"/>
        <v>0</v>
      </c>
      <c r="BZ80" s="37"/>
      <c r="CA80" s="37"/>
      <c r="CB80" s="37"/>
      <c r="CC80" s="37"/>
      <c r="CD80" s="37"/>
      <c r="CE80" s="37"/>
      <c r="CF80" s="37"/>
      <c r="CG80" s="37" t="str">
        <f t="shared" si="18"/>
        <v xml:space="preserve"> </v>
      </c>
      <c r="CH80" s="37" t="str">
        <f t="shared" si="26"/>
        <v>Business Achieved 50%</v>
      </c>
      <c r="CI80" s="93">
        <f t="shared" si="19"/>
        <v>0.63636363636363635</v>
      </c>
      <c r="CJ80" s="95">
        <f ca="1">IFERROR(__xludf.DUMMYFUNCTION("""COMPUTED_VALUE"""),799)</f>
        <v>799</v>
      </c>
      <c r="CK80" s="95">
        <f ca="1">IFERROR(__xludf.DUMMYFUNCTION("""COMPUTED_VALUE"""),565)</f>
        <v>565</v>
      </c>
      <c r="CL80" s="95">
        <f ca="1">IFERROR(__xludf.DUMMYFUNCTION("""COMPUTED_VALUE"""),0)</f>
        <v>0</v>
      </c>
      <c r="CM80" s="96">
        <f t="shared" ca="1" si="20"/>
        <v>0</v>
      </c>
      <c r="CN80" s="103"/>
      <c r="CO80" s="4"/>
      <c r="CP80" s="100"/>
      <c r="CQ80" s="101"/>
      <c r="CR80" s="4"/>
      <c r="CS80" s="4"/>
      <c r="CT80" s="4"/>
      <c r="CU80" s="4"/>
      <c r="CV80" s="4"/>
      <c r="CW80" s="101"/>
      <c r="CX80" s="51"/>
      <c r="CY80" s="4"/>
      <c r="CZ80" s="4"/>
    </row>
    <row r="81" spans="1:104" ht="15.6">
      <c r="A81" s="1" t="s">
        <v>118</v>
      </c>
      <c r="B81" s="1" t="s">
        <v>362</v>
      </c>
      <c r="C81" s="1" t="s">
        <v>200</v>
      </c>
      <c r="D81" s="1" t="s">
        <v>419</v>
      </c>
      <c r="E81" s="1" t="s">
        <v>551</v>
      </c>
      <c r="F81" s="104">
        <v>45108</v>
      </c>
      <c r="G81" s="76">
        <v>0</v>
      </c>
      <c r="H81" s="76">
        <v>48000000</v>
      </c>
      <c r="I81" s="77">
        <v>42261960.93</v>
      </c>
      <c r="J81" s="77">
        <v>0</v>
      </c>
      <c r="K81" s="4">
        <v>137</v>
      </c>
      <c r="L81" s="4">
        <v>87</v>
      </c>
      <c r="M81" s="4">
        <v>12</v>
      </c>
      <c r="N81" s="4">
        <v>149</v>
      </c>
      <c r="O81" s="4">
        <v>62</v>
      </c>
      <c r="P81" s="77">
        <v>39899565.530000001</v>
      </c>
      <c r="Q81" s="77">
        <v>2362395.4</v>
      </c>
      <c r="R81" s="4">
        <v>44</v>
      </c>
      <c r="S81" s="4">
        <v>9</v>
      </c>
      <c r="T81" s="4">
        <v>53</v>
      </c>
      <c r="U81" s="4">
        <v>0</v>
      </c>
      <c r="V81" s="4">
        <v>4</v>
      </c>
      <c r="W81" s="4">
        <v>6</v>
      </c>
      <c r="X81" s="4">
        <v>64</v>
      </c>
      <c r="Y81" s="4">
        <v>2</v>
      </c>
      <c r="Z81" s="4">
        <v>54</v>
      </c>
      <c r="AA81" s="4">
        <v>0</v>
      </c>
      <c r="AB81" s="4">
        <v>0</v>
      </c>
      <c r="AC81" s="4">
        <v>0</v>
      </c>
      <c r="AD81" s="4">
        <v>0</v>
      </c>
      <c r="AE81" s="4">
        <v>1571</v>
      </c>
      <c r="AF81" s="4">
        <v>1631</v>
      </c>
      <c r="AG81" s="4">
        <v>298</v>
      </c>
      <c r="AH81" s="76">
        <f t="shared" si="1"/>
        <v>141818.66083892618</v>
      </c>
      <c r="AI81" s="76">
        <f t="shared" si="2"/>
        <v>5.473154362416107</v>
      </c>
      <c r="AJ81" s="78">
        <v>20520</v>
      </c>
      <c r="AK81" s="76">
        <f t="shared" si="34"/>
        <v>246240</v>
      </c>
      <c r="AL81" s="79">
        <v>129208</v>
      </c>
      <c r="AM81" s="80">
        <f t="shared" si="4"/>
        <v>8.8838281929669097E-3</v>
      </c>
      <c r="AN81" s="76">
        <f t="shared" si="5"/>
        <v>797395.48924528307</v>
      </c>
      <c r="AO81" s="102">
        <f t="shared" si="57"/>
        <v>0.88045751937499994</v>
      </c>
      <c r="AP81" s="82">
        <v>0</v>
      </c>
      <c r="AQ81" s="4">
        <v>262</v>
      </c>
      <c r="AR81" s="4">
        <v>2977</v>
      </c>
      <c r="AS81" s="4">
        <v>1609.76</v>
      </c>
      <c r="AT81" s="4">
        <v>9</v>
      </c>
      <c r="AU81" s="4">
        <v>19</v>
      </c>
      <c r="AV81" s="1">
        <v>53</v>
      </c>
      <c r="AW81" s="1">
        <v>34</v>
      </c>
      <c r="AX81" s="1">
        <v>62</v>
      </c>
      <c r="AY81" s="86" t="str">
        <f>IFERROR(VLOOKUP(C81,#REF!,13,0),"")</f>
        <v/>
      </c>
      <c r="AZ81" s="87"/>
      <c r="BA81" s="1" t="str">
        <f t="shared" si="6"/>
        <v>Active</v>
      </c>
      <c r="BB81" s="1" t="e">
        <f t="shared" ca="1" si="7"/>
        <v>#NAME?</v>
      </c>
      <c r="BC81" s="1" t="e">
        <f t="shared" ca="1" si="58"/>
        <v>#NAME?</v>
      </c>
      <c r="BD81" s="33">
        <f t="shared" si="59"/>
        <v>12</v>
      </c>
      <c r="BE81" s="88" t="str">
        <v/>
      </c>
      <c r="BF81" s="1">
        <f t="shared" si="9"/>
        <v>3</v>
      </c>
      <c r="BG81" s="1" t="s">
        <v>428</v>
      </c>
      <c r="BH81" s="89">
        <f ca="1">IFERROR(__xludf.DUMMYFUNCTION("""COMPUTED_VALUE"""),16550810.31)</f>
        <v>16550810.310000001</v>
      </c>
      <c r="BI81" s="89">
        <f ca="1">IFERROR(__xludf.DUMMYFUNCTION("""COMPUTED_VALUE"""),18522917.2)</f>
        <v>18522917.199999999</v>
      </c>
      <c r="BJ81" s="90"/>
      <c r="BK81" s="91"/>
      <c r="BL81" s="91">
        <f t="shared" si="47"/>
        <v>0</v>
      </c>
      <c r="BM81" s="91">
        <f t="shared" si="11"/>
        <v>48000000</v>
      </c>
      <c r="BN81" s="91"/>
      <c r="BO81" s="92">
        <f ca="1">IFERROR(__xludf.DUMMYFUNCTION("IFERROR(ArrayFormula(SUM(VLOOKUP($C81,importrange(""1MwNMVzWE3QBVOyJjKr3eFX-Sq1Ng0Q1sghWJbgbE_8g"",""ORDER BOOKING REPORT 2024-25!C:CV""),{16,23,30},0))))"),2347037.8)</f>
        <v>2347037.7999999998</v>
      </c>
      <c r="BP81" s="92">
        <f ca="1">IFERROR(__xludf.DUMMYFUNCTION("IFERROR(ArrayFormula(SUM(VLOOKUP($C81,importrange(""1MwNMVzWE3QBVOyJjKr3eFX-Sq1Ng0Q1sghWJbgbE_8g"",""ORDER BOOKING REPORT 2024-25!C:CV""),{37,44,51},0))))"),4748292.4)</f>
        <v>4748292.4000000004</v>
      </c>
      <c r="BQ81" s="92">
        <f ca="1">IFERROR(__xludf.DUMMYFUNCTION("IFERROR(ArrayFormula(SUM(VLOOKUP($C81,importrange(""1MwNMVzWE3QBVOyJjKr3eFX-Sq1Ng0Q1sghWJbgbE_8g"",""ORDER BOOKING REPORT 2024-25!C:CV""),{58,65,72},0))))"),4612587.5)</f>
        <v>4612587.5</v>
      </c>
      <c r="BR81" s="92">
        <f ca="1">IFERROR(__xludf.DUMMYFUNCTION("IFERROR(ArrayFormula(SUM(VLOOKUP($C81,importrange(""1MwNMVzWE3QBVOyJjKr3eFX-Sq1Ng0Q1sghWJbgbE_8g"",""ORDER BOOKING REPORT 2024-25!C:CV""),{79,86,93},0))))"),6814999.5)</f>
        <v>6814999.5</v>
      </c>
      <c r="BS81" s="93" t="str">
        <f t="shared" si="12"/>
        <v/>
      </c>
      <c r="BT81" s="93" t="str">
        <f t="shared" si="13"/>
        <v/>
      </c>
      <c r="BU81" s="37">
        <f t="shared" si="14"/>
        <v>0</v>
      </c>
      <c r="BV81" s="94">
        <v>20520</v>
      </c>
      <c r="BW81" s="94" t="s">
        <v>476</v>
      </c>
      <c r="BX81" s="94">
        <v>948</v>
      </c>
      <c r="BY81" s="37">
        <f t="shared" si="15"/>
        <v>0</v>
      </c>
      <c r="BZ81" s="37"/>
      <c r="CA81" s="37"/>
      <c r="CB81" s="37"/>
      <c r="CC81" s="37"/>
      <c r="CD81" s="37"/>
      <c r="CE81" s="37"/>
      <c r="CF81" s="37"/>
      <c r="CG81" s="37" t="str">
        <f t="shared" si="18"/>
        <v xml:space="preserve"> </v>
      </c>
      <c r="CH81" s="37" t="str">
        <f t="shared" si="26"/>
        <v>Not 50%</v>
      </c>
      <c r="CI81" s="93">
        <f t="shared" si="19"/>
        <v>0.35570469798657717</v>
      </c>
      <c r="CJ81" s="95">
        <f ca="1">IFERROR(__xludf.DUMMYFUNCTION("""COMPUTED_VALUE"""),1383)</f>
        <v>1383</v>
      </c>
      <c r="CK81" s="95">
        <f ca="1">IFERROR(__xludf.DUMMYFUNCTION("""COMPUTED_VALUE"""),188)</f>
        <v>188</v>
      </c>
      <c r="CL81" s="95">
        <f ca="1">IFERROR(__xludf.DUMMYFUNCTION("""COMPUTED_VALUE"""),0)</f>
        <v>0</v>
      </c>
      <c r="CM81" s="96">
        <f t="shared" ca="1" si="20"/>
        <v>0</v>
      </c>
      <c r="CN81" s="103"/>
      <c r="CO81" s="4"/>
      <c r="CP81" s="100"/>
      <c r="CQ81" s="101"/>
      <c r="CR81" s="4"/>
      <c r="CS81" s="4"/>
      <c r="CT81" s="4"/>
      <c r="CU81" s="4"/>
      <c r="CV81" s="4"/>
      <c r="CW81" s="101"/>
      <c r="CX81" s="51"/>
      <c r="CY81" s="4"/>
      <c r="CZ81" s="4"/>
    </row>
    <row r="82" spans="1:104" ht="15.6">
      <c r="A82" s="1" t="s">
        <v>118</v>
      </c>
      <c r="B82" s="1" t="s">
        <v>362</v>
      </c>
      <c r="C82" s="1" t="s">
        <v>202</v>
      </c>
      <c r="D82" s="1" t="s">
        <v>419</v>
      </c>
      <c r="E82" s="1" t="s">
        <v>490</v>
      </c>
      <c r="F82" s="48">
        <v>45117</v>
      </c>
      <c r="G82" s="76">
        <v>0</v>
      </c>
      <c r="H82" s="76">
        <v>18000000</v>
      </c>
      <c r="I82" s="77">
        <v>15955951.17</v>
      </c>
      <c r="J82" s="77">
        <v>0</v>
      </c>
      <c r="K82" s="4">
        <v>61</v>
      </c>
      <c r="L82" s="4">
        <v>63</v>
      </c>
      <c r="M82" s="4">
        <v>17</v>
      </c>
      <c r="N82" s="4">
        <v>78</v>
      </c>
      <c r="O82" s="4">
        <v>15</v>
      </c>
      <c r="P82" s="77">
        <v>12909972.300000001</v>
      </c>
      <c r="Q82" s="77">
        <v>3045978.87</v>
      </c>
      <c r="R82" s="4">
        <v>29</v>
      </c>
      <c r="S82" s="4">
        <v>16</v>
      </c>
      <c r="T82" s="4">
        <v>45</v>
      </c>
      <c r="U82" s="4">
        <v>0</v>
      </c>
      <c r="V82" s="4">
        <v>20</v>
      </c>
      <c r="W82" s="4">
        <v>75</v>
      </c>
      <c r="X82" s="4">
        <v>52</v>
      </c>
      <c r="Y82" s="4">
        <v>3</v>
      </c>
      <c r="Z82" s="4">
        <v>28</v>
      </c>
      <c r="AA82" s="4">
        <v>0</v>
      </c>
      <c r="AB82" s="4">
        <v>0</v>
      </c>
      <c r="AC82" s="4">
        <v>0</v>
      </c>
      <c r="AD82" s="4">
        <v>0</v>
      </c>
      <c r="AE82" s="4">
        <v>1450</v>
      </c>
      <c r="AF82" s="4">
        <v>1553</v>
      </c>
      <c r="AG82" s="4">
        <v>289</v>
      </c>
      <c r="AH82" s="76">
        <f t="shared" si="1"/>
        <v>55210.903702422147</v>
      </c>
      <c r="AI82" s="76">
        <f t="shared" si="2"/>
        <v>5.3737024221453291</v>
      </c>
      <c r="AJ82" s="78">
        <v>24356</v>
      </c>
      <c r="AK82" s="76">
        <f t="shared" si="34"/>
        <v>292272</v>
      </c>
      <c r="AL82" s="79">
        <v>136731</v>
      </c>
      <c r="AM82" s="80">
        <f t="shared" si="4"/>
        <v>2.6886708001877146E-2</v>
      </c>
      <c r="AN82" s="76">
        <f t="shared" si="5"/>
        <v>354576.69266666664</v>
      </c>
      <c r="AO82" s="102">
        <f t="shared" si="57"/>
        <v>0.88644173166666662</v>
      </c>
      <c r="AP82" s="82">
        <v>0</v>
      </c>
      <c r="AQ82" s="4">
        <v>354</v>
      </c>
      <c r="AR82" s="4">
        <v>3118</v>
      </c>
      <c r="AS82" s="4">
        <v>3193.6</v>
      </c>
      <c r="AT82" s="4">
        <v>16</v>
      </c>
      <c r="AU82" s="4">
        <v>51</v>
      </c>
      <c r="AV82" s="1">
        <v>45</v>
      </c>
      <c r="AW82" s="1">
        <v>18</v>
      </c>
      <c r="AX82" s="1">
        <v>15</v>
      </c>
      <c r="AY82" s="86" t="str">
        <f>IFERROR(VLOOKUP(C82,#REF!,13,0),"")</f>
        <v/>
      </c>
      <c r="AZ82" s="87"/>
      <c r="BA82" s="1" t="str">
        <f t="shared" si="6"/>
        <v>Active</v>
      </c>
      <c r="BB82" s="1" t="e">
        <f t="shared" ca="1" si="7"/>
        <v>#NAME?</v>
      </c>
      <c r="BC82" s="1" t="e">
        <f t="shared" ca="1" si="58"/>
        <v>#NAME?</v>
      </c>
      <c r="BD82" s="33">
        <f t="shared" si="59"/>
        <v>12</v>
      </c>
      <c r="BE82" s="88" t="str">
        <v/>
      </c>
      <c r="BF82" s="1">
        <f t="shared" si="9"/>
        <v>1</v>
      </c>
      <c r="BG82" s="1" t="s">
        <v>428</v>
      </c>
      <c r="BH82" s="89">
        <f ca="1">IFERROR(__xludf.DUMMYFUNCTION("""COMPUTED_VALUE"""),13630333)</f>
        <v>13630333</v>
      </c>
      <c r="BI82" s="89">
        <f ca="1">IFERROR(__xludf.DUMMYFUNCTION("""COMPUTED_VALUE"""),15728496.43)</f>
        <v>15728496.43</v>
      </c>
      <c r="BJ82" s="90"/>
      <c r="BK82" s="91"/>
      <c r="BL82" s="91">
        <f t="shared" si="47"/>
        <v>0</v>
      </c>
      <c r="BM82" s="91">
        <f t="shared" si="11"/>
        <v>18000000</v>
      </c>
      <c r="BN82" s="91"/>
      <c r="BO82" s="92">
        <f ca="1">IFERROR(__xludf.DUMMYFUNCTION("IFERROR(ArrayFormula(SUM(VLOOKUP($C82,importrange(""1MwNMVzWE3QBVOyJjKr3eFX-Sq1Ng0Q1sghWJbgbE_8g"",""ORDER BOOKING REPORT 2024-25!C:CV""),{16,23,30},0))))"),3047028.66)</f>
        <v>3047028.66</v>
      </c>
      <c r="BP82" s="92">
        <f ca="1">IFERROR(__xludf.DUMMYFUNCTION("IFERROR(ArrayFormula(SUM(VLOOKUP($C82,importrange(""1MwNMVzWE3QBVOyJjKr3eFX-Sq1Ng0Q1sghWJbgbE_8g"",""ORDER BOOKING REPORT 2024-25!C:CV""),{37,44,51},0))))"),4226804.83)</f>
        <v>4226804.83</v>
      </c>
      <c r="BQ82" s="92">
        <f ca="1">IFERROR(__xludf.DUMMYFUNCTION("IFERROR(ArrayFormula(SUM(VLOOKUP($C82,importrange(""1MwNMVzWE3QBVOyJjKr3eFX-Sq1Ng0Q1sghWJbgbE_8g"",""ORDER BOOKING REPORT 2024-25!C:CV""),{58,65,72},0))))"),3966301.63999999)</f>
        <v>3966301.6399999899</v>
      </c>
      <c r="BR82" s="92">
        <f ca="1">IFERROR(__xludf.DUMMYFUNCTION("IFERROR(ArrayFormula(SUM(VLOOKUP($C82,importrange(""1MwNMVzWE3QBVOyJjKr3eFX-Sq1Ng0Q1sghWJbgbE_8g"",""ORDER BOOKING REPORT 2024-25!C:CV""),{79,86,93},0))))"),4488361.3)</f>
        <v>4488361.3</v>
      </c>
      <c r="BS82" s="93" t="str">
        <f t="shared" si="12"/>
        <v/>
      </c>
      <c r="BT82" s="93" t="str">
        <f t="shared" si="13"/>
        <v/>
      </c>
      <c r="BU82" s="37">
        <f t="shared" si="14"/>
        <v>0</v>
      </c>
      <c r="BV82" s="94">
        <v>24356</v>
      </c>
      <c r="BW82" s="94" t="s">
        <v>476</v>
      </c>
      <c r="BX82" s="94">
        <v>957</v>
      </c>
      <c r="BY82" s="37">
        <f t="shared" si="15"/>
        <v>0</v>
      </c>
      <c r="BZ82" s="37"/>
      <c r="CA82" s="37"/>
      <c r="CB82" s="37"/>
      <c r="CC82" s="37"/>
      <c r="CD82" s="37"/>
      <c r="CE82" s="37"/>
      <c r="CF82" s="37"/>
      <c r="CG82" s="37" t="str">
        <f t="shared" si="18"/>
        <v xml:space="preserve"> </v>
      </c>
      <c r="CH82" s="37" t="str">
        <f t="shared" si="26"/>
        <v>Business Achieved 50%</v>
      </c>
      <c r="CI82" s="93">
        <f t="shared" si="19"/>
        <v>0.57692307692307687</v>
      </c>
      <c r="CJ82" s="95">
        <f ca="1">IFERROR(__xludf.DUMMYFUNCTION("""COMPUTED_VALUE"""),1270)</f>
        <v>1270</v>
      </c>
      <c r="CK82" s="95">
        <f ca="1">IFERROR(__xludf.DUMMYFUNCTION("""COMPUTED_VALUE"""),180)</f>
        <v>180</v>
      </c>
      <c r="CL82" s="95">
        <f ca="1">IFERROR(__xludf.DUMMYFUNCTION("""COMPUTED_VALUE"""),0)</f>
        <v>0</v>
      </c>
      <c r="CM82" s="96">
        <f t="shared" ca="1" si="20"/>
        <v>0</v>
      </c>
      <c r="CN82" s="103"/>
      <c r="CO82" s="4"/>
      <c r="CP82" s="100"/>
      <c r="CQ82" s="101"/>
      <c r="CR82" s="4"/>
      <c r="CS82" s="4"/>
      <c r="CT82" s="4"/>
      <c r="CU82" s="4"/>
      <c r="CV82" s="4"/>
      <c r="CW82" s="101"/>
      <c r="CX82" s="51"/>
      <c r="CY82" s="4"/>
      <c r="CZ82" s="4"/>
    </row>
    <row r="83" spans="1:104" ht="15.6">
      <c r="A83" s="1" t="s">
        <v>201</v>
      </c>
      <c r="B83" s="1" t="s">
        <v>431</v>
      </c>
      <c r="C83" s="1" t="s">
        <v>204</v>
      </c>
      <c r="D83" s="1" t="s">
        <v>431</v>
      </c>
      <c r="E83" s="1" t="s">
        <v>543</v>
      </c>
      <c r="F83" s="48">
        <v>45121</v>
      </c>
      <c r="G83" s="76">
        <v>0</v>
      </c>
      <c r="H83" s="76">
        <v>26499996</v>
      </c>
      <c r="I83" s="77">
        <v>27448810.050000001</v>
      </c>
      <c r="J83" s="77">
        <v>0</v>
      </c>
      <c r="K83" s="4">
        <v>62</v>
      </c>
      <c r="L83" s="4">
        <v>72</v>
      </c>
      <c r="M83" s="4">
        <v>13</v>
      </c>
      <c r="N83" s="4">
        <v>75</v>
      </c>
      <c r="O83" s="4">
        <v>3</v>
      </c>
      <c r="P83" s="77">
        <v>23869456.34</v>
      </c>
      <c r="Q83" s="77">
        <v>3579353.71</v>
      </c>
      <c r="R83" s="4">
        <v>47</v>
      </c>
      <c r="S83" s="4">
        <v>13</v>
      </c>
      <c r="T83" s="4">
        <v>60</v>
      </c>
      <c r="U83" s="4">
        <v>0</v>
      </c>
      <c r="V83" s="4">
        <v>41</v>
      </c>
      <c r="W83" s="4">
        <v>70</v>
      </c>
      <c r="X83" s="4">
        <v>57</v>
      </c>
      <c r="Y83" s="4">
        <v>2</v>
      </c>
      <c r="Z83" s="4">
        <v>35</v>
      </c>
      <c r="AA83" s="4">
        <v>0</v>
      </c>
      <c r="AB83" s="4">
        <v>0</v>
      </c>
      <c r="AC83" s="4">
        <v>0</v>
      </c>
      <c r="AD83" s="4">
        <v>0</v>
      </c>
      <c r="AE83" s="4">
        <v>859</v>
      </c>
      <c r="AF83" s="4">
        <v>964</v>
      </c>
      <c r="AG83" s="4">
        <v>281</v>
      </c>
      <c r="AH83" s="76">
        <f t="shared" si="1"/>
        <v>97682.598042704631</v>
      </c>
      <c r="AI83" s="76">
        <f t="shared" si="2"/>
        <v>3.4306049822064058</v>
      </c>
      <c r="AJ83" s="78">
        <f t="shared" ref="AJ83:AJ84" si="60">BV83</f>
        <v>27784</v>
      </c>
      <c r="AK83" s="76">
        <f t="shared" si="34"/>
        <v>333408</v>
      </c>
      <c r="AL83" s="49">
        <v>89704</v>
      </c>
      <c r="AM83" s="80">
        <f t="shared" si="4"/>
        <v>1.5414584429316636E-2</v>
      </c>
      <c r="AN83" s="76">
        <f t="shared" si="5"/>
        <v>457480.16750000004</v>
      </c>
      <c r="AO83" s="102">
        <f t="shared" si="57"/>
        <v>1.0358043091780089</v>
      </c>
      <c r="AP83" s="82">
        <v>0</v>
      </c>
      <c r="AQ83" s="4">
        <v>223</v>
      </c>
      <c r="AR83" s="4">
        <v>2347</v>
      </c>
      <c r="AS83" s="4">
        <v>1409.2</v>
      </c>
      <c r="AT83" s="4">
        <v>13</v>
      </c>
      <c r="AU83" s="4">
        <v>20</v>
      </c>
      <c r="AV83" s="1">
        <v>60</v>
      </c>
      <c r="AW83" s="1">
        <v>13</v>
      </c>
      <c r="AX83" s="1">
        <v>2</v>
      </c>
      <c r="AY83" s="86" t="str">
        <f>IFERROR(VLOOKUP(C83,#REF!,13,0),"")</f>
        <v/>
      </c>
      <c r="AZ83" s="87"/>
      <c r="BA83" s="1" t="str">
        <f t="shared" si="6"/>
        <v>Active</v>
      </c>
      <c r="BB83" s="1" t="e">
        <f t="shared" ca="1" si="7"/>
        <v>#NAME?</v>
      </c>
      <c r="BC83" s="1" t="e">
        <f t="shared" ca="1" si="58"/>
        <v>#NAME?</v>
      </c>
      <c r="BD83" s="33">
        <f t="shared" si="59"/>
        <v>12</v>
      </c>
      <c r="BE83" s="88" t="str">
        <v/>
      </c>
      <c r="BF83" s="1">
        <f t="shared" si="9"/>
        <v>0</v>
      </c>
      <c r="BG83" s="1" t="s">
        <v>428</v>
      </c>
      <c r="BH83" s="89">
        <f ca="1">IFERROR(__xludf.DUMMYFUNCTION("""COMPUTED_VALUE"""),22188990)</f>
        <v>22188990</v>
      </c>
      <c r="BI83" s="89">
        <f ca="1">IFERROR(__xludf.DUMMYFUNCTION("""COMPUTED_VALUE"""),23684695.0099999)</f>
        <v>23684695.009999901</v>
      </c>
      <c r="BJ83" s="90"/>
      <c r="BK83" s="91"/>
      <c r="BL83" s="91">
        <f t="shared" si="47"/>
        <v>0</v>
      </c>
      <c r="BM83" s="91">
        <f t="shared" si="11"/>
        <v>26499996</v>
      </c>
      <c r="BN83" s="91"/>
      <c r="BO83" s="92">
        <f ca="1">IFERROR(__xludf.DUMMYFUNCTION("IFERROR(ArrayFormula(SUM(VLOOKUP($C83,importrange(""1MwNMVzWE3QBVOyJjKr3eFX-Sq1Ng0Q1sghWJbgbE_8g"",""ORDER BOOKING REPORT 2024-25!C:CV""),{16,23,30},0))))"),6042453.15)</f>
        <v>6042453.1500000004</v>
      </c>
      <c r="BP83" s="92">
        <f ca="1">IFERROR(__xludf.DUMMYFUNCTION("IFERROR(ArrayFormula(SUM(VLOOKUP($C83,importrange(""1MwNMVzWE3QBVOyJjKr3eFX-Sq1Ng0Q1sghWJbgbE_8g"",""ORDER BOOKING REPORT 2024-25!C:CV""),{37,44,51},0))))"),5386007.56)</f>
        <v>5386007.5599999996</v>
      </c>
      <c r="BQ83" s="92">
        <f ca="1">IFERROR(__xludf.DUMMYFUNCTION("IFERROR(ArrayFormula(SUM(VLOOKUP($C83,importrange(""1MwNMVzWE3QBVOyJjKr3eFX-Sq1Ng0Q1sghWJbgbE_8g"",""ORDER BOOKING REPORT 2024-25!C:CV""),{58,65,72},0))))"),6221418.6)</f>
        <v>6221418.5999999996</v>
      </c>
      <c r="BR83" s="92">
        <f ca="1">IFERROR(__xludf.DUMMYFUNCTION("IFERROR(ArrayFormula(SUM(VLOOKUP($C83,importrange(""1MwNMVzWE3QBVOyJjKr3eFX-Sq1Ng0Q1sghWJbgbE_8g"",""ORDER BOOKING REPORT 2024-25!C:CV""),{79,86,93},0))))"),6034815.7)</f>
        <v>6034815.7000000002</v>
      </c>
      <c r="BS83" s="93" t="str">
        <f t="shared" si="12"/>
        <v/>
      </c>
      <c r="BT83" s="93" t="str">
        <f t="shared" si="13"/>
        <v/>
      </c>
      <c r="BU83" s="37">
        <f t="shared" si="14"/>
        <v>0</v>
      </c>
      <c r="BV83" s="94">
        <v>27784</v>
      </c>
      <c r="BW83" s="94" t="s">
        <v>445</v>
      </c>
      <c r="BX83" s="94">
        <v>956</v>
      </c>
      <c r="BY83" s="37">
        <f t="shared" si="15"/>
        <v>0</v>
      </c>
      <c r="BZ83" s="37"/>
      <c r="CA83" s="37"/>
      <c r="CB83" s="37"/>
      <c r="CC83" s="37"/>
      <c r="CD83" s="37"/>
      <c r="CE83" s="37"/>
      <c r="CF83" s="37"/>
      <c r="CG83" s="37" t="str">
        <f t="shared" si="18"/>
        <v xml:space="preserve"> </v>
      </c>
      <c r="CH83" s="37" t="str">
        <f t="shared" si="26"/>
        <v>Business Achieved 50%</v>
      </c>
      <c r="CI83" s="93">
        <f t="shared" si="19"/>
        <v>0.8</v>
      </c>
      <c r="CJ83" s="105">
        <f ca="1">IFERROR(__xludf.DUMMYFUNCTION("""COMPUTED_VALUE"""),798)</f>
        <v>798</v>
      </c>
      <c r="CK83" s="105">
        <f ca="1">IFERROR(__xludf.DUMMYFUNCTION("""COMPUTED_VALUE"""),61)</f>
        <v>61</v>
      </c>
      <c r="CL83" s="105">
        <f ca="1">IFERROR(__xludf.DUMMYFUNCTION("""COMPUTED_VALUE"""),0)</f>
        <v>0</v>
      </c>
      <c r="CM83" s="96">
        <f t="shared" ca="1" si="20"/>
        <v>0</v>
      </c>
      <c r="CN83" s="106"/>
      <c r="CO83" s="93"/>
      <c r="CP83" s="107"/>
      <c r="CQ83" s="110"/>
      <c r="CR83" s="93"/>
      <c r="CS83" s="93"/>
      <c r="CT83" s="93"/>
      <c r="CU83" s="93"/>
      <c r="CV83" s="93"/>
      <c r="CW83" s="93"/>
      <c r="CX83" s="51"/>
      <c r="CY83" s="93"/>
      <c r="CZ83" s="93"/>
    </row>
    <row r="84" spans="1:104" ht="15.6">
      <c r="A84" s="1" t="s">
        <v>201</v>
      </c>
      <c r="B84" s="1" t="s">
        <v>431</v>
      </c>
      <c r="C84" s="1" t="s">
        <v>205</v>
      </c>
      <c r="D84" s="1" t="s">
        <v>431</v>
      </c>
      <c r="E84" s="1" t="s">
        <v>546</v>
      </c>
      <c r="F84" s="48">
        <v>45122</v>
      </c>
      <c r="G84" s="76">
        <v>0</v>
      </c>
      <c r="H84" s="76">
        <v>21500004</v>
      </c>
      <c r="I84" s="77">
        <v>12834542</v>
      </c>
      <c r="J84" s="77">
        <v>0</v>
      </c>
      <c r="K84" s="4">
        <v>50</v>
      </c>
      <c r="L84" s="4">
        <v>55</v>
      </c>
      <c r="M84" s="4">
        <v>12</v>
      </c>
      <c r="N84" s="4">
        <v>62</v>
      </c>
      <c r="O84" s="4">
        <v>7</v>
      </c>
      <c r="P84" s="77">
        <v>10832071.039999999</v>
      </c>
      <c r="Q84" s="77">
        <v>2002470.96</v>
      </c>
      <c r="R84" s="4">
        <v>30</v>
      </c>
      <c r="S84" s="4">
        <v>12</v>
      </c>
      <c r="T84" s="4">
        <v>42</v>
      </c>
      <c r="U84" s="4">
        <v>0</v>
      </c>
      <c r="V84" s="4">
        <v>172</v>
      </c>
      <c r="W84" s="4">
        <v>336</v>
      </c>
      <c r="X84" s="4">
        <v>226</v>
      </c>
      <c r="Y84" s="4">
        <v>3</v>
      </c>
      <c r="Z84" s="4">
        <v>46</v>
      </c>
      <c r="AA84" s="4">
        <v>0</v>
      </c>
      <c r="AB84" s="4">
        <v>0</v>
      </c>
      <c r="AC84" s="4">
        <v>1</v>
      </c>
      <c r="AD84" s="4">
        <v>1</v>
      </c>
      <c r="AE84" s="4">
        <v>1493</v>
      </c>
      <c r="AF84" s="4">
        <v>1876</v>
      </c>
      <c r="AG84" s="4">
        <v>280</v>
      </c>
      <c r="AH84" s="76">
        <f t="shared" si="1"/>
        <v>45837.65</v>
      </c>
      <c r="AI84" s="76">
        <f t="shared" si="2"/>
        <v>6.7</v>
      </c>
      <c r="AJ84" s="78">
        <f t="shared" si="60"/>
        <v>24182</v>
      </c>
      <c r="AK84" s="76">
        <f t="shared" si="34"/>
        <v>290184</v>
      </c>
      <c r="AL84" s="49">
        <v>66097</v>
      </c>
      <c r="AM84" s="80">
        <f t="shared" si="4"/>
        <v>2.7759541400074892E-2</v>
      </c>
      <c r="AN84" s="76">
        <f t="shared" si="5"/>
        <v>305584.33333333331</v>
      </c>
      <c r="AO84" s="102">
        <f t="shared" si="57"/>
        <v>0.5969553307990082</v>
      </c>
      <c r="AP84" s="82">
        <v>0</v>
      </c>
      <c r="AQ84" s="4">
        <v>334</v>
      </c>
      <c r="AR84" s="4">
        <v>1984</v>
      </c>
      <c r="AS84" s="4">
        <v>2012.62</v>
      </c>
      <c r="AT84" s="4">
        <v>12</v>
      </c>
      <c r="AU84" s="4">
        <v>37</v>
      </c>
      <c r="AV84" s="1">
        <v>42</v>
      </c>
      <c r="AW84" s="1">
        <v>14</v>
      </c>
      <c r="AX84" s="1">
        <v>6</v>
      </c>
      <c r="AY84" s="86" t="str">
        <f>IFERROR(VLOOKUP(C84,#REF!,13,0),"")</f>
        <v/>
      </c>
      <c r="AZ84" s="87"/>
      <c r="BA84" s="1" t="str">
        <f t="shared" si="6"/>
        <v>Active</v>
      </c>
      <c r="BB84" s="1" t="e">
        <f t="shared" ca="1" si="7"/>
        <v>#NAME?</v>
      </c>
      <c r="BC84" s="1" t="e">
        <f t="shared" ca="1" si="58"/>
        <v>#NAME?</v>
      </c>
      <c r="BD84" s="33">
        <f t="shared" si="59"/>
        <v>12</v>
      </c>
      <c r="BE84" s="88" t="str">
        <v/>
      </c>
      <c r="BF84" s="1">
        <f t="shared" si="9"/>
        <v>0</v>
      </c>
      <c r="BG84" s="1" t="s">
        <v>428</v>
      </c>
      <c r="BH84" s="89">
        <f ca="1">IFERROR(__xludf.DUMMYFUNCTION("""COMPUTED_VALUE"""),6564514)</f>
        <v>6564514</v>
      </c>
      <c r="BI84" s="89">
        <f ca="1">IFERROR(__xludf.DUMMYFUNCTION("""COMPUTED_VALUE"""),9711692.87)</f>
        <v>9711692.8699999992</v>
      </c>
      <c r="BJ84" s="90"/>
      <c r="BK84" s="91"/>
      <c r="BL84" s="91">
        <f t="shared" si="47"/>
        <v>0</v>
      </c>
      <c r="BM84" s="91">
        <f t="shared" si="11"/>
        <v>21500004</v>
      </c>
      <c r="BN84" s="91"/>
      <c r="BO84" s="92">
        <f ca="1">IFERROR(__xludf.DUMMYFUNCTION("IFERROR(ArrayFormula(SUM(VLOOKUP($C84,importrange(""1MwNMVzWE3QBVOyJjKr3eFX-Sq1Ng0Q1sghWJbgbE_8g"",""ORDER BOOKING REPORT 2024-25!C:CV""),{16,23,30},0))))"),1315392.46)</f>
        <v>1315392.46</v>
      </c>
      <c r="BP84" s="92">
        <f ca="1">IFERROR(__xludf.DUMMYFUNCTION("IFERROR(ArrayFormula(SUM(VLOOKUP($C84,importrange(""1MwNMVzWE3QBVOyJjKr3eFX-Sq1Ng0Q1sghWJbgbE_8g"",""ORDER BOOKING REPORT 2024-25!C:CV""),{37,44,51},0))))"),2417569.94)</f>
        <v>2417569.94</v>
      </c>
      <c r="BQ84" s="92">
        <f ca="1">IFERROR(__xludf.DUMMYFUNCTION("IFERROR(ArrayFormula(SUM(VLOOKUP($C84,importrange(""1MwNMVzWE3QBVOyJjKr3eFX-Sq1Ng0Q1sghWJbgbE_8g"",""ORDER BOOKING REPORT 2024-25!C:CV""),{58,65,72},0))))"),2504652.87)</f>
        <v>2504652.87</v>
      </c>
      <c r="BR84" s="92">
        <f ca="1">IFERROR(__xludf.DUMMYFUNCTION("IFERROR(ArrayFormula(SUM(VLOOKUP($C84,importrange(""1MwNMVzWE3QBVOyJjKr3eFX-Sq1Ng0Q1sghWJbgbE_8g"",""ORDER BOOKING REPORT 2024-25!C:CV""),{79,86,93},0))))"),3474077.6)</f>
        <v>3474077.6</v>
      </c>
      <c r="BS84" s="93" t="str">
        <f t="shared" si="12"/>
        <v/>
      </c>
      <c r="BT84" s="93" t="str">
        <f t="shared" si="13"/>
        <v/>
      </c>
      <c r="BU84" s="37">
        <f t="shared" si="14"/>
        <v>0</v>
      </c>
      <c r="BV84" s="94">
        <v>24182</v>
      </c>
      <c r="BW84" s="94" t="s">
        <v>476</v>
      </c>
      <c r="BX84" s="94">
        <v>965</v>
      </c>
      <c r="BY84" s="37">
        <f t="shared" si="15"/>
        <v>0</v>
      </c>
      <c r="BZ84" s="37"/>
      <c r="CA84" s="37"/>
      <c r="CB84" s="37"/>
      <c r="CC84" s="37"/>
      <c r="CD84" s="37"/>
      <c r="CE84" s="37"/>
      <c r="CF84" s="37"/>
      <c r="CG84" s="37" t="str">
        <f t="shared" si="18"/>
        <v xml:space="preserve"> </v>
      </c>
      <c r="CH84" s="37" t="str">
        <f t="shared" si="26"/>
        <v>Business Achieved 50%</v>
      </c>
      <c r="CI84" s="93">
        <f t="shared" si="19"/>
        <v>0.67741935483870963</v>
      </c>
      <c r="CJ84" s="105">
        <f ca="1">IFERROR(__xludf.DUMMYFUNCTION("""COMPUTED_VALUE"""),1406)</f>
        <v>1406</v>
      </c>
      <c r="CK84" s="105">
        <f ca="1">IFERROR(__xludf.DUMMYFUNCTION("""COMPUTED_VALUE"""),87)</f>
        <v>87</v>
      </c>
      <c r="CL84" s="105">
        <f ca="1">IFERROR(__xludf.DUMMYFUNCTION("""COMPUTED_VALUE"""),0)</f>
        <v>0</v>
      </c>
      <c r="CM84" s="96">
        <f t="shared" ca="1" si="20"/>
        <v>0</v>
      </c>
      <c r="CN84" s="106"/>
      <c r="CO84" s="93"/>
      <c r="CP84" s="107"/>
      <c r="CQ84" s="110"/>
      <c r="CR84" s="93"/>
      <c r="CS84" s="93"/>
      <c r="CT84" s="93"/>
      <c r="CU84" s="93"/>
      <c r="CV84" s="93"/>
      <c r="CW84" s="93"/>
      <c r="CX84" s="51"/>
      <c r="CY84" s="93"/>
      <c r="CZ84" s="93"/>
    </row>
    <row r="85" spans="1:104" ht="15.6">
      <c r="A85" s="1" t="s">
        <v>201</v>
      </c>
      <c r="B85" s="1" t="s">
        <v>481</v>
      </c>
      <c r="C85" s="1" t="s">
        <v>203</v>
      </c>
      <c r="D85" s="1" t="s">
        <v>517</v>
      </c>
      <c r="E85" s="1" t="s">
        <v>550</v>
      </c>
      <c r="F85" s="48">
        <v>45124</v>
      </c>
      <c r="G85" s="76">
        <v>0</v>
      </c>
      <c r="H85" s="76">
        <v>19800000</v>
      </c>
      <c r="I85" s="77">
        <v>9911745.4900000002</v>
      </c>
      <c r="J85" s="77">
        <v>0</v>
      </c>
      <c r="K85" s="4">
        <v>40</v>
      </c>
      <c r="L85" s="4">
        <v>42</v>
      </c>
      <c r="M85" s="4">
        <v>3</v>
      </c>
      <c r="N85" s="4">
        <v>43</v>
      </c>
      <c r="O85" s="4">
        <v>1</v>
      </c>
      <c r="P85" s="77">
        <v>9387796.2100000009</v>
      </c>
      <c r="Q85" s="77">
        <v>523949.28</v>
      </c>
      <c r="R85" s="4">
        <v>32</v>
      </c>
      <c r="S85" s="4">
        <v>3</v>
      </c>
      <c r="T85" s="4">
        <v>35</v>
      </c>
      <c r="U85" s="4">
        <v>0</v>
      </c>
      <c r="V85" s="4">
        <v>255</v>
      </c>
      <c r="W85" s="4">
        <v>674</v>
      </c>
      <c r="X85" s="4">
        <v>142</v>
      </c>
      <c r="Y85" s="4">
        <v>2</v>
      </c>
      <c r="Z85" s="4">
        <v>8</v>
      </c>
      <c r="AA85" s="4">
        <v>0</v>
      </c>
      <c r="AB85" s="4">
        <v>0</v>
      </c>
      <c r="AC85" s="4">
        <v>0</v>
      </c>
      <c r="AD85" s="4">
        <v>0</v>
      </c>
      <c r="AE85" s="4">
        <v>388</v>
      </c>
      <c r="AF85" s="4">
        <v>1070</v>
      </c>
      <c r="AG85" s="4">
        <v>260</v>
      </c>
      <c r="AH85" s="76">
        <f t="shared" si="1"/>
        <v>38122.09803846154</v>
      </c>
      <c r="AI85" s="76">
        <f t="shared" si="2"/>
        <v>4.115384615384615</v>
      </c>
      <c r="AJ85" s="112">
        <v>26500</v>
      </c>
      <c r="AK85" s="76">
        <f t="shared" si="34"/>
        <v>318000</v>
      </c>
      <c r="AL85" s="79">
        <v>172032</v>
      </c>
      <c r="AM85" s="80">
        <f t="shared" si="4"/>
        <v>4.9439526115192853E-2</v>
      </c>
      <c r="AN85" s="76">
        <f t="shared" si="5"/>
        <v>283192.72828571429</v>
      </c>
      <c r="AO85" s="102">
        <f t="shared" si="57"/>
        <v>0.50059320656565653</v>
      </c>
      <c r="AP85" s="82">
        <v>0</v>
      </c>
      <c r="AQ85" s="4">
        <v>318</v>
      </c>
      <c r="AR85" s="4">
        <v>2977</v>
      </c>
      <c r="AS85" s="4">
        <v>2242.13</v>
      </c>
      <c r="AT85" s="4">
        <v>3</v>
      </c>
      <c r="AU85" s="4">
        <v>53</v>
      </c>
      <c r="AV85" s="1">
        <v>35</v>
      </c>
      <c r="AW85" s="1">
        <v>7</v>
      </c>
      <c r="AX85" s="1">
        <v>1</v>
      </c>
      <c r="AY85" s="86" t="str">
        <f>IFERROR(VLOOKUP(C85,#REF!,13,0),"")</f>
        <v/>
      </c>
      <c r="AZ85" s="87"/>
      <c r="BA85" s="1" t="str">
        <f t="shared" si="6"/>
        <v>Active</v>
      </c>
      <c r="BB85" s="1" t="e">
        <f t="shared" ca="1" si="7"/>
        <v>#NAME?</v>
      </c>
      <c r="BC85" s="1" t="e">
        <f t="shared" ca="1" si="58"/>
        <v>#NAME?</v>
      </c>
      <c r="BD85" s="33">
        <f t="shared" si="59"/>
        <v>12</v>
      </c>
      <c r="BE85" s="88" t="str">
        <v/>
      </c>
      <c r="BF85" s="1">
        <f t="shared" si="9"/>
        <v>0</v>
      </c>
      <c r="BG85" s="1" t="s">
        <v>428</v>
      </c>
      <c r="BH85" s="89">
        <f ca="1">IFERROR(__xludf.DUMMYFUNCTION("""COMPUTED_VALUE"""),9816935)</f>
        <v>9816935</v>
      </c>
      <c r="BI85" s="89">
        <f ca="1">IFERROR(__xludf.DUMMYFUNCTION("""COMPUTED_VALUE"""),8174122.35)</f>
        <v>8174122.3499999996</v>
      </c>
      <c r="BJ85" s="90"/>
      <c r="BK85" s="91"/>
      <c r="BL85" s="91">
        <f t="shared" si="47"/>
        <v>0</v>
      </c>
      <c r="BM85" s="91">
        <f t="shared" si="11"/>
        <v>19800000</v>
      </c>
      <c r="BN85" s="91"/>
      <c r="BO85" s="92">
        <f ca="1">IFERROR(__xludf.DUMMYFUNCTION("IFERROR(ArrayFormula(SUM(VLOOKUP($C85,importrange(""1MwNMVzWE3QBVOyJjKr3eFX-Sq1Ng0Q1sghWJbgbE_8g"",""ORDER BOOKING REPORT 2024-25!C:CV""),{16,23,30},0))))"),850990.53)</f>
        <v>850990.53</v>
      </c>
      <c r="BP85" s="92">
        <f ca="1">IFERROR(__xludf.DUMMYFUNCTION("IFERROR(ArrayFormula(SUM(VLOOKUP($C85,importrange(""1MwNMVzWE3QBVOyJjKr3eFX-Sq1Ng0Q1sghWJbgbE_8g"",""ORDER BOOKING REPORT 2024-25!C:CV""),{37,44,51},0))))"),2659594.38)</f>
        <v>2659594.38</v>
      </c>
      <c r="BQ85" s="92">
        <f ca="1">IFERROR(__xludf.DUMMYFUNCTION("IFERROR(ArrayFormula(SUM(VLOOKUP($C85,importrange(""1MwNMVzWE3QBVOyJjKr3eFX-Sq1Ng0Q1sghWJbgbE_8g"",""ORDER BOOKING REPORT 2024-25!C:CV""),{58,65,72},0))))"),2210225.91)</f>
        <v>2210225.91</v>
      </c>
      <c r="BR85" s="92">
        <f ca="1">IFERROR(__xludf.DUMMYFUNCTION("IFERROR(ArrayFormula(SUM(VLOOKUP($C85,importrange(""1MwNMVzWE3QBVOyJjKr3eFX-Sq1Ng0Q1sghWJbgbE_8g"",""ORDER BOOKING REPORT 2024-25!C:CV""),{79,86,93},0))))"),2453311.53)</f>
        <v>2453311.5299999998</v>
      </c>
      <c r="BS85" s="93" t="str">
        <f t="shared" si="12"/>
        <v/>
      </c>
      <c r="BT85" s="93" t="str">
        <f t="shared" si="13"/>
        <v/>
      </c>
      <c r="BU85" s="37">
        <f t="shared" si="14"/>
        <v>0</v>
      </c>
      <c r="BV85" s="94">
        <v>26500</v>
      </c>
      <c r="BW85" s="94" t="s">
        <v>445</v>
      </c>
      <c r="BX85" s="94">
        <v>960</v>
      </c>
      <c r="BY85" s="37">
        <f t="shared" si="15"/>
        <v>0</v>
      </c>
      <c r="BZ85" s="37"/>
      <c r="CA85" s="37"/>
      <c r="CB85" s="37"/>
      <c r="CC85" s="37"/>
      <c r="CD85" s="37"/>
      <c r="CE85" s="37"/>
      <c r="CF85" s="37"/>
      <c r="CG85" s="37" t="str">
        <f t="shared" si="18"/>
        <v>Below 60</v>
      </c>
      <c r="CH85" s="37" t="str">
        <f t="shared" si="26"/>
        <v>Business Achieved 50%</v>
      </c>
      <c r="CI85" s="93">
        <f t="shared" si="19"/>
        <v>0.81395348837209303</v>
      </c>
      <c r="CJ85" s="95">
        <f ca="1">IFERROR(__xludf.DUMMYFUNCTION("""COMPUTED_VALUE"""),360)</f>
        <v>360</v>
      </c>
      <c r="CK85" s="95">
        <f ca="1">IFERROR(__xludf.DUMMYFUNCTION("""COMPUTED_VALUE"""),28)</f>
        <v>28</v>
      </c>
      <c r="CL85" s="95">
        <f ca="1">IFERROR(__xludf.DUMMYFUNCTION("""COMPUTED_VALUE"""),0)</f>
        <v>0</v>
      </c>
      <c r="CM85" s="96">
        <f t="shared" ca="1" si="20"/>
        <v>0</v>
      </c>
      <c r="CN85" s="103"/>
      <c r="CO85" s="4"/>
      <c r="CP85" s="100"/>
      <c r="CQ85" s="101"/>
      <c r="CR85" s="4"/>
      <c r="CS85" s="4"/>
      <c r="CT85" s="4"/>
      <c r="CU85" s="4"/>
      <c r="CV85" s="4"/>
      <c r="CW85" s="101"/>
      <c r="CX85" s="51"/>
      <c r="CY85" s="4"/>
      <c r="CZ85" s="4"/>
    </row>
    <row r="86" spans="1:104" ht="15.6">
      <c r="A86" s="1" t="s">
        <v>201</v>
      </c>
      <c r="B86" s="1" t="s">
        <v>469</v>
      </c>
      <c r="C86" s="1" t="s">
        <v>208</v>
      </c>
      <c r="D86" s="1" t="s">
        <v>432</v>
      </c>
      <c r="E86" s="1" t="s">
        <v>552</v>
      </c>
      <c r="F86" s="104">
        <v>45145</v>
      </c>
      <c r="G86" s="76">
        <v>0</v>
      </c>
      <c r="H86" s="76">
        <v>21999996</v>
      </c>
      <c r="I86" s="77">
        <v>12697967.43</v>
      </c>
      <c r="J86" s="77">
        <v>136605.10999999999</v>
      </c>
      <c r="K86" s="4">
        <v>67</v>
      </c>
      <c r="L86" s="4">
        <v>73</v>
      </c>
      <c r="M86" s="4">
        <v>10</v>
      </c>
      <c r="N86" s="4">
        <v>77</v>
      </c>
      <c r="O86" s="4">
        <v>4</v>
      </c>
      <c r="P86" s="77">
        <v>11955008.029999999</v>
      </c>
      <c r="Q86" s="77">
        <v>742959.4</v>
      </c>
      <c r="R86" s="4">
        <v>48</v>
      </c>
      <c r="S86" s="4">
        <v>10</v>
      </c>
      <c r="T86" s="4">
        <v>58</v>
      </c>
      <c r="U86" s="4">
        <v>1</v>
      </c>
      <c r="V86" s="4">
        <v>78</v>
      </c>
      <c r="W86" s="4">
        <v>129</v>
      </c>
      <c r="X86" s="4">
        <v>156</v>
      </c>
      <c r="Y86" s="4">
        <v>3</v>
      </c>
      <c r="Z86" s="4">
        <v>86</v>
      </c>
      <c r="AA86" s="4">
        <v>1</v>
      </c>
      <c r="AB86" s="4">
        <v>7</v>
      </c>
      <c r="AC86" s="4">
        <v>0</v>
      </c>
      <c r="AD86" s="4">
        <v>0</v>
      </c>
      <c r="AE86" s="4">
        <v>956</v>
      </c>
      <c r="AF86" s="4">
        <v>1178</v>
      </c>
      <c r="AG86" s="4">
        <v>281</v>
      </c>
      <c r="AH86" s="76">
        <f t="shared" si="1"/>
        <v>45674.635373665478</v>
      </c>
      <c r="AI86" s="76">
        <f t="shared" si="2"/>
        <v>4.1921708185053381</v>
      </c>
      <c r="AJ86" s="78">
        <f>BV86</f>
        <v>36187</v>
      </c>
      <c r="AK86" s="76">
        <f t="shared" si="34"/>
        <v>434244</v>
      </c>
      <c r="AL86" s="49">
        <v>142066</v>
      </c>
      <c r="AM86" s="80">
        <f t="shared" si="4"/>
        <v>4.4902936829713851E-2</v>
      </c>
      <c r="AN86" s="76">
        <f t="shared" si="5"/>
        <v>218930.47293103448</v>
      </c>
      <c r="AO86" s="102">
        <f t="shared" si="57"/>
        <v>0.58338976697995759</v>
      </c>
      <c r="AP86" s="82">
        <v>0</v>
      </c>
      <c r="AQ86" s="4">
        <v>566</v>
      </c>
      <c r="AR86" s="4">
        <v>2632</v>
      </c>
      <c r="AS86" s="4">
        <v>2509.8000000000002</v>
      </c>
      <c r="AT86" s="4">
        <v>10</v>
      </c>
      <c r="AU86" s="4">
        <v>34</v>
      </c>
      <c r="AV86" s="1">
        <v>58</v>
      </c>
      <c r="AW86" s="1">
        <v>16</v>
      </c>
      <c r="AX86" s="1">
        <v>3</v>
      </c>
      <c r="AY86" s="86" t="str">
        <f>IFERROR(VLOOKUP(C86,#REF!,13,0),"")</f>
        <v/>
      </c>
      <c r="AZ86" s="87"/>
      <c r="BA86" s="1" t="str">
        <f t="shared" si="6"/>
        <v>Active</v>
      </c>
      <c r="BB86" s="1" t="e">
        <f t="shared" ca="1" si="7"/>
        <v>#NAME?</v>
      </c>
      <c r="BC86" s="1" t="e">
        <f t="shared" ca="1" si="58"/>
        <v>#NAME?</v>
      </c>
      <c r="BD86" s="33">
        <f t="shared" si="59"/>
        <v>12</v>
      </c>
      <c r="BE86" s="88" t="str">
        <v/>
      </c>
      <c r="BF86" s="1">
        <f t="shared" si="9"/>
        <v>0</v>
      </c>
      <c r="BG86" s="1" t="s">
        <v>428</v>
      </c>
      <c r="BH86" s="89">
        <f ca="1">IFERROR(__xludf.DUMMYFUNCTION("""COMPUTED_VALUE"""),11115196.6599999)</f>
        <v>11115196.6599999</v>
      </c>
      <c r="BI86" s="89">
        <f ca="1">IFERROR(__xludf.DUMMYFUNCTION("""COMPUTED_VALUE"""),11198150.5999999)</f>
        <v>11198150.599999901</v>
      </c>
      <c r="BJ86" s="90"/>
      <c r="BK86" s="91"/>
      <c r="BL86" s="91">
        <f t="shared" si="47"/>
        <v>0</v>
      </c>
      <c r="BM86" s="91">
        <f t="shared" si="11"/>
        <v>21999996</v>
      </c>
      <c r="BN86" s="91"/>
      <c r="BO86" s="92">
        <f ca="1">IFERROR(__xludf.DUMMYFUNCTION("IFERROR(ArrayFormula(SUM(VLOOKUP($C86,importrange(""1MwNMVzWE3QBVOyJjKr3eFX-Sq1Ng0Q1sghWJbgbE_8g"",""ORDER BOOKING REPORT 2024-25!C:CV""),{16,23,30},0))))"),1458156.81)</f>
        <v>1458156.81</v>
      </c>
      <c r="BP86" s="92">
        <f ca="1">IFERROR(__xludf.DUMMYFUNCTION("IFERROR(ArrayFormula(SUM(VLOOKUP($C86,importrange(""1MwNMVzWE3QBVOyJjKr3eFX-Sq1Ng0Q1sghWJbgbE_8g"",""ORDER BOOKING REPORT 2024-25!C:CV""),{37,44,51},0))))"),2238321.13999999)</f>
        <v>2238321.1399999899</v>
      </c>
      <c r="BQ86" s="92">
        <f ca="1">IFERROR(__xludf.DUMMYFUNCTION("IFERROR(ArrayFormula(SUM(VLOOKUP($C86,importrange(""1MwNMVzWE3QBVOyJjKr3eFX-Sq1Ng0Q1sghWJbgbE_8g"",""ORDER BOOKING REPORT 2024-25!C:CV""),{58,65,72},0))))"),4142341.41999999)</f>
        <v>4142341.4199999901</v>
      </c>
      <c r="BR86" s="92">
        <f ca="1">IFERROR(__xludf.DUMMYFUNCTION("IFERROR(ArrayFormula(SUM(VLOOKUP($C86,importrange(""1MwNMVzWE3QBVOyJjKr3eFX-Sq1Ng0Q1sghWJbgbE_8g"",""ORDER BOOKING REPORT 2024-25!C:CV""),{79,86,93},0))))"),3359331.23)</f>
        <v>3359331.23</v>
      </c>
      <c r="BS86" s="93" t="str">
        <f t="shared" si="12"/>
        <v/>
      </c>
      <c r="BT86" s="93" t="str">
        <f t="shared" si="13"/>
        <v/>
      </c>
      <c r="BU86" s="37">
        <f t="shared" si="14"/>
        <v>0</v>
      </c>
      <c r="BV86" s="94">
        <v>36187</v>
      </c>
      <c r="BW86" s="94" t="s">
        <v>445</v>
      </c>
      <c r="BX86" s="94">
        <v>972</v>
      </c>
      <c r="BY86" s="37">
        <f t="shared" si="15"/>
        <v>0</v>
      </c>
      <c r="BZ86" s="37"/>
      <c r="CA86" s="37"/>
      <c r="CB86" s="37"/>
      <c r="CC86" s="37"/>
      <c r="CD86" s="37"/>
      <c r="CE86" s="37"/>
      <c r="CF86" s="37"/>
      <c r="CG86" s="37" t="str">
        <f t="shared" si="18"/>
        <v xml:space="preserve"> </v>
      </c>
      <c r="CH86" s="37" t="str">
        <f t="shared" si="26"/>
        <v>Business Achieved 50%</v>
      </c>
      <c r="CI86" s="93">
        <f t="shared" si="19"/>
        <v>0.75324675324675328</v>
      </c>
      <c r="CJ86" s="105">
        <f ca="1">IFERROR(__xludf.DUMMYFUNCTION("""COMPUTED_VALUE"""),835)</f>
        <v>835</v>
      </c>
      <c r="CK86" s="105">
        <f ca="1">IFERROR(__xludf.DUMMYFUNCTION("""COMPUTED_VALUE"""),121)</f>
        <v>121</v>
      </c>
      <c r="CL86" s="105">
        <f ca="1">IFERROR(__xludf.DUMMYFUNCTION("""COMPUTED_VALUE"""),0)</f>
        <v>0</v>
      </c>
      <c r="CM86" s="96">
        <f t="shared" ca="1" si="20"/>
        <v>0</v>
      </c>
      <c r="CN86" s="106"/>
      <c r="CO86" s="93"/>
      <c r="CP86" s="107"/>
      <c r="CQ86" s="110"/>
      <c r="CR86" s="93"/>
      <c r="CS86" s="93"/>
      <c r="CT86" s="93"/>
      <c r="CU86" s="93"/>
      <c r="CV86" s="93"/>
      <c r="CW86" s="93"/>
      <c r="CX86" s="51"/>
      <c r="CY86" s="93"/>
      <c r="CZ86" s="93"/>
    </row>
    <row r="87" spans="1:104" ht="15.6">
      <c r="A87" s="1" t="s">
        <v>118</v>
      </c>
      <c r="B87" s="1" t="s">
        <v>362</v>
      </c>
      <c r="C87" s="1" t="s">
        <v>210</v>
      </c>
      <c r="D87" s="1" t="s">
        <v>419</v>
      </c>
      <c r="E87" s="1" t="s">
        <v>553</v>
      </c>
      <c r="F87" s="48">
        <v>45148</v>
      </c>
      <c r="G87" s="76">
        <v>0</v>
      </c>
      <c r="H87" s="76">
        <v>15599997</v>
      </c>
      <c r="I87" s="77">
        <v>9834471.9499999993</v>
      </c>
      <c r="J87" s="77">
        <v>0</v>
      </c>
      <c r="K87" s="4">
        <v>89</v>
      </c>
      <c r="L87" s="4">
        <v>99</v>
      </c>
      <c r="M87" s="4">
        <v>12</v>
      </c>
      <c r="N87" s="4">
        <v>101</v>
      </c>
      <c r="O87" s="4">
        <v>2</v>
      </c>
      <c r="P87" s="77">
        <v>7920819.0700000003</v>
      </c>
      <c r="Q87" s="77">
        <v>1913652.88</v>
      </c>
      <c r="R87" s="4">
        <v>53</v>
      </c>
      <c r="S87" s="4">
        <v>8</v>
      </c>
      <c r="T87" s="4">
        <v>61</v>
      </c>
      <c r="U87" s="4">
        <v>0</v>
      </c>
      <c r="V87" s="4">
        <v>69</v>
      </c>
      <c r="W87" s="4">
        <v>120</v>
      </c>
      <c r="X87" s="4">
        <v>186</v>
      </c>
      <c r="Y87" s="4">
        <v>2</v>
      </c>
      <c r="Z87" s="4">
        <v>69</v>
      </c>
      <c r="AA87" s="4">
        <v>0</v>
      </c>
      <c r="AB87" s="4">
        <v>0</v>
      </c>
      <c r="AC87" s="4">
        <v>0</v>
      </c>
      <c r="AD87" s="4">
        <v>0</v>
      </c>
      <c r="AE87" s="4">
        <v>946</v>
      </c>
      <c r="AF87" s="4">
        <v>1135</v>
      </c>
      <c r="AG87" s="4">
        <v>207</v>
      </c>
      <c r="AH87" s="76">
        <f t="shared" si="1"/>
        <v>47509.526328502412</v>
      </c>
      <c r="AI87" s="76">
        <f t="shared" si="2"/>
        <v>5.4830917874396139</v>
      </c>
      <c r="AJ87" s="78">
        <v>26870</v>
      </c>
      <c r="AK87" s="76">
        <f t="shared" si="34"/>
        <v>241830</v>
      </c>
      <c r="AL87" s="79">
        <v>98770</v>
      </c>
      <c r="AM87" s="80">
        <f t="shared" si="4"/>
        <v>3.4633277895515277E-2</v>
      </c>
      <c r="AN87" s="76">
        <f t="shared" si="5"/>
        <v>161220.85163934424</v>
      </c>
      <c r="AO87" s="102">
        <f t="shared" si="57"/>
        <v>0.63041498982339539</v>
      </c>
      <c r="AP87" s="82">
        <v>0</v>
      </c>
      <c r="AQ87" s="4">
        <v>208</v>
      </c>
      <c r="AR87" s="4">
        <v>2358</v>
      </c>
      <c r="AS87" s="4">
        <v>0</v>
      </c>
      <c r="AT87" s="4">
        <v>8</v>
      </c>
      <c r="AU87" s="4">
        <v>0</v>
      </c>
      <c r="AV87" s="1">
        <v>61</v>
      </c>
      <c r="AW87" s="1">
        <v>38</v>
      </c>
      <c r="AX87" s="1">
        <v>2</v>
      </c>
      <c r="AY87" s="86" t="str">
        <f>IFERROR(VLOOKUP(C87,#REF!,13,0),"")</f>
        <v/>
      </c>
      <c r="AZ87" s="87">
        <v>46022</v>
      </c>
      <c r="BA87" s="1" t="str">
        <f t="shared" si="6"/>
        <v>LEFT</v>
      </c>
      <c r="BB87" s="1" t="e">
        <f t="shared" ca="1" si="7"/>
        <v>#NAME?</v>
      </c>
      <c r="BC87" s="1" t="e">
        <f t="shared" ca="1" si="58"/>
        <v>#NAME?</v>
      </c>
      <c r="BD87" s="33">
        <v>9</v>
      </c>
      <c r="BE87" s="88" t="str">
        <v/>
      </c>
      <c r="BF87" s="1">
        <f t="shared" si="9"/>
        <v>4</v>
      </c>
      <c r="BG87" s="1" t="s">
        <v>428</v>
      </c>
      <c r="BH87" s="89">
        <f ca="1">IFERROR(__xludf.DUMMYFUNCTION("""COMPUTED_VALUE"""),13172623)</f>
        <v>13172623</v>
      </c>
      <c r="BI87" s="89">
        <f ca="1">IFERROR(__xludf.DUMMYFUNCTION("""COMPUTED_VALUE"""),13228524.7199999)</f>
        <v>13228524.7199999</v>
      </c>
      <c r="BJ87" s="90"/>
      <c r="BK87" s="91"/>
      <c r="BL87" s="91">
        <f t="shared" si="47"/>
        <v>0</v>
      </c>
      <c r="BM87" s="91">
        <f t="shared" si="11"/>
        <v>15599997</v>
      </c>
      <c r="BN87" s="91"/>
      <c r="BO87" s="92">
        <f ca="1">IFERROR(__xludf.DUMMYFUNCTION("IFERROR(ArrayFormula(SUM(VLOOKUP($C87,importrange(""1MwNMVzWE3QBVOyJjKr3eFX-Sq1Ng0Q1sghWJbgbE_8g"",""ORDER BOOKING REPORT 2024-25!C:CV""),{16,23,30},0))))"),2509317.71999999)</f>
        <v>2509317.71999999</v>
      </c>
      <c r="BP87" s="92">
        <f ca="1">IFERROR(__xludf.DUMMYFUNCTION("IFERROR(ArrayFormula(SUM(VLOOKUP($C87,importrange(""1MwNMVzWE3QBVOyJjKr3eFX-Sq1Ng0Q1sghWJbgbE_8g"",""ORDER BOOKING REPORT 2024-25!C:CV""),{37,44,51},0))))"),2818173.44999999)</f>
        <v>2818173.4499999899</v>
      </c>
      <c r="BQ87" s="92">
        <f ca="1">IFERROR(__xludf.DUMMYFUNCTION("IFERROR(ArrayFormula(SUM(VLOOKUP($C87,importrange(""1MwNMVzWE3QBVOyJjKr3eFX-Sq1Ng0Q1sghWJbgbE_8g"",""ORDER BOOKING REPORT 2024-25!C:CV""),{58,65,72},0))))"),4068084.65)</f>
        <v>4068084.65</v>
      </c>
      <c r="BR87" s="92">
        <f ca="1">IFERROR(__xludf.DUMMYFUNCTION("IFERROR(ArrayFormula(SUM(VLOOKUP($C87,importrange(""1MwNMVzWE3QBVOyJjKr3eFX-Sq1Ng0Q1sghWJbgbE_8g"",""ORDER BOOKING REPORT 2024-25!C:CV""),{79,86,93},0))))"),3832948.9)</f>
        <v>3832948.9</v>
      </c>
      <c r="BS87" s="93" t="str">
        <f t="shared" si="12"/>
        <v/>
      </c>
      <c r="BT87" s="93" t="str">
        <f t="shared" si="13"/>
        <v/>
      </c>
      <c r="BU87" s="37">
        <f t="shared" si="14"/>
        <v>0</v>
      </c>
      <c r="BV87" s="94">
        <v>26870</v>
      </c>
      <c r="BW87" s="94" t="s">
        <v>476</v>
      </c>
      <c r="BX87" s="94">
        <v>974</v>
      </c>
      <c r="BY87" s="37">
        <f t="shared" si="15"/>
        <v>0</v>
      </c>
      <c r="BZ87" s="37"/>
      <c r="CA87" s="37"/>
      <c r="CB87" s="37"/>
      <c r="CC87" s="37"/>
      <c r="CD87" s="37"/>
      <c r="CE87" s="37"/>
      <c r="CF87" s="37"/>
      <c r="CG87" s="37" t="str">
        <f t="shared" si="18"/>
        <v xml:space="preserve"> </v>
      </c>
      <c r="CH87" s="37" t="str">
        <f t="shared" si="26"/>
        <v>Business Achieved 50%</v>
      </c>
      <c r="CI87" s="93">
        <f t="shared" si="19"/>
        <v>0.60396039603960394</v>
      </c>
      <c r="CJ87" s="95">
        <f ca="1">IFERROR(__xludf.DUMMYFUNCTION("""COMPUTED_VALUE"""),722)</f>
        <v>722</v>
      </c>
      <c r="CK87" s="95">
        <f ca="1">IFERROR(__xludf.DUMMYFUNCTION("""COMPUTED_VALUE"""),224)</f>
        <v>224</v>
      </c>
      <c r="CL87" s="95">
        <f ca="1">IFERROR(__xludf.DUMMYFUNCTION("""COMPUTED_VALUE"""),0)</f>
        <v>0</v>
      </c>
      <c r="CM87" s="96">
        <f t="shared" ca="1" si="20"/>
        <v>0</v>
      </c>
      <c r="CN87" s="103"/>
      <c r="CO87" s="4"/>
      <c r="CP87" s="100"/>
      <c r="CQ87" s="101"/>
      <c r="CR87" s="4"/>
      <c r="CS87" s="4"/>
      <c r="CT87" s="4"/>
      <c r="CU87" s="4"/>
      <c r="CV87" s="4"/>
      <c r="CW87" s="101"/>
      <c r="CX87" s="51"/>
      <c r="CY87" s="4"/>
      <c r="CZ87" s="4"/>
    </row>
    <row r="88" spans="1:104" ht="15.6">
      <c r="A88" s="1" t="s">
        <v>201</v>
      </c>
      <c r="B88" s="1" t="s">
        <v>469</v>
      </c>
      <c r="C88" s="1" t="s">
        <v>211</v>
      </c>
      <c r="D88" s="1" t="s">
        <v>470</v>
      </c>
      <c r="E88" s="1" t="s">
        <v>471</v>
      </c>
      <c r="F88" s="48">
        <v>45152</v>
      </c>
      <c r="G88" s="76">
        <v>0</v>
      </c>
      <c r="H88" s="76">
        <v>24000000</v>
      </c>
      <c r="I88" s="77">
        <v>23083016.379999999</v>
      </c>
      <c r="J88" s="77">
        <v>0</v>
      </c>
      <c r="K88" s="4">
        <v>89</v>
      </c>
      <c r="L88" s="4">
        <v>127</v>
      </c>
      <c r="M88" s="4">
        <v>50</v>
      </c>
      <c r="N88" s="4">
        <v>139</v>
      </c>
      <c r="O88" s="4">
        <v>12</v>
      </c>
      <c r="P88" s="77">
        <v>16527943.09</v>
      </c>
      <c r="Q88" s="77">
        <v>6555073.29</v>
      </c>
      <c r="R88" s="4">
        <v>59</v>
      </c>
      <c r="S88" s="4">
        <v>43</v>
      </c>
      <c r="T88" s="4">
        <v>102</v>
      </c>
      <c r="U88" s="4">
        <v>0</v>
      </c>
      <c r="V88" s="4">
        <v>88</v>
      </c>
      <c r="W88" s="4">
        <v>129</v>
      </c>
      <c r="X88" s="4">
        <v>212</v>
      </c>
      <c r="Y88" s="4">
        <v>4</v>
      </c>
      <c r="Z88" s="4">
        <v>73</v>
      </c>
      <c r="AA88" s="4">
        <v>0</v>
      </c>
      <c r="AB88" s="4">
        <v>0</v>
      </c>
      <c r="AC88" s="4">
        <v>1</v>
      </c>
      <c r="AD88" s="4">
        <v>72</v>
      </c>
      <c r="AE88" s="4">
        <v>821</v>
      </c>
      <c r="AF88" s="4">
        <v>1095</v>
      </c>
      <c r="AG88" s="4">
        <v>287</v>
      </c>
      <c r="AH88" s="76">
        <f t="shared" si="1"/>
        <v>80428.628501742161</v>
      </c>
      <c r="AI88" s="76">
        <f t="shared" si="2"/>
        <v>3.8153310104529616</v>
      </c>
      <c r="AJ88" s="78">
        <f>BV88</f>
        <v>43314</v>
      </c>
      <c r="AK88" s="76">
        <f>(AJ88*4)+(49810*8)</f>
        <v>571736</v>
      </c>
      <c r="AL88" s="49">
        <v>171116</v>
      </c>
      <c r="AM88" s="80">
        <f t="shared" si="4"/>
        <v>3.2181755961653048E-2</v>
      </c>
      <c r="AN88" s="76">
        <f t="shared" si="5"/>
        <v>226304.08215686274</v>
      </c>
      <c r="AO88" s="102">
        <f t="shared" si="57"/>
        <v>0.96179234916666667</v>
      </c>
      <c r="AP88" s="82">
        <v>0</v>
      </c>
      <c r="AQ88" s="4">
        <v>1088</v>
      </c>
      <c r="AR88" s="4">
        <v>2450</v>
      </c>
      <c r="AS88" s="4">
        <v>1210.9000000000001</v>
      </c>
      <c r="AT88" s="4">
        <v>43</v>
      </c>
      <c r="AU88" s="4">
        <v>10</v>
      </c>
      <c r="AV88" s="1">
        <v>102</v>
      </c>
      <c r="AW88" s="1">
        <v>30</v>
      </c>
      <c r="AX88" s="1">
        <v>7</v>
      </c>
      <c r="AY88" s="86" t="str">
        <f>IFERROR(VLOOKUP(C88,#REF!,13,0),"")</f>
        <v/>
      </c>
      <c r="AZ88" s="87"/>
      <c r="BA88" s="1" t="str">
        <f t="shared" si="6"/>
        <v>Active</v>
      </c>
      <c r="BB88" s="1" t="e">
        <f t="shared" ca="1" si="7"/>
        <v>#NAME?</v>
      </c>
      <c r="BC88" s="1" t="e">
        <f t="shared" ca="1" si="58"/>
        <v>#NAME?</v>
      </c>
      <c r="BD88" s="33">
        <f t="shared" ref="BD88:BD90" si="61">MATCH($BD$2,{"Apr","May","Jun","Jul","Aug","Sep","Oct","Nov","Dec","Jan","Feb","Mar"},0)</f>
        <v>12</v>
      </c>
      <c r="BE88" s="88" t="str">
        <v/>
      </c>
      <c r="BF88" s="1">
        <f t="shared" si="9"/>
        <v>7</v>
      </c>
      <c r="BG88" s="1" t="s">
        <v>428</v>
      </c>
      <c r="BH88" s="89">
        <f ca="1">IFERROR(__xludf.DUMMYFUNCTION("""COMPUTED_VALUE"""),8371588)</f>
        <v>8371588</v>
      </c>
      <c r="BI88" s="89">
        <f ca="1">IFERROR(__xludf.DUMMYFUNCTION("""COMPUTED_VALUE"""),10107938.5599999)</f>
        <v>10107938.5599999</v>
      </c>
      <c r="BJ88" s="90"/>
      <c r="BK88" s="91"/>
      <c r="BL88" s="91">
        <f t="shared" si="47"/>
        <v>0</v>
      </c>
      <c r="BM88" s="91">
        <f t="shared" si="11"/>
        <v>24000000</v>
      </c>
      <c r="BN88" s="91"/>
      <c r="BO88" s="92">
        <f ca="1">IFERROR(__xludf.DUMMYFUNCTION("IFERROR(ArrayFormula(SUM(VLOOKUP($C88,importrange(""1MwNMVzWE3QBVOyJjKr3eFX-Sq1Ng0Q1sghWJbgbE_8g"",""ORDER BOOKING REPORT 2024-25!C:CV""),{16,23,30},0))))"),1557026.39)</f>
        <v>1557026.39</v>
      </c>
      <c r="BP88" s="92">
        <f ca="1">IFERROR(__xludf.DUMMYFUNCTION("IFERROR(ArrayFormula(SUM(VLOOKUP($C88,importrange(""1MwNMVzWE3QBVOyJjKr3eFX-Sq1Ng0Q1sghWJbgbE_8g"",""ORDER BOOKING REPORT 2024-25!C:CV""),{37,44,51},0))))"),2685373.00999999)</f>
        <v>2685373.00999999</v>
      </c>
      <c r="BQ88" s="92">
        <f ca="1">IFERROR(__xludf.DUMMYFUNCTION("IFERROR(ArrayFormula(SUM(VLOOKUP($C88,importrange(""1MwNMVzWE3QBVOyJjKr3eFX-Sq1Ng0Q1sghWJbgbE_8g"",""ORDER BOOKING REPORT 2024-25!C:CV""),{58,65,72},0))))"),2293437.95)</f>
        <v>2293437.9500000002</v>
      </c>
      <c r="BR88" s="92">
        <f ca="1">IFERROR(__xludf.DUMMYFUNCTION("IFERROR(ArrayFormula(SUM(VLOOKUP($C88,importrange(""1MwNMVzWE3QBVOyJjKr3eFX-Sq1Ng0Q1sghWJbgbE_8g"",""ORDER BOOKING REPORT 2024-25!C:CV""),{79,86,93},0))))"),3572101.20999999)</f>
        <v>3572101.2099999902</v>
      </c>
      <c r="BS88" s="93" t="str">
        <f t="shared" si="12"/>
        <v/>
      </c>
      <c r="BT88" s="93" t="str">
        <f t="shared" si="13"/>
        <v/>
      </c>
      <c r="BU88" s="37">
        <f t="shared" si="14"/>
        <v>0</v>
      </c>
      <c r="BV88" s="94">
        <v>43314</v>
      </c>
      <c r="BW88" s="94" t="s">
        <v>462</v>
      </c>
      <c r="BX88" s="94">
        <v>976</v>
      </c>
      <c r="BY88" s="37">
        <f t="shared" si="15"/>
        <v>0</v>
      </c>
      <c r="BZ88" s="37"/>
      <c r="CA88" s="37"/>
      <c r="CB88" s="37"/>
      <c r="CC88" s="37"/>
      <c r="CD88" s="37"/>
      <c r="CE88" s="37"/>
      <c r="CF88" s="37"/>
      <c r="CG88" s="37" t="str">
        <f t="shared" si="18"/>
        <v xml:space="preserve"> </v>
      </c>
      <c r="CH88" s="37" t="str">
        <f t="shared" si="26"/>
        <v>Business Achieved 50%</v>
      </c>
      <c r="CI88" s="93">
        <f t="shared" si="19"/>
        <v>0.73381294964028776</v>
      </c>
      <c r="CJ88" s="105">
        <f ca="1">IFERROR(__xludf.DUMMYFUNCTION("""COMPUTED_VALUE"""),705)</f>
        <v>705</v>
      </c>
      <c r="CK88" s="105">
        <f ca="1">IFERROR(__xludf.DUMMYFUNCTION("""COMPUTED_VALUE"""),116)</f>
        <v>116</v>
      </c>
      <c r="CL88" s="105">
        <f ca="1">IFERROR(__xludf.DUMMYFUNCTION("""COMPUTED_VALUE"""),0)</f>
        <v>0</v>
      </c>
      <c r="CM88" s="96">
        <f t="shared" ca="1" si="20"/>
        <v>0</v>
      </c>
      <c r="CN88" s="106"/>
      <c r="CO88" s="93"/>
      <c r="CP88" s="107"/>
      <c r="CQ88" s="110"/>
      <c r="CR88" s="93"/>
      <c r="CS88" s="93"/>
      <c r="CT88" s="93"/>
      <c r="CU88" s="93"/>
      <c r="CV88" s="93"/>
      <c r="CW88" s="93"/>
      <c r="CX88" s="51"/>
      <c r="CY88" s="93"/>
      <c r="CZ88" s="93"/>
    </row>
    <row r="89" spans="1:104" ht="15.6">
      <c r="A89" s="1" t="s">
        <v>124</v>
      </c>
      <c r="B89" s="1" t="s">
        <v>443</v>
      </c>
      <c r="C89" s="1" t="s">
        <v>212</v>
      </c>
      <c r="D89" s="1" t="s">
        <v>517</v>
      </c>
      <c r="E89" s="1" t="s">
        <v>554</v>
      </c>
      <c r="F89" s="48">
        <v>45159</v>
      </c>
      <c r="G89" s="76">
        <v>0</v>
      </c>
      <c r="H89" s="76">
        <v>18000000</v>
      </c>
      <c r="I89" s="77">
        <v>11028358.970000001</v>
      </c>
      <c r="J89" s="77">
        <v>0</v>
      </c>
      <c r="K89" s="4">
        <v>65</v>
      </c>
      <c r="L89" s="4">
        <v>69</v>
      </c>
      <c r="M89" s="4">
        <v>8</v>
      </c>
      <c r="N89" s="4">
        <v>73</v>
      </c>
      <c r="O89" s="4">
        <v>4</v>
      </c>
      <c r="P89" s="77">
        <v>10258428.17</v>
      </c>
      <c r="Q89" s="77">
        <v>769930.8</v>
      </c>
      <c r="R89" s="4">
        <v>45</v>
      </c>
      <c r="S89" s="4">
        <v>8</v>
      </c>
      <c r="T89" s="4">
        <v>53</v>
      </c>
      <c r="U89" s="4">
        <v>0</v>
      </c>
      <c r="V89" s="4">
        <v>73</v>
      </c>
      <c r="W89" s="4">
        <v>163</v>
      </c>
      <c r="X89" s="4">
        <v>120</v>
      </c>
      <c r="Y89" s="4">
        <v>1</v>
      </c>
      <c r="Z89" s="4">
        <v>4</v>
      </c>
      <c r="AA89" s="4">
        <v>0</v>
      </c>
      <c r="AB89" s="4">
        <v>0</v>
      </c>
      <c r="AC89" s="4">
        <v>0</v>
      </c>
      <c r="AD89" s="4">
        <v>0</v>
      </c>
      <c r="AE89" s="4">
        <v>1375</v>
      </c>
      <c r="AF89" s="4">
        <v>1542</v>
      </c>
      <c r="AG89" s="4">
        <v>297</v>
      </c>
      <c r="AH89" s="76">
        <f t="shared" si="1"/>
        <v>37132.521784511788</v>
      </c>
      <c r="AI89" s="76">
        <f t="shared" si="2"/>
        <v>5.191919191919192</v>
      </c>
      <c r="AJ89" s="78">
        <v>30195</v>
      </c>
      <c r="AK89" s="76">
        <f t="shared" ref="AK89:AK243" si="62">AJ89*BD89</f>
        <v>362340</v>
      </c>
      <c r="AL89" s="79">
        <v>142789</v>
      </c>
      <c r="AM89" s="80">
        <f t="shared" si="4"/>
        <v>4.5802734692811688E-2</v>
      </c>
      <c r="AN89" s="76">
        <f t="shared" si="5"/>
        <v>208082.24471698113</v>
      </c>
      <c r="AO89" s="102">
        <f t="shared" si="57"/>
        <v>0.61268660944444453</v>
      </c>
      <c r="AP89" s="82">
        <v>0</v>
      </c>
      <c r="AQ89" s="4">
        <v>320</v>
      </c>
      <c r="AR89" s="4">
        <v>3095</v>
      </c>
      <c r="AS89" s="4">
        <v>3659.2</v>
      </c>
      <c r="AT89" s="4">
        <v>8</v>
      </c>
      <c r="AU89" s="4">
        <v>53</v>
      </c>
      <c r="AV89" s="1">
        <v>53</v>
      </c>
      <c r="AW89" s="1">
        <v>17</v>
      </c>
      <c r="AX89" s="1">
        <v>3</v>
      </c>
      <c r="AY89" s="86" t="str">
        <f>IFERROR(VLOOKUP(C89,#REF!,13,0),"")</f>
        <v/>
      </c>
      <c r="AZ89" s="87"/>
      <c r="BA89" s="1" t="str">
        <f t="shared" si="6"/>
        <v>Active</v>
      </c>
      <c r="BB89" s="1" t="e">
        <f t="shared" ca="1" si="7"/>
        <v>#NAME?</v>
      </c>
      <c r="BC89" s="1" t="e">
        <f t="shared" ca="1" si="58"/>
        <v>#NAME?</v>
      </c>
      <c r="BD89" s="33">
        <f t="shared" si="61"/>
        <v>12</v>
      </c>
      <c r="BE89" s="88" t="str">
        <v/>
      </c>
      <c r="BF89" s="1">
        <f t="shared" si="9"/>
        <v>0</v>
      </c>
      <c r="BG89" s="1" t="s">
        <v>428</v>
      </c>
      <c r="BH89" s="89">
        <f ca="1">IFERROR(__xludf.DUMMYFUNCTION("""COMPUTED_VALUE"""),13420107)</f>
        <v>13420107</v>
      </c>
      <c r="BI89" s="89">
        <f ca="1">IFERROR(__xludf.DUMMYFUNCTION("""COMPUTED_VALUE"""),16570812.39)</f>
        <v>16570812.390000001</v>
      </c>
      <c r="BJ89" s="90"/>
      <c r="BK89" s="91"/>
      <c r="BL89" s="91">
        <f t="shared" si="47"/>
        <v>0</v>
      </c>
      <c r="BM89" s="91">
        <f t="shared" si="11"/>
        <v>18000000</v>
      </c>
      <c r="BN89" s="91"/>
      <c r="BO89" s="92">
        <f ca="1">IFERROR(__xludf.DUMMYFUNCTION("IFERROR(ArrayFormula(SUM(VLOOKUP($C89,importrange(""1MwNMVzWE3QBVOyJjKr3eFX-Sq1Ng0Q1sghWJbgbE_8g"",""ORDER BOOKING REPORT 2024-25!C:CV""),{16,23,30},0))))"),2498936.84999999)</f>
        <v>2498936.8499999898</v>
      </c>
      <c r="BP89" s="92">
        <f ca="1">IFERROR(__xludf.DUMMYFUNCTION("IFERROR(ArrayFormula(SUM(VLOOKUP($C89,importrange(""1MwNMVzWE3QBVOyJjKr3eFX-Sq1Ng0Q1sghWJbgbE_8g"",""ORDER BOOKING REPORT 2024-25!C:CV""),{37,44,51},0))))"),5358629.43999999)</f>
        <v>5358629.4399999902</v>
      </c>
      <c r="BQ89" s="92">
        <f ca="1">IFERROR(__xludf.DUMMYFUNCTION("IFERROR(ArrayFormula(SUM(VLOOKUP($C89,importrange(""1MwNMVzWE3QBVOyJjKr3eFX-Sq1Ng0Q1sghWJbgbE_8g"",""ORDER BOOKING REPORT 2024-25!C:CV""),{58,65,72},0))))"),3408278.21999999)</f>
        <v>3408278.21999999</v>
      </c>
      <c r="BR89" s="92">
        <f ca="1">IFERROR(__xludf.DUMMYFUNCTION("IFERROR(ArrayFormula(SUM(VLOOKUP($C89,importrange(""1MwNMVzWE3QBVOyJjKr3eFX-Sq1Ng0Q1sghWJbgbE_8g"",""ORDER BOOKING REPORT 2024-25!C:CV""),{79,86,93},0))))"),5304967.88)</f>
        <v>5304967.88</v>
      </c>
      <c r="BS89" s="93" t="str">
        <f t="shared" si="12"/>
        <v/>
      </c>
      <c r="BT89" s="93" t="str">
        <f t="shared" si="13"/>
        <v/>
      </c>
      <c r="BU89" s="37">
        <f t="shared" si="14"/>
        <v>0</v>
      </c>
      <c r="BV89" s="94">
        <v>30195</v>
      </c>
      <c r="BW89" s="94" t="s">
        <v>476</v>
      </c>
      <c r="BX89" s="94">
        <v>975</v>
      </c>
      <c r="BY89" s="37">
        <f t="shared" si="15"/>
        <v>0</v>
      </c>
      <c r="BZ89" s="37"/>
      <c r="CA89" s="37"/>
      <c r="CB89" s="37"/>
      <c r="CC89" s="37"/>
      <c r="CD89" s="37"/>
      <c r="CE89" s="37"/>
      <c r="CF89" s="37"/>
      <c r="CG89" s="37" t="str">
        <f t="shared" si="18"/>
        <v xml:space="preserve"> </v>
      </c>
      <c r="CH89" s="37" t="str">
        <f t="shared" si="26"/>
        <v>Business Achieved 50%</v>
      </c>
      <c r="CI89" s="93">
        <f t="shared" si="19"/>
        <v>0.72602739726027399</v>
      </c>
      <c r="CJ89" s="95">
        <f ca="1">IFERROR(__xludf.DUMMYFUNCTION("""COMPUTED_VALUE"""),1229)</f>
        <v>1229</v>
      </c>
      <c r="CK89" s="95">
        <f ca="1">IFERROR(__xludf.DUMMYFUNCTION("""COMPUTED_VALUE"""),146)</f>
        <v>146</v>
      </c>
      <c r="CL89" s="95">
        <f ca="1">IFERROR(__xludf.DUMMYFUNCTION("""COMPUTED_VALUE"""),0)</f>
        <v>0</v>
      </c>
      <c r="CM89" s="96">
        <f t="shared" ca="1" si="20"/>
        <v>0</v>
      </c>
      <c r="CN89" s="103"/>
      <c r="CO89" s="4"/>
      <c r="CP89" s="100"/>
      <c r="CQ89" s="101"/>
      <c r="CR89" s="4"/>
      <c r="CS89" s="4"/>
      <c r="CT89" s="4"/>
      <c r="CU89" s="4"/>
      <c r="CV89" s="4"/>
      <c r="CW89" s="101"/>
      <c r="CX89" s="51"/>
      <c r="CY89" s="4"/>
      <c r="CZ89" s="4"/>
    </row>
    <row r="90" spans="1:104" ht="15.6">
      <c r="A90" s="1" t="s">
        <v>118</v>
      </c>
      <c r="B90" s="1" t="s">
        <v>468</v>
      </c>
      <c r="C90" s="1" t="s">
        <v>213</v>
      </c>
      <c r="D90" s="1" t="s">
        <v>509</v>
      </c>
      <c r="E90" s="1" t="s">
        <v>555</v>
      </c>
      <c r="F90" s="104">
        <v>45170</v>
      </c>
      <c r="G90" s="76">
        <v>0</v>
      </c>
      <c r="H90" s="76">
        <v>0</v>
      </c>
      <c r="I90" s="77">
        <v>0</v>
      </c>
      <c r="J90" s="77">
        <v>0</v>
      </c>
      <c r="K90" s="4">
        <v>209</v>
      </c>
      <c r="L90" s="4">
        <v>222</v>
      </c>
      <c r="M90" s="4">
        <v>33</v>
      </c>
      <c r="N90" s="4">
        <v>242</v>
      </c>
      <c r="O90" s="4">
        <v>20</v>
      </c>
      <c r="P90" s="77">
        <v>0</v>
      </c>
      <c r="Q90" s="77">
        <v>0</v>
      </c>
      <c r="R90" s="4">
        <v>0</v>
      </c>
      <c r="S90" s="4">
        <v>0</v>
      </c>
      <c r="T90" s="4">
        <v>0</v>
      </c>
      <c r="U90" s="4">
        <v>0</v>
      </c>
      <c r="V90" s="4">
        <v>76</v>
      </c>
      <c r="W90" s="4">
        <v>111</v>
      </c>
      <c r="X90" s="4">
        <v>22</v>
      </c>
      <c r="Y90" s="4">
        <v>4</v>
      </c>
      <c r="Z90" s="4">
        <v>186</v>
      </c>
      <c r="AA90" s="4">
        <v>0</v>
      </c>
      <c r="AB90" s="4">
        <v>0</v>
      </c>
      <c r="AC90" s="4">
        <v>0</v>
      </c>
      <c r="AD90" s="4">
        <v>0</v>
      </c>
      <c r="AE90" s="4">
        <v>672</v>
      </c>
      <c r="AF90" s="4">
        <v>969</v>
      </c>
      <c r="AG90" s="4">
        <v>277</v>
      </c>
      <c r="AH90" s="76">
        <f t="shared" si="1"/>
        <v>0</v>
      </c>
      <c r="AI90" s="76">
        <f t="shared" si="2"/>
        <v>3.4981949458483754</v>
      </c>
      <c r="AJ90" s="78">
        <v>95640</v>
      </c>
      <c r="AK90" s="76">
        <f t="shared" si="62"/>
        <v>1147680</v>
      </c>
      <c r="AL90" s="79">
        <v>601763</v>
      </c>
      <c r="AM90" s="80" t="str">
        <f t="shared" si="4"/>
        <v/>
      </c>
      <c r="AN90" s="76" t="str">
        <f t="shared" si="5"/>
        <v/>
      </c>
      <c r="AO90" s="49" t="s">
        <v>161</v>
      </c>
      <c r="AP90" s="82">
        <v>0</v>
      </c>
      <c r="AQ90" s="4">
        <v>0</v>
      </c>
      <c r="AR90" s="4">
        <v>2656</v>
      </c>
      <c r="AS90" s="4">
        <v>1970.33</v>
      </c>
      <c r="AT90" s="4">
        <v>0</v>
      </c>
      <c r="AU90" s="4">
        <v>9</v>
      </c>
      <c r="AV90" s="1">
        <v>0</v>
      </c>
      <c r="AW90" s="1">
        <v>222</v>
      </c>
      <c r="AX90" s="1">
        <v>20</v>
      </c>
      <c r="AY90" s="86" t="str">
        <f>IFERROR(VLOOKUP(C90,#REF!,13,0),"")</f>
        <v/>
      </c>
      <c r="AZ90" s="87"/>
      <c r="BA90" s="1" t="str">
        <f t="shared" si="6"/>
        <v>Active</v>
      </c>
      <c r="BB90" s="1" t="e">
        <f t="shared" ca="1" si="7"/>
        <v>#NAME?</v>
      </c>
      <c r="BC90" s="4" t="s">
        <v>161</v>
      </c>
      <c r="BD90" s="33">
        <f t="shared" si="61"/>
        <v>12</v>
      </c>
      <c r="BE90" s="88" t="str">
        <v/>
      </c>
      <c r="BF90" s="1">
        <f t="shared" si="9"/>
        <v>33</v>
      </c>
      <c r="BG90" s="37" t="s">
        <v>423</v>
      </c>
      <c r="BH90" s="89"/>
      <c r="BI90" s="89"/>
      <c r="BJ90" s="90"/>
      <c r="BK90" s="91"/>
      <c r="BL90" s="91">
        <f t="shared" si="47"/>
        <v>0</v>
      </c>
      <c r="BM90" s="91">
        <f t="shared" si="11"/>
        <v>0</v>
      </c>
      <c r="BN90" s="91"/>
      <c r="BO90" s="92" t="str">
        <f ca="1">IFERROR(__xludf.DUMMYFUNCTION("IFERROR(ArrayFormula(SUM(VLOOKUP($C90,importrange(""1MwNMVzWE3QBVOyJjKr3eFX-Sq1Ng0Q1sghWJbgbE_8g"",""ORDER BOOKING REPORT 2024-25!C:CV""),{16,23,30},0))))"),"")</f>
        <v/>
      </c>
      <c r="BP90" s="92" t="str">
        <f ca="1">IFERROR(__xludf.DUMMYFUNCTION("IFERROR(ArrayFormula(SUM(VLOOKUP($C90,importrange(""1MwNMVzWE3QBVOyJjKr3eFX-Sq1Ng0Q1sghWJbgbE_8g"",""ORDER BOOKING REPORT 2024-25!C:CV""),{37,44,51},0))))"),"")</f>
        <v/>
      </c>
      <c r="BQ90" s="92" t="str">
        <f ca="1">IFERROR(__xludf.DUMMYFUNCTION("IFERROR(ArrayFormula(SUM(VLOOKUP($C90,importrange(""1MwNMVzWE3QBVOyJjKr3eFX-Sq1Ng0Q1sghWJbgbE_8g"",""ORDER BOOKING REPORT 2024-25!C:CV""),{58,65,72},0))))"),"")</f>
        <v/>
      </c>
      <c r="BR90" s="92" t="str">
        <f ca="1">IFERROR(__xludf.DUMMYFUNCTION("IFERROR(ArrayFormula(SUM(VLOOKUP($C90,importrange(""1MwNMVzWE3QBVOyJjKr3eFX-Sq1Ng0Q1sghWJbgbE_8g"",""ORDER BOOKING REPORT 2024-25!C:CV""),{79,86,93},0))))"),"")</f>
        <v/>
      </c>
      <c r="BS90" s="93" t="str">
        <f t="shared" si="12"/>
        <v/>
      </c>
      <c r="BT90" s="93" t="str">
        <f t="shared" si="13"/>
        <v/>
      </c>
      <c r="BU90" s="37">
        <f t="shared" si="14"/>
        <v>0</v>
      </c>
      <c r="BV90" s="94">
        <v>95640</v>
      </c>
      <c r="BW90" s="94" t="s">
        <v>434</v>
      </c>
      <c r="BX90" s="94">
        <v>996</v>
      </c>
      <c r="BY90" s="37">
        <f t="shared" si="15"/>
        <v>0</v>
      </c>
      <c r="BZ90" s="37"/>
      <c r="CA90" s="37"/>
      <c r="CB90" s="37"/>
      <c r="CC90" s="37"/>
      <c r="CD90" s="37"/>
      <c r="CE90" s="37"/>
      <c r="CF90" s="37"/>
      <c r="CG90" s="37" t="str">
        <f t="shared" si="18"/>
        <v xml:space="preserve"> </v>
      </c>
      <c r="CH90" s="37" t="str">
        <f t="shared" si="26"/>
        <v>Not 50%</v>
      </c>
      <c r="CI90" s="93">
        <f t="shared" si="19"/>
        <v>0</v>
      </c>
      <c r="CJ90" s="95"/>
      <c r="CK90" s="95"/>
      <c r="CL90" s="95"/>
      <c r="CM90" s="96">
        <f t="shared" si="20"/>
        <v>672</v>
      </c>
      <c r="CN90" s="103"/>
      <c r="CO90" s="4"/>
      <c r="CP90" s="100"/>
      <c r="CQ90" s="101"/>
      <c r="CR90" s="4"/>
      <c r="CS90" s="4"/>
      <c r="CT90" s="4"/>
      <c r="CU90" s="4"/>
      <c r="CV90" s="4"/>
      <c r="CW90" s="101"/>
      <c r="CX90" s="51"/>
      <c r="CY90" s="4"/>
      <c r="CZ90" s="4"/>
    </row>
    <row r="91" spans="1:104" ht="15.6">
      <c r="A91" s="1" t="s">
        <v>201</v>
      </c>
      <c r="B91" s="1" t="s">
        <v>431</v>
      </c>
      <c r="C91" s="1" t="s">
        <v>214</v>
      </c>
      <c r="D91" s="1" t="s">
        <v>556</v>
      </c>
      <c r="E91" s="1" t="s">
        <v>557</v>
      </c>
      <c r="F91" s="104">
        <v>45171</v>
      </c>
      <c r="G91" s="76">
        <v>0</v>
      </c>
      <c r="H91" s="76">
        <v>8000000</v>
      </c>
      <c r="I91" s="77">
        <v>1056088.07</v>
      </c>
      <c r="J91" s="77">
        <v>0</v>
      </c>
      <c r="K91" s="4">
        <v>23</v>
      </c>
      <c r="L91" s="4">
        <v>29</v>
      </c>
      <c r="M91" s="4">
        <v>19</v>
      </c>
      <c r="N91" s="4">
        <v>42</v>
      </c>
      <c r="O91" s="4">
        <v>13</v>
      </c>
      <c r="P91" s="77">
        <v>1019238.13</v>
      </c>
      <c r="Q91" s="77">
        <v>36849.94</v>
      </c>
      <c r="R91" s="4">
        <v>14</v>
      </c>
      <c r="S91" s="4">
        <v>3</v>
      </c>
      <c r="T91" s="4">
        <v>17</v>
      </c>
      <c r="U91" s="4">
        <v>0</v>
      </c>
      <c r="V91" s="4">
        <v>96</v>
      </c>
      <c r="W91" s="4">
        <v>164</v>
      </c>
      <c r="X91" s="4">
        <v>148</v>
      </c>
      <c r="Y91" s="4">
        <v>3</v>
      </c>
      <c r="Z91" s="4">
        <v>93</v>
      </c>
      <c r="AA91" s="4">
        <v>1</v>
      </c>
      <c r="AB91" s="4">
        <v>9</v>
      </c>
      <c r="AC91" s="4">
        <v>34</v>
      </c>
      <c r="AD91" s="4">
        <v>141</v>
      </c>
      <c r="AE91" s="4">
        <v>490</v>
      </c>
      <c r="AF91" s="4">
        <v>897</v>
      </c>
      <c r="AG91" s="4">
        <v>196</v>
      </c>
      <c r="AH91" s="76">
        <f t="shared" si="1"/>
        <v>5388.2044387755104</v>
      </c>
      <c r="AI91" s="76">
        <f t="shared" si="2"/>
        <v>4.5765306122448983</v>
      </c>
      <c r="AJ91" s="78">
        <f>BV91</f>
        <v>34090</v>
      </c>
      <c r="AK91" s="76">
        <f t="shared" si="62"/>
        <v>272720</v>
      </c>
      <c r="AL91" s="49">
        <v>69627</v>
      </c>
      <c r="AM91" s="80">
        <f t="shared" si="4"/>
        <v>0.32416519959362855</v>
      </c>
      <c r="AN91" s="76">
        <f t="shared" si="5"/>
        <v>62122.827647058824</v>
      </c>
      <c r="AO91" s="102">
        <f t="shared" ref="AO91:AO94" si="63">IFERROR(SUM(I91:J91)/SUM(G91:H91),"")</f>
        <v>0.13201100875000002</v>
      </c>
      <c r="AP91" s="82">
        <v>0</v>
      </c>
      <c r="AQ91" s="4">
        <v>63</v>
      </c>
      <c r="AR91" s="4">
        <v>1842</v>
      </c>
      <c r="AS91" s="4">
        <v>0</v>
      </c>
      <c r="AT91" s="4">
        <v>3</v>
      </c>
      <c r="AU91" s="4">
        <v>0</v>
      </c>
      <c r="AV91" s="1">
        <v>17</v>
      </c>
      <c r="AW91" s="1">
        <v>12</v>
      </c>
      <c r="AX91" s="1">
        <v>13</v>
      </c>
      <c r="AY91" s="86" t="str">
        <f>IFERROR(VLOOKUP(C91,#REF!,13,0),"")</f>
        <v/>
      </c>
      <c r="AZ91" s="87">
        <v>45991</v>
      </c>
      <c r="BA91" s="1" t="str">
        <f t="shared" si="6"/>
        <v>LEFT</v>
      </c>
      <c r="BB91" s="1" t="e">
        <f t="shared" ca="1" si="7"/>
        <v>#NAME?</v>
      </c>
      <c r="BC91" s="1" t="e">
        <f t="shared" ref="BC91:BC94" ca="1" si="64">_xludf.ifs(AO91&lt;50%,"Below 50%",AO91&lt;70%,"50%-70%",AO91&lt;90%,"70%-90%",AO91&lt;100%,"90%-100%",AO91&gt;100%,"Above 100%")</f>
        <v>#NAME?</v>
      </c>
      <c r="BD91" s="33">
        <v>8</v>
      </c>
      <c r="BE91" s="88" t="str">
        <v/>
      </c>
      <c r="BF91" s="1">
        <f t="shared" si="9"/>
        <v>16</v>
      </c>
      <c r="BG91" s="1" t="s">
        <v>428</v>
      </c>
      <c r="BH91" s="89">
        <f ca="1">IFERROR(__xludf.DUMMYFUNCTION("""COMPUTED_VALUE"""),711581)</f>
        <v>711581</v>
      </c>
      <c r="BI91" s="89">
        <f ca="1">IFERROR(__xludf.DUMMYFUNCTION("""COMPUTED_VALUE"""),1099066.59)</f>
        <v>1099066.5900000001</v>
      </c>
      <c r="BJ91" s="90"/>
      <c r="BK91" s="91"/>
      <c r="BL91" s="91">
        <f t="shared" si="47"/>
        <v>0</v>
      </c>
      <c r="BM91" s="91">
        <f t="shared" si="11"/>
        <v>8000000</v>
      </c>
      <c r="BN91" s="91"/>
      <c r="BO91" s="92">
        <f ca="1">IFERROR(__xludf.DUMMYFUNCTION("IFERROR(ArrayFormula(SUM(VLOOKUP($C91,importrange(""1MwNMVzWE3QBVOyJjKr3eFX-Sq1Ng0Q1sghWJbgbE_8g"",""ORDER BOOKING REPORT 2024-25!C:CV""),{16,23,30},0))))"),107661.25)</f>
        <v>107661.25</v>
      </c>
      <c r="BP91" s="92">
        <f ca="1">IFERROR(__xludf.DUMMYFUNCTION("IFERROR(ArrayFormula(SUM(VLOOKUP($C91,importrange(""1MwNMVzWE3QBVOyJjKr3eFX-Sq1Ng0Q1sghWJbgbE_8g"",""ORDER BOOKING REPORT 2024-25!C:CV""),{37,44,51},0))))"),239653.53)</f>
        <v>239653.53</v>
      </c>
      <c r="BQ91" s="92">
        <f ca="1">IFERROR(__xludf.DUMMYFUNCTION("IFERROR(ArrayFormula(SUM(VLOOKUP($C91,importrange(""1MwNMVzWE3QBVOyJjKr3eFX-Sq1Ng0Q1sghWJbgbE_8g"",""ORDER BOOKING REPORT 2024-25!C:CV""),{58,65,72},0))))"),320011.73)</f>
        <v>320011.73</v>
      </c>
      <c r="BR91" s="92">
        <f ca="1">IFERROR(__xludf.DUMMYFUNCTION("IFERROR(ArrayFormula(SUM(VLOOKUP($C91,importrange(""1MwNMVzWE3QBVOyJjKr3eFX-Sq1Ng0Q1sghWJbgbE_8g"",""ORDER BOOKING REPORT 2024-25!C:CV""),{79,86,93},0))))"),431740.08)</f>
        <v>431740.08</v>
      </c>
      <c r="BS91" s="93" t="str">
        <f t="shared" si="12"/>
        <v/>
      </c>
      <c r="BT91" s="93" t="str">
        <f t="shared" si="13"/>
        <v/>
      </c>
      <c r="BU91" s="37">
        <f t="shared" si="14"/>
        <v>0</v>
      </c>
      <c r="BV91" s="94">
        <v>34090</v>
      </c>
      <c r="BW91" s="94" t="s">
        <v>445</v>
      </c>
      <c r="BX91" s="94">
        <v>986</v>
      </c>
      <c r="BY91" s="37">
        <f t="shared" si="15"/>
        <v>0</v>
      </c>
      <c r="BZ91" s="37"/>
      <c r="CA91" s="37"/>
      <c r="CB91" s="37"/>
      <c r="CC91" s="37"/>
      <c r="CD91" s="37"/>
      <c r="CE91" s="37"/>
      <c r="CF91" s="37"/>
      <c r="CG91" s="37" t="str">
        <f t="shared" si="18"/>
        <v>Below 60</v>
      </c>
      <c r="CH91" s="37" t="str">
        <f t="shared" si="26"/>
        <v>Not 50%</v>
      </c>
      <c r="CI91" s="93">
        <f t="shared" si="19"/>
        <v>0.40476190476190477</v>
      </c>
      <c r="CJ91" s="105">
        <f ca="1">IFERROR(__xludf.DUMMYFUNCTION("""COMPUTED_VALUE"""),414)</f>
        <v>414</v>
      </c>
      <c r="CK91" s="105">
        <f ca="1">IFERROR(__xludf.DUMMYFUNCTION("""COMPUTED_VALUE"""),76)</f>
        <v>76</v>
      </c>
      <c r="CL91" s="105">
        <f ca="1">IFERROR(__xludf.DUMMYFUNCTION("""COMPUTED_VALUE"""),0)</f>
        <v>0</v>
      </c>
      <c r="CM91" s="96">
        <f t="shared" ca="1" si="20"/>
        <v>0</v>
      </c>
      <c r="CN91" s="106"/>
      <c r="CO91" s="93"/>
      <c r="CP91" s="107"/>
      <c r="CQ91" s="110"/>
      <c r="CR91" s="93"/>
      <c r="CS91" s="93"/>
      <c r="CT91" s="93"/>
      <c r="CU91" s="93"/>
      <c r="CV91" s="93"/>
      <c r="CW91" s="93"/>
      <c r="CX91" s="51"/>
      <c r="CY91" s="93"/>
      <c r="CZ91" s="93"/>
    </row>
    <row r="92" spans="1:104" ht="15.6">
      <c r="A92" s="1" t="s">
        <v>118</v>
      </c>
      <c r="B92" s="1" t="s">
        <v>468</v>
      </c>
      <c r="C92" s="1" t="s">
        <v>215</v>
      </c>
      <c r="D92" s="1" t="s">
        <v>509</v>
      </c>
      <c r="E92" s="1" t="s">
        <v>558</v>
      </c>
      <c r="F92" s="48">
        <v>45184</v>
      </c>
      <c r="G92" s="76">
        <v>0</v>
      </c>
      <c r="H92" s="76">
        <v>22299996</v>
      </c>
      <c r="I92" s="77">
        <v>18771691.780000001</v>
      </c>
      <c r="J92" s="77">
        <v>0</v>
      </c>
      <c r="K92" s="4">
        <v>46</v>
      </c>
      <c r="L92" s="4">
        <v>52</v>
      </c>
      <c r="M92" s="4">
        <v>12</v>
      </c>
      <c r="N92" s="4">
        <v>58</v>
      </c>
      <c r="O92" s="4">
        <v>6</v>
      </c>
      <c r="P92" s="77">
        <v>15953294.51</v>
      </c>
      <c r="Q92" s="77">
        <v>2818397.27</v>
      </c>
      <c r="R92" s="4">
        <v>30</v>
      </c>
      <c r="S92" s="4">
        <v>12</v>
      </c>
      <c r="T92" s="4">
        <v>42</v>
      </c>
      <c r="U92" s="4">
        <v>0</v>
      </c>
      <c r="V92" s="4">
        <v>46</v>
      </c>
      <c r="W92" s="4">
        <v>72</v>
      </c>
      <c r="X92" s="4">
        <v>98</v>
      </c>
      <c r="Y92" s="4">
        <v>1</v>
      </c>
      <c r="Z92" s="4">
        <v>15</v>
      </c>
      <c r="AA92" s="4">
        <v>0</v>
      </c>
      <c r="AB92" s="4">
        <v>0</v>
      </c>
      <c r="AC92" s="4">
        <v>0</v>
      </c>
      <c r="AD92" s="4">
        <v>0</v>
      </c>
      <c r="AE92" s="4">
        <v>973</v>
      </c>
      <c r="AF92" s="4">
        <v>1060</v>
      </c>
      <c r="AG92" s="4">
        <v>304</v>
      </c>
      <c r="AH92" s="76">
        <f t="shared" si="1"/>
        <v>61748.986118421053</v>
      </c>
      <c r="AI92" s="76">
        <f t="shared" si="2"/>
        <v>3.486842105263158</v>
      </c>
      <c r="AJ92" s="78">
        <v>36400</v>
      </c>
      <c r="AK92" s="76">
        <f t="shared" si="62"/>
        <v>436800</v>
      </c>
      <c r="AL92" s="79">
        <v>236345</v>
      </c>
      <c r="AM92" s="80">
        <f t="shared" si="4"/>
        <v>3.5859580899212908E-2</v>
      </c>
      <c r="AN92" s="76">
        <f t="shared" si="5"/>
        <v>446945.04238095239</v>
      </c>
      <c r="AO92" s="102">
        <f t="shared" si="63"/>
        <v>0.84178005144036805</v>
      </c>
      <c r="AP92" s="82">
        <v>0</v>
      </c>
      <c r="AQ92" s="4">
        <v>199</v>
      </c>
      <c r="AR92" s="4">
        <v>2718</v>
      </c>
      <c r="AS92" s="4">
        <v>2310.0100000000002</v>
      </c>
      <c r="AT92" s="4">
        <v>12</v>
      </c>
      <c r="AU92" s="4">
        <v>44</v>
      </c>
      <c r="AV92" s="1">
        <v>42</v>
      </c>
      <c r="AW92" s="1">
        <v>11</v>
      </c>
      <c r="AX92" s="1">
        <v>5</v>
      </c>
      <c r="AY92" s="86" t="str">
        <f>IFERROR(VLOOKUP(C92,#REF!,13,0),"")</f>
        <v/>
      </c>
      <c r="AZ92" s="87"/>
      <c r="BA92" s="1" t="str">
        <f t="shared" si="6"/>
        <v>Active</v>
      </c>
      <c r="BB92" s="1" t="e">
        <f t="shared" ca="1" si="7"/>
        <v>#NAME?</v>
      </c>
      <c r="BC92" s="1" t="e">
        <f t="shared" ca="1" si="64"/>
        <v>#NAME?</v>
      </c>
      <c r="BD92" s="33">
        <f t="shared" ref="BD92:BD93" si="65">MATCH($BD$2,{"Apr","May","Jun","Jul","Aug","Sep","Oct","Nov","Dec","Jan","Feb","Mar"},0)</f>
        <v>12</v>
      </c>
      <c r="BE92" s="88" t="str">
        <v/>
      </c>
      <c r="BF92" s="1">
        <f t="shared" si="9"/>
        <v>0</v>
      </c>
      <c r="BG92" s="1" t="s">
        <v>428</v>
      </c>
      <c r="BH92" s="89">
        <f ca="1">IFERROR(__xludf.DUMMYFUNCTION("""COMPUTED_VALUE"""),14852727)</f>
        <v>14852727</v>
      </c>
      <c r="BI92" s="89">
        <f ca="1">IFERROR(__xludf.DUMMYFUNCTION("""COMPUTED_VALUE"""),15445256.86)</f>
        <v>15445256.859999999</v>
      </c>
      <c r="BJ92" s="90"/>
      <c r="BK92" s="91"/>
      <c r="BL92" s="91">
        <f t="shared" si="47"/>
        <v>0</v>
      </c>
      <c r="BM92" s="91">
        <f t="shared" si="11"/>
        <v>22299996</v>
      </c>
      <c r="BN92" s="91"/>
      <c r="BO92" s="92">
        <f ca="1">IFERROR(__xludf.DUMMYFUNCTION("IFERROR(ArrayFormula(SUM(VLOOKUP($C92,importrange(""1MwNMVzWE3QBVOyJjKr3eFX-Sq1Ng0Q1sghWJbgbE_8g"",""ORDER BOOKING REPORT 2024-25!C:CV""),{16,23,30},0))))"),4553632.3)</f>
        <v>4553632.3</v>
      </c>
      <c r="BP92" s="92">
        <f ca="1">IFERROR(__xludf.DUMMYFUNCTION("IFERROR(ArrayFormula(SUM(VLOOKUP($C92,importrange(""1MwNMVzWE3QBVOyJjKr3eFX-Sq1Ng0Q1sghWJbgbE_8g"",""ORDER BOOKING REPORT 2024-25!C:CV""),{37,44,51},0))))"),3574740.66)</f>
        <v>3574740.66</v>
      </c>
      <c r="BQ92" s="92">
        <f ca="1">IFERROR(__xludf.DUMMYFUNCTION("IFERROR(ArrayFormula(SUM(VLOOKUP($C92,importrange(""1MwNMVzWE3QBVOyJjKr3eFX-Sq1Ng0Q1sghWJbgbE_8g"",""ORDER BOOKING REPORT 2024-25!C:CV""),{58,65,72},0))))"),4010342.36)</f>
        <v>4010342.36</v>
      </c>
      <c r="BR92" s="92">
        <f ca="1">IFERROR(__xludf.DUMMYFUNCTION("IFERROR(ArrayFormula(SUM(VLOOKUP($C92,importrange(""1MwNMVzWE3QBVOyJjKr3eFX-Sq1Ng0Q1sghWJbgbE_8g"",""ORDER BOOKING REPORT 2024-25!C:CV""),{79,86,93},0))))"),3306541.54)</f>
        <v>3306541.54</v>
      </c>
      <c r="BS92" s="93" t="str">
        <f t="shared" si="12"/>
        <v/>
      </c>
      <c r="BT92" s="93" t="str">
        <f t="shared" si="13"/>
        <v/>
      </c>
      <c r="BU92" s="37">
        <f t="shared" si="14"/>
        <v>0</v>
      </c>
      <c r="BV92" s="94">
        <v>36400</v>
      </c>
      <c r="BW92" s="94" t="s">
        <v>476</v>
      </c>
      <c r="BX92" s="94">
        <v>993</v>
      </c>
      <c r="BY92" s="37">
        <f t="shared" si="15"/>
        <v>0</v>
      </c>
      <c r="BZ92" s="37"/>
      <c r="CA92" s="37"/>
      <c r="CB92" s="37"/>
      <c r="CC92" s="37"/>
      <c r="CD92" s="37"/>
      <c r="CE92" s="37"/>
      <c r="CF92" s="37"/>
      <c r="CG92" s="37" t="str">
        <f t="shared" si="18"/>
        <v>Below 60</v>
      </c>
      <c r="CH92" s="37" t="str">
        <f t="shared" si="26"/>
        <v>Business Achieved 50%</v>
      </c>
      <c r="CI92" s="93">
        <f t="shared" si="19"/>
        <v>0.72413793103448276</v>
      </c>
      <c r="CJ92" s="95">
        <f ca="1">IFERROR(__xludf.DUMMYFUNCTION("""COMPUTED_VALUE"""),895)</f>
        <v>895</v>
      </c>
      <c r="CK92" s="95">
        <f ca="1">IFERROR(__xludf.DUMMYFUNCTION("""COMPUTED_VALUE"""),78)</f>
        <v>78</v>
      </c>
      <c r="CL92" s="95">
        <f ca="1">IFERROR(__xludf.DUMMYFUNCTION("""COMPUTED_VALUE"""),0)</f>
        <v>0</v>
      </c>
      <c r="CM92" s="96">
        <f t="shared" ca="1" si="20"/>
        <v>0</v>
      </c>
      <c r="CN92" s="103"/>
      <c r="CO92" s="4"/>
      <c r="CP92" s="100"/>
      <c r="CQ92" s="101"/>
      <c r="CR92" s="4"/>
      <c r="CS92" s="4"/>
      <c r="CT92" s="4"/>
      <c r="CU92" s="4"/>
      <c r="CV92" s="4"/>
      <c r="CW92" s="101"/>
      <c r="CX92" s="51"/>
      <c r="CY92" s="4"/>
      <c r="CZ92" s="4"/>
    </row>
    <row r="93" spans="1:104" ht="15.6">
      <c r="A93" s="1" t="s">
        <v>201</v>
      </c>
      <c r="B93" s="1" t="s">
        <v>431</v>
      </c>
      <c r="C93" s="1" t="s">
        <v>217</v>
      </c>
      <c r="D93" s="1" t="s">
        <v>431</v>
      </c>
      <c r="E93" s="1" t="s">
        <v>531</v>
      </c>
      <c r="F93" s="48">
        <v>45187</v>
      </c>
      <c r="G93" s="76">
        <v>0</v>
      </c>
      <c r="H93" s="76">
        <v>21999996</v>
      </c>
      <c r="I93" s="77">
        <v>11589685.5</v>
      </c>
      <c r="J93" s="77">
        <v>0</v>
      </c>
      <c r="K93" s="4">
        <v>114</v>
      </c>
      <c r="L93" s="4">
        <v>145</v>
      </c>
      <c r="M93" s="4">
        <v>50</v>
      </c>
      <c r="N93" s="4">
        <v>164</v>
      </c>
      <c r="O93" s="4">
        <v>19</v>
      </c>
      <c r="P93" s="77">
        <v>8306945.0899999999</v>
      </c>
      <c r="Q93" s="77">
        <v>3282740.41</v>
      </c>
      <c r="R93" s="4">
        <v>67</v>
      </c>
      <c r="S93" s="4">
        <v>38</v>
      </c>
      <c r="T93" s="4">
        <v>105</v>
      </c>
      <c r="U93" s="4">
        <v>0</v>
      </c>
      <c r="V93" s="4">
        <v>71</v>
      </c>
      <c r="W93" s="4">
        <v>93</v>
      </c>
      <c r="X93" s="4">
        <v>173</v>
      </c>
      <c r="Y93" s="4">
        <v>4</v>
      </c>
      <c r="Z93" s="4">
        <v>128</v>
      </c>
      <c r="AA93" s="4">
        <v>0</v>
      </c>
      <c r="AB93" s="4">
        <v>0</v>
      </c>
      <c r="AC93" s="4">
        <v>0</v>
      </c>
      <c r="AD93" s="4">
        <v>0</v>
      </c>
      <c r="AE93" s="4">
        <v>1248</v>
      </c>
      <c r="AF93" s="4">
        <v>1469</v>
      </c>
      <c r="AG93" s="4">
        <v>292</v>
      </c>
      <c r="AH93" s="76">
        <f t="shared" si="1"/>
        <v>39690.70376712329</v>
      </c>
      <c r="AI93" s="76">
        <f t="shared" si="2"/>
        <v>5.0308219178082192</v>
      </c>
      <c r="AJ93" s="78">
        <f>BV93</f>
        <v>47925</v>
      </c>
      <c r="AK93" s="76">
        <f t="shared" si="62"/>
        <v>575100</v>
      </c>
      <c r="AL93" s="49">
        <v>88082</v>
      </c>
      <c r="AM93" s="80">
        <f t="shared" si="4"/>
        <v>5.7221742557207439E-2</v>
      </c>
      <c r="AN93" s="76">
        <f t="shared" si="5"/>
        <v>110377.95714285714</v>
      </c>
      <c r="AO93" s="102">
        <f t="shared" si="63"/>
        <v>0.52680398214617852</v>
      </c>
      <c r="AP93" s="82">
        <v>0</v>
      </c>
      <c r="AQ93" s="4">
        <v>567</v>
      </c>
      <c r="AR93" s="4">
        <v>2495</v>
      </c>
      <c r="AS93" s="4">
        <v>1353.77</v>
      </c>
      <c r="AT93" s="4">
        <v>38</v>
      </c>
      <c r="AU93" s="4">
        <v>9</v>
      </c>
      <c r="AV93" s="1">
        <v>105</v>
      </c>
      <c r="AW93" s="1">
        <v>42</v>
      </c>
      <c r="AX93" s="1">
        <v>17</v>
      </c>
      <c r="AY93" s="86" t="str">
        <f>IFERROR(VLOOKUP(C93,#REF!,13,0),"")</f>
        <v/>
      </c>
      <c r="AZ93" s="87"/>
      <c r="BA93" s="1" t="str">
        <f t="shared" si="6"/>
        <v>Active</v>
      </c>
      <c r="BB93" s="1" t="e">
        <f t="shared" ca="1" si="7"/>
        <v>#NAME?</v>
      </c>
      <c r="BC93" s="1" t="e">
        <f t="shared" ca="1" si="64"/>
        <v>#NAME?</v>
      </c>
      <c r="BD93" s="33">
        <f t="shared" si="65"/>
        <v>12</v>
      </c>
      <c r="BE93" s="88" t="str">
        <v/>
      </c>
      <c r="BF93" s="1">
        <f t="shared" si="9"/>
        <v>12</v>
      </c>
      <c r="BG93" s="1" t="s">
        <v>428</v>
      </c>
      <c r="BH93" s="89">
        <f ca="1">IFERROR(__xludf.DUMMYFUNCTION("""COMPUTED_VALUE"""),5985747)</f>
        <v>5985747</v>
      </c>
      <c r="BI93" s="89">
        <f ca="1">IFERROR(__xludf.DUMMYFUNCTION("""COMPUTED_VALUE"""),6134178.7)</f>
        <v>6134178.7000000002</v>
      </c>
      <c r="BJ93" s="90"/>
      <c r="BK93" s="91"/>
      <c r="BL93" s="91">
        <f t="shared" si="47"/>
        <v>0</v>
      </c>
      <c r="BM93" s="91">
        <f t="shared" si="11"/>
        <v>21999996</v>
      </c>
      <c r="BN93" s="91"/>
      <c r="BO93" s="92">
        <f ca="1">IFERROR(__xludf.DUMMYFUNCTION("IFERROR(ArrayFormula(SUM(VLOOKUP($C93,importrange(""1MwNMVzWE3QBVOyJjKr3eFX-Sq1Ng0Q1sghWJbgbE_8g"",""ORDER BOOKING REPORT 2024-25!C:CV""),{16,23,30},0))))"),1888297.5)</f>
        <v>1888297.5</v>
      </c>
      <c r="BP93" s="92">
        <f ca="1">IFERROR(__xludf.DUMMYFUNCTION("IFERROR(ArrayFormula(SUM(VLOOKUP($C93,importrange(""1MwNMVzWE3QBVOyJjKr3eFX-Sq1Ng0Q1sghWJbgbE_8g"",""ORDER BOOKING REPORT 2024-25!C:CV""),{37,44,51},0))))"),1479477.9)</f>
        <v>1479477.9</v>
      </c>
      <c r="BQ93" s="92">
        <f ca="1">IFERROR(__xludf.DUMMYFUNCTION("IFERROR(ArrayFormula(SUM(VLOOKUP($C93,importrange(""1MwNMVzWE3QBVOyJjKr3eFX-Sq1Ng0Q1sghWJbgbE_8g"",""ORDER BOOKING REPORT 2024-25!C:CV""),{58,65,72},0))))"),831010.4)</f>
        <v>831010.4</v>
      </c>
      <c r="BR93" s="92">
        <f ca="1">IFERROR(__xludf.DUMMYFUNCTION("IFERROR(ArrayFormula(SUM(VLOOKUP($C93,importrange(""1MwNMVzWE3QBVOyJjKr3eFX-Sq1Ng0Q1sghWJbgbE_8g"",""ORDER BOOKING REPORT 2024-25!C:CV""),{79,86,93},0))))"),1935392.9)</f>
        <v>1935392.9</v>
      </c>
      <c r="BS93" s="93" t="str">
        <f t="shared" si="12"/>
        <v/>
      </c>
      <c r="BT93" s="93" t="str">
        <f t="shared" si="13"/>
        <v/>
      </c>
      <c r="BU93" s="37">
        <f t="shared" si="14"/>
        <v>0</v>
      </c>
      <c r="BV93" s="94">
        <v>47925</v>
      </c>
      <c r="BW93" s="94" t="s">
        <v>445</v>
      </c>
      <c r="BX93" s="94">
        <v>994</v>
      </c>
      <c r="BY93" s="37">
        <f t="shared" si="15"/>
        <v>0</v>
      </c>
      <c r="BZ93" s="37"/>
      <c r="CA93" s="37"/>
      <c r="CB93" s="37"/>
      <c r="CC93" s="37"/>
      <c r="CD93" s="37"/>
      <c r="CE93" s="37"/>
      <c r="CF93" s="37"/>
      <c r="CG93" s="37" t="str">
        <f t="shared" si="18"/>
        <v xml:space="preserve"> </v>
      </c>
      <c r="CH93" s="37" t="str">
        <f t="shared" si="26"/>
        <v>Business Achieved 50%</v>
      </c>
      <c r="CI93" s="93">
        <f t="shared" si="19"/>
        <v>0.6402439024390244</v>
      </c>
      <c r="CJ93" s="105">
        <f ca="1">IFERROR(__xludf.DUMMYFUNCTION("""COMPUTED_VALUE"""),1143)</f>
        <v>1143</v>
      </c>
      <c r="CK93" s="105">
        <f ca="1">IFERROR(__xludf.DUMMYFUNCTION("""COMPUTED_VALUE"""),105)</f>
        <v>105</v>
      </c>
      <c r="CL93" s="105">
        <f ca="1">IFERROR(__xludf.DUMMYFUNCTION("""COMPUTED_VALUE"""),0)</f>
        <v>0</v>
      </c>
      <c r="CM93" s="96">
        <f t="shared" ca="1" si="20"/>
        <v>0</v>
      </c>
      <c r="CN93" s="106"/>
      <c r="CO93" s="93"/>
      <c r="CP93" s="107"/>
      <c r="CQ93" s="110"/>
      <c r="CR93" s="93"/>
      <c r="CS93" s="93"/>
      <c r="CT93" s="93"/>
      <c r="CU93" s="93"/>
      <c r="CV93" s="93"/>
      <c r="CW93" s="93"/>
      <c r="CX93" s="51"/>
      <c r="CY93" s="93"/>
      <c r="CZ93" s="93"/>
    </row>
    <row r="94" spans="1:104" ht="15.6">
      <c r="A94" s="1" t="s">
        <v>118</v>
      </c>
      <c r="B94" s="1" t="s">
        <v>362</v>
      </c>
      <c r="C94" s="1" t="s">
        <v>218</v>
      </c>
      <c r="D94" s="1" t="s">
        <v>559</v>
      </c>
      <c r="E94" s="1" t="s">
        <v>560</v>
      </c>
      <c r="F94" s="104">
        <v>45202</v>
      </c>
      <c r="G94" s="76">
        <v>0</v>
      </c>
      <c r="H94" s="76">
        <v>10500000</v>
      </c>
      <c r="I94" s="77">
        <v>6836552.1399999997</v>
      </c>
      <c r="J94" s="77">
        <v>0</v>
      </c>
      <c r="K94" s="4">
        <v>53</v>
      </c>
      <c r="L94" s="4">
        <v>54</v>
      </c>
      <c r="M94" s="4">
        <v>1</v>
      </c>
      <c r="N94" s="4">
        <v>54</v>
      </c>
      <c r="O94" s="4">
        <v>0</v>
      </c>
      <c r="P94" s="77">
        <v>6804597.1399999997</v>
      </c>
      <c r="Q94" s="77">
        <v>31955</v>
      </c>
      <c r="R94" s="4">
        <v>22</v>
      </c>
      <c r="S94" s="4">
        <v>1</v>
      </c>
      <c r="T94" s="4">
        <v>23</v>
      </c>
      <c r="U94" s="4">
        <v>0</v>
      </c>
      <c r="V94" s="4">
        <v>8</v>
      </c>
      <c r="W94" s="4">
        <v>17</v>
      </c>
      <c r="X94" s="4">
        <v>68</v>
      </c>
      <c r="Y94" s="4">
        <v>2</v>
      </c>
      <c r="Z94" s="4">
        <v>7</v>
      </c>
      <c r="AA94" s="4">
        <v>0</v>
      </c>
      <c r="AB94" s="4">
        <v>0</v>
      </c>
      <c r="AC94" s="4">
        <v>0</v>
      </c>
      <c r="AD94" s="4">
        <v>0</v>
      </c>
      <c r="AE94" s="4">
        <v>679</v>
      </c>
      <c r="AF94" s="4">
        <v>703</v>
      </c>
      <c r="AG94" s="4">
        <v>144</v>
      </c>
      <c r="AH94" s="76">
        <f t="shared" si="1"/>
        <v>47476.056527777779</v>
      </c>
      <c r="AI94" s="76">
        <f t="shared" si="2"/>
        <v>4.8819444444444446</v>
      </c>
      <c r="AJ94" s="78">
        <v>25325</v>
      </c>
      <c r="AK94" s="76">
        <f t="shared" si="62"/>
        <v>164106</v>
      </c>
      <c r="AL94" s="79">
        <v>68980</v>
      </c>
      <c r="AM94" s="80">
        <f t="shared" si="4"/>
        <v>3.409408649664742E-2</v>
      </c>
      <c r="AN94" s="76">
        <f t="shared" si="5"/>
        <v>297241.39739130432</v>
      </c>
      <c r="AO94" s="102">
        <f t="shared" si="63"/>
        <v>0.65110020380952383</v>
      </c>
      <c r="AP94" s="82">
        <v>0</v>
      </c>
      <c r="AQ94" s="4">
        <v>112</v>
      </c>
      <c r="AR94" s="4">
        <v>1666</v>
      </c>
      <c r="AS94" s="4">
        <v>0</v>
      </c>
      <c r="AT94" s="4">
        <v>1</v>
      </c>
      <c r="AU94" s="4">
        <v>0</v>
      </c>
      <c r="AV94" s="1">
        <v>23</v>
      </c>
      <c r="AW94" s="1">
        <v>31</v>
      </c>
      <c r="AX94" s="1">
        <v>0</v>
      </c>
      <c r="AY94" s="86" t="str">
        <f>IFERROR(VLOOKUP(C94,#REF!,13,0),"")</f>
        <v/>
      </c>
      <c r="AZ94" s="87">
        <v>45943</v>
      </c>
      <c r="BA94" s="1" t="str">
        <f t="shared" si="6"/>
        <v>LEFT</v>
      </c>
      <c r="BB94" s="1" t="e">
        <f t="shared" ca="1" si="7"/>
        <v>#NAME?</v>
      </c>
      <c r="BC94" s="1" t="e">
        <f t="shared" ca="1" si="64"/>
        <v>#NAME?</v>
      </c>
      <c r="BD94" s="118">
        <v>6.48</v>
      </c>
      <c r="BE94" s="88" t="str">
        <v/>
      </c>
      <c r="BF94" s="1">
        <f t="shared" si="9"/>
        <v>0</v>
      </c>
      <c r="BG94" s="1" t="s">
        <v>428</v>
      </c>
      <c r="BH94" s="89">
        <f ca="1">IFERROR(__xludf.DUMMYFUNCTION("""COMPUTED_VALUE"""),9796166)</f>
        <v>9796166</v>
      </c>
      <c r="BI94" s="89">
        <f ca="1">IFERROR(__xludf.DUMMYFUNCTION("""COMPUTED_VALUE"""),14809542.7499999)</f>
        <v>14809542.749999899</v>
      </c>
      <c r="BJ94" s="90"/>
      <c r="BK94" s="91"/>
      <c r="BL94" s="91">
        <f t="shared" si="47"/>
        <v>0</v>
      </c>
      <c r="BM94" s="91">
        <f t="shared" si="11"/>
        <v>10500000</v>
      </c>
      <c r="BN94" s="91"/>
      <c r="BO94" s="92">
        <f ca="1">IFERROR(__xludf.DUMMYFUNCTION("IFERROR(ArrayFormula(SUM(VLOOKUP($C94,importrange(""1MwNMVzWE3QBVOyJjKr3eFX-Sq1Ng0Q1sghWJbgbE_8g"",""ORDER BOOKING REPORT 2024-25!C:CV""),{16,23,30},0))))"),4002184.67999999)</f>
        <v>4002184.6799999899</v>
      </c>
      <c r="BP94" s="92">
        <f ca="1">IFERROR(__xludf.DUMMYFUNCTION("IFERROR(ArrayFormula(SUM(VLOOKUP($C94,importrange(""1MwNMVzWE3QBVOyJjKr3eFX-Sq1Ng0Q1sghWJbgbE_8g"",""ORDER BOOKING REPORT 2024-25!C:CV""),{37,44,51},0))))"),3140026.2)</f>
        <v>3140026.2</v>
      </c>
      <c r="BQ94" s="92">
        <f ca="1">IFERROR(__xludf.DUMMYFUNCTION("IFERROR(ArrayFormula(SUM(VLOOKUP($C94,importrange(""1MwNMVzWE3QBVOyJjKr3eFX-Sq1Ng0Q1sghWJbgbE_8g"",""ORDER BOOKING REPORT 2024-25!C:CV""),{58,65,72},0))))"),4070582.61999999)</f>
        <v>4070582.6199999899</v>
      </c>
      <c r="BR94" s="92">
        <f ca="1">IFERROR(__xludf.DUMMYFUNCTION("IFERROR(ArrayFormula(SUM(VLOOKUP($C94,importrange(""1MwNMVzWE3QBVOyJjKr3eFX-Sq1Ng0Q1sghWJbgbE_8g"",""ORDER BOOKING REPORT 2024-25!C:CV""),{79,86,93},0))))"),3596749.25)</f>
        <v>3596749.25</v>
      </c>
      <c r="BS94" s="93" t="str">
        <f t="shared" si="12"/>
        <v/>
      </c>
      <c r="BT94" s="93" t="str">
        <f t="shared" si="13"/>
        <v/>
      </c>
      <c r="BU94" s="37">
        <f t="shared" si="14"/>
        <v>0</v>
      </c>
      <c r="BV94" s="94">
        <v>25325</v>
      </c>
      <c r="BW94" s="94" t="s">
        <v>476</v>
      </c>
      <c r="BX94" s="94">
        <v>1004</v>
      </c>
      <c r="BY94" s="37">
        <f t="shared" si="15"/>
        <v>0</v>
      </c>
      <c r="BZ94" s="37"/>
      <c r="CA94" s="37"/>
      <c r="CB94" s="37"/>
      <c r="CC94" s="37"/>
      <c r="CD94" s="37"/>
      <c r="CE94" s="37"/>
      <c r="CF94" s="37"/>
      <c r="CG94" s="37" t="str">
        <f t="shared" si="18"/>
        <v>Below 60</v>
      </c>
      <c r="CH94" s="37" t="str">
        <f t="shared" si="26"/>
        <v>Not 50%</v>
      </c>
      <c r="CI94" s="93">
        <f t="shared" si="19"/>
        <v>0.42592592592592593</v>
      </c>
      <c r="CJ94" s="95">
        <f ca="1">IFERROR(__xludf.DUMMYFUNCTION("""COMPUTED_VALUE"""),411)</f>
        <v>411</v>
      </c>
      <c r="CK94" s="95">
        <f ca="1">IFERROR(__xludf.DUMMYFUNCTION("""COMPUTED_VALUE"""),268)</f>
        <v>268</v>
      </c>
      <c r="CL94" s="95">
        <f ca="1">IFERROR(__xludf.DUMMYFUNCTION("""COMPUTED_VALUE"""),0)</f>
        <v>0</v>
      </c>
      <c r="CM94" s="96">
        <f t="shared" ca="1" si="20"/>
        <v>0</v>
      </c>
      <c r="CN94" s="103"/>
      <c r="CO94" s="4"/>
      <c r="CP94" s="100"/>
      <c r="CQ94" s="101"/>
      <c r="CR94" s="4"/>
      <c r="CS94" s="4"/>
      <c r="CT94" s="4"/>
      <c r="CU94" s="4"/>
      <c r="CV94" s="4"/>
      <c r="CW94" s="101"/>
      <c r="CX94" s="51"/>
      <c r="CY94" s="4"/>
      <c r="CZ94" s="4"/>
    </row>
    <row r="95" spans="1:104" ht="15.6">
      <c r="A95" s="1" t="s">
        <v>118</v>
      </c>
      <c r="B95" s="1" t="s">
        <v>362</v>
      </c>
      <c r="C95" s="1" t="s">
        <v>219</v>
      </c>
      <c r="D95" s="1" t="s">
        <v>419</v>
      </c>
      <c r="E95" s="1" t="s">
        <v>539</v>
      </c>
      <c r="F95" s="104">
        <v>45202</v>
      </c>
      <c r="G95" s="76">
        <v>0</v>
      </c>
      <c r="H95" s="76">
        <v>0</v>
      </c>
      <c r="I95" s="77">
        <v>0</v>
      </c>
      <c r="J95" s="77">
        <v>0</v>
      </c>
      <c r="K95" s="4">
        <v>187</v>
      </c>
      <c r="L95" s="4">
        <v>191</v>
      </c>
      <c r="M95" s="4">
        <v>23</v>
      </c>
      <c r="N95" s="4">
        <v>210</v>
      </c>
      <c r="O95" s="4">
        <v>19</v>
      </c>
      <c r="P95" s="77">
        <v>0</v>
      </c>
      <c r="Q95" s="77">
        <v>0</v>
      </c>
      <c r="R95" s="4">
        <v>0</v>
      </c>
      <c r="S95" s="4">
        <v>0</v>
      </c>
      <c r="T95" s="4">
        <v>0</v>
      </c>
      <c r="U95" s="4">
        <v>0</v>
      </c>
      <c r="V95" s="4">
        <v>25</v>
      </c>
      <c r="W95" s="4">
        <v>44</v>
      </c>
      <c r="X95" s="4">
        <v>16</v>
      </c>
      <c r="Y95" s="4">
        <v>23</v>
      </c>
      <c r="Z95" s="4">
        <v>142</v>
      </c>
      <c r="AA95" s="4">
        <v>1</v>
      </c>
      <c r="AB95" s="4">
        <v>1</v>
      </c>
      <c r="AC95" s="4">
        <v>0</v>
      </c>
      <c r="AD95" s="4">
        <v>0</v>
      </c>
      <c r="AE95" s="4">
        <v>496</v>
      </c>
      <c r="AF95" s="4">
        <v>683</v>
      </c>
      <c r="AG95" s="4">
        <v>293</v>
      </c>
      <c r="AH95" s="76">
        <f t="shared" si="1"/>
        <v>0</v>
      </c>
      <c r="AI95" s="76">
        <f t="shared" si="2"/>
        <v>2.3310580204778155</v>
      </c>
      <c r="AJ95" s="78">
        <v>93820</v>
      </c>
      <c r="AK95" s="76">
        <f t="shared" si="62"/>
        <v>1125840</v>
      </c>
      <c r="AL95" s="79">
        <v>233859</v>
      </c>
      <c r="AM95" s="80" t="str">
        <f t="shared" si="4"/>
        <v/>
      </c>
      <c r="AN95" s="76" t="str">
        <f t="shared" si="5"/>
        <v/>
      </c>
      <c r="AO95" s="49" t="s">
        <v>161</v>
      </c>
      <c r="AP95" s="82">
        <v>0</v>
      </c>
      <c r="AQ95" s="4">
        <v>0</v>
      </c>
      <c r="AR95" s="4">
        <v>2919</v>
      </c>
      <c r="AS95" s="4">
        <v>2403.2399999999998</v>
      </c>
      <c r="AT95" s="4">
        <v>0</v>
      </c>
      <c r="AU95" s="4">
        <v>13</v>
      </c>
      <c r="AV95" s="1">
        <v>0</v>
      </c>
      <c r="AW95" s="1">
        <v>191</v>
      </c>
      <c r="AX95" s="1">
        <v>19</v>
      </c>
      <c r="AY95" s="86" t="str">
        <f>IFERROR(VLOOKUP(C95,#REF!,13,0),"")</f>
        <v/>
      </c>
      <c r="AZ95" s="87"/>
      <c r="BA95" s="1" t="str">
        <f t="shared" si="6"/>
        <v>Active</v>
      </c>
      <c r="BB95" s="1" t="e">
        <f t="shared" ca="1" si="7"/>
        <v>#NAME?</v>
      </c>
      <c r="BC95" s="4" t="s">
        <v>161</v>
      </c>
      <c r="BD95" s="33">
        <f t="shared" ref="BD95:BD101" si="66">MATCH($BD$2,{"Apr","May","Jun","Jul","Aug","Sep","Oct","Nov","Dec","Jan","Feb","Mar"},0)</f>
        <v>12</v>
      </c>
      <c r="BE95" s="88" t="str">
        <v/>
      </c>
      <c r="BF95" s="1">
        <f t="shared" si="9"/>
        <v>23</v>
      </c>
      <c r="BG95" s="37" t="s">
        <v>423</v>
      </c>
      <c r="BH95" s="89"/>
      <c r="BI95" s="89"/>
      <c r="BJ95" s="90"/>
      <c r="BK95" s="91"/>
      <c r="BL95" s="91">
        <f t="shared" si="47"/>
        <v>0</v>
      </c>
      <c r="BM95" s="91">
        <f t="shared" si="11"/>
        <v>0</v>
      </c>
      <c r="BN95" s="91"/>
      <c r="BO95" s="92" t="str">
        <f ca="1">IFERROR(__xludf.DUMMYFUNCTION("IFERROR(ArrayFormula(SUM(VLOOKUP($C95,importrange(""1MwNMVzWE3QBVOyJjKr3eFX-Sq1Ng0Q1sghWJbgbE_8g"",""ORDER BOOKING REPORT 2024-25!C:CV""),{16,23,30},0))))"),"")</f>
        <v/>
      </c>
      <c r="BP95" s="92" t="str">
        <f ca="1">IFERROR(__xludf.DUMMYFUNCTION("IFERROR(ArrayFormula(SUM(VLOOKUP($C95,importrange(""1MwNMVzWE3QBVOyJjKr3eFX-Sq1Ng0Q1sghWJbgbE_8g"",""ORDER BOOKING REPORT 2024-25!C:CV""),{37,44,51},0))))"),"")</f>
        <v/>
      </c>
      <c r="BQ95" s="92" t="str">
        <f ca="1">IFERROR(__xludf.DUMMYFUNCTION("IFERROR(ArrayFormula(SUM(VLOOKUP($C95,importrange(""1MwNMVzWE3QBVOyJjKr3eFX-Sq1Ng0Q1sghWJbgbE_8g"",""ORDER BOOKING REPORT 2024-25!C:CV""),{58,65,72},0))))"),"")</f>
        <v/>
      </c>
      <c r="BR95" s="92" t="str">
        <f ca="1">IFERROR(__xludf.DUMMYFUNCTION("IFERROR(ArrayFormula(SUM(VLOOKUP($C95,importrange(""1MwNMVzWE3QBVOyJjKr3eFX-Sq1Ng0Q1sghWJbgbE_8g"",""ORDER BOOKING REPORT 2024-25!C:CV""),{79,86,93},0))))"),"")</f>
        <v/>
      </c>
      <c r="BS95" s="93" t="str">
        <f t="shared" si="12"/>
        <v/>
      </c>
      <c r="BT95" s="93" t="str">
        <f t="shared" si="13"/>
        <v/>
      </c>
      <c r="BU95" s="37">
        <f t="shared" si="14"/>
        <v>0</v>
      </c>
      <c r="BV95" s="94">
        <v>93820</v>
      </c>
      <c r="BW95" s="94" t="s">
        <v>434</v>
      </c>
      <c r="BX95" s="94">
        <v>1005</v>
      </c>
      <c r="BY95" s="37">
        <f t="shared" si="15"/>
        <v>0</v>
      </c>
      <c r="BZ95" s="37"/>
      <c r="CA95" s="37"/>
      <c r="CB95" s="37"/>
      <c r="CC95" s="37"/>
      <c r="CD95" s="37"/>
      <c r="CE95" s="37"/>
      <c r="CF95" s="37"/>
      <c r="CG95" s="37" t="str">
        <f t="shared" si="18"/>
        <v xml:space="preserve"> </v>
      </c>
      <c r="CH95" s="37" t="str">
        <f t="shared" si="26"/>
        <v>Not 50%</v>
      </c>
      <c r="CI95" s="93">
        <f t="shared" si="19"/>
        <v>0</v>
      </c>
      <c r="CJ95" s="95"/>
      <c r="CK95" s="95"/>
      <c r="CL95" s="95"/>
      <c r="CM95" s="96">
        <f t="shared" si="20"/>
        <v>496</v>
      </c>
      <c r="CN95" s="103"/>
      <c r="CO95" s="4"/>
      <c r="CP95" s="100"/>
      <c r="CQ95" s="101"/>
      <c r="CR95" s="4"/>
      <c r="CS95" s="4"/>
      <c r="CT95" s="4"/>
      <c r="CU95" s="4"/>
      <c r="CV95" s="4"/>
      <c r="CW95" s="101"/>
      <c r="CX95" s="51"/>
      <c r="CY95" s="4"/>
      <c r="CZ95" s="4"/>
    </row>
    <row r="96" spans="1:104" ht="15.6">
      <c r="A96" s="1" t="s">
        <v>136</v>
      </c>
      <c r="B96" s="1" t="s">
        <v>421</v>
      </c>
      <c r="C96" s="1" t="s">
        <v>220</v>
      </c>
      <c r="D96" s="1" t="s">
        <v>421</v>
      </c>
      <c r="E96" s="1" t="s">
        <v>424</v>
      </c>
      <c r="F96" s="104">
        <v>45208</v>
      </c>
      <c r="G96" s="76">
        <v>2000004</v>
      </c>
      <c r="H96" s="76">
        <v>12000000</v>
      </c>
      <c r="I96" s="77">
        <v>2616075.48</v>
      </c>
      <c r="J96" s="77">
        <v>435045.81</v>
      </c>
      <c r="K96" s="4">
        <v>22</v>
      </c>
      <c r="L96" s="4">
        <v>29</v>
      </c>
      <c r="M96" s="4">
        <v>7</v>
      </c>
      <c r="N96" s="4">
        <v>29</v>
      </c>
      <c r="O96" s="4">
        <v>0</v>
      </c>
      <c r="P96" s="77">
        <v>1585253.79</v>
      </c>
      <c r="Q96" s="77">
        <v>1030821.69</v>
      </c>
      <c r="R96" s="4">
        <v>17</v>
      </c>
      <c r="S96" s="4">
        <v>7</v>
      </c>
      <c r="T96" s="4">
        <v>24</v>
      </c>
      <c r="U96" s="4">
        <v>2</v>
      </c>
      <c r="V96" s="4">
        <v>24</v>
      </c>
      <c r="W96" s="4">
        <v>50</v>
      </c>
      <c r="X96" s="4">
        <v>98</v>
      </c>
      <c r="Y96" s="4">
        <v>2</v>
      </c>
      <c r="Z96" s="4">
        <v>68</v>
      </c>
      <c r="AA96" s="4">
        <v>2</v>
      </c>
      <c r="AB96" s="4">
        <v>30</v>
      </c>
      <c r="AC96" s="4">
        <v>0</v>
      </c>
      <c r="AD96" s="4">
        <v>0</v>
      </c>
      <c r="AE96" s="4">
        <v>1003</v>
      </c>
      <c r="AF96" s="4">
        <v>1151</v>
      </c>
      <c r="AG96" s="4">
        <v>271</v>
      </c>
      <c r="AH96" s="76">
        <f t="shared" si="1"/>
        <v>11258.750147601477</v>
      </c>
      <c r="AI96" s="76">
        <f t="shared" si="2"/>
        <v>4.2472324723247237</v>
      </c>
      <c r="AJ96" s="78">
        <f>BV96</f>
        <v>24226</v>
      </c>
      <c r="AK96" s="76">
        <f t="shared" si="62"/>
        <v>290712</v>
      </c>
      <c r="AL96" s="49">
        <v>76636</v>
      </c>
      <c r="AM96" s="80">
        <f t="shared" si="4"/>
        <v>0.12039770467466404</v>
      </c>
      <c r="AN96" s="76">
        <f t="shared" si="5"/>
        <v>109003.145</v>
      </c>
      <c r="AO96" s="102">
        <f t="shared" ref="AO96:AO101" si="67">IFERROR(SUM(I96:J96)/SUM(G96:H96),"")</f>
        <v>0.21793717273223637</v>
      </c>
      <c r="AP96" s="82">
        <v>0.22</v>
      </c>
      <c r="AQ96" s="4">
        <v>70</v>
      </c>
      <c r="AR96" s="4">
        <v>2580</v>
      </c>
      <c r="AS96" s="4">
        <v>2289.2800000000002</v>
      </c>
      <c r="AT96" s="4">
        <v>7</v>
      </c>
      <c r="AU96" s="4">
        <v>79</v>
      </c>
      <c r="AV96" s="1">
        <v>24</v>
      </c>
      <c r="AW96" s="1">
        <v>5</v>
      </c>
      <c r="AX96" s="1">
        <v>0</v>
      </c>
      <c r="AY96" s="86" t="str">
        <f>IFERROR(VLOOKUP(C96,#REF!,13,0),"")</f>
        <v/>
      </c>
      <c r="AZ96" s="87"/>
      <c r="BA96" s="1" t="str">
        <f t="shared" si="6"/>
        <v>Active</v>
      </c>
      <c r="BB96" s="1" t="e">
        <f t="shared" ca="1" si="7"/>
        <v>#NAME?</v>
      </c>
      <c r="BC96" s="1" t="e">
        <f t="shared" ref="BC96:BC101" ca="1" si="68">_xludf.ifs(AO96&lt;50%,"Below 50%",AO96&lt;70%,"50%-70%",AO96&lt;90%,"70%-90%",AO96&lt;100%,"90%-100%",AO96&gt;100%,"Above 100%")</f>
        <v>#NAME?</v>
      </c>
      <c r="BD96" s="33">
        <f t="shared" si="66"/>
        <v>12</v>
      </c>
      <c r="BE96" s="88" t="str">
        <v/>
      </c>
      <c r="BF96" s="1">
        <f t="shared" si="9"/>
        <v>0</v>
      </c>
      <c r="BG96" s="1" t="s">
        <v>428</v>
      </c>
      <c r="BH96" s="89">
        <f ca="1">IFERROR(__xludf.DUMMYFUNCTION("""COMPUTED_VALUE"""),2772546)</f>
        <v>2772546</v>
      </c>
      <c r="BI96" s="89">
        <f ca="1">IFERROR(__xludf.DUMMYFUNCTION("""COMPUTED_VALUE"""),2982466.67999999)</f>
        <v>2982466.6799999899</v>
      </c>
      <c r="BJ96" s="90"/>
      <c r="BK96" s="91">
        <v>166667</v>
      </c>
      <c r="BL96" s="91">
        <f t="shared" si="47"/>
        <v>2000004</v>
      </c>
      <c r="BM96" s="91">
        <f t="shared" si="11"/>
        <v>14000004</v>
      </c>
      <c r="BN96" s="91"/>
      <c r="BO96" s="92">
        <f ca="1">IFERROR(__xludf.DUMMYFUNCTION("IFERROR(ArrayFormula(SUM(VLOOKUP($C96,importrange(""1MwNMVzWE3QBVOyJjKr3eFX-Sq1Ng0Q1sghWJbgbE_8g"",""ORDER BOOKING REPORT 2024-25!C:CV""),{16,23,30},0))))"),572639.86)</f>
        <v>572639.86</v>
      </c>
      <c r="BP96" s="92">
        <f ca="1">IFERROR(__xludf.DUMMYFUNCTION("IFERROR(ArrayFormula(SUM(VLOOKUP($C96,importrange(""1MwNMVzWE3QBVOyJjKr3eFX-Sq1Ng0Q1sghWJbgbE_8g"",""ORDER BOOKING REPORT 2024-25!C:CV""),{37,44,51},0))))"),1091258.93)</f>
        <v>1091258.93</v>
      </c>
      <c r="BQ96" s="92">
        <f ca="1">IFERROR(__xludf.DUMMYFUNCTION("IFERROR(ArrayFormula(SUM(VLOOKUP($C96,importrange(""1MwNMVzWE3QBVOyJjKr3eFX-Sq1Ng0Q1sghWJbgbE_8g"",""ORDER BOOKING REPORT 2024-25!C:CV""),{58,65,72},0))))"),803380.71)</f>
        <v>803380.71</v>
      </c>
      <c r="BR96" s="92">
        <f ca="1">IFERROR(__xludf.DUMMYFUNCTION("IFERROR(ArrayFormula(SUM(VLOOKUP($C96,importrange(""1MwNMVzWE3QBVOyJjKr3eFX-Sq1Ng0Q1sghWJbgbE_8g"",""ORDER BOOKING REPORT 2024-25!C:CV""),{79,86,93},0))))"),515187.18)</f>
        <v>515187.18</v>
      </c>
      <c r="BS96" s="93" t="str">
        <f t="shared" si="12"/>
        <v/>
      </c>
      <c r="BT96" s="93" t="str">
        <f t="shared" si="13"/>
        <v/>
      </c>
      <c r="BU96" s="37">
        <f t="shared" si="14"/>
        <v>0</v>
      </c>
      <c r="BV96" s="94">
        <v>24226</v>
      </c>
      <c r="BW96" s="94" t="s">
        <v>476</v>
      </c>
      <c r="BX96" s="94">
        <v>1007</v>
      </c>
      <c r="BY96" s="37">
        <f t="shared" si="15"/>
        <v>0</v>
      </c>
      <c r="BZ96" s="37"/>
      <c r="CA96" s="37"/>
      <c r="CB96" s="37"/>
      <c r="CC96" s="37"/>
      <c r="CD96" s="37"/>
      <c r="CE96" s="37"/>
      <c r="CF96" s="37"/>
      <c r="CG96" s="37" t="str">
        <f t="shared" si="18"/>
        <v>Below 60</v>
      </c>
      <c r="CH96" s="37" t="str">
        <f t="shared" si="26"/>
        <v>Business Achieved 50%</v>
      </c>
      <c r="CI96" s="93">
        <f t="shared" si="19"/>
        <v>0.82758620689655171</v>
      </c>
      <c r="CJ96" s="105">
        <f ca="1">IFERROR(__xludf.DUMMYFUNCTION("""COMPUTED_VALUE"""),919)</f>
        <v>919</v>
      </c>
      <c r="CK96" s="105">
        <f ca="1">IFERROR(__xludf.DUMMYFUNCTION("""COMPUTED_VALUE"""),84)</f>
        <v>84</v>
      </c>
      <c r="CL96" s="105">
        <f ca="1">IFERROR(__xludf.DUMMYFUNCTION("""COMPUTED_VALUE"""),0)</f>
        <v>0</v>
      </c>
      <c r="CM96" s="96">
        <f t="shared" ca="1" si="20"/>
        <v>0</v>
      </c>
      <c r="CN96" s="106"/>
      <c r="CO96" s="93"/>
      <c r="CP96" s="107"/>
      <c r="CQ96" s="110"/>
      <c r="CR96" s="93"/>
      <c r="CS96" s="93"/>
      <c r="CT96" s="93"/>
      <c r="CU96" s="93"/>
      <c r="CV96" s="93"/>
      <c r="CW96" s="93"/>
      <c r="CX96" s="51"/>
      <c r="CY96" s="93"/>
      <c r="CZ96" s="93"/>
    </row>
    <row r="97" spans="1:104" ht="15.6">
      <c r="A97" s="1" t="s">
        <v>118</v>
      </c>
      <c r="B97" s="1" t="s">
        <v>372</v>
      </c>
      <c r="C97" s="1" t="s">
        <v>221</v>
      </c>
      <c r="D97" s="1" t="s">
        <v>515</v>
      </c>
      <c r="E97" s="1" t="s">
        <v>562</v>
      </c>
      <c r="F97" s="104">
        <v>45231</v>
      </c>
      <c r="G97" s="76">
        <v>0</v>
      </c>
      <c r="H97" s="76">
        <v>18000000</v>
      </c>
      <c r="I97" s="77">
        <v>6585381.6200000001</v>
      </c>
      <c r="J97" s="77">
        <v>0</v>
      </c>
      <c r="K97" s="4">
        <v>38</v>
      </c>
      <c r="L97" s="4">
        <v>40</v>
      </c>
      <c r="M97" s="4">
        <v>2</v>
      </c>
      <c r="N97" s="4">
        <v>40</v>
      </c>
      <c r="O97" s="4">
        <v>0</v>
      </c>
      <c r="P97" s="77">
        <v>6156603.8899999997</v>
      </c>
      <c r="Q97" s="77">
        <v>428777.73</v>
      </c>
      <c r="R97" s="4">
        <v>16</v>
      </c>
      <c r="S97" s="4">
        <v>2</v>
      </c>
      <c r="T97" s="4">
        <v>18</v>
      </c>
      <c r="U97" s="4">
        <v>0</v>
      </c>
      <c r="V97" s="4">
        <v>49</v>
      </c>
      <c r="W97" s="4">
        <v>110</v>
      </c>
      <c r="X97" s="4">
        <v>54</v>
      </c>
      <c r="Y97" s="4">
        <v>1</v>
      </c>
      <c r="Z97" s="4">
        <v>215</v>
      </c>
      <c r="AA97" s="4">
        <v>0</v>
      </c>
      <c r="AB97" s="4">
        <v>0</v>
      </c>
      <c r="AC97" s="4">
        <v>0</v>
      </c>
      <c r="AD97" s="4">
        <v>0</v>
      </c>
      <c r="AE97" s="4">
        <v>889</v>
      </c>
      <c r="AF97" s="4">
        <v>1214</v>
      </c>
      <c r="AG97" s="4">
        <v>269</v>
      </c>
      <c r="AH97" s="76">
        <f t="shared" si="1"/>
        <v>24480.972565055763</v>
      </c>
      <c r="AI97" s="76">
        <f t="shared" si="2"/>
        <v>4.5130111524163565</v>
      </c>
      <c r="AJ97" s="78">
        <v>25803</v>
      </c>
      <c r="AK97" s="76">
        <f t="shared" si="62"/>
        <v>309636</v>
      </c>
      <c r="AL97" s="79">
        <v>128782</v>
      </c>
      <c r="AM97" s="80">
        <f t="shared" si="4"/>
        <v>6.6574425796146947E-2</v>
      </c>
      <c r="AN97" s="76">
        <f t="shared" si="5"/>
        <v>365854.53444444446</v>
      </c>
      <c r="AO97" s="102">
        <f t="shared" si="67"/>
        <v>0.36585453444444443</v>
      </c>
      <c r="AP97" s="82">
        <v>0</v>
      </c>
      <c r="AQ97" s="4">
        <v>38</v>
      </c>
      <c r="AR97" s="4">
        <v>2493</v>
      </c>
      <c r="AS97" s="4">
        <v>1587.11</v>
      </c>
      <c r="AT97" s="4">
        <v>2</v>
      </c>
      <c r="AU97" s="4">
        <v>40</v>
      </c>
      <c r="AV97" s="1">
        <v>18</v>
      </c>
      <c r="AW97" s="1">
        <v>22</v>
      </c>
      <c r="AX97" s="1">
        <v>0</v>
      </c>
      <c r="AY97" s="86" t="str">
        <f>IFERROR(VLOOKUP(C97,#REF!,13,0),"")</f>
        <v/>
      </c>
      <c r="AZ97" s="87"/>
      <c r="BA97" s="1" t="str">
        <f t="shared" si="6"/>
        <v>Active</v>
      </c>
      <c r="BB97" s="1" t="e">
        <f t="shared" ca="1" si="7"/>
        <v>#NAME?</v>
      </c>
      <c r="BC97" s="1" t="e">
        <f t="shared" ca="1" si="68"/>
        <v>#NAME?</v>
      </c>
      <c r="BD97" s="33">
        <f t="shared" si="66"/>
        <v>12</v>
      </c>
      <c r="BE97" s="88" t="str">
        <v/>
      </c>
      <c r="BF97" s="1">
        <f t="shared" si="9"/>
        <v>0</v>
      </c>
      <c r="BG97" s="1" t="s">
        <v>428</v>
      </c>
      <c r="BH97" s="89">
        <f ca="1">IFERROR(__xludf.DUMMYFUNCTION("""COMPUTED_VALUE"""),4021075)</f>
        <v>4021075</v>
      </c>
      <c r="BI97" s="89">
        <f ca="1">IFERROR(__xludf.DUMMYFUNCTION("""COMPUTED_VALUE"""),2476595.5)</f>
        <v>2476595.5</v>
      </c>
      <c r="BJ97" s="90"/>
      <c r="BK97" s="91"/>
      <c r="BL97" s="91">
        <f t="shared" si="47"/>
        <v>0</v>
      </c>
      <c r="BM97" s="91">
        <f t="shared" si="11"/>
        <v>18000000</v>
      </c>
      <c r="BN97" s="91"/>
      <c r="BO97" s="92">
        <f ca="1">IFERROR(__xludf.DUMMYFUNCTION("IFERROR(ArrayFormula(SUM(VLOOKUP($C97,importrange(""1MwNMVzWE3QBVOyJjKr3eFX-Sq1Ng0Q1sghWJbgbE_8g"",""ORDER BOOKING REPORT 2024-25!C:CV""),{16,23,30},0))))"),538388)</f>
        <v>538388</v>
      </c>
      <c r="BP97" s="92">
        <f ca="1">IFERROR(__xludf.DUMMYFUNCTION("IFERROR(ArrayFormula(SUM(VLOOKUP($C97,importrange(""1MwNMVzWE3QBVOyJjKr3eFX-Sq1Ng0Q1sghWJbgbE_8g"",""ORDER BOOKING REPORT 2024-25!C:CV""),{37,44,51},0))))"),1059033.5)</f>
        <v>1059033.5</v>
      </c>
      <c r="BQ97" s="92">
        <f ca="1">IFERROR(__xludf.DUMMYFUNCTION("IFERROR(ArrayFormula(SUM(VLOOKUP($C97,importrange(""1MwNMVzWE3QBVOyJjKr3eFX-Sq1Ng0Q1sghWJbgbE_8g"",""ORDER BOOKING REPORT 2024-25!C:CV""),{58,65,72},0))))"),686068.5)</f>
        <v>686068.5</v>
      </c>
      <c r="BR97" s="92">
        <f ca="1">IFERROR(__xludf.DUMMYFUNCTION("IFERROR(ArrayFormula(SUM(VLOOKUP($C97,importrange(""1MwNMVzWE3QBVOyJjKr3eFX-Sq1Ng0Q1sghWJbgbE_8g"",""ORDER BOOKING REPORT 2024-25!C:CV""),{79,86,93},0))))"),193105.5)</f>
        <v>193105.5</v>
      </c>
      <c r="BS97" s="93" t="str">
        <f t="shared" si="12"/>
        <v/>
      </c>
      <c r="BT97" s="93" t="str">
        <f t="shared" si="13"/>
        <v/>
      </c>
      <c r="BU97" s="37">
        <f t="shared" si="14"/>
        <v>0</v>
      </c>
      <c r="BV97" s="94">
        <v>25803</v>
      </c>
      <c r="BW97" s="94" t="s">
        <v>476</v>
      </c>
      <c r="BX97" s="94">
        <v>1120</v>
      </c>
      <c r="BY97" s="37">
        <f t="shared" si="15"/>
        <v>0</v>
      </c>
      <c r="BZ97" s="37"/>
      <c r="CA97" s="37"/>
      <c r="CB97" s="37"/>
      <c r="CC97" s="37"/>
      <c r="CD97" s="37"/>
      <c r="CE97" s="37"/>
      <c r="CF97" s="37"/>
      <c r="CG97" s="37" t="str">
        <f t="shared" si="18"/>
        <v>Below 60</v>
      </c>
      <c r="CH97" s="37" t="str">
        <f t="shared" si="26"/>
        <v>Not 50%</v>
      </c>
      <c r="CI97" s="93">
        <f t="shared" si="19"/>
        <v>0.45</v>
      </c>
      <c r="CJ97" s="95">
        <f ca="1">IFERROR(__xludf.DUMMYFUNCTION("""COMPUTED_VALUE"""),449)</f>
        <v>449</v>
      </c>
      <c r="CK97" s="95">
        <f ca="1">IFERROR(__xludf.DUMMYFUNCTION("""COMPUTED_VALUE"""),440)</f>
        <v>440</v>
      </c>
      <c r="CL97" s="95">
        <f ca="1">IFERROR(__xludf.DUMMYFUNCTION("""COMPUTED_VALUE"""),0)</f>
        <v>0</v>
      </c>
      <c r="CM97" s="96">
        <f t="shared" ca="1" si="20"/>
        <v>0</v>
      </c>
      <c r="CN97" s="103"/>
      <c r="CO97" s="4"/>
      <c r="CP97" s="100"/>
      <c r="CQ97" s="101"/>
      <c r="CR97" s="4"/>
      <c r="CS97" s="4"/>
      <c r="CT97" s="4"/>
      <c r="CU97" s="4"/>
      <c r="CV97" s="4"/>
      <c r="CW97" s="101"/>
      <c r="CX97" s="51"/>
      <c r="CY97" s="4"/>
      <c r="CZ97" s="4"/>
    </row>
    <row r="98" spans="1:104" ht="15.6">
      <c r="A98" s="1" t="s">
        <v>118</v>
      </c>
      <c r="B98" s="1" t="s">
        <v>372</v>
      </c>
      <c r="C98" s="1" t="s">
        <v>222</v>
      </c>
      <c r="D98" s="1" t="s">
        <v>447</v>
      </c>
      <c r="E98" s="1" t="s">
        <v>564</v>
      </c>
      <c r="F98" s="104">
        <v>45233</v>
      </c>
      <c r="G98" s="76">
        <v>0</v>
      </c>
      <c r="H98" s="76">
        <v>18000000</v>
      </c>
      <c r="I98" s="77">
        <v>12270027</v>
      </c>
      <c r="J98" s="77">
        <v>0</v>
      </c>
      <c r="K98" s="4">
        <v>35</v>
      </c>
      <c r="L98" s="4">
        <v>62</v>
      </c>
      <c r="M98" s="4">
        <v>30</v>
      </c>
      <c r="N98" s="4">
        <v>65</v>
      </c>
      <c r="O98" s="4">
        <v>3</v>
      </c>
      <c r="P98" s="77">
        <v>9251813.0099999998</v>
      </c>
      <c r="Q98" s="77">
        <v>3018213.99</v>
      </c>
      <c r="R98" s="4">
        <v>26</v>
      </c>
      <c r="S98" s="4">
        <v>30</v>
      </c>
      <c r="T98" s="4">
        <v>56</v>
      </c>
      <c r="U98" s="4">
        <v>0</v>
      </c>
      <c r="V98" s="4">
        <v>82</v>
      </c>
      <c r="W98" s="4">
        <v>136</v>
      </c>
      <c r="X98" s="4">
        <v>60</v>
      </c>
      <c r="Y98" s="4">
        <v>3</v>
      </c>
      <c r="Z98" s="4">
        <v>145</v>
      </c>
      <c r="AA98" s="4">
        <v>2</v>
      </c>
      <c r="AB98" s="4">
        <v>22</v>
      </c>
      <c r="AC98" s="4">
        <v>4</v>
      </c>
      <c r="AD98" s="4">
        <v>5</v>
      </c>
      <c r="AE98" s="4">
        <v>675</v>
      </c>
      <c r="AF98" s="4">
        <v>983</v>
      </c>
      <c r="AG98" s="4">
        <v>277</v>
      </c>
      <c r="AH98" s="76">
        <f t="shared" si="1"/>
        <v>44296.126353790612</v>
      </c>
      <c r="AI98" s="76">
        <f t="shared" si="2"/>
        <v>3.5487364620938626</v>
      </c>
      <c r="AJ98" s="78">
        <v>26530</v>
      </c>
      <c r="AK98" s="76">
        <f t="shared" si="62"/>
        <v>318360</v>
      </c>
      <c r="AL98" s="79">
        <v>180815</v>
      </c>
      <c r="AM98" s="80">
        <f t="shared" si="4"/>
        <v>4.0682469565877892E-2</v>
      </c>
      <c r="AN98" s="76">
        <f t="shared" si="5"/>
        <v>219107.625</v>
      </c>
      <c r="AO98" s="102">
        <f t="shared" si="67"/>
        <v>0.68166816666666663</v>
      </c>
      <c r="AP98" s="82">
        <v>0</v>
      </c>
      <c r="AQ98" s="4">
        <v>260</v>
      </c>
      <c r="AR98" s="4">
        <v>2849</v>
      </c>
      <c r="AS98" s="4">
        <v>2338.84</v>
      </c>
      <c r="AT98" s="4">
        <v>30</v>
      </c>
      <c r="AU98" s="4">
        <v>38</v>
      </c>
      <c r="AV98" s="1">
        <v>56</v>
      </c>
      <c r="AW98" s="1">
        <v>9</v>
      </c>
      <c r="AX98" s="1">
        <v>0</v>
      </c>
      <c r="AY98" s="86" t="str">
        <f>IFERROR(VLOOKUP(C98,#REF!,13,0),"")</f>
        <v/>
      </c>
      <c r="AZ98" s="87"/>
      <c r="BA98" s="1" t="str">
        <f t="shared" si="6"/>
        <v>Active</v>
      </c>
      <c r="BB98" s="1" t="e">
        <f t="shared" ca="1" si="7"/>
        <v>#NAME?</v>
      </c>
      <c r="BC98" s="1" t="e">
        <f t="shared" ca="1" si="68"/>
        <v>#NAME?</v>
      </c>
      <c r="BD98" s="33">
        <f t="shared" si="66"/>
        <v>12</v>
      </c>
      <c r="BE98" s="88" t="str">
        <v/>
      </c>
      <c r="BF98" s="1">
        <f t="shared" si="9"/>
        <v>0</v>
      </c>
      <c r="BG98" s="1" t="s">
        <v>428</v>
      </c>
      <c r="BH98" s="89">
        <f ca="1">IFERROR(__xludf.DUMMYFUNCTION("""COMPUTED_VALUE"""),11446272.7829999)</f>
        <v>11446272.782999899</v>
      </c>
      <c r="BI98" s="89">
        <f ca="1">IFERROR(__xludf.DUMMYFUNCTION("""COMPUTED_VALUE"""),5966329.22999999)</f>
        <v>5966329.2299999902</v>
      </c>
      <c r="BJ98" s="90"/>
      <c r="BK98" s="91"/>
      <c r="BL98" s="91">
        <f t="shared" si="47"/>
        <v>0</v>
      </c>
      <c r="BM98" s="91">
        <f t="shared" si="11"/>
        <v>18000000</v>
      </c>
      <c r="BN98" s="91"/>
      <c r="BO98" s="92">
        <f ca="1">IFERROR(__xludf.DUMMYFUNCTION("IFERROR(ArrayFormula(SUM(VLOOKUP($C98,importrange(""1MwNMVzWE3QBVOyJjKr3eFX-Sq1Ng0Q1sghWJbgbE_8g"",""ORDER BOOKING REPORT 2024-25!C:CV""),{16,23,30},0))))"),1659100.16)</f>
        <v>1659100.1599999999</v>
      </c>
      <c r="BP98" s="92">
        <f ca="1">IFERROR(__xludf.DUMMYFUNCTION("IFERROR(ArrayFormula(SUM(VLOOKUP($C98,importrange(""1MwNMVzWE3QBVOyJjKr3eFX-Sq1Ng0Q1sghWJbgbE_8g"",""ORDER BOOKING REPORT 2024-25!C:CV""),{37,44,51},0))))"),396328.86)</f>
        <v>396328.86</v>
      </c>
      <c r="BQ98" s="92">
        <f ca="1">IFERROR(__xludf.DUMMYFUNCTION("IFERROR(ArrayFormula(SUM(VLOOKUP($C98,importrange(""1MwNMVzWE3QBVOyJjKr3eFX-Sq1Ng0Q1sghWJbgbE_8g"",""ORDER BOOKING REPORT 2024-25!C:CV""),{58,65,72},0))))"),2532962.65)</f>
        <v>2532962.65</v>
      </c>
      <c r="BR98" s="92">
        <f ca="1">IFERROR(__xludf.DUMMYFUNCTION("IFERROR(ArrayFormula(SUM(VLOOKUP($C98,importrange(""1MwNMVzWE3QBVOyJjKr3eFX-Sq1Ng0Q1sghWJbgbE_8g"",""ORDER BOOKING REPORT 2024-25!C:CV""),{79,86,93},0))))"),1377937.56)</f>
        <v>1377937.56</v>
      </c>
      <c r="BS98" s="93" t="str">
        <f t="shared" si="12"/>
        <v/>
      </c>
      <c r="BT98" s="93" t="str">
        <f t="shared" si="13"/>
        <v/>
      </c>
      <c r="BU98" s="37">
        <f t="shared" si="14"/>
        <v>0</v>
      </c>
      <c r="BV98" s="94">
        <v>26530</v>
      </c>
      <c r="BW98" s="94" t="s">
        <v>476</v>
      </c>
      <c r="BX98" s="94">
        <v>1126</v>
      </c>
      <c r="BY98" s="37">
        <f t="shared" si="15"/>
        <v>0</v>
      </c>
      <c r="BZ98" s="37"/>
      <c r="CA98" s="37"/>
      <c r="CB98" s="37"/>
      <c r="CC98" s="37"/>
      <c r="CD98" s="37"/>
      <c r="CE98" s="37"/>
      <c r="CF98" s="37"/>
      <c r="CG98" s="37" t="str">
        <f t="shared" si="18"/>
        <v xml:space="preserve"> </v>
      </c>
      <c r="CH98" s="37" t="str">
        <f t="shared" si="26"/>
        <v>Business Achieved 50%</v>
      </c>
      <c r="CI98" s="93">
        <f t="shared" si="19"/>
        <v>0.86153846153846159</v>
      </c>
      <c r="CJ98" s="95">
        <f ca="1">IFERROR(__xludf.DUMMYFUNCTION("""COMPUTED_VALUE"""),599)</f>
        <v>599</v>
      </c>
      <c r="CK98" s="95">
        <f ca="1">IFERROR(__xludf.DUMMYFUNCTION("""COMPUTED_VALUE"""),76)</f>
        <v>76</v>
      </c>
      <c r="CL98" s="95">
        <f ca="1">IFERROR(__xludf.DUMMYFUNCTION("""COMPUTED_VALUE"""),0)</f>
        <v>0</v>
      </c>
      <c r="CM98" s="96">
        <f t="shared" ca="1" si="20"/>
        <v>0</v>
      </c>
      <c r="CN98" s="103"/>
      <c r="CO98" s="4"/>
      <c r="CP98" s="100"/>
      <c r="CQ98" s="101"/>
      <c r="CR98" s="4"/>
      <c r="CS98" s="4"/>
      <c r="CT98" s="4"/>
      <c r="CU98" s="4"/>
      <c r="CV98" s="4"/>
      <c r="CW98" s="101"/>
      <c r="CX98" s="51"/>
      <c r="CY98" s="4"/>
      <c r="CZ98" s="4"/>
    </row>
    <row r="99" spans="1:104" ht="15.6">
      <c r="A99" s="1" t="s">
        <v>118</v>
      </c>
      <c r="B99" s="1" t="s">
        <v>372</v>
      </c>
      <c r="C99" s="1" t="s">
        <v>223</v>
      </c>
      <c r="D99" s="1" t="s">
        <v>447</v>
      </c>
      <c r="E99" s="1" t="s">
        <v>565</v>
      </c>
      <c r="F99" s="104">
        <v>45236</v>
      </c>
      <c r="G99" s="76">
        <v>0</v>
      </c>
      <c r="H99" s="76">
        <v>18000000</v>
      </c>
      <c r="I99" s="77">
        <v>18137542.620000001</v>
      </c>
      <c r="J99" s="77">
        <v>0</v>
      </c>
      <c r="K99" s="4">
        <v>53</v>
      </c>
      <c r="L99" s="4">
        <v>80</v>
      </c>
      <c r="M99" s="4">
        <v>28</v>
      </c>
      <c r="N99" s="4">
        <v>81</v>
      </c>
      <c r="O99" s="4">
        <v>1</v>
      </c>
      <c r="P99" s="77">
        <v>12322834.279999999</v>
      </c>
      <c r="Q99" s="77">
        <v>5814708.3399999999</v>
      </c>
      <c r="R99" s="4">
        <v>42</v>
      </c>
      <c r="S99" s="4">
        <v>28</v>
      </c>
      <c r="T99" s="4">
        <v>70</v>
      </c>
      <c r="U99" s="4">
        <v>0</v>
      </c>
      <c r="V99" s="4">
        <v>54</v>
      </c>
      <c r="W99" s="4">
        <v>102</v>
      </c>
      <c r="X99" s="4">
        <v>135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1630</v>
      </c>
      <c r="AF99" s="4">
        <v>1732</v>
      </c>
      <c r="AG99" s="4">
        <v>293</v>
      </c>
      <c r="AH99" s="76">
        <f t="shared" si="1"/>
        <v>61902.875836177474</v>
      </c>
      <c r="AI99" s="76">
        <f t="shared" si="2"/>
        <v>5.9112627986348123</v>
      </c>
      <c r="AJ99" s="78">
        <v>27680</v>
      </c>
      <c r="AK99" s="76">
        <f t="shared" si="62"/>
        <v>332160</v>
      </c>
      <c r="AL99" s="79">
        <v>198387</v>
      </c>
      <c r="AM99" s="80">
        <f t="shared" si="4"/>
        <v>2.9251316515996696E-2</v>
      </c>
      <c r="AN99" s="76">
        <f t="shared" si="5"/>
        <v>259107.75171428573</v>
      </c>
      <c r="AO99" s="102">
        <f t="shared" si="67"/>
        <v>1.0076412566666668</v>
      </c>
      <c r="AP99" s="82">
        <v>0</v>
      </c>
      <c r="AQ99" s="4">
        <v>636</v>
      </c>
      <c r="AR99" s="4">
        <v>2200</v>
      </c>
      <c r="AS99" s="4">
        <v>2593.9499999999998</v>
      </c>
      <c r="AT99" s="4">
        <v>28</v>
      </c>
      <c r="AU99" s="4">
        <v>32</v>
      </c>
      <c r="AV99" s="1">
        <v>70</v>
      </c>
      <c r="AW99" s="1">
        <v>10</v>
      </c>
      <c r="AX99" s="1">
        <v>1</v>
      </c>
      <c r="AY99" s="86" t="str">
        <f>IFERROR(VLOOKUP(C99,#REF!,13,0),"")</f>
        <v/>
      </c>
      <c r="AZ99" s="87"/>
      <c r="BA99" s="1" t="str">
        <f t="shared" si="6"/>
        <v>Active</v>
      </c>
      <c r="BB99" s="1" t="e">
        <f t="shared" ca="1" si="7"/>
        <v>#NAME?</v>
      </c>
      <c r="BC99" s="1" t="e">
        <f t="shared" ca="1" si="68"/>
        <v>#NAME?</v>
      </c>
      <c r="BD99" s="33">
        <f t="shared" si="66"/>
        <v>12</v>
      </c>
      <c r="BE99" s="88" t="str">
        <v/>
      </c>
      <c r="BF99" s="1">
        <f t="shared" si="9"/>
        <v>0</v>
      </c>
      <c r="BG99" s="1" t="s">
        <v>428</v>
      </c>
      <c r="BH99" s="89">
        <f ca="1">IFERROR(__xludf.DUMMYFUNCTION("""COMPUTED_VALUE"""),7452303)</f>
        <v>7452303</v>
      </c>
      <c r="BI99" s="89">
        <f ca="1">IFERROR(__xludf.DUMMYFUNCTION("""COMPUTED_VALUE"""),12336703.9099999)</f>
        <v>12336703.9099999</v>
      </c>
      <c r="BJ99" s="90"/>
      <c r="BK99" s="91"/>
      <c r="BL99" s="91">
        <f t="shared" si="47"/>
        <v>0</v>
      </c>
      <c r="BM99" s="91">
        <f t="shared" si="11"/>
        <v>18000000</v>
      </c>
      <c r="BN99" s="91"/>
      <c r="BO99" s="92">
        <f ca="1">IFERROR(__xludf.DUMMYFUNCTION("IFERROR(ArrayFormula(SUM(VLOOKUP($C99,importrange(""1MwNMVzWE3QBVOyJjKr3eFX-Sq1Ng0Q1sghWJbgbE_8g"",""ORDER BOOKING REPORT 2024-25!C:CV""),{16,23,30},0))))"),3589944.66)</f>
        <v>3589944.66</v>
      </c>
      <c r="BP99" s="92">
        <f ca="1">IFERROR(__xludf.DUMMYFUNCTION("IFERROR(ArrayFormula(SUM(VLOOKUP($C99,importrange(""1MwNMVzWE3QBVOyJjKr3eFX-Sq1Ng0Q1sghWJbgbE_8g"",""ORDER BOOKING REPORT 2024-25!C:CV""),{37,44,51},0))))"),2315245.46)</f>
        <v>2315245.46</v>
      </c>
      <c r="BQ99" s="92">
        <f ca="1">IFERROR(__xludf.DUMMYFUNCTION("IFERROR(ArrayFormula(SUM(VLOOKUP($C99,importrange(""1MwNMVzWE3QBVOyJjKr3eFX-Sq1Ng0Q1sghWJbgbE_8g"",""ORDER BOOKING REPORT 2024-25!C:CV""),{58,65,72},0))))"),3107571.84)</f>
        <v>3107571.84</v>
      </c>
      <c r="BR99" s="92">
        <f ca="1">IFERROR(__xludf.DUMMYFUNCTION("IFERROR(ArrayFormula(SUM(VLOOKUP($C99,importrange(""1MwNMVzWE3QBVOyJjKr3eFX-Sq1Ng0Q1sghWJbgbE_8g"",""ORDER BOOKING REPORT 2024-25!C:CV""),{79,86,93},0))))"),3323941.94999999)</f>
        <v>3323941.9499999899</v>
      </c>
      <c r="BS99" s="93" t="str">
        <f t="shared" si="12"/>
        <v/>
      </c>
      <c r="BT99" s="93" t="str">
        <f t="shared" si="13"/>
        <v/>
      </c>
      <c r="BU99" s="37">
        <f t="shared" si="14"/>
        <v>0</v>
      </c>
      <c r="BV99" s="94">
        <v>27680</v>
      </c>
      <c r="BW99" s="94" t="s">
        <v>476</v>
      </c>
      <c r="BX99" s="94">
        <v>1127</v>
      </c>
      <c r="BY99" s="37">
        <f t="shared" si="15"/>
        <v>0</v>
      </c>
      <c r="BZ99" s="37"/>
      <c r="CA99" s="37"/>
      <c r="CB99" s="37"/>
      <c r="CC99" s="37"/>
      <c r="CD99" s="37"/>
      <c r="CE99" s="37"/>
      <c r="CF99" s="37"/>
      <c r="CG99" s="37" t="str">
        <f t="shared" si="18"/>
        <v xml:space="preserve"> </v>
      </c>
      <c r="CH99" s="37" t="str">
        <f t="shared" si="26"/>
        <v>Business Achieved 50%</v>
      </c>
      <c r="CI99" s="93">
        <f t="shared" si="19"/>
        <v>0.86419753086419748</v>
      </c>
      <c r="CJ99" s="95">
        <f ca="1">IFERROR(__xludf.DUMMYFUNCTION("""COMPUTED_VALUE"""),1349)</f>
        <v>1349</v>
      </c>
      <c r="CK99" s="95">
        <f ca="1">IFERROR(__xludf.DUMMYFUNCTION("""COMPUTED_VALUE"""),281)</f>
        <v>281</v>
      </c>
      <c r="CL99" s="95">
        <f ca="1">IFERROR(__xludf.DUMMYFUNCTION("""COMPUTED_VALUE"""),0)</f>
        <v>0</v>
      </c>
      <c r="CM99" s="96">
        <f t="shared" ca="1" si="20"/>
        <v>0</v>
      </c>
      <c r="CN99" s="103"/>
      <c r="CO99" s="4"/>
      <c r="CP99" s="100"/>
      <c r="CQ99" s="101"/>
      <c r="CR99" s="4"/>
      <c r="CS99" s="4"/>
      <c r="CT99" s="4"/>
      <c r="CU99" s="4"/>
      <c r="CV99" s="4"/>
      <c r="CW99" s="101"/>
      <c r="CX99" s="51"/>
      <c r="CY99" s="4"/>
      <c r="CZ99" s="4"/>
    </row>
    <row r="100" spans="1:104" ht="15.6">
      <c r="A100" s="1" t="s">
        <v>118</v>
      </c>
      <c r="B100" s="1" t="s">
        <v>468</v>
      </c>
      <c r="C100" s="1" t="s">
        <v>224</v>
      </c>
      <c r="D100" s="1" t="s">
        <v>515</v>
      </c>
      <c r="E100" s="1" t="s">
        <v>566</v>
      </c>
      <c r="F100" s="104">
        <v>45236</v>
      </c>
      <c r="G100" s="76">
        <v>0</v>
      </c>
      <c r="H100" s="76">
        <v>23400000</v>
      </c>
      <c r="I100" s="77">
        <v>16164942.189999999</v>
      </c>
      <c r="J100" s="77">
        <v>0</v>
      </c>
      <c r="K100" s="4">
        <v>30</v>
      </c>
      <c r="L100" s="4">
        <v>37</v>
      </c>
      <c r="M100" s="4">
        <v>8</v>
      </c>
      <c r="N100" s="4">
        <v>38</v>
      </c>
      <c r="O100" s="4">
        <v>1</v>
      </c>
      <c r="P100" s="77">
        <v>14663478.890000001</v>
      </c>
      <c r="Q100" s="77">
        <v>1501463.3</v>
      </c>
      <c r="R100" s="4">
        <v>24</v>
      </c>
      <c r="S100" s="4">
        <v>7</v>
      </c>
      <c r="T100" s="4">
        <v>31</v>
      </c>
      <c r="U100" s="4">
        <v>0</v>
      </c>
      <c r="V100" s="4">
        <v>36</v>
      </c>
      <c r="W100" s="4">
        <v>78</v>
      </c>
      <c r="X100" s="4">
        <v>87</v>
      </c>
      <c r="Y100" s="4">
        <v>1</v>
      </c>
      <c r="Z100" s="4">
        <v>4</v>
      </c>
      <c r="AA100" s="4">
        <v>0</v>
      </c>
      <c r="AB100" s="4">
        <v>0</v>
      </c>
      <c r="AC100" s="4">
        <v>0</v>
      </c>
      <c r="AD100" s="4">
        <v>0</v>
      </c>
      <c r="AE100" s="4">
        <v>1031</v>
      </c>
      <c r="AF100" s="4">
        <v>1113</v>
      </c>
      <c r="AG100" s="4">
        <v>279</v>
      </c>
      <c r="AH100" s="76">
        <f t="shared" si="1"/>
        <v>57938.860896057347</v>
      </c>
      <c r="AI100" s="76">
        <f t="shared" si="2"/>
        <v>3.989247311827957</v>
      </c>
      <c r="AJ100" s="78">
        <v>29985</v>
      </c>
      <c r="AK100" s="76">
        <f t="shared" si="62"/>
        <v>359820</v>
      </c>
      <c r="AL100" s="79">
        <v>202308</v>
      </c>
      <c r="AM100" s="80">
        <f t="shared" si="4"/>
        <v>3.4774513474458646E-2</v>
      </c>
      <c r="AN100" s="76">
        <f t="shared" si="5"/>
        <v>521449.74806451611</v>
      </c>
      <c r="AO100" s="102">
        <f t="shared" si="67"/>
        <v>0.69080949529914526</v>
      </c>
      <c r="AP100" s="82">
        <v>0</v>
      </c>
      <c r="AQ100" s="4">
        <v>121</v>
      </c>
      <c r="AR100" s="4">
        <v>2875</v>
      </c>
      <c r="AS100" s="4">
        <v>3260.63</v>
      </c>
      <c r="AT100" s="4">
        <v>7</v>
      </c>
      <c r="AU100" s="4">
        <v>88</v>
      </c>
      <c r="AV100" s="1">
        <v>31</v>
      </c>
      <c r="AW100" s="1">
        <v>6</v>
      </c>
      <c r="AX100" s="1">
        <v>1</v>
      </c>
      <c r="AY100" s="86" t="str">
        <f>IFERROR(VLOOKUP(C100,#REF!,13,0),"")</f>
        <v/>
      </c>
      <c r="AZ100" s="87"/>
      <c r="BA100" s="1" t="str">
        <f t="shared" si="6"/>
        <v>Active</v>
      </c>
      <c r="BB100" s="1" t="e">
        <f t="shared" ca="1" si="7"/>
        <v>#NAME?</v>
      </c>
      <c r="BC100" s="1" t="e">
        <f t="shared" ca="1" si="68"/>
        <v>#NAME?</v>
      </c>
      <c r="BD100" s="33">
        <f t="shared" si="66"/>
        <v>12</v>
      </c>
      <c r="BE100" s="88" t="str">
        <v/>
      </c>
      <c r="BF100" s="1">
        <f t="shared" si="9"/>
        <v>1</v>
      </c>
      <c r="BG100" s="1" t="s">
        <v>428</v>
      </c>
      <c r="BH100" s="89">
        <f ca="1">IFERROR(__xludf.DUMMYFUNCTION("""COMPUTED_VALUE"""),16070321)</f>
        <v>16070321</v>
      </c>
      <c r="BI100" s="89">
        <f ca="1">IFERROR(__xludf.DUMMYFUNCTION("""COMPUTED_VALUE"""),13284672.93)</f>
        <v>13284672.93</v>
      </c>
      <c r="BJ100" s="90"/>
      <c r="BK100" s="91"/>
      <c r="BL100" s="91">
        <f t="shared" si="47"/>
        <v>0</v>
      </c>
      <c r="BM100" s="91">
        <f t="shared" si="11"/>
        <v>23400000</v>
      </c>
      <c r="BN100" s="91"/>
      <c r="BO100" s="92">
        <f ca="1">IFERROR(__xludf.DUMMYFUNCTION("IFERROR(ArrayFormula(SUM(VLOOKUP($C100,importrange(""1MwNMVzWE3QBVOyJjKr3eFX-Sq1Ng0Q1sghWJbgbE_8g"",""ORDER BOOKING REPORT 2024-25!C:CV""),{16,23,30},0))))"),2437996.45)</f>
        <v>2437996.4500000002</v>
      </c>
      <c r="BP100" s="92">
        <f ca="1">IFERROR(__xludf.DUMMYFUNCTION("IFERROR(ArrayFormula(SUM(VLOOKUP($C100,importrange(""1MwNMVzWE3QBVOyJjKr3eFX-Sq1Ng0Q1sghWJbgbE_8g"",""ORDER BOOKING REPORT 2024-25!C:CV""),{37,44,51},0))))"),3649907.28)</f>
        <v>3649907.28</v>
      </c>
      <c r="BQ100" s="92">
        <f ca="1">IFERROR(__xludf.DUMMYFUNCTION("IFERROR(ArrayFormula(SUM(VLOOKUP($C100,importrange(""1MwNMVzWE3QBVOyJjKr3eFX-Sq1Ng0Q1sghWJbgbE_8g"",""ORDER BOOKING REPORT 2024-25!C:CV""),{58,65,72},0))))"),3538764.5)</f>
        <v>3538764.5</v>
      </c>
      <c r="BR100" s="92">
        <f ca="1">IFERROR(__xludf.DUMMYFUNCTION("IFERROR(ArrayFormula(SUM(VLOOKUP($C100,importrange(""1MwNMVzWE3QBVOyJjKr3eFX-Sq1Ng0Q1sghWJbgbE_8g"",""ORDER BOOKING REPORT 2024-25!C:CV""),{79,86,93},0))))"),3658004.69999999)</f>
        <v>3658004.6999999899</v>
      </c>
      <c r="BS100" s="93" t="str">
        <f t="shared" si="12"/>
        <v/>
      </c>
      <c r="BT100" s="93" t="str">
        <f t="shared" si="13"/>
        <v/>
      </c>
      <c r="BU100" s="37">
        <f t="shared" si="14"/>
        <v>0</v>
      </c>
      <c r="BV100" s="94">
        <v>29985</v>
      </c>
      <c r="BW100" s="94" t="s">
        <v>476</v>
      </c>
      <c r="BX100" s="94">
        <v>1128</v>
      </c>
      <c r="BY100" s="37">
        <f t="shared" si="15"/>
        <v>0</v>
      </c>
      <c r="BZ100" s="37"/>
      <c r="CA100" s="37"/>
      <c r="CB100" s="37"/>
      <c r="CC100" s="37"/>
      <c r="CD100" s="37"/>
      <c r="CE100" s="37"/>
      <c r="CF100" s="37"/>
      <c r="CG100" s="37" t="str">
        <f t="shared" si="18"/>
        <v>Below 60</v>
      </c>
      <c r="CH100" s="37" t="str">
        <f t="shared" si="26"/>
        <v>Business Achieved 50%</v>
      </c>
      <c r="CI100" s="93">
        <f t="shared" si="19"/>
        <v>0.81578947368421051</v>
      </c>
      <c r="CJ100" s="95">
        <f ca="1">IFERROR(__xludf.DUMMYFUNCTION("""COMPUTED_VALUE"""),929)</f>
        <v>929</v>
      </c>
      <c r="CK100" s="95">
        <f ca="1">IFERROR(__xludf.DUMMYFUNCTION("""COMPUTED_VALUE"""),102)</f>
        <v>102</v>
      </c>
      <c r="CL100" s="95">
        <f ca="1">IFERROR(__xludf.DUMMYFUNCTION("""COMPUTED_VALUE"""),0)</f>
        <v>0</v>
      </c>
      <c r="CM100" s="96">
        <f t="shared" ca="1" si="20"/>
        <v>0</v>
      </c>
      <c r="CN100" s="103"/>
      <c r="CO100" s="4"/>
      <c r="CP100" s="100"/>
      <c r="CQ100" s="101"/>
      <c r="CR100" s="4"/>
      <c r="CS100" s="4"/>
      <c r="CT100" s="4"/>
      <c r="CU100" s="4"/>
      <c r="CV100" s="4"/>
      <c r="CW100" s="101"/>
      <c r="CX100" s="51"/>
      <c r="CY100" s="4"/>
      <c r="CZ100" s="4"/>
    </row>
    <row r="101" spans="1:104" ht="15.6">
      <c r="A101" s="1" t="s">
        <v>120</v>
      </c>
      <c r="B101" s="1" t="s">
        <v>206</v>
      </c>
      <c r="C101" s="1" t="s">
        <v>180</v>
      </c>
      <c r="D101" s="1" t="s">
        <v>206</v>
      </c>
      <c r="E101" s="1" t="s">
        <v>182</v>
      </c>
      <c r="F101" s="104">
        <v>45261</v>
      </c>
      <c r="G101" s="76">
        <v>2400000</v>
      </c>
      <c r="H101" s="76">
        <v>14400000</v>
      </c>
      <c r="I101" s="77">
        <v>11332344.65</v>
      </c>
      <c r="J101" s="77">
        <v>804056.23</v>
      </c>
      <c r="K101" s="4">
        <v>76</v>
      </c>
      <c r="L101" s="4">
        <v>100</v>
      </c>
      <c r="M101" s="4">
        <v>25</v>
      </c>
      <c r="N101" s="4">
        <v>101</v>
      </c>
      <c r="O101" s="4">
        <v>1</v>
      </c>
      <c r="P101" s="77">
        <v>7053870.4000000004</v>
      </c>
      <c r="Q101" s="77">
        <v>4278474.25</v>
      </c>
      <c r="R101" s="4">
        <v>49</v>
      </c>
      <c r="S101" s="4">
        <v>25</v>
      </c>
      <c r="T101" s="4">
        <v>74</v>
      </c>
      <c r="U101" s="4">
        <v>3</v>
      </c>
      <c r="V101" s="4">
        <v>97</v>
      </c>
      <c r="W101" s="4">
        <v>256</v>
      </c>
      <c r="X101" s="4">
        <v>64</v>
      </c>
      <c r="Y101" s="4">
        <v>5</v>
      </c>
      <c r="Z101" s="4">
        <v>259</v>
      </c>
      <c r="AA101" s="4">
        <v>5</v>
      </c>
      <c r="AB101" s="4">
        <v>46</v>
      </c>
      <c r="AC101" s="4">
        <v>0</v>
      </c>
      <c r="AD101" s="4">
        <v>0</v>
      </c>
      <c r="AE101" s="4">
        <v>1341</v>
      </c>
      <c r="AF101" s="4">
        <v>1902</v>
      </c>
      <c r="AG101" s="4">
        <v>303</v>
      </c>
      <c r="AH101" s="76">
        <f t="shared" si="1"/>
        <v>40054.128316831688</v>
      </c>
      <c r="AI101" s="76">
        <f t="shared" si="2"/>
        <v>6.2772277227722775</v>
      </c>
      <c r="AJ101" s="78">
        <f t="shared" ref="AJ101:AJ103" si="69">BV101</f>
        <v>29360</v>
      </c>
      <c r="AK101" s="76">
        <f t="shared" si="62"/>
        <v>352320</v>
      </c>
      <c r="AL101" s="49">
        <v>131202</v>
      </c>
      <c r="AM101" s="80">
        <f t="shared" si="4"/>
        <v>3.9840641783414787E-2</v>
      </c>
      <c r="AN101" s="76">
        <f t="shared" si="5"/>
        <v>153139.79256756758</v>
      </c>
      <c r="AO101" s="102">
        <f t="shared" si="67"/>
        <v>0.72240481428571435</v>
      </c>
      <c r="AP101" s="82">
        <v>0.33</v>
      </c>
      <c r="AQ101" s="4">
        <v>326</v>
      </c>
      <c r="AR101" s="4">
        <v>2958</v>
      </c>
      <c r="AS101" s="4">
        <v>2629.6</v>
      </c>
      <c r="AT101" s="4">
        <v>25</v>
      </c>
      <c r="AU101" s="4">
        <v>26</v>
      </c>
      <c r="AV101" s="1">
        <v>74</v>
      </c>
      <c r="AW101" s="1">
        <v>26</v>
      </c>
      <c r="AX101" s="1">
        <v>1</v>
      </c>
      <c r="AY101" s="86" t="str">
        <f>IFERROR(VLOOKUP(C101,#REF!,13,0),"")</f>
        <v/>
      </c>
      <c r="AZ101" s="87"/>
      <c r="BA101" s="1" t="str">
        <f t="shared" si="6"/>
        <v>Active</v>
      </c>
      <c r="BB101" s="1" t="e">
        <f t="shared" ca="1" si="7"/>
        <v>#NAME?</v>
      </c>
      <c r="BC101" s="1" t="e">
        <f t="shared" ca="1" si="68"/>
        <v>#NAME?</v>
      </c>
      <c r="BD101" s="33">
        <f t="shared" si="66"/>
        <v>12</v>
      </c>
      <c r="BE101" s="88" t="str">
        <v/>
      </c>
      <c r="BF101" s="1">
        <f t="shared" si="9"/>
        <v>0</v>
      </c>
      <c r="BG101" s="1" t="s">
        <v>428</v>
      </c>
      <c r="BH101" s="89">
        <f ca="1">IFERROR(__xludf.DUMMYFUNCTION("""COMPUTED_VALUE"""),10296470)</f>
        <v>10296470</v>
      </c>
      <c r="BI101" s="89">
        <f ca="1">IFERROR(__xludf.DUMMYFUNCTION("""COMPUTED_VALUE"""),9331680.95)</f>
        <v>9331680.9499999993</v>
      </c>
      <c r="BJ101" s="90"/>
      <c r="BK101" s="91">
        <v>200000</v>
      </c>
      <c r="BL101" s="91">
        <f t="shared" si="47"/>
        <v>2400000</v>
      </c>
      <c r="BM101" s="91">
        <f t="shared" si="11"/>
        <v>16800000</v>
      </c>
      <c r="BN101" s="91"/>
      <c r="BO101" s="92">
        <f ca="1">IFERROR(__xludf.DUMMYFUNCTION("IFERROR(ArrayFormula(SUM(VLOOKUP($C101,importrange(""1MwNMVzWE3QBVOyJjKr3eFX-Sq1Ng0Q1sghWJbgbE_8g"",""ORDER BOOKING REPORT 2024-25!C:CV""),{16,23,30},0))))"),1779931.38)</f>
        <v>1779931.38</v>
      </c>
      <c r="BP101" s="92">
        <f ca="1">IFERROR(__xludf.DUMMYFUNCTION("IFERROR(ArrayFormula(SUM(VLOOKUP($C101,importrange(""1MwNMVzWE3QBVOyJjKr3eFX-Sq1Ng0Q1sghWJbgbE_8g"",""ORDER BOOKING REPORT 2024-25!C:CV""),{37,44,51},0))))"),2165424.42999999)</f>
        <v>2165424.4299999899</v>
      </c>
      <c r="BQ101" s="92">
        <f ca="1">IFERROR(__xludf.DUMMYFUNCTION("IFERROR(ArrayFormula(SUM(VLOOKUP($C101,importrange(""1MwNMVzWE3QBVOyJjKr3eFX-Sq1Ng0Q1sghWJbgbE_8g"",""ORDER BOOKING REPORT 2024-25!C:CV""),{58,65,72},0))))"),2290786.42)</f>
        <v>2290786.42</v>
      </c>
      <c r="BR101" s="92">
        <f ca="1">IFERROR(__xludf.DUMMYFUNCTION("IFERROR(ArrayFormula(SUM(VLOOKUP($C101,importrange(""1MwNMVzWE3QBVOyJjKr3eFX-Sq1Ng0Q1sghWJbgbE_8g"",""ORDER BOOKING REPORT 2024-25!C:CV""),{79,86,93},0))))"),3095538.72)</f>
        <v>3095538.72</v>
      </c>
      <c r="BS101" s="93" t="str">
        <f t="shared" si="12"/>
        <v/>
      </c>
      <c r="BT101" s="93" t="str">
        <f t="shared" si="13"/>
        <v/>
      </c>
      <c r="BU101" s="37">
        <f t="shared" si="14"/>
        <v>0</v>
      </c>
      <c r="BV101" s="94">
        <v>29360</v>
      </c>
      <c r="BW101" s="94" t="s">
        <v>476</v>
      </c>
      <c r="BX101" s="94">
        <v>1013</v>
      </c>
      <c r="BY101" s="37">
        <f t="shared" si="15"/>
        <v>0</v>
      </c>
      <c r="BZ101" s="37"/>
      <c r="CA101" s="37"/>
      <c r="CB101" s="37"/>
      <c r="CC101" s="37"/>
      <c r="CD101" s="37"/>
      <c r="CE101" s="37"/>
      <c r="CF101" s="37"/>
      <c r="CG101" s="37" t="str">
        <f t="shared" si="18"/>
        <v xml:space="preserve"> </v>
      </c>
      <c r="CH101" s="37" t="str">
        <f t="shared" si="26"/>
        <v>Business Achieved 50%</v>
      </c>
      <c r="CI101" s="93">
        <f t="shared" si="19"/>
        <v>0.73267326732673266</v>
      </c>
      <c r="CJ101" s="105">
        <f ca="1">IFERROR(__xludf.DUMMYFUNCTION("""COMPUTED_VALUE"""),1223)</f>
        <v>1223</v>
      </c>
      <c r="CK101" s="105">
        <f ca="1">IFERROR(__xludf.DUMMYFUNCTION("""COMPUTED_VALUE"""),118)</f>
        <v>118</v>
      </c>
      <c r="CL101" s="105">
        <f ca="1">IFERROR(__xludf.DUMMYFUNCTION("""COMPUTED_VALUE"""),0)</f>
        <v>0</v>
      </c>
      <c r="CM101" s="96">
        <f t="shared" ca="1" si="20"/>
        <v>0</v>
      </c>
      <c r="CN101" s="106"/>
      <c r="CO101" s="93"/>
      <c r="CP101" s="107"/>
      <c r="CQ101" s="110"/>
      <c r="CR101" s="93"/>
      <c r="CS101" s="93"/>
      <c r="CT101" s="93"/>
      <c r="CU101" s="93"/>
      <c r="CV101" s="93"/>
      <c r="CW101" s="93"/>
      <c r="CX101" s="51"/>
      <c r="CY101" s="93"/>
      <c r="CZ101" s="93"/>
    </row>
    <row r="102" spans="1:104" ht="15.6">
      <c r="A102" s="1" t="s">
        <v>118</v>
      </c>
      <c r="B102" s="1" t="s">
        <v>378</v>
      </c>
      <c r="C102" s="1" t="s">
        <v>119</v>
      </c>
      <c r="D102" s="1" t="s">
        <v>567</v>
      </c>
      <c r="E102" s="1" t="s">
        <v>519</v>
      </c>
      <c r="F102" s="104">
        <v>45264</v>
      </c>
      <c r="G102" s="76">
        <v>0</v>
      </c>
      <c r="H102" s="76">
        <v>0</v>
      </c>
      <c r="I102" s="77">
        <v>1925142.63</v>
      </c>
      <c r="J102" s="77">
        <v>0</v>
      </c>
      <c r="K102" s="4">
        <v>271</v>
      </c>
      <c r="L102" s="4">
        <v>241</v>
      </c>
      <c r="M102" s="4">
        <v>77</v>
      </c>
      <c r="N102" s="4">
        <v>348</v>
      </c>
      <c r="O102" s="4">
        <v>107</v>
      </c>
      <c r="P102" s="77">
        <v>1838605.83</v>
      </c>
      <c r="Q102" s="77">
        <v>86536.8</v>
      </c>
      <c r="R102" s="4">
        <v>27</v>
      </c>
      <c r="S102" s="4">
        <v>2</v>
      </c>
      <c r="T102" s="4">
        <v>29</v>
      </c>
      <c r="U102" s="4">
        <v>0</v>
      </c>
      <c r="V102" s="4">
        <v>150</v>
      </c>
      <c r="W102" s="4">
        <v>240</v>
      </c>
      <c r="X102" s="4">
        <v>46</v>
      </c>
      <c r="Y102" s="4">
        <v>3</v>
      </c>
      <c r="Z102" s="4">
        <v>72</v>
      </c>
      <c r="AA102" s="4">
        <v>2</v>
      </c>
      <c r="AB102" s="4">
        <v>3</v>
      </c>
      <c r="AC102" s="4">
        <v>2</v>
      </c>
      <c r="AD102" s="4">
        <v>5</v>
      </c>
      <c r="AE102" s="4">
        <v>689</v>
      </c>
      <c r="AF102" s="4">
        <v>1009</v>
      </c>
      <c r="AG102" s="4">
        <v>267</v>
      </c>
      <c r="AH102" s="76">
        <f t="shared" si="1"/>
        <v>7210.2720224719096</v>
      </c>
      <c r="AI102" s="76">
        <f t="shared" si="2"/>
        <v>3.7790262172284645</v>
      </c>
      <c r="AJ102" s="78">
        <f t="shared" si="69"/>
        <v>73990</v>
      </c>
      <c r="AK102" s="76">
        <f t="shared" si="62"/>
        <v>839786.5</v>
      </c>
      <c r="AL102" s="49">
        <v>495428</v>
      </c>
      <c r="AM102" s="80">
        <f t="shared" si="4"/>
        <v>0.69356653330148321</v>
      </c>
      <c r="AN102" s="76">
        <f t="shared" si="5"/>
        <v>66384.228620689653</v>
      </c>
      <c r="AO102" s="49" t="s">
        <v>161</v>
      </c>
      <c r="AP102" s="82">
        <v>0</v>
      </c>
      <c r="AQ102" s="4">
        <v>77</v>
      </c>
      <c r="AR102" s="4">
        <v>3111</v>
      </c>
      <c r="AS102" s="4">
        <v>1592.09</v>
      </c>
      <c r="AT102" s="4">
        <v>2</v>
      </c>
      <c r="AU102" s="4">
        <v>7</v>
      </c>
      <c r="AV102" s="1">
        <v>29</v>
      </c>
      <c r="AW102" s="1">
        <v>229</v>
      </c>
      <c r="AX102" s="1">
        <v>90</v>
      </c>
      <c r="AY102" s="86" t="str">
        <f>IFERROR(VLOOKUP(C102,#REF!,13,0),"")</f>
        <v/>
      </c>
      <c r="AZ102" s="87">
        <v>46091</v>
      </c>
      <c r="BA102" s="1" t="str">
        <f t="shared" si="6"/>
        <v>LEFT</v>
      </c>
      <c r="BB102" s="1" t="e">
        <f t="shared" ca="1" si="7"/>
        <v>#NAME?</v>
      </c>
      <c r="BC102" s="4" t="s">
        <v>161</v>
      </c>
      <c r="BD102" s="33">
        <v>11.35</v>
      </c>
      <c r="BE102" s="88" t="str">
        <v/>
      </c>
      <c r="BF102" s="1">
        <f t="shared" si="9"/>
        <v>75</v>
      </c>
      <c r="BG102" s="37" t="s">
        <v>423</v>
      </c>
      <c r="BH102" s="89"/>
      <c r="BI102" s="89"/>
      <c r="BJ102" s="109">
        <f>11/31</f>
        <v>0.35483870967741937</v>
      </c>
      <c r="BK102" s="91"/>
      <c r="BL102" s="91">
        <f t="shared" si="47"/>
        <v>0</v>
      </c>
      <c r="BM102" s="91">
        <f t="shared" si="11"/>
        <v>0</v>
      </c>
      <c r="BN102" s="91"/>
      <c r="BO102" s="92" t="str">
        <f ca="1">IFERROR(__xludf.DUMMYFUNCTION("IFERROR(ArrayFormula(SUM(VLOOKUP($C102,importrange(""1MwNMVzWE3QBVOyJjKr3eFX-Sq1Ng0Q1sghWJbgbE_8g"",""ORDER BOOKING REPORT 2024-25!C:CV""),{16,23,30},0))))"),"")</f>
        <v/>
      </c>
      <c r="BP102" s="92" t="str">
        <f ca="1">IFERROR(__xludf.DUMMYFUNCTION("IFERROR(ArrayFormula(SUM(VLOOKUP($C102,importrange(""1MwNMVzWE3QBVOyJjKr3eFX-Sq1Ng0Q1sghWJbgbE_8g"",""ORDER BOOKING REPORT 2024-25!C:CV""),{37,44,51},0))))"),"")</f>
        <v/>
      </c>
      <c r="BQ102" s="92" t="str">
        <f ca="1">IFERROR(__xludf.DUMMYFUNCTION("IFERROR(ArrayFormula(SUM(VLOOKUP($C102,importrange(""1MwNMVzWE3QBVOyJjKr3eFX-Sq1Ng0Q1sghWJbgbE_8g"",""ORDER BOOKING REPORT 2024-25!C:CV""),{58,65,72},0))))"),"")</f>
        <v/>
      </c>
      <c r="BR102" s="92" t="str">
        <f ca="1">IFERROR(__xludf.DUMMYFUNCTION("IFERROR(ArrayFormula(SUM(VLOOKUP($C102,importrange(""1MwNMVzWE3QBVOyJjKr3eFX-Sq1Ng0Q1sghWJbgbE_8g"",""ORDER BOOKING REPORT 2024-25!C:CV""),{79,86,93},0))))"),"")</f>
        <v/>
      </c>
      <c r="BS102" s="93" t="str">
        <f t="shared" si="12"/>
        <v/>
      </c>
      <c r="BT102" s="93" t="str">
        <f t="shared" si="13"/>
        <v/>
      </c>
      <c r="BU102" s="37">
        <f t="shared" si="14"/>
        <v>0</v>
      </c>
      <c r="BV102" s="94">
        <v>73990</v>
      </c>
      <c r="BW102" s="94" t="s">
        <v>434</v>
      </c>
      <c r="BX102" s="94">
        <v>1014</v>
      </c>
      <c r="BY102" s="37">
        <f t="shared" si="15"/>
        <v>0</v>
      </c>
      <c r="BZ102" s="37"/>
      <c r="CA102" s="37"/>
      <c r="CB102" s="37"/>
      <c r="CC102" s="37"/>
      <c r="CD102" s="37"/>
      <c r="CE102" s="37"/>
      <c r="CF102" s="37"/>
      <c r="CG102" s="37" t="str">
        <f t="shared" si="18"/>
        <v xml:space="preserve"> </v>
      </c>
      <c r="CH102" s="37" t="str">
        <f t="shared" si="26"/>
        <v>Not 50%</v>
      </c>
      <c r="CI102" s="93">
        <f t="shared" si="19"/>
        <v>8.3333333333333329E-2</v>
      </c>
      <c r="CJ102" s="105"/>
      <c r="CK102" s="105"/>
      <c r="CL102" s="105"/>
      <c r="CM102" s="96">
        <f t="shared" si="20"/>
        <v>689</v>
      </c>
      <c r="CN102" s="106"/>
      <c r="CO102" s="93"/>
      <c r="CP102" s="107"/>
      <c r="CQ102" s="110"/>
      <c r="CR102" s="93"/>
      <c r="CS102" s="93"/>
      <c r="CT102" s="93"/>
      <c r="CU102" s="93"/>
      <c r="CV102" s="93"/>
      <c r="CW102" s="93"/>
      <c r="CX102" s="51"/>
      <c r="CY102" s="93"/>
      <c r="CZ102" s="93"/>
    </row>
    <row r="103" spans="1:104" ht="15.6">
      <c r="A103" s="1" t="s">
        <v>177</v>
      </c>
      <c r="B103" s="1" t="s">
        <v>364</v>
      </c>
      <c r="C103" s="1" t="s">
        <v>225</v>
      </c>
      <c r="D103" s="1" t="s">
        <v>568</v>
      </c>
      <c r="E103" s="1" t="s">
        <v>569</v>
      </c>
      <c r="F103" s="48">
        <v>45271</v>
      </c>
      <c r="G103" s="76">
        <v>0</v>
      </c>
      <c r="H103" s="76">
        <v>0</v>
      </c>
      <c r="I103" s="77">
        <v>0</v>
      </c>
      <c r="J103" s="77">
        <v>0</v>
      </c>
      <c r="K103" s="4">
        <v>66</v>
      </c>
      <c r="L103" s="4">
        <v>35</v>
      </c>
      <c r="M103" s="4">
        <v>1</v>
      </c>
      <c r="N103" s="4">
        <v>67</v>
      </c>
      <c r="O103" s="4">
        <v>32</v>
      </c>
      <c r="P103" s="77">
        <v>0</v>
      </c>
      <c r="Q103" s="77">
        <v>0</v>
      </c>
      <c r="R103" s="4">
        <v>0</v>
      </c>
      <c r="S103" s="4">
        <v>0</v>
      </c>
      <c r="T103" s="4">
        <v>0</v>
      </c>
      <c r="U103" s="4">
        <v>0</v>
      </c>
      <c r="V103" s="4">
        <v>16</v>
      </c>
      <c r="W103" s="4">
        <v>25</v>
      </c>
      <c r="X103" s="4">
        <v>76</v>
      </c>
      <c r="Y103" s="4">
        <v>6</v>
      </c>
      <c r="Z103" s="4">
        <v>71</v>
      </c>
      <c r="AA103" s="4">
        <v>0</v>
      </c>
      <c r="AB103" s="4">
        <v>0</v>
      </c>
      <c r="AC103" s="4">
        <v>95</v>
      </c>
      <c r="AD103" s="4">
        <v>218</v>
      </c>
      <c r="AE103" s="4">
        <v>45</v>
      </c>
      <c r="AF103" s="4">
        <v>359</v>
      </c>
      <c r="AG103" s="4">
        <v>133</v>
      </c>
      <c r="AH103" s="76">
        <f t="shared" si="1"/>
        <v>0</v>
      </c>
      <c r="AI103" s="76">
        <f t="shared" si="2"/>
        <v>2.6992481203007519</v>
      </c>
      <c r="AJ103" s="78">
        <f t="shared" si="69"/>
        <v>40365</v>
      </c>
      <c r="AK103" s="76">
        <f t="shared" si="62"/>
        <v>242190</v>
      </c>
      <c r="AL103" s="49">
        <v>125211</v>
      </c>
      <c r="AM103" s="80" t="str">
        <f t="shared" si="4"/>
        <v/>
      </c>
      <c r="AN103" s="76" t="str">
        <f t="shared" si="5"/>
        <v/>
      </c>
      <c r="AO103" s="49" t="s">
        <v>161</v>
      </c>
      <c r="AP103" s="82">
        <v>0</v>
      </c>
      <c r="AQ103" s="4">
        <v>0</v>
      </c>
      <c r="AR103" s="4">
        <v>1251</v>
      </c>
      <c r="AS103" s="4">
        <v>0</v>
      </c>
      <c r="AT103" s="4">
        <v>0</v>
      </c>
      <c r="AU103" s="4">
        <v>0</v>
      </c>
      <c r="AV103" s="1">
        <v>0</v>
      </c>
      <c r="AW103" s="1">
        <v>35</v>
      </c>
      <c r="AX103" s="1">
        <v>32</v>
      </c>
      <c r="AY103" s="86" t="str">
        <f>IFERROR(VLOOKUP(C103,#REF!,13,0),"")</f>
        <v/>
      </c>
      <c r="AZ103" s="87">
        <v>45930</v>
      </c>
      <c r="BA103" s="1" t="str">
        <f t="shared" si="6"/>
        <v>LEFT</v>
      </c>
      <c r="BB103" s="1" t="e">
        <f t="shared" ca="1" si="7"/>
        <v>#NAME?</v>
      </c>
      <c r="BC103" s="4" t="s">
        <v>161</v>
      </c>
      <c r="BD103" s="33">
        <v>6</v>
      </c>
      <c r="BE103" s="88" t="str">
        <v/>
      </c>
      <c r="BF103" s="1">
        <f t="shared" si="9"/>
        <v>1</v>
      </c>
      <c r="BG103" s="37" t="s">
        <v>423</v>
      </c>
      <c r="BH103" s="89"/>
      <c r="BI103" s="89"/>
      <c r="BJ103" s="90"/>
      <c r="BK103" s="91"/>
      <c r="BL103" s="91">
        <f t="shared" si="47"/>
        <v>0</v>
      </c>
      <c r="BM103" s="91">
        <f t="shared" si="11"/>
        <v>0</v>
      </c>
      <c r="BN103" s="91"/>
      <c r="BO103" s="92" t="str">
        <f ca="1">IFERROR(__xludf.DUMMYFUNCTION("IFERROR(ArrayFormula(SUM(VLOOKUP($C103,importrange(""1MwNMVzWE3QBVOyJjKr3eFX-Sq1Ng0Q1sghWJbgbE_8g"",""ORDER BOOKING REPORT 2024-25!C:CV""),{16,23,30},0))))"),"")</f>
        <v/>
      </c>
      <c r="BP103" s="92" t="str">
        <f ca="1">IFERROR(__xludf.DUMMYFUNCTION("IFERROR(ArrayFormula(SUM(VLOOKUP($C103,importrange(""1MwNMVzWE3QBVOyJjKr3eFX-Sq1Ng0Q1sghWJbgbE_8g"",""ORDER BOOKING REPORT 2024-25!C:CV""),{37,44,51},0))))"),"")</f>
        <v/>
      </c>
      <c r="BQ103" s="92" t="str">
        <f ca="1">IFERROR(__xludf.DUMMYFUNCTION("IFERROR(ArrayFormula(SUM(VLOOKUP($C103,importrange(""1MwNMVzWE3QBVOyJjKr3eFX-Sq1Ng0Q1sghWJbgbE_8g"",""ORDER BOOKING REPORT 2024-25!C:CV""),{58,65,72},0))))"),"")</f>
        <v/>
      </c>
      <c r="BR103" s="92" t="str">
        <f ca="1">IFERROR(__xludf.DUMMYFUNCTION("IFERROR(ArrayFormula(SUM(VLOOKUP($C103,importrange(""1MwNMVzWE3QBVOyJjKr3eFX-Sq1Ng0Q1sghWJbgbE_8g"",""ORDER BOOKING REPORT 2024-25!C:CV""),{79,86,93},0))))"),"")</f>
        <v/>
      </c>
      <c r="BS103" s="93" t="str">
        <f t="shared" si="12"/>
        <v/>
      </c>
      <c r="BT103" s="93" t="str">
        <f t="shared" si="13"/>
        <v/>
      </c>
      <c r="BU103" s="37">
        <f t="shared" si="14"/>
        <v>0</v>
      </c>
      <c r="BV103" s="94">
        <v>40365</v>
      </c>
      <c r="BW103" s="94" t="s">
        <v>570</v>
      </c>
      <c r="BX103" s="94">
        <v>1017</v>
      </c>
      <c r="BY103" s="37">
        <f t="shared" si="15"/>
        <v>0</v>
      </c>
      <c r="BZ103" s="37"/>
      <c r="CA103" s="37"/>
      <c r="CB103" s="37"/>
      <c r="CC103" s="37"/>
      <c r="CD103" s="37"/>
      <c r="CE103" s="37"/>
      <c r="CF103" s="37"/>
      <c r="CG103" s="37" t="str">
        <f t="shared" si="18"/>
        <v xml:space="preserve"> </v>
      </c>
      <c r="CH103" s="37" t="str">
        <f t="shared" si="26"/>
        <v>Not 50%</v>
      </c>
      <c r="CI103" s="93">
        <f t="shared" si="19"/>
        <v>0</v>
      </c>
      <c r="CJ103" s="105"/>
      <c r="CK103" s="105"/>
      <c r="CL103" s="105"/>
      <c r="CM103" s="96">
        <f t="shared" si="20"/>
        <v>45</v>
      </c>
      <c r="CN103" s="106"/>
      <c r="CO103" s="93"/>
      <c r="CP103" s="107"/>
      <c r="CQ103" s="110"/>
      <c r="CR103" s="93"/>
      <c r="CS103" s="93"/>
      <c r="CT103" s="93"/>
      <c r="CU103" s="93"/>
      <c r="CV103" s="93"/>
      <c r="CW103" s="93"/>
      <c r="CX103" s="51"/>
      <c r="CY103" s="93"/>
      <c r="CZ103" s="93"/>
    </row>
    <row r="104" spans="1:104" ht="15.6">
      <c r="A104" s="1" t="s">
        <v>118</v>
      </c>
      <c r="B104" s="1" t="s">
        <v>359</v>
      </c>
      <c r="C104" s="1" t="s">
        <v>226</v>
      </c>
      <c r="D104" s="1" t="s">
        <v>442</v>
      </c>
      <c r="E104" s="1" t="s">
        <v>571</v>
      </c>
      <c r="F104" s="48">
        <v>45278</v>
      </c>
      <c r="G104" s="76">
        <v>0</v>
      </c>
      <c r="H104" s="76">
        <v>20400000</v>
      </c>
      <c r="I104" s="77">
        <v>14196239.73</v>
      </c>
      <c r="J104" s="77">
        <v>0</v>
      </c>
      <c r="K104" s="4">
        <v>65</v>
      </c>
      <c r="L104" s="4">
        <v>75</v>
      </c>
      <c r="M104" s="4">
        <v>12</v>
      </c>
      <c r="N104" s="4">
        <v>77</v>
      </c>
      <c r="O104" s="4">
        <v>2</v>
      </c>
      <c r="P104" s="77">
        <v>12616068.41</v>
      </c>
      <c r="Q104" s="77">
        <v>1580171.32</v>
      </c>
      <c r="R104" s="4">
        <v>38</v>
      </c>
      <c r="S104" s="4">
        <v>12</v>
      </c>
      <c r="T104" s="4">
        <v>50</v>
      </c>
      <c r="U104" s="4">
        <v>0</v>
      </c>
      <c r="V104" s="4">
        <v>46</v>
      </c>
      <c r="W104" s="4">
        <v>130</v>
      </c>
      <c r="X104" s="4">
        <v>83</v>
      </c>
      <c r="Y104" s="4">
        <v>2</v>
      </c>
      <c r="Z104" s="4">
        <v>47</v>
      </c>
      <c r="AA104" s="4">
        <v>0</v>
      </c>
      <c r="AB104" s="4">
        <v>0</v>
      </c>
      <c r="AC104" s="4">
        <v>0</v>
      </c>
      <c r="AD104" s="4">
        <v>0</v>
      </c>
      <c r="AE104" s="4">
        <v>1355</v>
      </c>
      <c r="AF104" s="4">
        <v>1532</v>
      </c>
      <c r="AG104" s="4">
        <v>295</v>
      </c>
      <c r="AH104" s="76">
        <f t="shared" si="1"/>
        <v>48122.846542372885</v>
      </c>
      <c r="AI104" s="76">
        <f t="shared" si="2"/>
        <v>5.1932203389830507</v>
      </c>
      <c r="AJ104" s="78">
        <v>39855</v>
      </c>
      <c r="AK104" s="76">
        <f t="shared" si="62"/>
        <v>478260</v>
      </c>
      <c r="AL104" s="79">
        <v>226550</v>
      </c>
      <c r="AM104" s="80">
        <f t="shared" si="4"/>
        <v>4.9647654125660495E-2</v>
      </c>
      <c r="AN104" s="76">
        <f t="shared" si="5"/>
        <v>283924.79460000002</v>
      </c>
      <c r="AO104" s="102">
        <f t="shared" ref="AO104:AO106" si="70">IFERROR(SUM(I104:J104)/SUM(G104:H104),"")</f>
        <v>0.69589410441176469</v>
      </c>
      <c r="AP104" s="82">
        <v>0</v>
      </c>
      <c r="AQ104" s="4">
        <v>366</v>
      </c>
      <c r="AR104" s="4">
        <v>3408</v>
      </c>
      <c r="AS104" s="4">
        <v>4073.85</v>
      </c>
      <c r="AT104" s="4">
        <v>12</v>
      </c>
      <c r="AU104" s="4">
        <v>54</v>
      </c>
      <c r="AV104" s="1">
        <v>50</v>
      </c>
      <c r="AW104" s="1">
        <v>27</v>
      </c>
      <c r="AX104" s="1">
        <v>0</v>
      </c>
      <c r="AY104" s="86" t="str">
        <f>IFERROR(VLOOKUP(C104,#REF!,13,0),"")</f>
        <v/>
      </c>
      <c r="AZ104" s="87"/>
      <c r="BA104" s="1" t="str">
        <f t="shared" si="6"/>
        <v>Active</v>
      </c>
      <c r="BB104" s="1" t="e">
        <f t="shared" ca="1" si="7"/>
        <v>#NAME?</v>
      </c>
      <c r="BC104" s="1" t="e">
        <f t="shared" ref="BC104:BC106" ca="1" si="71">_xludf.ifs(AO104&lt;50%,"Below 50%",AO104&lt;70%,"50%-70%",AO104&lt;90%,"70%-90%",AO104&lt;100%,"90%-100%",AO104&gt;100%,"Above 100%")</f>
        <v>#NAME?</v>
      </c>
      <c r="BD104" s="33">
        <f t="shared" ref="BD104:BD105" si="72">MATCH($BD$2,{"Apr","May","Jun","Jul","Aug","Sep","Oct","Nov","Dec","Jan","Feb","Mar"},0)</f>
        <v>12</v>
      </c>
      <c r="BE104" s="88" t="str">
        <v/>
      </c>
      <c r="BF104" s="1">
        <f t="shared" si="9"/>
        <v>0</v>
      </c>
      <c r="BG104" s="1" t="s">
        <v>428</v>
      </c>
      <c r="BH104" s="89">
        <f ca="1">IFERROR(__xludf.DUMMYFUNCTION("""COMPUTED_VALUE"""),10015957.8799999)</f>
        <v>10015957.8799999</v>
      </c>
      <c r="BI104" s="89">
        <f ca="1">IFERROR(__xludf.DUMMYFUNCTION("""COMPUTED_VALUE"""),10469279.5599999)</f>
        <v>10469279.5599999</v>
      </c>
      <c r="BJ104" s="90"/>
      <c r="BK104" s="91"/>
      <c r="BL104" s="91">
        <f t="shared" si="47"/>
        <v>0</v>
      </c>
      <c r="BM104" s="91">
        <f t="shared" si="11"/>
        <v>20400000</v>
      </c>
      <c r="BN104" s="91"/>
      <c r="BO104" s="92">
        <f ca="1">IFERROR(__xludf.DUMMYFUNCTION("IFERROR(ArrayFormula(SUM(VLOOKUP($C104,importrange(""1MwNMVzWE3QBVOyJjKr3eFX-Sq1Ng0Q1sghWJbgbE_8g"",""ORDER BOOKING REPORT 2024-25!C:CV""),{16,23,30},0))))"),2113928.69999999)</f>
        <v>2113928.6999999899</v>
      </c>
      <c r="BP104" s="92">
        <f ca="1">IFERROR(__xludf.DUMMYFUNCTION("IFERROR(ArrayFormula(SUM(VLOOKUP($C104,importrange(""1MwNMVzWE3QBVOyJjKr3eFX-Sq1Ng0Q1sghWJbgbE_8g"",""ORDER BOOKING REPORT 2024-25!C:CV""),{37,44,51},0))))"),2315492.09999999)</f>
        <v>2315492.0999999898</v>
      </c>
      <c r="BQ104" s="92">
        <f ca="1">IFERROR(__xludf.DUMMYFUNCTION("IFERROR(ArrayFormula(SUM(VLOOKUP($C104,importrange(""1MwNMVzWE3QBVOyJjKr3eFX-Sq1Ng0Q1sghWJbgbE_8g"",""ORDER BOOKING REPORT 2024-25!C:CV""),{58,65,72},0))))"),3013449)</f>
        <v>3013449</v>
      </c>
      <c r="BR104" s="92">
        <f ca="1">IFERROR(__xludf.DUMMYFUNCTION("IFERROR(ArrayFormula(SUM(VLOOKUP($C104,importrange(""1MwNMVzWE3QBVOyJjKr3eFX-Sq1Ng0Q1sghWJbgbE_8g"",""ORDER BOOKING REPORT 2024-25!C:CV""),{79,86,93},0))))"),3026409.76)</f>
        <v>3026409.76</v>
      </c>
      <c r="BS104" s="93" t="str">
        <f t="shared" si="12"/>
        <v/>
      </c>
      <c r="BT104" s="93" t="str">
        <f t="shared" si="13"/>
        <v/>
      </c>
      <c r="BU104" s="37">
        <f t="shared" si="14"/>
        <v>0</v>
      </c>
      <c r="BV104" s="94">
        <v>39855</v>
      </c>
      <c r="BW104" s="94" t="s">
        <v>476</v>
      </c>
      <c r="BX104" s="94">
        <v>1018</v>
      </c>
      <c r="BY104" s="37">
        <f t="shared" si="15"/>
        <v>0</v>
      </c>
      <c r="BZ104" s="37"/>
      <c r="CA104" s="37"/>
      <c r="CB104" s="37"/>
      <c r="CC104" s="37"/>
      <c r="CD104" s="37"/>
      <c r="CE104" s="37"/>
      <c r="CF104" s="37"/>
      <c r="CG104" s="37" t="str">
        <f t="shared" si="18"/>
        <v xml:space="preserve"> </v>
      </c>
      <c r="CH104" s="37" t="str">
        <f t="shared" si="26"/>
        <v>Business Achieved 50%</v>
      </c>
      <c r="CI104" s="93">
        <f t="shared" si="19"/>
        <v>0.64935064935064934</v>
      </c>
      <c r="CJ104" s="95">
        <f ca="1">IFERROR(__xludf.DUMMYFUNCTION("""COMPUTED_VALUE"""),921)</f>
        <v>921</v>
      </c>
      <c r="CK104" s="95">
        <f ca="1">IFERROR(__xludf.DUMMYFUNCTION("""COMPUTED_VALUE"""),434)</f>
        <v>434</v>
      </c>
      <c r="CL104" s="95">
        <f ca="1">IFERROR(__xludf.DUMMYFUNCTION("""COMPUTED_VALUE"""),0)</f>
        <v>0</v>
      </c>
      <c r="CM104" s="96">
        <f t="shared" ca="1" si="20"/>
        <v>0</v>
      </c>
      <c r="CN104" s="103"/>
      <c r="CO104" s="4"/>
      <c r="CP104" s="100"/>
      <c r="CQ104" s="101"/>
      <c r="CR104" s="4"/>
      <c r="CS104" s="4"/>
      <c r="CT104" s="4"/>
      <c r="CU104" s="4"/>
      <c r="CV104" s="4"/>
      <c r="CW104" s="101"/>
      <c r="CX104" s="51"/>
      <c r="CY104" s="4"/>
      <c r="CZ104" s="4"/>
    </row>
    <row r="105" spans="1:104" ht="15.6">
      <c r="A105" s="1" t="s">
        <v>118</v>
      </c>
      <c r="B105" s="1" t="s">
        <v>484</v>
      </c>
      <c r="C105" s="1" t="s">
        <v>227</v>
      </c>
      <c r="D105" s="1" t="s">
        <v>572</v>
      </c>
      <c r="E105" s="1" t="s">
        <v>573</v>
      </c>
      <c r="F105" s="104">
        <v>45292</v>
      </c>
      <c r="G105" s="76">
        <v>0</v>
      </c>
      <c r="H105" s="76">
        <v>18000000</v>
      </c>
      <c r="I105" s="77">
        <v>10771683.57</v>
      </c>
      <c r="J105" s="77">
        <v>0</v>
      </c>
      <c r="K105" s="4">
        <v>41</v>
      </c>
      <c r="L105" s="4">
        <v>38</v>
      </c>
      <c r="M105" s="4">
        <v>1</v>
      </c>
      <c r="N105" s="4">
        <v>42</v>
      </c>
      <c r="O105" s="4">
        <v>4</v>
      </c>
      <c r="P105" s="77">
        <v>10282938.869999999</v>
      </c>
      <c r="Q105" s="77">
        <v>488744.7</v>
      </c>
      <c r="R105" s="4">
        <v>27</v>
      </c>
      <c r="S105" s="4">
        <v>1</v>
      </c>
      <c r="T105" s="4">
        <v>28</v>
      </c>
      <c r="U105" s="4">
        <v>0</v>
      </c>
      <c r="V105" s="4">
        <v>29</v>
      </c>
      <c r="W105" s="4">
        <v>61</v>
      </c>
      <c r="X105" s="4">
        <v>59</v>
      </c>
      <c r="Y105" s="4">
        <v>1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1478</v>
      </c>
      <c r="AF105" s="4">
        <v>1540</v>
      </c>
      <c r="AG105" s="4">
        <v>265</v>
      </c>
      <c r="AH105" s="76">
        <f t="shared" si="1"/>
        <v>40647.862528301885</v>
      </c>
      <c r="AI105" s="76">
        <f t="shared" si="2"/>
        <v>5.8113207547169807</v>
      </c>
      <c r="AJ105" s="78">
        <v>29430</v>
      </c>
      <c r="AK105" s="76">
        <f t="shared" si="62"/>
        <v>353160</v>
      </c>
      <c r="AL105" s="79">
        <v>192905</v>
      </c>
      <c r="AM105" s="80">
        <f t="shared" si="4"/>
        <v>5.0694489533728473E-2</v>
      </c>
      <c r="AN105" s="76">
        <f t="shared" si="5"/>
        <v>384702.98464285716</v>
      </c>
      <c r="AO105" s="102">
        <f t="shared" si="70"/>
        <v>0.59842686499999997</v>
      </c>
      <c r="AP105" s="82">
        <v>0</v>
      </c>
      <c r="AQ105" s="4">
        <v>115</v>
      </c>
      <c r="AR105" s="4">
        <v>3089</v>
      </c>
      <c r="AS105" s="4">
        <v>1041.03</v>
      </c>
      <c r="AT105" s="4">
        <v>1</v>
      </c>
      <c r="AU105" s="4">
        <v>27</v>
      </c>
      <c r="AV105" s="1">
        <v>28</v>
      </c>
      <c r="AW105" s="1">
        <v>11</v>
      </c>
      <c r="AX105" s="1">
        <v>3</v>
      </c>
      <c r="AY105" s="86" t="str">
        <f>IFERROR(VLOOKUP(C105,#REF!,13,0),"")</f>
        <v/>
      </c>
      <c r="AZ105" s="87"/>
      <c r="BA105" s="1" t="str">
        <f t="shared" si="6"/>
        <v>Active</v>
      </c>
      <c r="BB105" s="1" t="e">
        <f t="shared" ca="1" si="7"/>
        <v>#NAME?</v>
      </c>
      <c r="BC105" s="1" t="e">
        <f t="shared" ca="1" si="71"/>
        <v>#NAME?</v>
      </c>
      <c r="BD105" s="33">
        <f t="shared" si="72"/>
        <v>12</v>
      </c>
      <c r="BE105" s="88" t="str">
        <v/>
      </c>
      <c r="BF105" s="1">
        <f t="shared" si="9"/>
        <v>0</v>
      </c>
      <c r="BG105" s="1" t="s">
        <v>428</v>
      </c>
      <c r="BH105" s="89">
        <f ca="1">IFERROR(__xludf.DUMMYFUNCTION("""COMPUTED_VALUE"""),9030360)</f>
        <v>9030360</v>
      </c>
      <c r="BI105" s="89">
        <f ca="1">IFERROR(__xludf.DUMMYFUNCTION("""COMPUTED_VALUE"""),10351638.8999999)</f>
        <v>10351638.8999999</v>
      </c>
      <c r="BJ105" s="90"/>
      <c r="BK105" s="91"/>
      <c r="BL105" s="91">
        <f t="shared" si="47"/>
        <v>0</v>
      </c>
      <c r="BM105" s="91">
        <f t="shared" si="11"/>
        <v>18000000</v>
      </c>
      <c r="BN105" s="91"/>
      <c r="BO105" s="92">
        <f ca="1">IFERROR(__xludf.DUMMYFUNCTION("IFERROR(ArrayFormula(SUM(VLOOKUP($C105,importrange(""1MwNMVzWE3QBVOyJjKr3eFX-Sq1Ng0Q1sghWJbgbE_8g"",""ORDER BOOKING REPORT 2024-25!C:CV""),{16,23,30},0))))"),2084649.7)</f>
        <v>2084649.7</v>
      </c>
      <c r="BP105" s="92">
        <f ca="1">IFERROR(__xludf.DUMMYFUNCTION("IFERROR(ArrayFormula(SUM(VLOOKUP($C105,importrange(""1MwNMVzWE3QBVOyJjKr3eFX-Sq1Ng0Q1sghWJbgbE_8g"",""ORDER BOOKING REPORT 2024-25!C:CV""),{37,44,51},0))))"),2555092.9)</f>
        <v>2555092.9</v>
      </c>
      <c r="BQ105" s="92">
        <f ca="1">IFERROR(__xludf.DUMMYFUNCTION("IFERROR(ArrayFormula(SUM(VLOOKUP($C105,importrange(""1MwNMVzWE3QBVOyJjKr3eFX-Sq1Ng0Q1sghWJbgbE_8g"",""ORDER BOOKING REPORT 2024-25!C:CV""),{58,65,72},0))))"),2836897)</f>
        <v>2836897</v>
      </c>
      <c r="BR105" s="92">
        <f ca="1">IFERROR(__xludf.DUMMYFUNCTION("IFERROR(ArrayFormula(SUM(VLOOKUP($C105,importrange(""1MwNMVzWE3QBVOyJjKr3eFX-Sq1Ng0Q1sghWJbgbE_8g"",""ORDER BOOKING REPORT 2024-25!C:CV""),{79,86,93},0))))"),2874999.3)</f>
        <v>2874999.3</v>
      </c>
      <c r="BS105" s="93" t="str">
        <f t="shared" si="12"/>
        <v/>
      </c>
      <c r="BT105" s="93" t="str">
        <f t="shared" si="13"/>
        <v/>
      </c>
      <c r="BU105" s="37">
        <f t="shared" si="14"/>
        <v>0</v>
      </c>
      <c r="BV105" s="94">
        <v>29430</v>
      </c>
      <c r="BW105" s="94" t="s">
        <v>476</v>
      </c>
      <c r="BX105" s="94">
        <v>1043</v>
      </c>
      <c r="BY105" s="37">
        <f t="shared" si="15"/>
        <v>0</v>
      </c>
      <c r="BZ105" s="37"/>
      <c r="CA105" s="37"/>
      <c r="CB105" s="37"/>
      <c r="CC105" s="37"/>
      <c r="CD105" s="37"/>
      <c r="CE105" s="37"/>
      <c r="CF105" s="37"/>
      <c r="CG105" s="37" t="str">
        <f t="shared" si="18"/>
        <v>Below 60</v>
      </c>
      <c r="CH105" s="37" t="str">
        <f t="shared" si="26"/>
        <v>Business Achieved 50%</v>
      </c>
      <c r="CI105" s="93">
        <f t="shared" si="19"/>
        <v>0.66666666666666663</v>
      </c>
      <c r="CJ105" s="95">
        <f ca="1">IFERROR(__xludf.DUMMYFUNCTION("""COMPUTED_VALUE"""),1158)</f>
        <v>1158</v>
      </c>
      <c r="CK105" s="95">
        <f ca="1">IFERROR(__xludf.DUMMYFUNCTION("""COMPUTED_VALUE"""),320)</f>
        <v>320</v>
      </c>
      <c r="CL105" s="95">
        <f ca="1">IFERROR(__xludf.DUMMYFUNCTION("""COMPUTED_VALUE"""),0)</f>
        <v>0</v>
      </c>
      <c r="CM105" s="96">
        <f t="shared" ca="1" si="20"/>
        <v>0</v>
      </c>
      <c r="CN105" s="103"/>
      <c r="CO105" s="4"/>
      <c r="CP105" s="100"/>
      <c r="CQ105" s="101"/>
      <c r="CR105" s="4"/>
      <c r="CS105" s="4"/>
      <c r="CT105" s="4"/>
      <c r="CU105" s="4"/>
      <c r="CV105" s="4"/>
      <c r="CW105" s="101"/>
      <c r="CX105" s="51"/>
      <c r="CY105" s="4"/>
      <c r="CZ105" s="4"/>
    </row>
    <row r="106" spans="1:104" ht="15.6">
      <c r="A106" s="1" t="s">
        <v>118</v>
      </c>
      <c r="B106" s="1" t="s">
        <v>436</v>
      </c>
      <c r="C106" s="1" t="s">
        <v>228</v>
      </c>
      <c r="D106" s="1" t="s">
        <v>499</v>
      </c>
      <c r="E106" s="1" t="s">
        <v>449</v>
      </c>
      <c r="F106" s="104">
        <v>45294</v>
      </c>
      <c r="G106" s="76">
        <v>0</v>
      </c>
      <c r="H106" s="76">
        <v>15000003</v>
      </c>
      <c r="I106" s="77">
        <v>9331955.6500000004</v>
      </c>
      <c r="J106" s="77">
        <v>0</v>
      </c>
      <c r="K106" s="4">
        <v>98</v>
      </c>
      <c r="L106" s="4">
        <v>104</v>
      </c>
      <c r="M106" s="4">
        <v>36</v>
      </c>
      <c r="N106" s="4">
        <v>134</v>
      </c>
      <c r="O106" s="4">
        <v>30</v>
      </c>
      <c r="P106" s="77">
        <v>7371986.5</v>
      </c>
      <c r="Q106" s="77">
        <v>1959969.15</v>
      </c>
      <c r="R106" s="4">
        <v>38</v>
      </c>
      <c r="S106" s="4">
        <v>20</v>
      </c>
      <c r="T106" s="4">
        <v>58</v>
      </c>
      <c r="U106" s="4">
        <v>0</v>
      </c>
      <c r="V106" s="4">
        <v>20</v>
      </c>
      <c r="W106" s="4">
        <v>24</v>
      </c>
      <c r="X106" s="4">
        <v>83</v>
      </c>
      <c r="Y106" s="4">
        <v>5</v>
      </c>
      <c r="Z106" s="4">
        <v>62</v>
      </c>
      <c r="AA106" s="4">
        <v>2</v>
      </c>
      <c r="AB106" s="4">
        <v>42</v>
      </c>
      <c r="AC106" s="4">
        <v>4</v>
      </c>
      <c r="AD106" s="4">
        <v>10</v>
      </c>
      <c r="AE106" s="4">
        <v>431</v>
      </c>
      <c r="AF106" s="4">
        <v>569</v>
      </c>
      <c r="AG106" s="4">
        <v>225</v>
      </c>
      <c r="AH106" s="76">
        <f t="shared" si="1"/>
        <v>41475.35844444445</v>
      </c>
      <c r="AI106" s="76">
        <f t="shared" si="2"/>
        <v>2.528888888888889</v>
      </c>
      <c r="AJ106" s="78">
        <f>BV106</f>
        <v>66887</v>
      </c>
      <c r="AK106" s="76">
        <f t="shared" si="62"/>
        <v>601983</v>
      </c>
      <c r="AL106" s="49">
        <v>289086</v>
      </c>
      <c r="AM106" s="80">
        <f t="shared" si="4"/>
        <v>9.5485773124093232E-2</v>
      </c>
      <c r="AN106" s="76">
        <f t="shared" si="5"/>
        <v>160895.78706896552</v>
      </c>
      <c r="AO106" s="102">
        <f t="shared" si="70"/>
        <v>0.62213025224061624</v>
      </c>
      <c r="AP106" s="82">
        <v>0</v>
      </c>
      <c r="AQ106" s="4">
        <v>168</v>
      </c>
      <c r="AR106" s="4">
        <v>2312</v>
      </c>
      <c r="AS106" s="4">
        <v>0</v>
      </c>
      <c r="AT106" s="4">
        <v>20</v>
      </c>
      <c r="AU106" s="4">
        <v>0</v>
      </c>
      <c r="AV106" s="1">
        <v>58</v>
      </c>
      <c r="AW106" s="1">
        <v>49</v>
      </c>
      <c r="AX106" s="1">
        <v>27</v>
      </c>
      <c r="AY106" s="86" t="str">
        <f>IFERROR(VLOOKUP(C106,#REF!,13,0),"")</f>
        <v/>
      </c>
      <c r="AZ106" s="87">
        <v>46022</v>
      </c>
      <c r="BA106" s="1" t="str">
        <f t="shared" si="6"/>
        <v>LEFT</v>
      </c>
      <c r="BB106" s="1" t="e">
        <f t="shared" ca="1" si="7"/>
        <v>#NAME?</v>
      </c>
      <c r="BC106" s="1" t="e">
        <f t="shared" ca="1" si="71"/>
        <v>#NAME?</v>
      </c>
      <c r="BD106" s="33">
        <v>9</v>
      </c>
      <c r="BE106" s="88" t="str">
        <v/>
      </c>
      <c r="BF106" s="1">
        <f t="shared" si="9"/>
        <v>16</v>
      </c>
      <c r="BG106" s="1" t="s">
        <v>428</v>
      </c>
      <c r="BH106" s="89">
        <f ca="1">IFERROR(__xludf.DUMMYFUNCTION("""COMPUTED_VALUE"""),6456256)</f>
        <v>6456256</v>
      </c>
      <c r="BI106" s="89">
        <f ca="1">IFERROR(__xludf.DUMMYFUNCTION("""COMPUTED_VALUE"""),7401723.1)</f>
        <v>7401723.0999999996</v>
      </c>
      <c r="BJ106" s="90"/>
      <c r="BK106" s="91"/>
      <c r="BL106" s="91">
        <f t="shared" si="47"/>
        <v>0</v>
      </c>
      <c r="BM106" s="91">
        <f t="shared" si="11"/>
        <v>15000003</v>
      </c>
      <c r="BN106" s="91"/>
      <c r="BO106" s="92">
        <f ca="1">IFERROR(__xludf.DUMMYFUNCTION("IFERROR(ArrayFormula(SUM(VLOOKUP($C106,importrange(""1MwNMVzWE3QBVOyJjKr3eFX-Sq1Ng0Q1sghWJbgbE_8g"",""ORDER BOOKING REPORT 2024-25!C:CV""),{16,23,30},0))))"),1522107.5)</f>
        <v>1522107.5</v>
      </c>
      <c r="BP106" s="92">
        <f ca="1">IFERROR(__xludf.DUMMYFUNCTION("IFERROR(ArrayFormula(SUM(VLOOKUP($C106,importrange(""1MwNMVzWE3QBVOyJjKr3eFX-Sq1Ng0Q1sghWJbgbE_8g"",""ORDER BOOKING REPORT 2024-25!C:CV""),{37,44,51},0))))"),2391173.7)</f>
        <v>2391173.7000000002</v>
      </c>
      <c r="BQ106" s="92">
        <f ca="1">IFERROR(__xludf.DUMMYFUNCTION("IFERROR(ArrayFormula(SUM(VLOOKUP($C106,importrange(""1MwNMVzWE3QBVOyJjKr3eFX-Sq1Ng0Q1sghWJbgbE_8g"",""ORDER BOOKING REPORT 2024-25!C:CV""),{58,65,72},0))))"),1920893.1)</f>
        <v>1920893.1</v>
      </c>
      <c r="BR106" s="92">
        <f ca="1">IFERROR(__xludf.DUMMYFUNCTION("IFERROR(ArrayFormula(SUM(VLOOKUP($C106,importrange(""1MwNMVzWE3QBVOyJjKr3eFX-Sq1Ng0Q1sghWJbgbE_8g"",""ORDER BOOKING REPORT 2024-25!C:CV""),{79,86,93},0))))"),1567548.8)</f>
        <v>1567548.8</v>
      </c>
      <c r="BS106" s="93" t="str">
        <f t="shared" si="12"/>
        <v/>
      </c>
      <c r="BT106" s="93" t="str">
        <f t="shared" si="13"/>
        <v/>
      </c>
      <c r="BU106" s="37">
        <f t="shared" si="14"/>
        <v>0</v>
      </c>
      <c r="BV106" s="94">
        <v>66887</v>
      </c>
      <c r="BW106" s="94" t="s">
        <v>425</v>
      </c>
      <c r="BX106" s="94">
        <v>1029</v>
      </c>
      <c r="BY106" s="37">
        <f t="shared" si="15"/>
        <v>0</v>
      </c>
      <c r="BZ106" s="37"/>
      <c r="CA106" s="37"/>
      <c r="CB106" s="37"/>
      <c r="CC106" s="37"/>
      <c r="CD106" s="37"/>
      <c r="CE106" s="37"/>
      <c r="CF106" s="37"/>
      <c r="CG106" s="37" t="str">
        <f t="shared" si="18"/>
        <v xml:space="preserve"> </v>
      </c>
      <c r="CH106" s="37" t="str">
        <f t="shared" si="26"/>
        <v>Not 50%</v>
      </c>
      <c r="CI106" s="93">
        <f t="shared" si="19"/>
        <v>0.43283582089552236</v>
      </c>
      <c r="CJ106" s="105">
        <f ca="1">IFERROR(__xludf.DUMMYFUNCTION("""COMPUTED_VALUE"""),323)</f>
        <v>323</v>
      </c>
      <c r="CK106" s="105">
        <f ca="1">IFERROR(__xludf.DUMMYFUNCTION("""COMPUTED_VALUE"""),108)</f>
        <v>108</v>
      </c>
      <c r="CL106" s="105">
        <f ca="1">IFERROR(__xludf.DUMMYFUNCTION("""COMPUTED_VALUE"""),0)</f>
        <v>0</v>
      </c>
      <c r="CM106" s="96">
        <f t="shared" ca="1" si="20"/>
        <v>0</v>
      </c>
      <c r="CN106" s="106"/>
      <c r="CO106" s="93"/>
      <c r="CP106" s="107"/>
      <c r="CQ106" s="110"/>
      <c r="CR106" s="93"/>
      <c r="CS106" s="93"/>
      <c r="CT106" s="93"/>
      <c r="CU106" s="93"/>
      <c r="CV106" s="93"/>
      <c r="CW106" s="93"/>
      <c r="CX106" s="51"/>
      <c r="CY106" s="93"/>
      <c r="CZ106" s="93"/>
    </row>
    <row r="107" spans="1:104" ht="15.6">
      <c r="A107" s="1" t="s">
        <v>118</v>
      </c>
      <c r="B107" s="1" t="s">
        <v>362</v>
      </c>
      <c r="C107" s="1" t="s">
        <v>229</v>
      </c>
      <c r="D107" s="1" t="s">
        <v>419</v>
      </c>
      <c r="E107" s="1" t="s">
        <v>539</v>
      </c>
      <c r="F107" s="104">
        <v>45295</v>
      </c>
      <c r="G107" s="76">
        <v>0</v>
      </c>
      <c r="H107" s="76">
        <v>0</v>
      </c>
      <c r="I107" s="77">
        <v>0</v>
      </c>
      <c r="J107" s="77">
        <v>0</v>
      </c>
      <c r="K107" s="4">
        <v>196</v>
      </c>
      <c r="L107" s="4">
        <v>196</v>
      </c>
      <c r="M107" s="4">
        <v>17</v>
      </c>
      <c r="N107" s="4">
        <v>213</v>
      </c>
      <c r="O107" s="4">
        <v>17</v>
      </c>
      <c r="P107" s="77">
        <v>0</v>
      </c>
      <c r="Q107" s="77">
        <v>0</v>
      </c>
      <c r="R107" s="4">
        <v>0</v>
      </c>
      <c r="S107" s="4">
        <v>0</v>
      </c>
      <c r="T107" s="4">
        <v>0</v>
      </c>
      <c r="U107" s="4">
        <v>0</v>
      </c>
      <c r="V107" s="4">
        <v>22</v>
      </c>
      <c r="W107" s="4">
        <v>31</v>
      </c>
      <c r="X107" s="4">
        <v>7</v>
      </c>
      <c r="Y107" s="4">
        <v>13</v>
      </c>
      <c r="Z107" s="4">
        <v>76</v>
      </c>
      <c r="AA107" s="4">
        <v>0</v>
      </c>
      <c r="AB107" s="4">
        <v>0</v>
      </c>
      <c r="AC107" s="4">
        <v>0</v>
      </c>
      <c r="AD107" s="4">
        <v>0</v>
      </c>
      <c r="AE107" s="4">
        <v>446</v>
      </c>
      <c r="AF107" s="4">
        <v>553</v>
      </c>
      <c r="AG107" s="4">
        <v>279</v>
      </c>
      <c r="AH107" s="76">
        <f t="shared" si="1"/>
        <v>0</v>
      </c>
      <c r="AI107" s="76">
        <f t="shared" si="2"/>
        <v>1.9820788530465949</v>
      </c>
      <c r="AJ107" s="78">
        <v>88555</v>
      </c>
      <c r="AK107" s="76">
        <f t="shared" si="62"/>
        <v>1018382.5</v>
      </c>
      <c r="AL107" s="79">
        <v>244985</v>
      </c>
      <c r="AM107" s="80" t="str">
        <f t="shared" si="4"/>
        <v/>
      </c>
      <c r="AN107" s="76" t="str">
        <f t="shared" si="5"/>
        <v/>
      </c>
      <c r="AO107" s="49" t="s">
        <v>161</v>
      </c>
      <c r="AP107" s="82">
        <v>0</v>
      </c>
      <c r="AQ107" s="4">
        <v>0</v>
      </c>
      <c r="AR107" s="4">
        <v>3138</v>
      </c>
      <c r="AS107" s="4">
        <v>3636.35</v>
      </c>
      <c r="AT107" s="4">
        <v>0</v>
      </c>
      <c r="AU107" s="4">
        <v>19</v>
      </c>
      <c r="AV107" s="1">
        <v>0</v>
      </c>
      <c r="AW107" s="1">
        <v>196</v>
      </c>
      <c r="AX107" s="1">
        <v>17</v>
      </c>
      <c r="AY107" s="86" t="str">
        <f>IFERROR(VLOOKUP(C107,#REF!,13,0),"")</f>
        <v/>
      </c>
      <c r="AZ107" s="87"/>
      <c r="BA107" s="1" t="str">
        <f t="shared" si="6"/>
        <v>Active</v>
      </c>
      <c r="BB107" s="1" t="e">
        <f t="shared" ca="1" si="7"/>
        <v>#NAME?</v>
      </c>
      <c r="BC107" s="4" t="s">
        <v>161</v>
      </c>
      <c r="BD107" s="33">
        <v>11.5</v>
      </c>
      <c r="BE107" s="88" t="str">
        <v/>
      </c>
      <c r="BF107" s="1">
        <f t="shared" si="9"/>
        <v>17</v>
      </c>
      <c r="BG107" s="37" t="s">
        <v>423</v>
      </c>
      <c r="BH107" s="89"/>
      <c r="BI107" s="89"/>
      <c r="BJ107" s="90"/>
      <c r="BK107" s="91"/>
      <c r="BL107" s="91">
        <f t="shared" si="47"/>
        <v>0</v>
      </c>
      <c r="BM107" s="91">
        <f t="shared" si="11"/>
        <v>0</v>
      </c>
      <c r="BN107" s="91"/>
      <c r="BO107" s="92" t="str">
        <f ca="1">IFERROR(__xludf.DUMMYFUNCTION("IFERROR(ArrayFormula(SUM(VLOOKUP($C107,importrange(""1MwNMVzWE3QBVOyJjKr3eFX-Sq1Ng0Q1sghWJbgbE_8g"",""ORDER BOOKING REPORT 2024-25!C:CV""),{16,23,30},0))))"),"")</f>
        <v/>
      </c>
      <c r="BP107" s="92" t="str">
        <f ca="1">IFERROR(__xludf.DUMMYFUNCTION("IFERROR(ArrayFormula(SUM(VLOOKUP($C107,importrange(""1MwNMVzWE3QBVOyJjKr3eFX-Sq1Ng0Q1sghWJbgbE_8g"",""ORDER BOOKING REPORT 2024-25!C:CV""),{37,44,51},0))))"),"")</f>
        <v/>
      </c>
      <c r="BQ107" s="92" t="str">
        <f ca="1">IFERROR(__xludf.DUMMYFUNCTION("IFERROR(ArrayFormula(SUM(VLOOKUP($C107,importrange(""1MwNMVzWE3QBVOyJjKr3eFX-Sq1Ng0Q1sghWJbgbE_8g"",""ORDER BOOKING REPORT 2024-25!C:CV""),{58,65,72},0))))"),"")</f>
        <v/>
      </c>
      <c r="BR107" s="92" t="str">
        <f ca="1">IFERROR(__xludf.DUMMYFUNCTION("IFERROR(ArrayFormula(SUM(VLOOKUP($C107,importrange(""1MwNMVzWE3QBVOyJjKr3eFX-Sq1Ng0Q1sghWJbgbE_8g"",""ORDER BOOKING REPORT 2024-25!C:CV""),{79,86,93},0))))"),"")</f>
        <v/>
      </c>
      <c r="BS107" s="93" t="str">
        <f t="shared" si="12"/>
        <v/>
      </c>
      <c r="BT107" s="93" t="str">
        <f t="shared" si="13"/>
        <v/>
      </c>
      <c r="BU107" s="37">
        <f t="shared" si="14"/>
        <v>0</v>
      </c>
      <c r="BV107" s="94">
        <v>88555</v>
      </c>
      <c r="BW107" s="94" t="s">
        <v>425</v>
      </c>
      <c r="BX107" s="94">
        <v>1033</v>
      </c>
      <c r="BY107" s="37">
        <f t="shared" si="15"/>
        <v>0</v>
      </c>
      <c r="BZ107" s="37"/>
      <c r="CA107" s="37"/>
      <c r="CB107" s="37"/>
      <c r="CC107" s="37"/>
      <c r="CD107" s="37"/>
      <c r="CE107" s="37"/>
      <c r="CF107" s="37"/>
      <c r="CG107" s="37" t="str">
        <f t="shared" si="18"/>
        <v xml:space="preserve"> </v>
      </c>
      <c r="CH107" s="37" t="str">
        <f t="shared" si="26"/>
        <v>Not 50%</v>
      </c>
      <c r="CI107" s="93">
        <f t="shared" si="19"/>
        <v>0</v>
      </c>
      <c r="CJ107" s="95"/>
      <c r="CK107" s="95"/>
      <c r="CL107" s="95"/>
      <c r="CM107" s="96">
        <f t="shared" si="20"/>
        <v>446</v>
      </c>
      <c r="CN107" s="103"/>
      <c r="CO107" s="4"/>
      <c r="CP107" s="100"/>
      <c r="CQ107" s="101"/>
      <c r="CR107" s="4"/>
      <c r="CS107" s="4"/>
      <c r="CT107" s="4"/>
      <c r="CU107" s="4"/>
      <c r="CV107" s="4"/>
      <c r="CW107" s="101"/>
      <c r="CX107" s="51"/>
      <c r="CY107" s="4"/>
      <c r="CZ107" s="4"/>
    </row>
    <row r="108" spans="1:104" ht="15.6">
      <c r="A108" s="1" t="s">
        <v>118</v>
      </c>
      <c r="B108" s="1" t="s">
        <v>484</v>
      </c>
      <c r="C108" s="1" t="s">
        <v>232</v>
      </c>
      <c r="D108" s="1" t="s">
        <v>574</v>
      </c>
      <c r="E108" s="1" t="s">
        <v>575</v>
      </c>
      <c r="F108" s="48">
        <v>45309</v>
      </c>
      <c r="G108" s="76">
        <v>0</v>
      </c>
      <c r="H108" s="76">
        <v>18000000</v>
      </c>
      <c r="I108" s="77">
        <v>17071034.859999999</v>
      </c>
      <c r="J108" s="77">
        <v>0</v>
      </c>
      <c r="K108" s="4">
        <v>107</v>
      </c>
      <c r="L108" s="4">
        <v>109</v>
      </c>
      <c r="M108" s="4">
        <v>7</v>
      </c>
      <c r="N108" s="4">
        <v>114</v>
      </c>
      <c r="O108" s="4">
        <v>5</v>
      </c>
      <c r="P108" s="77">
        <v>15832078.119999999</v>
      </c>
      <c r="Q108" s="77">
        <v>1238956.74</v>
      </c>
      <c r="R108" s="4">
        <v>60</v>
      </c>
      <c r="S108" s="4">
        <v>7</v>
      </c>
      <c r="T108" s="4">
        <v>67</v>
      </c>
      <c r="U108" s="4">
        <v>0</v>
      </c>
      <c r="V108" s="4">
        <v>14</v>
      </c>
      <c r="W108" s="4">
        <v>27</v>
      </c>
      <c r="X108" s="4">
        <v>75</v>
      </c>
      <c r="Y108" s="4">
        <v>1</v>
      </c>
      <c r="Z108" s="4">
        <v>15</v>
      </c>
      <c r="AA108" s="4">
        <v>0</v>
      </c>
      <c r="AB108" s="4">
        <v>0</v>
      </c>
      <c r="AC108" s="4">
        <v>0</v>
      </c>
      <c r="AD108" s="4">
        <v>0</v>
      </c>
      <c r="AE108" s="4">
        <v>1183</v>
      </c>
      <c r="AF108" s="4">
        <v>1225</v>
      </c>
      <c r="AG108" s="4">
        <v>277</v>
      </c>
      <c r="AH108" s="76">
        <f t="shared" si="1"/>
        <v>61628.284693140791</v>
      </c>
      <c r="AI108" s="76">
        <f t="shared" si="2"/>
        <v>4.4223826714801442</v>
      </c>
      <c r="AJ108" s="78">
        <v>42820</v>
      </c>
      <c r="AK108" s="76">
        <f t="shared" si="62"/>
        <v>513840</v>
      </c>
      <c r="AL108" s="79">
        <v>208745</v>
      </c>
      <c r="AM108" s="80">
        <f t="shared" si="4"/>
        <v>4.2328131008221727E-2</v>
      </c>
      <c r="AN108" s="76">
        <f t="shared" si="5"/>
        <v>254791.56507462685</v>
      </c>
      <c r="AO108" s="102">
        <f t="shared" ref="AO108:AO109" si="73">IFERROR(SUM(I108:J108)/SUM(G108:H108),"")</f>
        <v>0.94839082555555554</v>
      </c>
      <c r="AP108" s="82">
        <v>0</v>
      </c>
      <c r="AQ108" s="4">
        <v>273</v>
      </c>
      <c r="AR108" s="4">
        <v>2592</v>
      </c>
      <c r="AS108" s="4">
        <v>1879.91</v>
      </c>
      <c r="AT108" s="4">
        <v>7</v>
      </c>
      <c r="AU108" s="4">
        <v>17</v>
      </c>
      <c r="AV108" s="1">
        <v>67</v>
      </c>
      <c r="AW108" s="1">
        <v>43</v>
      </c>
      <c r="AX108" s="1">
        <v>4</v>
      </c>
      <c r="AY108" s="86" t="str">
        <f>IFERROR(VLOOKUP(C108,#REF!,13,0),"")</f>
        <v/>
      </c>
      <c r="AZ108" s="87"/>
      <c r="BA108" s="1" t="str">
        <f t="shared" si="6"/>
        <v>Active</v>
      </c>
      <c r="BB108" s="1" t="e">
        <f t="shared" ca="1" si="7"/>
        <v>#NAME?</v>
      </c>
      <c r="BC108" s="1" t="e">
        <f t="shared" ref="BC108:BC109" ca="1" si="74">_xludf.ifs(AO108&lt;50%,"Below 50%",AO108&lt;70%,"50%-70%",AO108&lt;90%,"70%-90%",AO108&lt;100%,"90%-100%",AO108&gt;100%,"Above 100%")</f>
        <v>#NAME?</v>
      </c>
      <c r="BD108" s="33">
        <f t="shared" ref="BD108:BD109" si="75">MATCH($BD$2,{"Apr","May","Jun","Jul","Aug","Sep","Oct","Nov","Dec","Jan","Feb","Mar"},0)</f>
        <v>12</v>
      </c>
      <c r="BE108" s="88" t="str">
        <v/>
      </c>
      <c r="BF108" s="1">
        <f t="shared" si="9"/>
        <v>0</v>
      </c>
      <c r="BG108" s="1" t="s">
        <v>428</v>
      </c>
      <c r="BH108" s="89">
        <f ca="1">IFERROR(__xludf.DUMMYFUNCTION("""COMPUTED_VALUE"""),11640474)</f>
        <v>11640474</v>
      </c>
      <c r="BI108" s="89">
        <f ca="1">IFERROR(__xludf.DUMMYFUNCTION("""COMPUTED_VALUE"""),14445379.8599999)</f>
        <v>14445379.859999901</v>
      </c>
      <c r="BJ108" s="90"/>
      <c r="BK108" s="91"/>
      <c r="BL108" s="91">
        <f t="shared" si="47"/>
        <v>0</v>
      </c>
      <c r="BM108" s="91">
        <f t="shared" si="11"/>
        <v>18000000</v>
      </c>
      <c r="BN108" s="91"/>
      <c r="BO108" s="92">
        <f ca="1">IFERROR(__xludf.DUMMYFUNCTION("IFERROR(ArrayFormula(SUM(VLOOKUP($C108,importrange(""1MwNMVzWE3QBVOyJjKr3eFX-Sq1Ng0Q1sghWJbgbE_8g"",""ORDER BOOKING REPORT 2024-25!C:CV""),{16,23,30},0))))"),2703970.3)</f>
        <v>2703970.3</v>
      </c>
      <c r="BP108" s="92">
        <f ca="1">IFERROR(__xludf.DUMMYFUNCTION("IFERROR(ArrayFormula(SUM(VLOOKUP($C108,importrange(""1MwNMVzWE3QBVOyJjKr3eFX-Sq1Ng0Q1sghWJbgbE_8g"",""ORDER BOOKING REPORT 2024-25!C:CV""),{37,44,51},0))))"),4132156.09999999)</f>
        <v>4132156.0999999898</v>
      </c>
      <c r="BQ108" s="92">
        <f ca="1">IFERROR(__xludf.DUMMYFUNCTION("IFERROR(ArrayFormula(SUM(VLOOKUP($C108,importrange(""1MwNMVzWE3QBVOyJjKr3eFX-Sq1Ng0Q1sghWJbgbE_8g"",""ORDER BOOKING REPORT 2024-25!C:CV""),{58,65,72},0))))"),3512978.77999999)</f>
        <v>3512978.77999999</v>
      </c>
      <c r="BR108" s="92">
        <f ca="1">IFERROR(__xludf.DUMMYFUNCTION("IFERROR(ArrayFormula(SUM(VLOOKUP($C108,importrange(""1MwNMVzWE3QBVOyJjKr3eFX-Sq1Ng0Q1sghWJbgbE_8g"",""ORDER BOOKING REPORT 2024-25!C:CV""),{79,86,93},0))))"),4096274.67999999)</f>
        <v>4096274.6799999899</v>
      </c>
      <c r="BS108" s="93" t="str">
        <f t="shared" si="12"/>
        <v/>
      </c>
      <c r="BT108" s="93" t="str">
        <f t="shared" si="13"/>
        <v/>
      </c>
      <c r="BU108" s="37">
        <f t="shared" si="14"/>
        <v>0</v>
      </c>
      <c r="BV108" s="94">
        <v>42820</v>
      </c>
      <c r="BW108" s="94" t="s">
        <v>476</v>
      </c>
      <c r="BX108" s="94">
        <v>1041</v>
      </c>
      <c r="BY108" s="37">
        <f t="shared" si="15"/>
        <v>0</v>
      </c>
      <c r="BZ108" s="37"/>
      <c r="CA108" s="37"/>
      <c r="CB108" s="37"/>
      <c r="CC108" s="37"/>
      <c r="CD108" s="37"/>
      <c r="CE108" s="37"/>
      <c r="CF108" s="37"/>
      <c r="CG108" s="37" t="str">
        <f t="shared" si="18"/>
        <v xml:space="preserve"> </v>
      </c>
      <c r="CH108" s="37" t="str">
        <f t="shared" si="26"/>
        <v>Business Achieved 50%</v>
      </c>
      <c r="CI108" s="93">
        <f t="shared" si="19"/>
        <v>0.58771929824561409</v>
      </c>
      <c r="CJ108" s="95">
        <f ca="1">IFERROR(__xludf.DUMMYFUNCTION("""COMPUTED_VALUE"""),835)</f>
        <v>835</v>
      </c>
      <c r="CK108" s="95">
        <f ca="1">IFERROR(__xludf.DUMMYFUNCTION("""COMPUTED_VALUE"""),348)</f>
        <v>348</v>
      </c>
      <c r="CL108" s="95">
        <f ca="1">IFERROR(__xludf.DUMMYFUNCTION("""COMPUTED_VALUE"""),0)</f>
        <v>0</v>
      </c>
      <c r="CM108" s="96">
        <f t="shared" ca="1" si="20"/>
        <v>0</v>
      </c>
      <c r="CN108" s="103"/>
      <c r="CO108" s="4"/>
      <c r="CP108" s="100"/>
      <c r="CQ108" s="101"/>
      <c r="CR108" s="4"/>
      <c r="CS108" s="4"/>
      <c r="CT108" s="4"/>
      <c r="CU108" s="4"/>
      <c r="CV108" s="4"/>
      <c r="CW108" s="101"/>
      <c r="CX108" s="51"/>
      <c r="CY108" s="4"/>
      <c r="CZ108" s="4"/>
    </row>
    <row r="109" spans="1:104" ht="15.6">
      <c r="A109" s="1" t="s">
        <v>177</v>
      </c>
      <c r="B109" s="1" t="s">
        <v>364</v>
      </c>
      <c r="C109" s="1" t="s">
        <v>231</v>
      </c>
      <c r="D109" s="1" t="s">
        <v>576</v>
      </c>
      <c r="E109" s="1" t="s">
        <v>361</v>
      </c>
      <c r="F109" s="48">
        <v>45311</v>
      </c>
      <c r="G109" s="76">
        <v>0</v>
      </c>
      <c r="H109" s="76">
        <v>9999996</v>
      </c>
      <c r="I109" s="77">
        <v>6639185.4900000002</v>
      </c>
      <c r="J109" s="77">
        <v>0</v>
      </c>
      <c r="K109" s="4">
        <v>68</v>
      </c>
      <c r="L109" s="4">
        <v>75</v>
      </c>
      <c r="M109" s="4">
        <v>9</v>
      </c>
      <c r="N109" s="4">
        <v>77</v>
      </c>
      <c r="O109" s="4">
        <v>2</v>
      </c>
      <c r="P109" s="77">
        <v>5974912.0599999996</v>
      </c>
      <c r="Q109" s="77">
        <v>664273.43000000005</v>
      </c>
      <c r="R109" s="4">
        <v>66</v>
      </c>
      <c r="S109" s="4">
        <v>7</v>
      </c>
      <c r="T109" s="4">
        <v>73</v>
      </c>
      <c r="U109" s="4">
        <v>0</v>
      </c>
      <c r="V109" s="4">
        <v>66</v>
      </c>
      <c r="W109" s="4">
        <v>139</v>
      </c>
      <c r="X109" s="4">
        <v>170</v>
      </c>
      <c r="Y109" s="4">
        <v>1</v>
      </c>
      <c r="Z109" s="4">
        <v>201</v>
      </c>
      <c r="AA109" s="4">
        <v>1</v>
      </c>
      <c r="AB109" s="4">
        <v>2</v>
      </c>
      <c r="AC109" s="4">
        <v>1</v>
      </c>
      <c r="AD109" s="4">
        <v>2</v>
      </c>
      <c r="AE109" s="4">
        <v>1609</v>
      </c>
      <c r="AF109" s="4">
        <v>1953</v>
      </c>
      <c r="AG109" s="4">
        <v>283</v>
      </c>
      <c r="AH109" s="76">
        <f t="shared" si="1"/>
        <v>23460.019399293287</v>
      </c>
      <c r="AI109" s="76">
        <f t="shared" si="2"/>
        <v>6.9010600706713783</v>
      </c>
      <c r="AJ109" s="78">
        <f>BV109</f>
        <v>28835</v>
      </c>
      <c r="AK109" s="76">
        <f t="shared" si="62"/>
        <v>346020</v>
      </c>
      <c r="AL109" s="49">
        <v>172369</v>
      </c>
      <c r="AM109" s="80">
        <f t="shared" si="4"/>
        <v>7.8080210408460804E-2</v>
      </c>
      <c r="AN109" s="76">
        <f t="shared" si="5"/>
        <v>90947.746438356175</v>
      </c>
      <c r="AO109" s="102">
        <f t="shared" si="73"/>
        <v>0.66391881456752588</v>
      </c>
      <c r="AP109" s="82">
        <v>0</v>
      </c>
      <c r="AQ109" s="4">
        <v>970</v>
      </c>
      <c r="AR109" s="4">
        <v>2660</v>
      </c>
      <c r="AS109" s="4">
        <v>5053.1899999999996</v>
      </c>
      <c r="AT109" s="4">
        <v>7</v>
      </c>
      <c r="AU109" s="4">
        <v>67</v>
      </c>
      <c r="AV109" s="1">
        <v>73</v>
      </c>
      <c r="AW109" s="1">
        <v>2</v>
      </c>
      <c r="AX109" s="1">
        <v>2</v>
      </c>
      <c r="AY109" s="86" t="str">
        <f>IFERROR(VLOOKUP(C109,#REF!,13,0),"")</f>
        <v/>
      </c>
      <c r="AZ109" s="87"/>
      <c r="BA109" s="1" t="str">
        <f t="shared" si="6"/>
        <v>Active</v>
      </c>
      <c r="BB109" s="1" t="e">
        <f t="shared" ca="1" si="7"/>
        <v>#NAME?</v>
      </c>
      <c r="BC109" s="1" t="e">
        <f t="shared" ca="1" si="74"/>
        <v>#NAME?</v>
      </c>
      <c r="BD109" s="33">
        <f t="shared" si="75"/>
        <v>12</v>
      </c>
      <c r="BE109" s="88" t="str">
        <v/>
      </c>
      <c r="BF109" s="1">
        <f t="shared" si="9"/>
        <v>2</v>
      </c>
      <c r="BG109" s="1" t="s">
        <v>428</v>
      </c>
      <c r="BH109" s="89">
        <f ca="1">IFERROR(__xludf.DUMMYFUNCTION("""COMPUTED_VALUE"""),5256136)</f>
        <v>5256136</v>
      </c>
      <c r="BI109" s="89">
        <f ca="1">IFERROR(__xludf.DUMMYFUNCTION("""COMPUTED_VALUE"""),5005597.52)</f>
        <v>5005597.5199999996</v>
      </c>
      <c r="BJ109" s="90"/>
      <c r="BK109" s="91"/>
      <c r="BL109" s="91">
        <f t="shared" si="47"/>
        <v>0</v>
      </c>
      <c r="BM109" s="91">
        <f t="shared" si="11"/>
        <v>9999996</v>
      </c>
      <c r="BN109" s="91"/>
      <c r="BO109" s="92">
        <f ca="1">IFERROR(__xludf.DUMMYFUNCTION("IFERROR(ArrayFormula(SUM(VLOOKUP($C109,importrange(""1MwNMVzWE3QBVOyJjKr3eFX-Sq1Ng0Q1sghWJbgbE_8g"",""ORDER BOOKING REPORT 2024-25!C:CV""),{16,23,30},0))))"),799174.84)</f>
        <v>799174.84</v>
      </c>
      <c r="BP109" s="92">
        <f ca="1">IFERROR(__xludf.DUMMYFUNCTION("IFERROR(ArrayFormula(SUM(VLOOKUP($C109,importrange(""1MwNMVzWE3QBVOyJjKr3eFX-Sq1Ng0Q1sghWJbgbE_8g"",""ORDER BOOKING REPORT 2024-25!C:CV""),{37,44,51},0))))"),1037165.39999999)</f>
        <v>1037165.39999999</v>
      </c>
      <c r="BQ109" s="92">
        <f ca="1">IFERROR(__xludf.DUMMYFUNCTION("IFERROR(ArrayFormula(SUM(VLOOKUP($C109,importrange(""1MwNMVzWE3QBVOyJjKr3eFX-Sq1Ng0Q1sghWJbgbE_8g"",""ORDER BOOKING REPORT 2024-25!C:CV""),{58,65,72},0))))"),1432148.82999999)</f>
        <v>1432148.8299999901</v>
      </c>
      <c r="BR109" s="92">
        <f ca="1">IFERROR(__xludf.DUMMYFUNCTION("IFERROR(ArrayFormula(SUM(VLOOKUP($C109,importrange(""1MwNMVzWE3QBVOyJjKr3eFX-Sq1Ng0Q1sghWJbgbE_8g"",""ORDER BOOKING REPORT 2024-25!C:CV""),{79,86,93},0))))"),1737108.44999999)</f>
        <v>1737108.4499999899</v>
      </c>
      <c r="BS109" s="93" t="str">
        <f t="shared" si="12"/>
        <v/>
      </c>
      <c r="BT109" s="93" t="str">
        <f t="shared" si="13"/>
        <v/>
      </c>
      <c r="BU109" s="37">
        <f t="shared" si="14"/>
        <v>0</v>
      </c>
      <c r="BV109" s="94">
        <v>28835</v>
      </c>
      <c r="BW109" s="94" t="s">
        <v>476</v>
      </c>
      <c r="BX109" s="94">
        <v>1039</v>
      </c>
      <c r="BY109" s="37">
        <f t="shared" si="15"/>
        <v>0</v>
      </c>
      <c r="BZ109" s="37"/>
      <c r="CA109" s="37"/>
      <c r="CB109" s="37"/>
      <c r="CC109" s="37"/>
      <c r="CD109" s="37"/>
      <c r="CE109" s="37"/>
      <c r="CF109" s="37"/>
      <c r="CG109" s="37" t="str">
        <f t="shared" si="18"/>
        <v xml:space="preserve"> </v>
      </c>
      <c r="CH109" s="37" t="str">
        <f t="shared" si="26"/>
        <v>Business Achieved 50%</v>
      </c>
      <c r="CI109" s="93">
        <f t="shared" si="19"/>
        <v>0.94805194805194803</v>
      </c>
      <c r="CJ109" s="105">
        <f ca="1">IFERROR(__xludf.DUMMYFUNCTION("""COMPUTED_VALUE"""),1603)</f>
        <v>1603</v>
      </c>
      <c r="CK109" s="105">
        <f ca="1">IFERROR(__xludf.DUMMYFUNCTION("""COMPUTED_VALUE"""),6)</f>
        <v>6</v>
      </c>
      <c r="CL109" s="105">
        <f ca="1">IFERROR(__xludf.DUMMYFUNCTION("""COMPUTED_VALUE"""),0)</f>
        <v>0</v>
      </c>
      <c r="CM109" s="96">
        <f t="shared" ca="1" si="20"/>
        <v>0</v>
      </c>
      <c r="CN109" s="106"/>
      <c r="CO109" s="93"/>
      <c r="CP109" s="107"/>
      <c r="CQ109" s="110"/>
      <c r="CR109" s="93"/>
      <c r="CS109" s="93"/>
      <c r="CT109" s="93"/>
      <c r="CU109" s="93"/>
      <c r="CV109" s="93"/>
      <c r="CW109" s="93"/>
      <c r="CX109" s="51"/>
      <c r="CY109" s="93"/>
      <c r="CZ109" s="93"/>
    </row>
    <row r="110" spans="1:104" ht="15.6">
      <c r="A110" s="1" t="s">
        <v>154</v>
      </c>
      <c r="B110" s="1" t="s">
        <v>367</v>
      </c>
      <c r="C110" s="1" t="s">
        <v>234</v>
      </c>
      <c r="D110" s="1" t="s">
        <v>577</v>
      </c>
      <c r="E110" s="1" t="s">
        <v>578</v>
      </c>
      <c r="F110" s="48">
        <v>45313</v>
      </c>
      <c r="G110" s="76">
        <v>0</v>
      </c>
      <c r="H110" s="76">
        <v>0</v>
      </c>
      <c r="I110" s="77">
        <v>0</v>
      </c>
      <c r="J110" s="77">
        <v>0</v>
      </c>
      <c r="K110" s="4">
        <v>40</v>
      </c>
      <c r="L110" s="4">
        <v>21</v>
      </c>
      <c r="M110" s="4">
        <v>9</v>
      </c>
      <c r="N110" s="4">
        <v>49</v>
      </c>
      <c r="O110" s="4">
        <v>28</v>
      </c>
      <c r="P110" s="77">
        <v>0</v>
      </c>
      <c r="Q110" s="77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17</v>
      </c>
      <c r="W110" s="4">
        <v>20</v>
      </c>
      <c r="X110" s="4">
        <v>343</v>
      </c>
      <c r="Y110" s="4">
        <v>3</v>
      </c>
      <c r="Z110" s="4">
        <v>9</v>
      </c>
      <c r="AA110" s="4">
        <v>0</v>
      </c>
      <c r="AB110" s="4">
        <v>0</v>
      </c>
      <c r="AC110" s="4">
        <v>0</v>
      </c>
      <c r="AD110" s="4">
        <v>0</v>
      </c>
      <c r="AE110" s="4">
        <v>35</v>
      </c>
      <c r="AF110" s="4">
        <v>64</v>
      </c>
      <c r="AG110" s="4">
        <v>16</v>
      </c>
      <c r="AH110" s="76">
        <f t="shared" si="1"/>
        <v>0</v>
      </c>
      <c r="AI110" s="76">
        <f t="shared" si="2"/>
        <v>4</v>
      </c>
      <c r="AJ110" s="112">
        <v>24425</v>
      </c>
      <c r="AK110" s="76">
        <f t="shared" si="62"/>
        <v>17097.5</v>
      </c>
      <c r="AL110" s="79">
        <v>11425</v>
      </c>
      <c r="AM110" s="80" t="str">
        <f t="shared" si="4"/>
        <v/>
      </c>
      <c r="AN110" s="76" t="str">
        <f t="shared" si="5"/>
        <v/>
      </c>
      <c r="AO110" s="49" t="s">
        <v>161</v>
      </c>
      <c r="AP110" s="82">
        <v>0</v>
      </c>
      <c r="AQ110" s="4">
        <v>0</v>
      </c>
      <c r="AR110" s="4">
        <v>130</v>
      </c>
      <c r="AS110" s="4">
        <v>0</v>
      </c>
      <c r="AT110" s="4">
        <v>0</v>
      </c>
      <c r="AU110" s="4">
        <v>0</v>
      </c>
      <c r="AV110" s="1">
        <v>0</v>
      </c>
      <c r="AW110" s="1">
        <v>21</v>
      </c>
      <c r="AX110" s="1">
        <v>28</v>
      </c>
      <c r="AY110" s="86" t="str">
        <f>IFERROR(VLOOKUP(C110,#REF!,13,0),"")</f>
        <v/>
      </c>
      <c r="AZ110" s="111">
        <v>45768</v>
      </c>
      <c r="BA110" s="1" t="str">
        <f t="shared" si="6"/>
        <v>LEFT</v>
      </c>
      <c r="BB110" s="1" t="e">
        <f t="shared" ca="1" si="7"/>
        <v>#NAME?</v>
      </c>
      <c r="BC110" s="4" t="s">
        <v>161</v>
      </c>
      <c r="BD110" s="33">
        <v>0.7</v>
      </c>
      <c r="BE110" s="91" t="str">
        <v/>
      </c>
      <c r="BF110" s="1">
        <f t="shared" si="9"/>
        <v>9</v>
      </c>
      <c r="BG110" s="1" t="s">
        <v>428</v>
      </c>
      <c r="BH110" s="89">
        <f ca="1">IFERROR(__xludf.DUMMYFUNCTION("""COMPUTED_VALUE"""),675146)</f>
        <v>675146</v>
      </c>
      <c r="BI110" s="89">
        <f ca="1">IFERROR(__xludf.DUMMYFUNCTION("""COMPUTED_VALUE"""),2579514.08)</f>
        <v>2579514.08</v>
      </c>
      <c r="BJ110" s="109">
        <f>21/30</f>
        <v>0.7</v>
      </c>
      <c r="BK110" s="113"/>
      <c r="BL110" s="91">
        <f t="shared" si="47"/>
        <v>0</v>
      </c>
      <c r="BM110" s="91">
        <f t="shared" si="11"/>
        <v>0</v>
      </c>
      <c r="BN110" s="91"/>
      <c r="BO110" s="92">
        <f ca="1">IFERROR(__xludf.DUMMYFUNCTION("IFERROR(ArrayFormula(SUM(VLOOKUP($C110,importrange(""1MwNMVzWE3QBVOyJjKr3eFX-Sq1Ng0Q1sghWJbgbE_8g"",""ORDER BOOKING REPORT 2024-25!C:CV""),{16,23,30},0))))"),44631.46)</f>
        <v>44631.46</v>
      </c>
      <c r="BP110" s="92">
        <f ca="1">IFERROR(__xludf.DUMMYFUNCTION("IFERROR(ArrayFormula(SUM(VLOOKUP($C110,importrange(""1MwNMVzWE3QBVOyJjKr3eFX-Sq1Ng0Q1sghWJbgbE_8g"",""ORDER BOOKING REPORT 2024-25!C:CV""),{37,44,51},0))))"),561824.919999999)</f>
        <v>561824.91999999899</v>
      </c>
      <c r="BQ110" s="92">
        <f ca="1">IFERROR(__xludf.DUMMYFUNCTION("IFERROR(ArrayFormula(SUM(VLOOKUP($C110,importrange(""1MwNMVzWE3QBVOyJjKr3eFX-Sq1Ng0Q1sghWJbgbE_8g"",""ORDER BOOKING REPORT 2024-25!C:CV""),{58,65,72},0))))"),894181.4)</f>
        <v>894181.4</v>
      </c>
      <c r="BR110" s="92">
        <f ca="1">IFERROR(__xludf.DUMMYFUNCTION("IFERROR(ArrayFormula(SUM(VLOOKUP($C110,importrange(""1MwNMVzWE3QBVOyJjKr3eFX-Sq1Ng0Q1sghWJbgbE_8g"",""ORDER BOOKING REPORT 2024-25!C:CV""),{79,86,93},0))))"),1078876.3)</f>
        <v>1078876.3</v>
      </c>
      <c r="BS110" s="93" t="str">
        <f t="shared" si="12"/>
        <v/>
      </c>
      <c r="BT110" s="93" t="str">
        <f t="shared" si="13"/>
        <v/>
      </c>
      <c r="BU110" s="37">
        <f t="shared" si="14"/>
        <v>0</v>
      </c>
      <c r="BV110" s="94"/>
      <c r="BW110" s="94"/>
      <c r="BX110" s="94"/>
      <c r="BY110" s="37">
        <f t="shared" si="15"/>
        <v>-24425</v>
      </c>
      <c r="BZ110" s="37"/>
      <c r="CA110" s="37"/>
      <c r="CB110" s="37"/>
      <c r="CC110" s="37"/>
      <c r="CD110" s="37"/>
      <c r="CE110" s="37"/>
      <c r="CF110" s="37"/>
      <c r="CG110" s="37" t="str">
        <f t="shared" si="18"/>
        <v>Below 60</v>
      </c>
      <c r="CH110" s="37" t="str">
        <f t="shared" si="26"/>
        <v>Not 50%</v>
      </c>
      <c r="CI110" s="93">
        <f t="shared" si="19"/>
        <v>0</v>
      </c>
      <c r="CJ110" s="95">
        <f ca="1">IFERROR(__xludf.DUMMYFUNCTION("""COMPUTED_VALUE"""),0)</f>
        <v>0</v>
      </c>
      <c r="CK110" s="95">
        <f ca="1">IFERROR(__xludf.DUMMYFUNCTION("""COMPUTED_VALUE"""),35)</f>
        <v>35</v>
      </c>
      <c r="CL110" s="95">
        <f ca="1">IFERROR(__xludf.DUMMYFUNCTION("""COMPUTED_VALUE"""),0)</f>
        <v>0</v>
      </c>
      <c r="CM110" s="96">
        <f t="shared" ca="1" si="20"/>
        <v>0</v>
      </c>
      <c r="CN110" s="103"/>
      <c r="CO110" s="4"/>
      <c r="CP110" s="100"/>
      <c r="CQ110" s="101"/>
      <c r="CR110" s="4"/>
      <c r="CS110" s="4"/>
      <c r="CT110" s="4"/>
      <c r="CU110" s="4"/>
      <c r="CV110" s="4"/>
      <c r="CW110" s="101"/>
      <c r="CX110" s="51"/>
      <c r="CY110" s="4"/>
      <c r="CZ110" s="4"/>
    </row>
    <row r="111" spans="1:104" ht="15.6">
      <c r="A111" s="1" t="s">
        <v>201</v>
      </c>
      <c r="B111" s="1" t="s">
        <v>431</v>
      </c>
      <c r="C111" s="1" t="s">
        <v>105</v>
      </c>
      <c r="D111" s="1" t="s">
        <v>431</v>
      </c>
      <c r="E111" s="1" t="s">
        <v>541</v>
      </c>
      <c r="F111" s="104">
        <v>45323</v>
      </c>
      <c r="G111" s="76">
        <v>4800000</v>
      </c>
      <c r="H111" s="76">
        <v>25200000</v>
      </c>
      <c r="I111" s="77">
        <v>19192719.690000001</v>
      </c>
      <c r="J111" s="77">
        <v>583967.13</v>
      </c>
      <c r="K111" s="4">
        <v>128</v>
      </c>
      <c r="L111" s="4">
        <v>137</v>
      </c>
      <c r="M111" s="4">
        <v>17</v>
      </c>
      <c r="N111" s="4">
        <v>145</v>
      </c>
      <c r="O111" s="4">
        <v>8</v>
      </c>
      <c r="P111" s="77">
        <v>16695284.689999999</v>
      </c>
      <c r="Q111" s="77">
        <v>2497435</v>
      </c>
      <c r="R111" s="4">
        <v>87</v>
      </c>
      <c r="S111" s="4">
        <v>14</v>
      </c>
      <c r="T111" s="4">
        <v>101</v>
      </c>
      <c r="U111" s="4">
        <v>3</v>
      </c>
      <c r="V111" s="4">
        <v>84</v>
      </c>
      <c r="W111" s="4">
        <v>128</v>
      </c>
      <c r="X111" s="4">
        <v>86</v>
      </c>
      <c r="Y111" s="4">
        <v>7</v>
      </c>
      <c r="Z111" s="4">
        <v>255</v>
      </c>
      <c r="AA111" s="4">
        <v>7</v>
      </c>
      <c r="AB111" s="4">
        <v>25</v>
      </c>
      <c r="AC111" s="4">
        <v>0</v>
      </c>
      <c r="AD111" s="4">
        <v>0</v>
      </c>
      <c r="AE111" s="4">
        <v>1376</v>
      </c>
      <c r="AF111" s="4">
        <v>1784</v>
      </c>
      <c r="AG111" s="4">
        <v>297</v>
      </c>
      <c r="AH111" s="76">
        <f t="shared" si="1"/>
        <v>66588.171111111107</v>
      </c>
      <c r="AI111" s="76">
        <f t="shared" si="2"/>
        <v>6.0067340067340069</v>
      </c>
      <c r="AJ111" s="78">
        <f>BV111</f>
        <v>56000</v>
      </c>
      <c r="AK111" s="76">
        <f t="shared" si="62"/>
        <v>672000</v>
      </c>
      <c r="AL111" s="49">
        <v>154103</v>
      </c>
      <c r="AM111" s="80">
        <f t="shared" si="4"/>
        <v>4.1771556960924765E-2</v>
      </c>
      <c r="AN111" s="76">
        <f t="shared" si="5"/>
        <v>190026.9276237624</v>
      </c>
      <c r="AO111" s="102">
        <f t="shared" ref="AO111:AO116" si="76">IFERROR(SUM(I111:J111)/SUM(G111:H111),"")</f>
        <v>0.659222894</v>
      </c>
      <c r="AP111" s="82">
        <v>0.12</v>
      </c>
      <c r="AQ111" s="4">
        <v>460</v>
      </c>
      <c r="AR111" s="4">
        <v>2676</v>
      </c>
      <c r="AS111" s="4">
        <v>2829.07</v>
      </c>
      <c r="AT111" s="4">
        <v>14</v>
      </c>
      <c r="AU111" s="4">
        <v>21</v>
      </c>
      <c r="AV111" s="1">
        <v>101</v>
      </c>
      <c r="AW111" s="1">
        <v>40</v>
      </c>
      <c r="AX111" s="1">
        <v>4</v>
      </c>
      <c r="AY111" s="86" t="str">
        <f>IFERROR(VLOOKUP(C111,#REF!,13,0),"")</f>
        <v/>
      </c>
      <c r="AZ111" s="87"/>
      <c r="BA111" s="1" t="str">
        <f t="shared" si="6"/>
        <v>Active</v>
      </c>
      <c r="BB111" s="1" t="e">
        <f t="shared" ca="1" si="7"/>
        <v>#NAME?</v>
      </c>
      <c r="BC111" s="1" t="e">
        <f t="shared" ref="BC111:BC116" ca="1" si="77">_xludf.ifs(AO111&lt;50%,"Below 50%",AO111&lt;70%,"50%-70%",AO111&lt;90%,"70%-90%",AO111&lt;100%,"90%-100%",AO111&gt;100%,"Above 100%")</f>
        <v>#NAME?</v>
      </c>
      <c r="BD111" s="33">
        <f t="shared" ref="BD111:BD113" si="78">MATCH($BD$2,{"Apr","May","Jun","Jul","Aug","Sep","Oct","Nov","Dec","Jan","Feb","Mar"},0)</f>
        <v>12</v>
      </c>
      <c r="BE111" s="88" t="str">
        <v/>
      </c>
      <c r="BF111" s="1">
        <f t="shared" si="9"/>
        <v>3</v>
      </c>
      <c r="BG111" s="1" t="s">
        <v>428</v>
      </c>
      <c r="BH111" s="89">
        <f ca="1">IFERROR(__xludf.DUMMYFUNCTION("""COMPUTED_VALUE"""),13537922)</f>
        <v>13537922</v>
      </c>
      <c r="BI111" s="89">
        <f ca="1">IFERROR(__xludf.DUMMYFUNCTION("""COMPUTED_VALUE"""),17543331.7999999)</f>
        <v>17543331.7999999</v>
      </c>
      <c r="BJ111" s="90"/>
      <c r="BK111" s="91">
        <v>400000</v>
      </c>
      <c r="BL111" s="91">
        <f t="shared" si="47"/>
        <v>4800000</v>
      </c>
      <c r="BM111" s="91">
        <f t="shared" si="11"/>
        <v>30000000</v>
      </c>
      <c r="BN111" s="91"/>
      <c r="BO111" s="92">
        <f ca="1">IFERROR(__xludf.DUMMYFUNCTION("IFERROR(ArrayFormula(SUM(VLOOKUP($C111,importrange(""1MwNMVzWE3QBVOyJjKr3eFX-Sq1Ng0Q1sghWJbgbE_8g"",""ORDER BOOKING REPORT 2024-25!C:CV""),{16,23,30},0))))"),2768041.26)</f>
        <v>2768041.26</v>
      </c>
      <c r="BP111" s="92">
        <f ca="1">IFERROR(__xludf.DUMMYFUNCTION("IFERROR(ArrayFormula(SUM(VLOOKUP($C111,importrange(""1MwNMVzWE3QBVOyJjKr3eFX-Sq1Ng0Q1sghWJbgbE_8g"",""ORDER BOOKING REPORT 2024-25!C:CV""),{37,44,51},0))))"),4747528.58)</f>
        <v>4747528.58</v>
      </c>
      <c r="BQ111" s="92">
        <f ca="1">IFERROR(__xludf.DUMMYFUNCTION("IFERROR(ArrayFormula(SUM(VLOOKUP($C111,importrange(""1MwNMVzWE3QBVOyJjKr3eFX-Sq1Ng0Q1sghWJbgbE_8g"",""ORDER BOOKING REPORT 2024-25!C:CV""),{58,65,72},0))))"),4599278.73999999)</f>
        <v>4599278.73999999</v>
      </c>
      <c r="BR111" s="92">
        <f ca="1">IFERROR(__xludf.DUMMYFUNCTION("IFERROR(ArrayFormula(SUM(VLOOKUP($C111,importrange(""1MwNMVzWE3QBVOyJjKr3eFX-Sq1Ng0Q1sghWJbgbE_8g"",""ORDER BOOKING REPORT 2024-25!C:CV""),{79,86,93},0))))"),5428483.22)</f>
        <v>5428483.2199999997</v>
      </c>
      <c r="BS111" s="93" t="str">
        <f t="shared" si="12"/>
        <v/>
      </c>
      <c r="BT111" s="93" t="str">
        <f t="shared" si="13"/>
        <v/>
      </c>
      <c r="BU111" s="37">
        <f t="shared" si="14"/>
        <v>0</v>
      </c>
      <c r="BV111" s="94">
        <v>56000</v>
      </c>
      <c r="BW111" s="94" t="s">
        <v>462</v>
      </c>
      <c r="BX111" s="94">
        <v>1048</v>
      </c>
      <c r="BY111" s="37">
        <f t="shared" si="15"/>
        <v>0</v>
      </c>
      <c r="BZ111" s="37"/>
      <c r="CA111" s="37"/>
      <c r="CB111" s="37"/>
      <c r="CC111" s="37"/>
      <c r="CD111" s="37"/>
      <c r="CE111" s="37"/>
      <c r="CF111" s="37"/>
      <c r="CG111" s="37" t="str">
        <f t="shared" si="18"/>
        <v xml:space="preserve"> </v>
      </c>
      <c r="CH111" s="37" t="str">
        <f t="shared" si="26"/>
        <v>Business Achieved 50%</v>
      </c>
      <c r="CI111" s="93">
        <f t="shared" si="19"/>
        <v>0.69655172413793098</v>
      </c>
      <c r="CJ111" s="105">
        <f ca="1">IFERROR(__xludf.DUMMYFUNCTION("""COMPUTED_VALUE"""),1203)</f>
        <v>1203</v>
      </c>
      <c r="CK111" s="105">
        <f ca="1">IFERROR(__xludf.DUMMYFUNCTION("""COMPUTED_VALUE"""),173)</f>
        <v>173</v>
      </c>
      <c r="CL111" s="105">
        <f ca="1">IFERROR(__xludf.DUMMYFUNCTION("""COMPUTED_VALUE"""),0)</f>
        <v>0</v>
      </c>
      <c r="CM111" s="96">
        <f t="shared" ca="1" si="20"/>
        <v>0</v>
      </c>
      <c r="CN111" s="106"/>
      <c r="CO111" s="93"/>
      <c r="CP111" s="107"/>
      <c r="CQ111" s="110"/>
      <c r="CR111" s="93"/>
      <c r="CS111" s="93"/>
      <c r="CT111" s="93"/>
      <c r="CU111" s="93"/>
      <c r="CV111" s="93"/>
      <c r="CW111" s="93"/>
      <c r="CX111" s="51"/>
      <c r="CY111" s="93"/>
      <c r="CZ111" s="93"/>
    </row>
    <row r="112" spans="1:104" ht="15.6">
      <c r="A112" s="1" t="s">
        <v>118</v>
      </c>
      <c r="B112" s="1" t="s">
        <v>362</v>
      </c>
      <c r="C112" s="1" t="s">
        <v>235</v>
      </c>
      <c r="D112" s="1" t="s">
        <v>419</v>
      </c>
      <c r="E112" s="1" t="s">
        <v>579</v>
      </c>
      <c r="F112" s="104">
        <v>45323</v>
      </c>
      <c r="G112" s="76">
        <v>0</v>
      </c>
      <c r="H112" s="76">
        <v>24000000</v>
      </c>
      <c r="I112" s="77">
        <v>15418357.16</v>
      </c>
      <c r="J112" s="77">
        <v>0</v>
      </c>
      <c r="K112" s="4">
        <v>60</v>
      </c>
      <c r="L112" s="4">
        <v>70</v>
      </c>
      <c r="M112" s="4">
        <v>13</v>
      </c>
      <c r="N112" s="4">
        <v>73</v>
      </c>
      <c r="O112" s="4">
        <v>3</v>
      </c>
      <c r="P112" s="77">
        <v>12657944.51</v>
      </c>
      <c r="Q112" s="77">
        <v>2760412.65</v>
      </c>
      <c r="R112" s="4">
        <v>37</v>
      </c>
      <c r="S112" s="4">
        <v>11</v>
      </c>
      <c r="T112" s="4">
        <v>48</v>
      </c>
      <c r="U112" s="4">
        <v>0</v>
      </c>
      <c r="V112" s="4">
        <v>92</v>
      </c>
      <c r="W112" s="4">
        <v>199</v>
      </c>
      <c r="X112" s="4">
        <v>142</v>
      </c>
      <c r="Y112" s="4">
        <v>2</v>
      </c>
      <c r="Z112" s="4">
        <v>61</v>
      </c>
      <c r="AA112" s="4">
        <v>0</v>
      </c>
      <c r="AB112" s="4">
        <v>0</v>
      </c>
      <c r="AC112" s="4">
        <v>0</v>
      </c>
      <c r="AD112" s="4">
        <v>0</v>
      </c>
      <c r="AE112" s="4">
        <v>1229</v>
      </c>
      <c r="AF112" s="4">
        <v>1489</v>
      </c>
      <c r="AG112" s="4">
        <v>292</v>
      </c>
      <c r="AH112" s="76">
        <f t="shared" si="1"/>
        <v>52802.593013698628</v>
      </c>
      <c r="AI112" s="76">
        <f t="shared" si="2"/>
        <v>5.0993150684931505</v>
      </c>
      <c r="AJ112" s="78">
        <v>30950</v>
      </c>
      <c r="AK112" s="76">
        <f t="shared" si="62"/>
        <v>371400</v>
      </c>
      <c r="AL112" s="79">
        <v>176682</v>
      </c>
      <c r="AM112" s="80">
        <f t="shared" si="4"/>
        <v>3.5547366967337783E-2</v>
      </c>
      <c r="AN112" s="76">
        <f t="shared" si="5"/>
        <v>321215.77416666667</v>
      </c>
      <c r="AO112" s="102">
        <f t="shared" si="76"/>
        <v>0.64243154833333338</v>
      </c>
      <c r="AP112" s="82">
        <v>0</v>
      </c>
      <c r="AQ112" s="4">
        <v>347</v>
      </c>
      <c r="AR112" s="4">
        <v>3446</v>
      </c>
      <c r="AS112" s="4">
        <v>2884.57</v>
      </c>
      <c r="AT112" s="4">
        <v>11</v>
      </c>
      <c r="AU112" s="4">
        <v>41</v>
      </c>
      <c r="AV112" s="1">
        <v>48</v>
      </c>
      <c r="AW112" s="1">
        <v>22</v>
      </c>
      <c r="AX112" s="1">
        <v>3</v>
      </c>
      <c r="AY112" s="86" t="str">
        <f>IFERROR(VLOOKUP(C112,#REF!,13,0),"")</f>
        <v/>
      </c>
      <c r="AZ112" s="87"/>
      <c r="BA112" s="1" t="str">
        <f t="shared" si="6"/>
        <v>Active</v>
      </c>
      <c r="BB112" s="1" t="e">
        <f t="shared" ca="1" si="7"/>
        <v>#NAME?</v>
      </c>
      <c r="BC112" s="1" t="e">
        <f t="shared" ca="1" si="77"/>
        <v>#NAME?</v>
      </c>
      <c r="BD112" s="33">
        <f t="shared" si="78"/>
        <v>12</v>
      </c>
      <c r="BE112" s="88" t="str">
        <v/>
      </c>
      <c r="BF112" s="1">
        <f t="shared" si="9"/>
        <v>2</v>
      </c>
      <c r="BG112" s="1" t="s">
        <v>428</v>
      </c>
      <c r="BH112" s="89">
        <f ca="1">IFERROR(__xludf.DUMMYFUNCTION("""COMPUTED_VALUE"""),11715104)</f>
        <v>11715104</v>
      </c>
      <c r="BI112" s="89">
        <f ca="1">IFERROR(__xludf.DUMMYFUNCTION("""COMPUTED_VALUE"""),11992867.86)</f>
        <v>11992867.859999999</v>
      </c>
      <c r="BJ112" s="90"/>
      <c r="BK112" s="91"/>
      <c r="BL112" s="91">
        <f t="shared" si="47"/>
        <v>0</v>
      </c>
      <c r="BM112" s="91">
        <f t="shared" si="11"/>
        <v>24000000</v>
      </c>
      <c r="BN112" s="91"/>
      <c r="BO112" s="92">
        <f ca="1">IFERROR(__xludf.DUMMYFUNCTION("IFERROR(ArrayFormula(SUM(VLOOKUP($C112,importrange(""1MwNMVzWE3QBVOyJjKr3eFX-Sq1Ng0Q1sghWJbgbE_8g"",""ORDER BOOKING REPORT 2024-25!C:CV""),{16,23,30},0))))"),1740324.9)</f>
        <v>1740324.9</v>
      </c>
      <c r="BP112" s="92">
        <f ca="1">IFERROR(__xludf.DUMMYFUNCTION("IFERROR(ArrayFormula(SUM(VLOOKUP($C112,importrange(""1MwNMVzWE3QBVOyJjKr3eFX-Sq1Ng0Q1sghWJbgbE_8g"",""ORDER BOOKING REPORT 2024-25!C:CV""),{37,44,51},0))))"),3124389)</f>
        <v>3124389</v>
      </c>
      <c r="BQ112" s="92">
        <f ca="1">IFERROR(__xludf.DUMMYFUNCTION("IFERROR(ArrayFormula(SUM(VLOOKUP($C112,importrange(""1MwNMVzWE3QBVOyJjKr3eFX-Sq1Ng0Q1sghWJbgbE_8g"",""ORDER BOOKING REPORT 2024-25!C:CV""),{58,65,72},0))))"),3649848.73999999)</f>
        <v>3649848.73999999</v>
      </c>
      <c r="BR112" s="92">
        <f ca="1">IFERROR(__xludf.DUMMYFUNCTION("IFERROR(ArrayFormula(SUM(VLOOKUP($C112,importrange(""1MwNMVzWE3QBVOyJjKr3eFX-Sq1Ng0Q1sghWJbgbE_8g"",""ORDER BOOKING REPORT 2024-25!C:CV""),{79,86,93},0))))"),3478305.21999999)</f>
        <v>3478305.21999999</v>
      </c>
      <c r="BS112" s="93" t="str">
        <f t="shared" si="12"/>
        <v/>
      </c>
      <c r="BT112" s="93" t="str">
        <f t="shared" si="13"/>
        <v/>
      </c>
      <c r="BU112" s="37">
        <f t="shared" si="14"/>
        <v>0</v>
      </c>
      <c r="BV112" s="94">
        <v>30950</v>
      </c>
      <c r="BW112" s="94" t="s">
        <v>476</v>
      </c>
      <c r="BX112" s="94">
        <v>1046</v>
      </c>
      <c r="BY112" s="37">
        <f t="shared" si="15"/>
        <v>0</v>
      </c>
      <c r="BZ112" s="37"/>
      <c r="CA112" s="37"/>
      <c r="CB112" s="37"/>
      <c r="CC112" s="37"/>
      <c r="CD112" s="37"/>
      <c r="CE112" s="37"/>
      <c r="CF112" s="37"/>
      <c r="CG112" s="37" t="str">
        <f t="shared" si="18"/>
        <v xml:space="preserve"> </v>
      </c>
      <c r="CH112" s="37" t="str">
        <f t="shared" si="26"/>
        <v>Business Achieved 50%</v>
      </c>
      <c r="CI112" s="93">
        <f t="shared" si="19"/>
        <v>0.65753424657534243</v>
      </c>
      <c r="CJ112" s="95">
        <f ca="1">IFERROR(__xludf.DUMMYFUNCTION("""COMPUTED_VALUE"""),902)</f>
        <v>902</v>
      </c>
      <c r="CK112" s="95">
        <f ca="1">IFERROR(__xludf.DUMMYFUNCTION("""COMPUTED_VALUE"""),327)</f>
        <v>327</v>
      </c>
      <c r="CL112" s="95">
        <f ca="1">IFERROR(__xludf.DUMMYFUNCTION("""COMPUTED_VALUE"""),0)</f>
        <v>0</v>
      </c>
      <c r="CM112" s="96">
        <f t="shared" ca="1" si="20"/>
        <v>0</v>
      </c>
      <c r="CN112" s="103"/>
      <c r="CO112" s="4"/>
      <c r="CP112" s="100"/>
      <c r="CQ112" s="101"/>
      <c r="CR112" s="4"/>
      <c r="CS112" s="4"/>
      <c r="CT112" s="4"/>
      <c r="CU112" s="4"/>
      <c r="CV112" s="4"/>
      <c r="CW112" s="101"/>
      <c r="CX112" s="51"/>
      <c r="CY112" s="4"/>
      <c r="CZ112" s="4"/>
    </row>
    <row r="113" spans="1:104" ht="15.6">
      <c r="A113" s="1" t="s">
        <v>201</v>
      </c>
      <c r="B113" s="1" t="s">
        <v>481</v>
      </c>
      <c r="C113" s="1" t="s">
        <v>236</v>
      </c>
      <c r="D113" s="1" t="s">
        <v>517</v>
      </c>
      <c r="E113" s="1" t="s">
        <v>563</v>
      </c>
      <c r="F113" s="104">
        <v>45331</v>
      </c>
      <c r="G113" s="76">
        <v>0</v>
      </c>
      <c r="H113" s="76">
        <v>13800000</v>
      </c>
      <c r="I113" s="77">
        <v>7966662.2400000002</v>
      </c>
      <c r="J113" s="77">
        <v>0</v>
      </c>
      <c r="K113" s="4">
        <v>31</v>
      </c>
      <c r="L113" s="4">
        <v>33</v>
      </c>
      <c r="M113" s="4">
        <v>3</v>
      </c>
      <c r="N113" s="4">
        <v>34</v>
      </c>
      <c r="O113" s="4">
        <v>1</v>
      </c>
      <c r="P113" s="77">
        <v>7249589.9800000004</v>
      </c>
      <c r="Q113" s="77">
        <v>717072.26</v>
      </c>
      <c r="R113" s="4">
        <v>26</v>
      </c>
      <c r="S113" s="4">
        <v>3</v>
      </c>
      <c r="T113" s="4">
        <v>29</v>
      </c>
      <c r="U113" s="4">
        <v>0</v>
      </c>
      <c r="V113" s="4">
        <v>127</v>
      </c>
      <c r="W113" s="4">
        <v>349</v>
      </c>
      <c r="X113" s="4">
        <v>115</v>
      </c>
      <c r="Y113" s="4">
        <v>2</v>
      </c>
      <c r="Z113" s="4">
        <v>10</v>
      </c>
      <c r="AA113" s="4">
        <v>0</v>
      </c>
      <c r="AB113" s="4">
        <v>0</v>
      </c>
      <c r="AC113" s="4">
        <v>0</v>
      </c>
      <c r="AD113" s="4">
        <v>0</v>
      </c>
      <c r="AE113" s="4">
        <v>929</v>
      </c>
      <c r="AF113" s="4">
        <v>1288</v>
      </c>
      <c r="AG113" s="4">
        <v>285</v>
      </c>
      <c r="AH113" s="76">
        <f t="shared" si="1"/>
        <v>27953.200842105263</v>
      </c>
      <c r="AI113" s="76">
        <f t="shared" si="2"/>
        <v>4.5192982456140349</v>
      </c>
      <c r="AJ113" s="78">
        <v>26212</v>
      </c>
      <c r="AK113" s="76">
        <f t="shared" si="62"/>
        <v>314544</v>
      </c>
      <c r="AL113" s="79">
        <v>191776</v>
      </c>
      <c r="AM113" s="80">
        <f t="shared" si="4"/>
        <v>6.3554847029638845E-2</v>
      </c>
      <c r="AN113" s="76">
        <f t="shared" si="5"/>
        <v>274712.49103448278</v>
      </c>
      <c r="AO113" s="102">
        <f t="shared" si="76"/>
        <v>0.5772943652173913</v>
      </c>
      <c r="AP113" s="82">
        <v>0</v>
      </c>
      <c r="AQ113" s="4">
        <v>232</v>
      </c>
      <c r="AR113" s="4">
        <v>3262</v>
      </c>
      <c r="AS113" s="4">
        <v>3144.99</v>
      </c>
      <c r="AT113" s="4">
        <v>3</v>
      </c>
      <c r="AU113" s="4">
        <v>95</v>
      </c>
      <c r="AV113" s="1">
        <v>29</v>
      </c>
      <c r="AW113" s="1">
        <v>4</v>
      </c>
      <c r="AX113" s="1">
        <v>1</v>
      </c>
      <c r="AY113" s="86" t="str">
        <f>IFERROR(VLOOKUP(C113,#REF!,13,0),"")</f>
        <v/>
      </c>
      <c r="AZ113" s="87"/>
      <c r="BA113" s="1" t="str">
        <f t="shared" si="6"/>
        <v>Active</v>
      </c>
      <c r="BB113" s="1" t="e">
        <f t="shared" ca="1" si="7"/>
        <v>#NAME?</v>
      </c>
      <c r="BC113" s="1" t="e">
        <f t="shared" ca="1" si="77"/>
        <v>#NAME?</v>
      </c>
      <c r="BD113" s="33">
        <f t="shared" si="78"/>
        <v>12</v>
      </c>
      <c r="BE113" s="88" t="str">
        <v/>
      </c>
      <c r="BF113" s="1">
        <f t="shared" si="9"/>
        <v>0</v>
      </c>
      <c r="BG113" s="1" t="s">
        <v>428</v>
      </c>
      <c r="BH113" s="89">
        <f ca="1">IFERROR(__xludf.DUMMYFUNCTION("""COMPUTED_VALUE"""),4318430)</f>
        <v>4318430</v>
      </c>
      <c r="BI113" s="89">
        <f ca="1">IFERROR(__xludf.DUMMYFUNCTION("""COMPUTED_VALUE"""),4066451.68999999)</f>
        <v>4066451.6899999902</v>
      </c>
      <c r="BJ113" s="90"/>
      <c r="BK113" s="91"/>
      <c r="BL113" s="91">
        <f t="shared" si="47"/>
        <v>0</v>
      </c>
      <c r="BM113" s="91">
        <f t="shared" si="11"/>
        <v>13800000</v>
      </c>
      <c r="BN113" s="91"/>
      <c r="BO113" s="92">
        <f ca="1">IFERROR(__xludf.DUMMYFUNCTION("IFERROR(ArrayFormula(SUM(VLOOKUP($C113,importrange(""1MwNMVzWE3QBVOyJjKr3eFX-Sq1Ng0Q1sghWJbgbE_8g"",""ORDER BOOKING REPORT 2024-25!C:CV""),{16,23,30},0))))"),734300.199999999)</f>
        <v>734300.19999999902</v>
      </c>
      <c r="BP113" s="92">
        <f ca="1">IFERROR(__xludf.DUMMYFUNCTION("IFERROR(ArrayFormula(SUM(VLOOKUP($C113,importrange(""1MwNMVzWE3QBVOyJjKr3eFX-Sq1Ng0Q1sghWJbgbE_8g"",""ORDER BOOKING REPORT 2024-25!C:CV""),{37,44,51},0))))"),944577.01)</f>
        <v>944577.01</v>
      </c>
      <c r="BQ113" s="92">
        <f ca="1">IFERROR(__xludf.DUMMYFUNCTION("IFERROR(ArrayFormula(SUM(VLOOKUP($C113,importrange(""1MwNMVzWE3QBVOyJjKr3eFX-Sq1Ng0Q1sghWJbgbE_8g"",""ORDER BOOKING REPORT 2024-25!C:CV""),{58,65,72},0))))"),1067261.68)</f>
        <v>1067261.68</v>
      </c>
      <c r="BR113" s="92">
        <f ca="1">IFERROR(__xludf.DUMMYFUNCTION("IFERROR(ArrayFormula(SUM(VLOOKUP($C113,importrange(""1MwNMVzWE3QBVOyJjKr3eFX-Sq1Ng0Q1sghWJbgbE_8g"",""ORDER BOOKING REPORT 2024-25!C:CV""),{79,86,93},0))))"),1320312.79999999)</f>
        <v>1320312.79999999</v>
      </c>
      <c r="BS113" s="93" t="str">
        <f t="shared" si="12"/>
        <v/>
      </c>
      <c r="BT113" s="93" t="str">
        <f t="shared" si="13"/>
        <v/>
      </c>
      <c r="BU113" s="37">
        <f t="shared" si="14"/>
        <v>0</v>
      </c>
      <c r="BV113" s="94">
        <v>26212</v>
      </c>
      <c r="BW113" s="94" t="s">
        <v>476</v>
      </c>
      <c r="BX113" s="94">
        <v>1050</v>
      </c>
      <c r="BY113" s="37">
        <f t="shared" si="15"/>
        <v>0</v>
      </c>
      <c r="BZ113" s="37"/>
      <c r="CA113" s="37"/>
      <c r="CB113" s="37"/>
      <c r="CC113" s="37"/>
      <c r="CD113" s="37"/>
      <c r="CE113" s="37"/>
      <c r="CF113" s="37"/>
      <c r="CG113" s="37" t="str">
        <f t="shared" si="18"/>
        <v>Below 60</v>
      </c>
      <c r="CH113" s="37" t="str">
        <f t="shared" si="26"/>
        <v>Business Achieved 50%</v>
      </c>
      <c r="CI113" s="93">
        <f t="shared" si="19"/>
        <v>0.8529411764705882</v>
      </c>
      <c r="CJ113" s="95">
        <f ca="1">IFERROR(__xludf.DUMMYFUNCTION("""COMPUTED_VALUE"""),879)</f>
        <v>879</v>
      </c>
      <c r="CK113" s="95">
        <f ca="1">IFERROR(__xludf.DUMMYFUNCTION("""COMPUTED_VALUE"""),50)</f>
        <v>50</v>
      </c>
      <c r="CL113" s="95">
        <f ca="1">IFERROR(__xludf.DUMMYFUNCTION("""COMPUTED_VALUE"""),0)</f>
        <v>0</v>
      </c>
      <c r="CM113" s="96">
        <f t="shared" ca="1" si="20"/>
        <v>0</v>
      </c>
      <c r="CN113" s="103"/>
      <c r="CO113" s="4"/>
      <c r="CP113" s="100"/>
      <c r="CQ113" s="101"/>
      <c r="CR113" s="4"/>
      <c r="CS113" s="4"/>
      <c r="CT113" s="4"/>
      <c r="CU113" s="4"/>
      <c r="CV113" s="4"/>
      <c r="CW113" s="101"/>
      <c r="CX113" s="51"/>
      <c r="CY113" s="4"/>
      <c r="CZ113" s="4"/>
    </row>
    <row r="114" spans="1:104" ht="15.6">
      <c r="A114" s="1" t="s">
        <v>120</v>
      </c>
      <c r="B114" s="1" t="s">
        <v>206</v>
      </c>
      <c r="C114" s="1" t="s">
        <v>238</v>
      </c>
      <c r="D114" s="1" t="s">
        <v>206</v>
      </c>
      <c r="E114" s="1" t="s">
        <v>360</v>
      </c>
      <c r="F114" s="104">
        <v>45384</v>
      </c>
      <c r="G114" s="76">
        <v>3000000</v>
      </c>
      <c r="H114" s="76">
        <v>12000000</v>
      </c>
      <c r="I114" s="77">
        <v>6905756.6799999997</v>
      </c>
      <c r="J114" s="77">
        <v>285509.65999999997</v>
      </c>
      <c r="K114" s="4">
        <v>55</v>
      </c>
      <c r="L114" s="4">
        <v>64</v>
      </c>
      <c r="M114" s="4">
        <v>11</v>
      </c>
      <c r="N114" s="4">
        <v>66</v>
      </c>
      <c r="O114" s="4">
        <v>2</v>
      </c>
      <c r="P114" s="77">
        <v>5450150.1100000003</v>
      </c>
      <c r="Q114" s="77">
        <v>1455606.57</v>
      </c>
      <c r="R114" s="4">
        <v>46</v>
      </c>
      <c r="S114" s="4">
        <v>9</v>
      </c>
      <c r="T114" s="4">
        <v>55</v>
      </c>
      <c r="U114" s="4">
        <v>2</v>
      </c>
      <c r="V114" s="4">
        <v>232</v>
      </c>
      <c r="W114" s="4">
        <v>455</v>
      </c>
      <c r="X114" s="4">
        <v>186</v>
      </c>
      <c r="Y114" s="4">
        <v>7</v>
      </c>
      <c r="Z114" s="4">
        <v>41</v>
      </c>
      <c r="AA114" s="4">
        <v>4</v>
      </c>
      <c r="AB114" s="4">
        <v>11</v>
      </c>
      <c r="AC114" s="4">
        <v>1</v>
      </c>
      <c r="AD114" s="4">
        <v>1</v>
      </c>
      <c r="AE114" s="4">
        <v>431</v>
      </c>
      <c r="AF114" s="4">
        <v>939</v>
      </c>
      <c r="AG114" s="4">
        <v>244</v>
      </c>
      <c r="AH114" s="76">
        <f t="shared" si="1"/>
        <v>29472.403032786886</v>
      </c>
      <c r="AI114" s="76">
        <f t="shared" si="2"/>
        <v>3.848360655737705</v>
      </c>
      <c r="AJ114" s="78">
        <f t="shared" ref="AJ114:AJ116" si="79">BV114</f>
        <v>36400</v>
      </c>
      <c r="AK114" s="76">
        <f t="shared" si="62"/>
        <v>364000</v>
      </c>
      <c r="AL114" s="49">
        <v>127518</v>
      </c>
      <c r="AM114" s="80">
        <f t="shared" si="4"/>
        <v>6.8349297155916491E-2</v>
      </c>
      <c r="AN114" s="76">
        <f t="shared" si="5"/>
        <v>125559.21236363635</v>
      </c>
      <c r="AO114" s="102">
        <f t="shared" si="76"/>
        <v>0.47941775599999997</v>
      </c>
      <c r="AP114" s="82">
        <v>0.1</v>
      </c>
      <c r="AQ114" s="4">
        <v>284</v>
      </c>
      <c r="AR114" s="4">
        <v>2661</v>
      </c>
      <c r="AS114" s="4">
        <v>0</v>
      </c>
      <c r="AT114" s="4">
        <v>9</v>
      </c>
      <c r="AU114" s="4">
        <v>0</v>
      </c>
      <c r="AV114" s="1">
        <v>55</v>
      </c>
      <c r="AW114" s="1">
        <v>10</v>
      </c>
      <c r="AX114" s="1">
        <v>1</v>
      </c>
      <c r="AY114" s="86" t="str">
        <f>IFERROR(VLOOKUP(C114,#REF!,13,0),"")</f>
        <v/>
      </c>
      <c r="AZ114" s="87">
        <v>46053</v>
      </c>
      <c r="BA114" s="1" t="str">
        <f t="shared" si="6"/>
        <v>LEFT</v>
      </c>
      <c r="BB114" s="1" t="e">
        <f t="shared" ca="1" si="7"/>
        <v>#NAME?</v>
      </c>
      <c r="BC114" s="1" t="e">
        <f t="shared" ca="1" si="77"/>
        <v>#NAME?</v>
      </c>
      <c r="BD114" s="33">
        <v>10</v>
      </c>
      <c r="BE114" s="88" t="str">
        <v/>
      </c>
      <c r="BF114" s="1">
        <f t="shared" si="9"/>
        <v>2</v>
      </c>
      <c r="BG114" s="1" t="s">
        <v>428</v>
      </c>
      <c r="BH114" s="89">
        <f ca="1">IFERROR(__xludf.DUMMYFUNCTION("""COMPUTED_VALUE"""),9014519)</f>
        <v>9014519</v>
      </c>
      <c r="BI114" s="89">
        <f ca="1">IFERROR(__xludf.DUMMYFUNCTION("""COMPUTED_VALUE"""),10082410.64)</f>
        <v>10082410.640000001</v>
      </c>
      <c r="BJ114" s="90"/>
      <c r="BK114" s="91">
        <v>300000</v>
      </c>
      <c r="BL114" s="91">
        <f t="shared" si="47"/>
        <v>3000000</v>
      </c>
      <c r="BM114" s="91">
        <f t="shared" si="11"/>
        <v>15000000</v>
      </c>
      <c r="BN114" s="91"/>
      <c r="BO114" s="92">
        <f ca="1">IFERROR(__xludf.DUMMYFUNCTION("IFERROR(ArrayFormula(SUM(VLOOKUP($C114,importrange(""1MwNMVzWE3QBVOyJjKr3eFX-Sq1Ng0Q1sghWJbgbE_8g"",""ORDER BOOKING REPORT 2024-25!C:CV""),{16,23,30},0))))"),2481212.86)</f>
        <v>2481212.86</v>
      </c>
      <c r="BP114" s="92">
        <f ca="1">IFERROR(__xludf.DUMMYFUNCTION("IFERROR(ArrayFormula(SUM(VLOOKUP($C114,importrange(""1MwNMVzWE3QBVOyJjKr3eFX-Sq1Ng0Q1sghWJbgbE_8g"",""ORDER BOOKING REPORT 2024-25!C:CV""),{37,44,51},0))))"),2454063.17999999)</f>
        <v>2454063.1799999899</v>
      </c>
      <c r="BQ114" s="92">
        <f ca="1">IFERROR(__xludf.DUMMYFUNCTION("IFERROR(ArrayFormula(SUM(VLOOKUP($C114,importrange(""1MwNMVzWE3QBVOyJjKr3eFX-Sq1Ng0Q1sghWJbgbE_8g"",""ORDER BOOKING REPORT 2024-25!C:CV""),{58,65,72},0))))"),2631182.19999999)</f>
        <v>2631182.1999999899</v>
      </c>
      <c r="BR114" s="92">
        <f ca="1">IFERROR(__xludf.DUMMYFUNCTION("IFERROR(ArrayFormula(SUM(VLOOKUP($C114,importrange(""1MwNMVzWE3QBVOyJjKr3eFX-Sq1Ng0Q1sghWJbgbE_8g"",""ORDER BOOKING REPORT 2024-25!C:CV""),{79,86,93},0))))"),2515952.4)</f>
        <v>2515952.4</v>
      </c>
      <c r="BS114" s="93" t="str">
        <f t="shared" si="12"/>
        <v/>
      </c>
      <c r="BT114" s="93" t="str">
        <f t="shared" si="13"/>
        <v/>
      </c>
      <c r="BU114" s="37">
        <f t="shared" si="14"/>
        <v>0</v>
      </c>
      <c r="BV114" s="94">
        <v>36400</v>
      </c>
      <c r="BW114" s="94" t="s">
        <v>476</v>
      </c>
      <c r="BX114" s="94">
        <v>1068</v>
      </c>
      <c r="BY114" s="37">
        <f t="shared" si="15"/>
        <v>0</v>
      </c>
      <c r="BZ114" s="37"/>
      <c r="CA114" s="37"/>
      <c r="CB114" s="37"/>
      <c r="CC114" s="37"/>
      <c r="CD114" s="37"/>
      <c r="CE114" s="37"/>
      <c r="CF114" s="37"/>
      <c r="CG114" s="37" t="str">
        <f t="shared" si="18"/>
        <v xml:space="preserve"> </v>
      </c>
      <c r="CH114" s="37" t="str">
        <f t="shared" si="26"/>
        <v>Business Achieved 50%</v>
      </c>
      <c r="CI114" s="93">
        <f t="shared" si="19"/>
        <v>0.83333333333333337</v>
      </c>
      <c r="CJ114" s="105">
        <f ca="1">IFERROR(__xludf.DUMMYFUNCTION("""COMPUTED_VALUE"""),406)</f>
        <v>406</v>
      </c>
      <c r="CK114" s="105">
        <f ca="1">IFERROR(__xludf.DUMMYFUNCTION("""COMPUTED_VALUE"""),25)</f>
        <v>25</v>
      </c>
      <c r="CL114" s="105">
        <f ca="1">IFERROR(__xludf.DUMMYFUNCTION("""COMPUTED_VALUE"""),0)</f>
        <v>0</v>
      </c>
      <c r="CM114" s="96">
        <f t="shared" ca="1" si="20"/>
        <v>0</v>
      </c>
      <c r="CN114" s="106"/>
      <c r="CO114" s="93"/>
      <c r="CP114" s="107"/>
      <c r="CQ114" s="110"/>
      <c r="CR114" s="93"/>
      <c r="CS114" s="93"/>
      <c r="CT114" s="93"/>
      <c r="CU114" s="93"/>
      <c r="CV114" s="93"/>
      <c r="CW114" s="93"/>
      <c r="CX114" s="51"/>
      <c r="CY114" s="93"/>
      <c r="CZ114" s="93"/>
    </row>
    <row r="115" spans="1:104" ht="15.6">
      <c r="A115" s="114" t="s">
        <v>177</v>
      </c>
      <c r="B115" s="114" t="s">
        <v>364</v>
      </c>
      <c r="C115" s="114" t="s">
        <v>237</v>
      </c>
      <c r="D115" s="1" t="s">
        <v>576</v>
      </c>
      <c r="E115" s="1" t="s">
        <v>365</v>
      </c>
      <c r="F115" s="48">
        <v>45393</v>
      </c>
      <c r="G115" s="76">
        <v>0</v>
      </c>
      <c r="H115" s="76">
        <v>15000000</v>
      </c>
      <c r="I115" s="77">
        <v>6963246.3700000001</v>
      </c>
      <c r="J115" s="77">
        <v>0</v>
      </c>
      <c r="K115" s="4">
        <v>130</v>
      </c>
      <c r="L115" s="4">
        <v>143</v>
      </c>
      <c r="M115" s="4">
        <v>34</v>
      </c>
      <c r="N115" s="4">
        <v>164</v>
      </c>
      <c r="O115" s="4">
        <v>21</v>
      </c>
      <c r="P115" s="77">
        <v>4784994.99</v>
      </c>
      <c r="Q115" s="77">
        <v>2178251.38</v>
      </c>
      <c r="R115" s="4">
        <v>71</v>
      </c>
      <c r="S115" s="4">
        <v>34</v>
      </c>
      <c r="T115" s="4">
        <v>105</v>
      </c>
      <c r="U115" s="4">
        <v>0</v>
      </c>
      <c r="V115" s="4">
        <v>98</v>
      </c>
      <c r="W115" s="4">
        <v>156</v>
      </c>
      <c r="X115" s="4">
        <v>349</v>
      </c>
      <c r="Y115" s="4">
        <v>3</v>
      </c>
      <c r="Z115" s="4">
        <v>101</v>
      </c>
      <c r="AA115" s="4">
        <v>0</v>
      </c>
      <c r="AB115" s="4">
        <v>0</v>
      </c>
      <c r="AC115" s="4">
        <v>0</v>
      </c>
      <c r="AD115" s="4">
        <v>0</v>
      </c>
      <c r="AE115" s="4">
        <v>1724</v>
      </c>
      <c r="AF115" s="4">
        <v>1981</v>
      </c>
      <c r="AG115" s="4">
        <v>286</v>
      </c>
      <c r="AH115" s="76">
        <f t="shared" si="1"/>
        <v>24347.015279720279</v>
      </c>
      <c r="AI115" s="76">
        <f t="shared" si="2"/>
        <v>6.9265734265734267</v>
      </c>
      <c r="AJ115" s="78">
        <f t="shared" si="79"/>
        <v>27000</v>
      </c>
      <c r="AK115" s="76">
        <f t="shared" si="62"/>
        <v>324000</v>
      </c>
      <c r="AL115" s="49">
        <v>186003</v>
      </c>
      <c r="AM115" s="80">
        <f t="shared" si="4"/>
        <v>7.3242130595473964E-2</v>
      </c>
      <c r="AN115" s="76">
        <f t="shared" si="5"/>
        <v>66316.632095238092</v>
      </c>
      <c r="AO115" s="102">
        <f t="shared" si="76"/>
        <v>0.46421642466666668</v>
      </c>
      <c r="AP115" s="82">
        <v>0</v>
      </c>
      <c r="AQ115" s="4">
        <v>593</v>
      </c>
      <c r="AR115" s="4">
        <v>2535</v>
      </c>
      <c r="AS115" s="4">
        <v>2916.37</v>
      </c>
      <c r="AT115" s="4">
        <v>34</v>
      </c>
      <c r="AU115" s="4">
        <v>20</v>
      </c>
      <c r="AV115" s="1">
        <v>105</v>
      </c>
      <c r="AW115" s="1">
        <v>39</v>
      </c>
      <c r="AX115" s="1">
        <v>20</v>
      </c>
      <c r="AY115" s="86" t="str">
        <f>IFERROR(VLOOKUP(C115,#REF!,13,0),"")</f>
        <v/>
      </c>
      <c r="AZ115" s="87"/>
      <c r="BA115" s="1" t="str">
        <f t="shared" si="6"/>
        <v>Active</v>
      </c>
      <c r="BB115" s="1" t="e">
        <f t="shared" ca="1" si="7"/>
        <v>#NAME?</v>
      </c>
      <c r="BC115" s="1" t="e">
        <f t="shared" ca="1" si="77"/>
        <v>#NAME?</v>
      </c>
      <c r="BD115" s="33">
        <f t="array" ref="BD115">MATCH($BD$2,{"Apr","May","Jun","Jul","Aug","Sep","Oct","Nov","Dec","Jan","Feb","Mar"},0)</f>
        <v>12</v>
      </c>
      <c r="BE115" s="91" t="str">
        <v/>
      </c>
      <c r="BF115" s="1">
        <f t="shared" si="9"/>
        <v>0</v>
      </c>
      <c r="BG115" s="1" t="s">
        <v>428</v>
      </c>
      <c r="BH115" s="89">
        <f ca="1">IFERROR(__xludf.DUMMYFUNCTION("""COMPUTED_VALUE"""),2751805)</f>
        <v>2751805</v>
      </c>
      <c r="BI115" s="89">
        <f ca="1">IFERROR(__xludf.DUMMYFUNCTION("""COMPUTED_VALUE"""),3130960.84999999)</f>
        <v>3130960.8499999898</v>
      </c>
      <c r="BJ115" s="90"/>
      <c r="BK115" s="91"/>
      <c r="BL115" s="91">
        <f t="shared" si="47"/>
        <v>0</v>
      </c>
      <c r="BM115" s="91">
        <f t="shared" si="11"/>
        <v>15000000</v>
      </c>
      <c r="BN115" s="91"/>
      <c r="BO115" s="92">
        <f ca="1">IFERROR(__xludf.DUMMYFUNCTION("IFERROR(ArrayFormula(SUM(VLOOKUP($C115,importrange(""1MwNMVzWE3QBVOyJjKr3eFX-Sq1Ng0Q1sghWJbgbE_8g"",""ORDER BOOKING REPORT 2024-25!C:CV""),{16,23,30},0))))"),397133.429999999)</f>
        <v>397133.429999999</v>
      </c>
      <c r="BP115" s="92">
        <f ca="1">IFERROR(__xludf.DUMMYFUNCTION("IFERROR(ArrayFormula(SUM(VLOOKUP($C115,importrange(""1MwNMVzWE3QBVOyJjKr3eFX-Sq1Ng0Q1sghWJbgbE_8g"",""ORDER BOOKING REPORT 2024-25!C:CV""),{37,44,51},0))))"),592838.93)</f>
        <v>592838.93000000005</v>
      </c>
      <c r="BQ115" s="92">
        <f ca="1">IFERROR(__xludf.DUMMYFUNCTION("IFERROR(ArrayFormula(SUM(VLOOKUP($C115,importrange(""1MwNMVzWE3QBVOyJjKr3eFX-Sq1Ng0Q1sghWJbgbE_8g"",""ORDER BOOKING REPORT 2024-25!C:CV""),{58,65,72},0))))"),870531.02)</f>
        <v>870531.02</v>
      </c>
      <c r="BR115" s="92">
        <f ca="1">IFERROR(__xludf.DUMMYFUNCTION("IFERROR(ArrayFormula(SUM(VLOOKUP($C115,importrange(""1MwNMVzWE3QBVOyJjKr3eFX-Sq1Ng0Q1sghWJbgbE_8g"",""ORDER BOOKING REPORT 2024-25!C:CV""),{79,86,93},0))))"),1270457.46999999)</f>
        <v>1270457.46999999</v>
      </c>
      <c r="BS115" s="93" t="str">
        <f t="shared" si="12"/>
        <v/>
      </c>
      <c r="BT115" s="93" t="str">
        <f t="shared" si="13"/>
        <v/>
      </c>
      <c r="BU115" s="37">
        <f t="shared" si="14"/>
        <v>0</v>
      </c>
      <c r="BV115" s="94">
        <v>27000</v>
      </c>
      <c r="BW115" s="94" t="s">
        <v>476</v>
      </c>
      <c r="BX115" s="94">
        <v>1067</v>
      </c>
      <c r="BY115" s="37">
        <f t="shared" si="15"/>
        <v>0</v>
      </c>
      <c r="BZ115" s="37"/>
      <c r="CA115" s="37"/>
      <c r="CB115" s="37"/>
      <c r="CC115" s="37"/>
      <c r="CD115" s="37"/>
      <c r="CE115" s="37"/>
      <c r="CF115" s="37"/>
      <c r="CG115" s="37" t="str">
        <f t="shared" si="18"/>
        <v xml:space="preserve"> </v>
      </c>
      <c r="CH115" s="37" t="str">
        <f t="shared" si="26"/>
        <v>Business Achieved 50%</v>
      </c>
      <c r="CI115" s="93">
        <f t="shared" si="19"/>
        <v>0.6402439024390244</v>
      </c>
      <c r="CJ115" s="105">
        <f ca="1">IFERROR(__xludf.DUMMYFUNCTION("""COMPUTED_VALUE"""),1545)</f>
        <v>1545</v>
      </c>
      <c r="CK115" s="105">
        <f ca="1">IFERROR(__xludf.DUMMYFUNCTION("""COMPUTED_VALUE"""),179)</f>
        <v>179</v>
      </c>
      <c r="CL115" s="105">
        <f ca="1">IFERROR(__xludf.DUMMYFUNCTION("""COMPUTED_VALUE"""),0)</f>
        <v>0</v>
      </c>
      <c r="CM115" s="96">
        <f t="shared" ca="1" si="20"/>
        <v>0</v>
      </c>
      <c r="CN115" s="106"/>
      <c r="CO115" s="93"/>
      <c r="CP115" s="107"/>
      <c r="CQ115" s="110"/>
      <c r="CR115" s="93"/>
      <c r="CS115" s="93"/>
      <c r="CT115" s="93"/>
      <c r="CU115" s="93"/>
      <c r="CV115" s="93"/>
      <c r="CW115" s="93"/>
      <c r="CX115" s="51"/>
      <c r="CY115" s="93"/>
      <c r="CZ115" s="93"/>
    </row>
    <row r="116" spans="1:104" ht="15.6">
      <c r="A116" s="1" t="s">
        <v>177</v>
      </c>
      <c r="B116" s="1" t="s">
        <v>458</v>
      </c>
      <c r="C116" s="1" t="s">
        <v>239</v>
      </c>
      <c r="D116" s="1" t="s">
        <v>581</v>
      </c>
      <c r="E116" s="1" t="s">
        <v>582</v>
      </c>
      <c r="F116" s="48">
        <v>45411</v>
      </c>
      <c r="G116" s="76">
        <v>0</v>
      </c>
      <c r="H116" s="76">
        <v>2916665</v>
      </c>
      <c r="I116" s="77">
        <v>1467822.95</v>
      </c>
      <c r="J116" s="77">
        <v>0</v>
      </c>
      <c r="K116" s="4">
        <v>85</v>
      </c>
      <c r="L116" s="4">
        <v>85</v>
      </c>
      <c r="M116" s="4">
        <v>14</v>
      </c>
      <c r="N116" s="4">
        <v>99</v>
      </c>
      <c r="O116" s="4">
        <v>14</v>
      </c>
      <c r="P116" s="77">
        <v>1345372.05</v>
      </c>
      <c r="Q116" s="77">
        <v>122450.9</v>
      </c>
      <c r="R116" s="4">
        <v>34</v>
      </c>
      <c r="S116" s="4">
        <v>5</v>
      </c>
      <c r="T116" s="4">
        <v>39</v>
      </c>
      <c r="U116" s="4">
        <v>0</v>
      </c>
      <c r="V116" s="4">
        <v>181</v>
      </c>
      <c r="W116" s="4">
        <v>289</v>
      </c>
      <c r="X116" s="4">
        <v>424</v>
      </c>
      <c r="Y116" s="4">
        <v>5</v>
      </c>
      <c r="Z116" s="4">
        <v>8</v>
      </c>
      <c r="AA116" s="4">
        <v>0</v>
      </c>
      <c r="AB116" s="4">
        <v>0</v>
      </c>
      <c r="AC116" s="4">
        <v>19</v>
      </c>
      <c r="AD116" s="4">
        <v>28</v>
      </c>
      <c r="AE116" s="4">
        <v>373</v>
      </c>
      <c r="AF116" s="4">
        <v>698</v>
      </c>
      <c r="AG116" s="4">
        <v>102</v>
      </c>
      <c r="AH116" s="76">
        <f t="shared" si="1"/>
        <v>14390.421078431373</v>
      </c>
      <c r="AI116" s="76">
        <f t="shared" si="2"/>
        <v>6.8431372549019605</v>
      </c>
      <c r="AJ116" s="78">
        <f t="shared" si="79"/>
        <v>27784</v>
      </c>
      <c r="AK116" s="76">
        <f t="shared" si="62"/>
        <v>127250.72</v>
      </c>
      <c r="AL116" s="49">
        <v>86223</v>
      </c>
      <c r="AM116" s="80">
        <f t="shared" si="4"/>
        <v>0.14543560584060905</v>
      </c>
      <c r="AN116" s="76">
        <f t="shared" si="5"/>
        <v>37636.485897435894</v>
      </c>
      <c r="AO116" s="102">
        <f t="shared" si="76"/>
        <v>0.50325387043078307</v>
      </c>
      <c r="AP116" s="82">
        <v>0</v>
      </c>
      <c r="AQ116" s="4">
        <v>59</v>
      </c>
      <c r="AR116" s="4">
        <v>1148</v>
      </c>
      <c r="AS116" s="4">
        <v>0</v>
      </c>
      <c r="AT116" s="4">
        <v>5</v>
      </c>
      <c r="AU116" s="4">
        <v>0</v>
      </c>
      <c r="AV116" s="1">
        <v>39</v>
      </c>
      <c r="AW116" s="1">
        <v>47</v>
      </c>
      <c r="AX116" s="1">
        <v>13</v>
      </c>
      <c r="AY116" s="86" t="str">
        <f>IFERROR(VLOOKUP(C116,#REF!,13,0),"")</f>
        <v/>
      </c>
      <c r="AZ116" s="87">
        <v>45887</v>
      </c>
      <c r="BA116" s="1" t="str">
        <f t="shared" si="6"/>
        <v>LEFT</v>
      </c>
      <c r="BB116" s="1" t="e">
        <f t="shared" ca="1" si="7"/>
        <v>#NAME?</v>
      </c>
      <c r="BC116" s="1" t="e">
        <f t="shared" ca="1" si="77"/>
        <v>#NAME?</v>
      </c>
      <c r="BD116" s="33">
        <v>4.58</v>
      </c>
      <c r="BE116" s="91" t="str">
        <v/>
      </c>
      <c r="BF116" s="1">
        <f t="shared" si="9"/>
        <v>9</v>
      </c>
      <c r="BG116" s="1" t="s">
        <v>428</v>
      </c>
      <c r="BH116" s="89">
        <f ca="1">IFERROR(__xludf.DUMMYFUNCTION("""COMPUTED_VALUE"""),3448380.07)</f>
        <v>3448380.07</v>
      </c>
      <c r="BI116" s="89">
        <f ca="1">IFERROR(__xludf.DUMMYFUNCTION("""COMPUTED_VALUE"""),3688119.7)</f>
        <v>3688119.7</v>
      </c>
      <c r="BJ116" s="109">
        <f>18/31</f>
        <v>0.58064516129032262</v>
      </c>
      <c r="BK116" s="91"/>
      <c r="BL116" s="91">
        <f t="shared" si="47"/>
        <v>0</v>
      </c>
      <c r="BM116" s="91">
        <f t="shared" si="11"/>
        <v>2916665</v>
      </c>
      <c r="BN116" s="91"/>
      <c r="BO116" s="92">
        <f ca="1">IFERROR(__xludf.DUMMYFUNCTION("IFERROR(ArrayFormula(SUM(VLOOKUP($C116,importrange(""1MwNMVzWE3QBVOyJjKr3eFX-Sq1Ng0Q1sghWJbgbE_8g"",""ORDER BOOKING REPORT 2024-25!C:CV""),{16,23,30},0))))"),416971.3)</f>
        <v>416971.3</v>
      </c>
      <c r="BP116" s="92">
        <f ca="1">IFERROR(__xludf.DUMMYFUNCTION("IFERROR(ArrayFormula(SUM(VLOOKUP($C116,importrange(""1MwNMVzWE3QBVOyJjKr3eFX-Sq1Ng0Q1sghWJbgbE_8g"",""ORDER BOOKING REPORT 2024-25!C:CV""),{37,44,51},0))))"),821991.5)</f>
        <v>821991.5</v>
      </c>
      <c r="BQ116" s="92">
        <f ca="1">IFERROR(__xludf.DUMMYFUNCTION("IFERROR(ArrayFormula(SUM(VLOOKUP($C116,importrange(""1MwNMVzWE3QBVOyJjKr3eFX-Sq1Ng0Q1sghWJbgbE_8g"",""ORDER BOOKING REPORT 2024-25!C:CV""),{58,65,72},0))))"),1266525.9)</f>
        <v>1266525.8999999999</v>
      </c>
      <c r="BR116" s="92">
        <f ca="1">IFERROR(__xludf.DUMMYFUNCTION("IFERROR(ArrayFormula(SUM(VLOOKUP($C116,importrange(""1MwNMVzWE3QBVOyJjKr3eFX-Sq1Ng0Q1sghWJbgbE_8g"",""ORDER BOOKING REPORT 2024-25!C:CV""),{79,86,93},0))))"),1182631)</f>
        <v>1182631</v>
      </c>
      <c r="BS116" s="93" t="str">
        <f t="shared" si="12"/>
        <v/>
      </c>
      <c r="BT116" s="93" t="str">
        <f t="shared" si="13"/>
        <v/>
      </c>
      <c r="BU116" s="37">
        <f t="shared" si="14"/>
        <v>0</v>
      </c>
      <c r="BV116" s="94">
        <v>27784</v>
      </c>
      <c r="BW116" s="94" t="s">
        <v>476</v>
      </c>
      <c r="BX116" s="94">
        <v>1074</v>
      </c>
      <c r="BY116" s="37">
        <f t="shared" si="15"/>
        <v>0</v>
      </c>
      <c r="BZ116" s="37"/>
      <c r="CA116" s="37" t="e">
        <f>BE116*4.58</f>
        <v>#VALUE!</v>
      </c>
      <c r="CB116" s="37"/>
      <c r="CC116" s="37" t="e">
        <f>CA116-H116</f>
        <v>#VALUE!</v>
      </c>
      <c r="CD116" s="37"/>
      <c r="CE116" s="37"/>
      <c r="CF116" s="37"/>
      <c r="CG116" s="37" t="str">
        <f t="shared" si="18"/>
        <v xml:space="preserve"> </v>
      </c>
      <c r="CH116" s="37" t="str">
        <f t="shared" si="26"/>
        <v>Not 50%</v>
      </c>
      <c r="CI116" s="93">
        <f t="shared" si="19"/>
        <v>0.39393939393939392</v>
      </c>
      <c r="CJ116" s="105">
        <f ca="1">IFERROR(__xludf.DUMMYFUNCTION("""COMPUTED_VALUE"""),214)</f>
        <v>214</v>
      </c>
      <c r="CK116" s="105">
        <f ca="1">IFERROR(__xludf.DUMMYFUNCTION("""COMPUTED_VALUE"""),159)</f>
        <v>159</v>
      </c>
      <c r="CL116" s="105">
        <f ca="1">IFERROR(__xludf.DUMMYFUNCTION("""COMPUTED_VALUE"""),0)</f>
        <v>0</v>
      </c>
      <c r="CM116" s="96">
        <f t="shared" ca="1" si="20"/>
        <v>0</v>
      </c>
      <c r="CN116" s="106"/>
      <c r="CO116" s="93"/>
      <c r="CP116" s="107"/>
      <c r="CQ116" s="110"/>
      <c r="CR116" s="93"/>
      <c r="CS116" s="93"/>
      <c r="CT116" s="93"/>
      <c r="CU116" s="93"/>
      <c r="CV116" s="93"/>
      <c r="CW116" s="93"/>
      <c r="CX116" s="51"/>
      <c r="CY116" s="93"/>
      <c r="CZ116" s="93"/>
    </row>
    <row r="117" spans="1:104" ht="15.6">
      <c r="A117" s="1" t="s">
        <v>154</v>
      </c>
      <c r="B117" s="1" t="s">
        <v>367</v>
      </c>
      <c r="C117" s="1" t="s">
        <v>185</v>
      </c>
      <c r="D117" s="1" t="s">
        <v>577</v>
      </c>
      <c r="E117" s="1" t="s">
        <v>583</v>
      </c>
      <c r="F117" s="115">
        <v>45428</v>
      </c>
      <c r="G117" s="76">
        <v>0</v>
      </c>
      <c r="H117" s="76">
        <v>0</v>
      </c>
      <c r="I117" s="77">
        <v>0</v>
      </c>
      <c r="J117" s="77">
        <v>0</v>
      </c>
      <c r="K117" s="4">
        <v>69</v>
      </c>
      <c r="L117" s="4">
        <v>58</v>
      </c>
      <c r="M117" s="4">
        <v>9</v>
      </c>
      <c r="N117" s="4">
        <v>78</v>
      </c>
      <c r="O117" s="4">
        <v>20</v>
      </c>
      <c r="P117" s="77">
        <v>0</v>
      </c>
      <c r="Q117" s="77">
        <v>0</v>
      </c>
      <c r="R117" s="4">
        <v>0</v>
      </c>
      <c r="S117" s="4">
        <v>0</v>
      </c>
      <c r="T117" s="4">
        <v>0</v>
      </c>
      <c r="U117" s="4">
        <v>0</v>
      </c>
      <c r="V117" s="4">
        <v>201</v>
      </c>
      <c r="W117" s="4">
        <v>503</v>
      </c>
      <c r="X117" s="4">
        <v>133</v>
      </c>
      <c r="Y117" s="4">
        <v>15</v>
      </c>
      <c r="Z117" s="4">
        <v>163</v>
      </c>
      <c r="AA117" s="4">
        <v>0</v>
      </c>
      <c r="AB117" s="4">
        <v>0</v>
      </c>
      <c r="AC117" s="4">
        <v>25</v>
      </c>
      <c r="AD117" s="4">
        <v>41</v>
      </c>
      <c r="AE117" s="4">
        <v>289</v>
      </c>
      <c r="AF117" s="4">
        <v>996</v>
      </c>
      <c r="AG117" s="4">
        <v>274</v>
      </c>
      <c r="AH117" s="76">
        <f t="shared" si="1"/>
        <v>0</v>
      </c>
      <c r="AI117" s="76">
        <f t="shared" si="2"/>
        <v>3.6350364963503647</v>
      </c>
      <c r="AJ117" s="112">
        <v>29880</v>
      </c>
      <c r="AK117" s="76">
        <f t="shared" si="62"/>
        <v>358560</v>
      </c>
      <c r="AL117" s="79">
        <v>156310</v>
      </c>
      <c r="AM117" s="80" t="str">
        <f t="shared" si="4"/>
        <v/>
      </c>
      <c r="AN117" s="76" t="str">
        <f t="shared" si="5"/>
        <v/>
      </c>
      <c r="AO117" s="49" t="s">
        <v>161</v>
      </c>
      <c r="AP117" s="82">
        <v>0</v>
      </c>
      <c r="AQ117" s="4">
        <v>0</v>
      </c>
      <c r="AR117" s="4">
        <v>2219</v>
      </c>
      <c r="AS117" s="4">
        <v>2134.83</v>
      </c>
      <c r="AT117" s="4">
        <v>0</v>
      </c>
      <c r="AU117" s="4">
        <v>37</v>
      </c>
      <c r="AV117" s="1">
        <v>0</v>
      </c>
      <c r="AW117" s="1">
        <v>58</v>
      </c>
      <c r="AX117" s="1">
        <v>20</v>
      </c>
      <c r="AY117" s="86" t="str">
        <f>IFERROR(VLOOKUP(C117,#REF!,13,0),"")</f>
        <v/>
      </c>
      <c r="AZ117" s="87"/>
      <c r="BA117" s="1" t="str">
        <f t="shared" si="6"/>
        <v>Active</v>
      </c>
      <c r="BB117" s="1" t="e">
        <f t="shared" ca="1" si="7"/>
        <v>#NAME?</v>
      </c>
      <c r="BC117" s="4" t="s">
        <v>161</v>
      </c>
      <c r="BD117" s="33">
        <f t="shared" ref="BD117:BD119" si="80">MATCH($BD$2,{"Apr","May","Jun","Jul","Aug","Sep","Oct","Nov","Dec","Jan","Feb","Mar"},0)</f>
        <v>12</v>
      </c>
      <c r="BE117" s="88" t="str">
        <v/>
      </c>
      <c r="BF117" s="1">
        <f t="shared" si="9"/>
        <v>9</v>
      </c>
      <c r="BG117" s="37" t="s">
        <v>423</v>
      </c>
      <c r="BH117" s="89"/>
      <c r="BI117" s="89"/>
      <c r="BJ117" s="90"/>
      <c r="BK117" s="91"/>
      <c r="BL117" s="91">
        <f t="shared" si="47"/>
        <v>0</v>
      </c>
      <c r="BM117" s="91">
        <f t="shared" si="11"/>
        <v>0</v>
      </c>
      <c r="BN117" s="91"/>
      <c r="BO117" s="92" t="str">
        <f ca="1">IFERROR(__xludf.DUMMYFUNCTION("IFERROR(ArrayFormula(SUM(VLOOKUP($C117,importrange(""1MwNMVzWE3QBVOyJjKr3eFX-Sq1Ng0Q1sghWJbgbE_8g"",""ORDER BOOKING REPORT 2024-25!C:CV""),{16,23,30},0))))"),"")</f>
        <v/>
      </c>
      <c r="BP117" s="92" t="str">
        <f ca="1">IFERROR(__xludf.DUMMYFUNCTION("IFERROR(ArrayFormula(SUM(VLOOKUP($C117,importrange(""1MwNMVzWE3QBVOyJjKr3eFX-Sq1Ng0Q1sghWJbgbE_8g"",""ORDER BOOKING REPORT 2024-25!C:CV""),{37,44,51},0))))"),"")</f>
        <v/>
      </c>
      <c r="BQ117" s="92" t="str">
        <f ca="1">IFERROR(__xludf.DUMMYFUNCTION("IFERROR(ArrayFormula(SUM(VLOOKUP($C117,importrange(""1MwNMVzWE3QBVOyJjKr3eFX-Sq1Ng0Q1sghWJbgbE_8g"",""ORDER BOOKING REPORT 2024-25!C:CV""),{58,65,72},0))))"),"")</f>
        <v/>
      </c>
      <c r="BR117" s="92" t="str">
        <f ca="1">IFERROR(__xludf.DUMMYFUNCTION("IFERROR(ArrayFormula(SUM(VLOOKUP($C117,importrange(""1MwNMVzWE3QBVOyJjKr3eFX-Sq1Ng0Q1sghWJbgbE_8g"",""ORDER BOOKING REPORT 2024-25!C:CV""),{79,86,93},0))))"),"")</f>
        <v/>
      </c>
      <c r="BS117" s="93" t="str">
        <f t="shared" si="12"/>
        <v/>
      </c>
      <c r="BT117" s="93" t="str">
        <f t="shared" si="13"/>
        <v/>
      </c>
      <c r="BU117" s="37">
        <f t="shared" si="14"/>
        <v>0</v>
      </c>
      <c r="BV117" s="94">
        <v>29880</v>
      </c>
      <c r="BW117" s="94" t="s">
        <v>570</v>
      </c>
      <c r="BX117" s="94">
        <v>1084</v>
      </c>
      <c r="BY117" s="37">
        <f t="shared" si="15"/>
        <v>0</v>
      </c>
      <c r="BZ117" s="37"/>
      <c r="CA117" s="37"/>
      <c r="CB117" s="37"/>
      <c r="CC117" s="37"/>
      <c r="CD117" s="37"/>
      <c r="CE117" s="37"/>
      <c r="CF117" s="37"/>
      <c r="CG117" s="37" t="str">
        <f t="shared" si="18"/>
        <v xml:space="preserve"> </v>
      </c>
      <c r="CH117" s="37" t="str">
        <f t="shared" si="26"/>
        <v>Not 50%</v>
      </c>
      <c r="CI117" s="93">
        <f t="shared" si="19"/>
        <v>0</v>
      </c>
      <c r="CJ117" s="95"/>
      <c r="CK117" s="95"/>
      <c r="CL117" s="95"/>
      <c r="CM117" s="96">
        <f t="shared" si="20"/>
        <v>289</v>
      </c>
      <c r="CN117" s="103"/>
      <c r="CO117" s="4"/>
      <c r="CP117" s="100"/>
      <c r="CQ117" s="101"/>
      <c r="CR117" s="4"/>
      <c r="CS117" s="4"/>
      <c r="CT117" s="4"/>
      <c r="CU117" s="4"/>
      <c r="CV117" s="4"/>
      <c r="CW117" s="101"/>
      <c r="CX117" s="51"/>
      <c r="CY117" s="4"/>
      <c r="CZ117" s="4"/>
    </row>
    <row r="118" spans="1:104" ht="15.6">
      <c r="A118" s="114" t="s">
        <v>154</v>
      </c>
      <c r="B118" s="114" t="s">
        <v>367</v>
      </c>
      <c r="C118" s="114" t="s">
        <v>194</v>
      </c>
      <c r="D118" s="1" t="s">
        <v>577</v>
      </c>
      <c r="E118" s="1" t="s">
        <v>366</v>
      </c>
      <c r="F118" s="115">
        <v>45428</v>
      </c>
      <c r="G118" s="76">
        <v>0</v>
      </c>
      <c r="H118" s="76">
        <v>11800000</v>
      </c>
      <c r="I118" s="77">
        <v>5898219.9000000004</v>
      </c>
      <c r="J118" s="77">
        <v>0</v>
      </c>
      <c r="K118" s="4">
        <v>83</v>
      </c>
      <c r="L118" s="4">
        <v>84</v>
      </c>
      <c r="M118" s="4">
        <v>17</v>
      </c>
      <c r="N118" s="4">
        <v>100</v>
      </c>
      <c r="O118" s="4">
        <v>16</v>
      </c>
      <c r="P118" s="77">
        <v>5127371.0999999996</v>
      </c>
      <c r="Q118" s="77">
        <v>770848.8</v>
      </c>
      <c r="R118" s="4">
        <v>44</v>
      </c>
      <c r="S118" s="4">
        <v>10</v>
      </c>
      <c r="T118" s="4">
        <v>54</v>
      </c>
      <c r="U118" s="4">
        <v>0</v>
      </c>
      <c r="V118" s="4">
        <v>135</v>
      </c>
      <c r="W118" s="4">
        <v>283</v>
      </c>
      <c r="X118" s="4">
        <v>394</v>
      </c>
      <c r="Y118" s="4">
        <v>7</v>
      </c>
      <c r="Z118" s="4">
        <v>175</v>
      </c>
      <c r="AA118" s="4">
        <v>0</v>
      </c>
      <c r="AB118" s="4">
        <v>0</v>
      </c>
      <c r="AC118" s="4">
        <v>0</v>
      </c>
      <c r="AD118" s="4">
        <v>0</v>
      </c>
      <c r="AE118" s="4">
        <v>1221</v>
      </c>
      <c r="AF118" s="4">
        <v>1679</v>
      </c>
      <c r="AG118" s="4">
        <v>272</v>
      </c>
      <c r="AH118" s="76">
        <f t="shared" si="1"/>
        <v>21684.63198529412</v>
      </c>
      <c r="AI118" s="76">
        <f t="shared" si="2"/>
        <v>6.1727941176470589</v>
      </c>
      <c r="AJ118" s="78">
        <v>26526</v>
      </c>
      <c r="AK118" s="76">
        <f t="shared" si="62"/>
        <v>318312</v>
      </c>
      <c r="AL118" s="79">
        <v>126419</v>
      </c>
      <c r="AM118" s="80">
        <f t="shared" si="4"/>
        <v>7.5400884934791926E-2</v>
      </c>
      <c r="AN118" s="76">
        <f t="shared" si="5"/>
        <v>109226.29444444446</v>
      </c>
      <c r="AO118" s="102">
        <f t="shared" ref="AO118:AO139" si="81">IFERROR(SUM(I118:J118)/SUM(G118:H118),"")</f>
        <v>0.49984914406779662</v>
      </c>
      <c r="AP118" s="82">
        <v>0</v>
      </c>
      <c r="AQ118" s="4">
        <v>230</v>
      </c>
      <c r="AR118" s="4">
        <v>2818</v>
      </c>
      <c r="AS118" s="4">
        <v>2950.78</v>
      </c>
      <c r="AT118" s="4">
        <v>10</v>
      </c>
      <c r="AU118" s="4">
        <v>35</v>
      </c>
      <c r="AV118" s="1">
        <v>54</v>
      </c>
      <c r="AW118" s="1">
        <v>32</v>
      </c>
      <c r="AX118" s="1">
        <v>14</v>
      </c>
      <c r="AY118" s="86" t="str">
        <f>IFERROR(VLOOKUP(C118,#REF!,13,0),"")</f>
        <v/>
      </c>
      <c r="AZ118" s="87"/>
      <c r="BA118" s="1" t="str">
        <f t="shared" si="6"/>
        <v>Active</v>
      </c>
      <c r="BB118" s="1" t="e">
        <f t="shared" ca="1" si="7"/>
        <v>#NAME?</v>
      </c>
      <c r="BC118" s="1" t="e">
        <f t="shared" ref="BC118:BC139" ca="1" si="82">_xludf.ifs(AO118&lt;50%,"Below 50%",AO118&lt;70%,"50%-70%",AO118&lt;90%,"70%-90%",AO118&lt;100%,"90%-100%",AO118&gt;100%,"Above 100%")</f>
        <v>#NAME?</v>
      </c>
      <c r="BD118" s="33">
        <f t="shared" si="80"/>
        <v>12</v>
      </c>
      <c r="BE118" s="91" t="str">
        <v/>
      </c>
      <c r="BF118" s="1">
        <f t="shared" si="9"/>
        <v>7</v>
      </c>
      <c r="BG118" s="1" t="s">
        <v>428</v>
      </c>
      <c r="BH118" s="89">
        <f ca="1">IFERROR(__xludf.DUMMYFUNCTION("""COMPUTED_VALUE"""),2995523)</f>
        <v>2995523</v>
      </c>
      <c r="BI118" s="89">
        <f ca="1">IFERROR(__xludf.DUMMYFUNCTION("""COMPUTED_VALUE"""),4503837.14)</f>
        <v>4503837.1399999997</v>
      </c>
      <c r="BJ118" s="90"/>
      <c r="BK118" s="91"/>
      <c r="BL118" s="91">
        <f t="shared" si="47"/>
        <v>0</v>
      </c>
      <c r="BM118" s="91">
        <f t="shared" si="11"/>
        <v>11800000</v>
      </c>
      <c r="BN118" s="91"/>
      <c r="BO118" s="92">
        <f ca="1">IFERROR(__xludf.DUMMYFUNCTION("IFERROR(ArrayFormula(SUM(VLOOKUP($C118,importrange(""1MwNMVzWE3QBVOyJjKr3eFX-Sq1Ng0Q1sghWJbgbE_8g"",""ORDER BOOKING REPORT 2024-25!C:CV""),{16,23,30},0))))"),578268.78)</f>
        <v>578268.78</v>
      </c>
      <c r="BP118" s="92">
        <f ca="1">IFERROR(__xludf.DUMMYFUNCTION("IFERROR(ArrayFormula(SUM(VLOOKUP($C118,importrange(""1MwNMVzWE3QBVOyJjKr3eFX-Sq1Ng0Q1sghWJbgbE_8g"",""ORDER BOOKING REPORT 2024-25!C:CV""),{37,44,51},0))))"),1119991.32)</f>
        <v>1119991.32</v>
      </c>
      <c r="BQ118" s="92">
        <f ca="1">IFERROR(__xludf.DUMMYFUNCTION("IFERROR(ArrayFormula(SUM(VLOOKUP($C118,importrange(""1MwNMVzWE3QBVOyJjKr3eFX-Sq1Ng0Q1sghWJbgbE_8g"",""ORDER BOOKING REPORT 2024-25!C:CV""),{58,65,72},0))))"),1286075.79999999)</f>
        <v>1286075.79999999</v>
      </c>
      <c r="BR118" s="92">
        <f ca="1">IFERROR(__xludf.DUMMYFUNCTION("IFERROR(ArrayFormula(SUM(VLOOKUP($C118,importrange(""1MwNMVzWE3QBVOyJjKr3eFX-Sq1Ng0Q1sghWJbgbE_8g"",""ORDER BOOKING REPORT 2024-25!C:CV""),{79,86,93},0))))"),1519501.24)</f>
        <v>1519501.24</v>
      </c>
      <c r="BS118" s="93" t="str">
        <f t="shared" si="12"/>
        <v/>
      </c>
      <c r="BT118" s="93" t="str">
        <f t="shared" si="13"/>
        <v/>
      </c>
      <c r="BU118" s="37">
        <f t="shared" si="14"/>
        <v>0</v>
      </c>
      <c r="BV118" s="94">
        <v>26526</v>
      </c>
      <c r="BW118" s="94" t="s">
        <v>445</v>
      </c>
      <c r="BX118" s="94">
        <v>1083</v>
      </c>
      <c r="BY118" s="37">
        <f t="shared" si="15"/>
        <v>0</v>
      </c>
      <c r="BZ118" s="37"/>
      <c r="CA118" s="37"/>
      <c r="CB118" s="37"/>
      <c r="CC118" s="37"/>
      <c r="CD118" s="37"/>
      <c r="CE118" s="37"/>
      <c r="CF118" s="37"/>
      <c r="CG118" s="37" t="str">
        <f t="shared" si="18"/>
        <v xml:space="preserve"> </v>
      </c>
      <c r="CH118" s="37" t="str">
        <f t="shared" si="26"/>
        <v>Business Achieved 50%</v>
      </c>
      <c r="CI118" s="93">
        <f t="shared" si="19"/>
        <v>0.54</v>
      </c>
      <c r="CJ118" s="95">
        <f ca="1">IFERROR(__xludf.DUMMYFUNCTION("""COMPUTED_VALUE"""),901)</f>
        <v>901</v>
      </c>
      <c r="CK118" s="95">
        <f ca="1">IFERROR(__xludf.DUMMYFUNCTION("""COMPUTED_VALUE"""),320)</f>
        <v>320</v>
      </c>
      <c r="CL118" s="95">
        <f ca="1">IFERROR(__xludf.DUMMYFUNCTION("""COMPUTED_VALUE"""),0)</f>
        <v>0</v>
      </c>
      <c r="CM118" s="96">
        <f t="shared" ca="1" si="20"/>
        <v>0</v>
      </c>
      <c r="CN118" s="103"/>
      <c r="CO118" s="4"/>
      <c r="CP118" s="100"/>
      <c r="CQ118" s="101"/>
      <c r="CR118" s="4"/>
      <c r="CS118" s="4"/>
      <c r="CT118" s="4"/>
      <c r="CU118" s="4"/>
      <c r="CV118" s="4"/>
      <c r="CW118" s="101"/>
      <c r="CX118" s="51"/>
      <c r="CY118" s="4"/>
      <c r="CZ118" s="4"/>
    </row>
    <row r="119" spans="1:104" ht="15.6">
      <c r="A119" s="1" t="s">
        <v>118</v>
      </c>
      <c r="B119" s="1" t="s">
        <v>468</v>
      </c>
      <c r="C119" s="1" t="s">
        <v>240</v>
      </c>
      <c r="D119" s="1" t="s">
        <v>509</v>
      </c>
      <c r="E119" s="1" t="s">
        <v>585</v>
      </c>
      <c r="F119" s="115">
        <v>45432</v>
      </c>
      <c r="G119" s="76">
        <v>0</v>
      </c>
      <c r="H119" s="76">
        <v>29799996</v>
      </c>
      <c r="I119" s="77">
        <v>31816137.440000001</v>
      </c>
      <c r="J119" s="77">
        <v>0</v>
      </c>
      <c r="K119" s="4">
        <v>102</v>
      </c>
      <c r="L119" s="4">
        <v>112</v>
      </c>
      <c r="M119" s="4">
        <v>14</v>
      </c>
      <c r="N119" s="4">
        <v>116</v>
      </c>
      <c r="O119" s="4">
        <v>4</v>
      </c>
      <c r="P119" s="77">
        <v>30677035.940000001</v>
      </c>
      <c r="Q119" s="77">
        <v>1139101.5</v>
      </c>
      <c r="R119" s="4">
        <v>78</v>
      </c>
      <c r="S119" s="4">
        <v>14</v>
      </c>
      <c r="T119" s="4">
        <v>92</v>
      </c>
      <c r="U119" s="4">
        <v>0</v>
      </c>
      <c r="V119" s="4">
        <v>138</v>
      </c>
      <c r="W119" s="4">
        <v>258</v>
      </c>
      <c r="X119" s="4">
        <v>69</v>
      </c>
      <c r="Y119" s="4">
        <v>1</v>
      </c>
      <c r="Z119" s="4">
        <v>152</v>
      </c>
      <c r="AA119" s="4">
        <v>0</v>
      </c>
      <c r="AB119" s="4">
        <v>0</v>
      </c>
      <c r="AC119" s="4">
        <v>0</v>
      </c>
      <c r="AD119" s="4">
        <v>0</v>
      </c>
      <c r="AE119" s="4">
        <v>1392</v>
      </c>
      <c r="AF119" s="4">
        <v>1802</v>
      </c>
      <c r="AG119" s="4">
        <v>300</v>
      </c>
      <c r="AH119" s="76">
        <f t="shared" si="1"/>
        <v>106053.79146666668</v>
      </c>
      <c r="AI119" s="76">
        <f t="shared" si="2"/>
        <v>6.0066666666666668</v>
      </c>
      <c r="AJ119" s="78">
        <v>45100</v>
      </c>
      <c r="AK119" s="76">
        <f t="shared" si="62"/>
        <v>541200</v>
      </c>
      <c r="AL119" s="79">
        <v>144333</v>
      </c>
      <c r="AM119" s="80">
        <f t="shared" si="4"/>
        <v>2.1546707273716128E-2</v>
      </c>
      <c r="AN119" s="76">
        <f t="shared" si="5"/>
        <v>345827.58086956525</v>
      </c>
      <c r="AO119" s="102">
        <f t="shared" si="81"/>
        <v>1.0676557621014446</v>
      </c>
      <c r="AP119" s="82">
        <v>0</v>
      </c>
      <c r="AQ119" s="4">
        <v>686</v>
      </c>
      <c r="AR119" s="4">
        <v>2865</v>
      </c>
      <c r="AS119" s="4">
        <v>1978.64</v>
      </c>
      <c r="AT119" s="4">
        <v>14</v>
      </c>
      <c r="AU119" s="4">
        <v>18</v>
      </c>
      <c r="AV119" s="1">
        <v>92</v>
      </c>
      <c r="AW119" s="1">
        <v>21</v>
      </c>
      <c r="AX119" s="1">
        <v>3</v>
      </c>
      <c r="AY119" s="86" t="str">
        <f>IFERROR(VLOOKUP(C119,#REF!,13,0),"")</f>
        <v/>
      </c>
      <c r="AZ119" s="87"/>
      <c r="BA119" s="1" t="str">
        <f t="shared" si="6"/>
        <v>Active</v>
      </c>
      <c r="BB119" s="1" t="e">
        <f t="shared" ca="1" si="7"/>
        <v>#NAME?</v>
      </c>
      <c r="BC119" s="1" t="e">
        <f t="shared" ca="1" si="82"/>
        <v>#NAME?</v>
      </c>
      <c r="BD119" s="33">
        <f t="shared" si="80"/>
        <v>12</v>
      </c>
      <c r="BE119" s="88" t="str">
        <v/>
      </c>
      <c r="BF119" s="1">
        <f t="shared" si="9"/>
        <v>0</v>
      </c>
      <c r="BG119" s="1" t="s">
        <v>428</v>
      </c>
      <c r="BH119" s="89">
        <f ca="1">IFERROR(__xludf.DUMMYFUNCTION("""COMPUTED_VALUE"""),20489164)</f>
        <v>20489164</v>
      </c>
      <c r="BI119" s="89">
        <f ca="1">IFERROR(__xludf.DUMMYFUNCTION("""COMPUTED_VALUE"""),24766228.11)</f>
        <v>24766228.109999999</v>
      </c>
      <c r="BJ119" s="90"/>
      <c r="BK119" s="91"/>
      <c r="BL119" s="91">
        <f t="shared" si="47"/>
        <v>0</v>
      </c>
      <c r="BM119" s="91">
        <f t="shared" si="11"/>
        <v>29799996</v>
      </c>
      <c r="BN119" s="91"/>
      <c r="BO119" s="92">
        <f ca="1">IFERROR(__xludf.DUMMYFUNCTION("IFERROR(ArrayFormula(SUM(VLOOKUP($C119,importrange(""1MwNMVzWE3QBVOyJjKr3eFX-Sq1Ng0Q1sghWJbgbE_8g"",""ORDER BOOKING REPORT 2024-25!C:CV""),{16,23,30},0))))"),1850796.46)</f>
        <v>1850796.46</v>
      </c>
      <c r="BP119" s="92">
        <f ca="1">IFERROR(__xludf.DUMMYFUNCTION("IFERROR(ArrayFormula(SUM(VLOOKUP($C119,importrange(""1MwNMVzWE3QBVOyJjKr3eFX-Sq1Ng0Q1sghWJbgbE_8g"",""ORDER BOOKING REPORT 2024-25!C:CV""),{37,44,51},0))))"),5880890.52)</f>
        <v>5880890.5199999996</v>
      </c>
      <c r="BQ119" s="92">
        <f ca="1">IFERROR(__xludf.DUMMYFUNCTION("IFERROR(ArrayFormula(SUM(VLOOKUP($C119,importrange(""1MwNMVzWE3QBVOyJjKr3eFX-Sq1Ng0Q1sghWJbgbE_8g"",""ORDER BOOKING REPORT 2024-25!C:CV""),{58,65,72},0))))"),7290540.77)</f>
        <v>7290540.7699999996</v>
      </c>
      <c r="BR119" s="92">
        <f ca="1">IFERROR(__xludf.DUMMYFUNCTION("IFERROR(ArrayFormula(SUM(VLOOKUP($C119,importrange(""1MwNMVzWE3QBVOyJjKr3eFX-Sq1Ng0Q1sghWJbgbE_8g"",""ORDER BOOKING REPORT 2024-25!C:CV""),{79,86,93},0))))"),9744000.36)</f>
        <v>9744000.3599999994</v>
      </c>
      <c r="BS119" s="93" t="str">
        <f t="shared" si="12"/>
        <v/>
      </c>
      <c r="BT119" s="93" t="str">
        <f t="shared" si="13"/>
        <v/>
      </c>
      <c r="BU119" s="37">
        <f t="shared" si="14"/>
        <v>0</v>
      </c>
      <c r="BV119" s="94">
        <v>45100</v>
      </c>
      <c r="BW119" s="94" t="s">
        <v>445</v>
      </c>
      <c r="BX119" s="94">
        <v>1086</v>
      </c>
      <c r="BY119" s="37">
        <f t="shared" si="15"/>
        <v>0</v>
      </c>
      <c r="BZ119" s="37"/>
      <c r="CA119" s="37"/>
      <c r="CB119" s="37"/>
      <c r="CC119" s="37"/>
      <c r="CD119" s="37"/>
      <c r="CE119" s="37"/>
      <c r="CF119" s="37"/>
      <c r="CG119" s="37" t="str">
        <f t="shared" si="18"/>
        <v xml:space="preserve"> </v>
      </c>
      <c r="CH119" s="37" t="str">
        <f t="shared" si="26"/>
        <v>Business Achieved 50%</v>
      </c>
      <c r="CI119" s="93">
        <f t="shared" si="19"/>
        <v>0.7931034482758621</v>
      </c>
      <c r="CJ119" s="95">
        <f ca="1">IFERROR(__xludf.DUMMYFUNCTION("""COMPUTED_VALUE"""),1216)</f>
        <v>1216</v>
      </c>
      <c r="CK119" s="95">
        <f ca="1">IFERROR(__xludf.DUMMYFUNCTION("""COMPUTED_VALUE"""),176)</f>
        <v>176</v>
      </c>
      <c r="CL119" s="95">
        <f ca="1">IFERROR(__xludf.DUMMYFUNCTION("""COMPUTED_VALUE"""),0)</f>
        <v>0</v>
      </c>
      <c r="CM119" s="96">
        <f t="shared" ca="1" si="20"/>
        <v>0</v>
      </c>
      <c r="CN119" s="103"/>
      <c r="CO119" s="4"/>
      <c r="CP119" s="100"/>
      <c r="CQ119" s="101"/>
      <c r="CR119" s="4"/>
      <c r="CS119" s="4"/>
      <c r="CT119" s="4"/>
      <c r="CU119" s="4"/>
      <c r="CV119" s="4"/>
      <c r="CW119" s="101"/>
      <c r="CX119" s="51"/>
      <c r="CY119" s="4"/>
      <c r="CZ119" s="4"/>
    </row>
    <row r="120" spans="1:104" ht="15.6">
      <c r="A120" s="1" t="s">
        <v>118</v>
      </c>
      <c r="B120" s="1" t="s">
        <v>359</v>
      </c>
      <c r="C120" s="1" t="s">
        <v>241</v>
      </c>
      <c r="D120" s="1" t="s">
        <v>442</v>
      </c>
      <c r="E120" s="1" t="s">
        <v>586</v>
      </c>
      <c r="F120" s="115">
        <v>45434</v>
      </c>
      <c r="G120" s="76">
        <v>0</v>
      </c>
      <c r="H120" s="76">
        <v>24000000</v>
      </c>
      <c r="I120" s="77">
        <v>12403017.369999999</v>
      </c>
      <c r="J120" s="77">
        <v>0</v>
      </c>
      <c r="K120" s="4">
        <v>68</v>
      </c>
      <c r="L120" s="4">
        <v>67</v>
      </c>
      <c r="M120" s="4">
        <v>9</v>
      </c>
      <c r="N120" s="4">
        <v>77</v>
      </c>
      <c r="O120" s="4">
        <v>10</v>
      </c>
      <c r="P120" s="77">
        <v>11862644.85</v>
      </c>
      <c r="Q120" s="77">
        <v>540372.52</v>
      </c>
      <c r="R120" s="4">
        <v>43</v>
      </c>
      <c r="S120" s="4">
        <v>7</v>
      </c>
      <c r="T120" s="4">
        <v>50</v>
      </c>
      <c r="U120" s="4">
        <v>0</v>
      </c>
      <c r="V120" s="4">
        <v>9</v>
      </c>
      <c r="W120" s="4">
        <v>20</v>
      </c>
      <c r="X120" s="4">
        <v>11</v>
      </c>
      <c r="Y120" s="4">
        <v>1</v>
      </c>
      <c r="Z120" s="4">
        <v>73</v>
      </c>
      <c r="AA120" s="4">
        <v>0</v>
      </c>
      <c r="AB120" s="4">
        <v>0</v>
      </c>
      <c r="AC120" s="4">
        <v>0</v>
      </c>
      <c r="AD120" s="4">
        <v>0</v>
      </c>
      <c r="AE120" s="4">
        <v>839</v>
      </c>
      <c r="AF120" s="4">
        <v>932</v>
      </c>
      <c r="AG120" s="4">
        <v>235</v>
      </c>
      <c r="AH120" s="76">
        <f t="shared" si="1"/>
        <v>52778.797319148929</v>
      </c>
      <c r="AI120" s="76">
        <f t="shared" si="2"/>
        <v>3.9659574468085106</v>
      </c>
      <c r="AJ120" s="78">
        <v>69400</v>
      </c>
      <c r="AK120" s="76">
        <f t="shared" si="62"/>
        <v>728700</v>
      </c>
      <c r="AL120" s="79">
        <v>86531</v>
      </c>
      <c r="AM120" s="80">
        <f t="shared" si="4"/>
        <v>6.5728441368779603E-2</v>
      </c>
      <c r="AN120" s="76">
        <f t="shared" si="5"/>
        <v>248060.34739999997</v>
      </c>
      <c r="AO120" s="102">
        <f t="shared" si="81"/>
        <v>0.51679239041666658</v>
      </c>
      <c r="AP120" s="82">
        <v>0</v>
      </c>
      <c r="AQ120" s="4">
        <v>607</v>
      </c>
      <c r="AR120" s="4">
        <v>2558</v>
      </c>
      <c r="AS120" s="4">
        <v>193.2</v>
      </c>
      <c r="AT120" s="4">
        <v>7</v>
      </c>
      <c r="AU120" s="4">
        <v>3</v>
      </c>
      <c r="AV120" s="1">
        <v>50</v>
      </c>
      <c r="AW120" s="1">
        <v>19</v>
      </c>
      <c r="AX120" s="1">
        <v>8</v>
      </c>
      <c r="AY120" s="86" t="str">
        <f>IFERROR(VLOOKUP(C120,#REF!,13,0),"")</f>
        <v/>
      </c>
      <c r="AZ120" s="87"/>
      <c r="BA120" s="1" t="str">
        <f t="shared" si="6"/>
        <v>Active</v>
      </c>
      <c r="BB120" s="1" t="e">
        <f t="shared" ca="1" si="7"/>
        <v>#NAME?</v>
      </c>
      <c r="BC120" s="1" t="e">
        <f t="shared" ca="1" si="82"/>
        <v>#NAME?</v>
      </c>
      <c r="BD120" s="33">
        <v>10.5</v>
      </c>
      <c r="BE120" s="88" t="str">
        <v/>
      </c>
      <c r="BF120" s="1">
        <f t="shared" si="9"/>
        <v>2</v>
      </c>
      <c r="BG120" s="1" t="s">
        <v>428</v>
      </c>
      <c r="BH120" s="89">
        <f ca="1">IFERROR(__xludf.DUMMYFUNCTION("""COMPUTED_VALUE"""),5834843.78)</f>
        <v>5834843.7800000003</v>
      </c>
      <c r="BI120" s="89">
        <f ca="1">IFERROR(__xludf.DUMMYFUNCTION("""COMPUTED_VALUE"""),6083295.47999999)</f>
        <v>6083295.4799999902</v>
      </c>
      <c r="BJ120" s="90"/>
      <c r="BK120" s="91"/>
      <c r="BL120" s="91">
        <f t="shared" si="47"/>
        <v>0</v>
      </c>
      <c r="BM120" s="91">
        <f t="shared" si="11"/>
        <v>24000000</v>
      </c>
      <c r="BN120" s="91"/>
      <c r="BO120" s="92">
        <f ca="1">IFERROR(__xludf.DUMMYFUNCTION("IFERROR(ArrayFormula(SUM(VLOOKUP($C120,importrange(""1MwNMVzWE3QBVOyJjKr3eFX-Sq1Ng0Q1sghWJbgbE_8g"",""ORDER BOOKING REPORT 2024-25!C:CV""),{16,23,30},0))))"),0)</f>
        <v>0</v>
      </c>
      <c r="BP120" s="92">
        <f ca="1">IFERROR(__xludf.DUMMYFUNCTION("IFERROR(ArrayFormula(SUM(VLOOKUP($C120,importrange(""1MwNMVzWE3QBVOyJjKr3eFX-Sq1Ng0Q1sghWJbgbE_8g"",""ORDER BOOKING REPORT 2024-25!C:CV""),{37,44,51},0))))"),1540642.74)</f>
        <v>1540642.74</v>
      </c>
      <c r="BQ120" s="92">
        <f ca="1">IFERROR(__xludf.DUMMYFUNCTION("IFERROR(ArrayFormula(SUM(VLOOKUP($C120,importrange(""1MwNMVzWE3QBVOyJjKr3eFX-Sq1Ng0Q1sghWJbgbE_8g"",""ORDER BOOKING REPORT 2024-25!C:CV""),{58,65,72},0))))"),2613584.12)</f>
        <v>2613584.12</v>
      </c>
      <c r="BR120" s="92">
        <f ca="1">IFERROR(__xludf.DUMMYFUNCTION("IFERROR(ArrayFormula(SUM(VLOOKUP($C120,importrange(""1MwNMVzWE3QBVOyJjKr3eFX-Sq1Ng0Q1sghWJbgbE_8g"",""ORDER BOOKING REPORT 2024-25!C:CV""),{79,86,93},0))))"),1929068.61999999)</f>
        <v>1929068.6199999901</v>
      </c>
      <c r="BS120" s="93" t="str">
        <f t="shared" si="12"/>
        <v/>
      </c>
      <c r="BT120" s="93" t="str">
        <f t="shared" si="13"/>
        <v/>
      </c>
      <c r="BU120" s="37">
        <f t="shared" si="14"/>
        <v>0</v>
      </c>
      <c r="BV120" s="94">
        <v>69400</v>
      </c>
      <c r="BW120" s="94" t="s">
        <v>425</v>
      </c>
      <c r="BX120" s="94">
        <v>1087</v>
      </c>
      <c r="BY120" s="37">
        <f t="shared" si="15"/>
        <v>0</v>
      </c>
      <c r="BZ120" s="37"/>
      <c r="CA120" s="37"/>
      <c r="CB120" s="37"/>
      <c r="CC120" s="37"/>
      <c r="CD120" s="37"/>
      <c r="CE120" s="37"/>
      <c r="CF120" s="37"/>
      <c r="CG120" s="37" t="str">
        <f t="shared" si="18"/>
        <v xml:space="preserve"> </v>
      </c>
      <c r="CH120" s="37" t="str">
        <f t="shared" si="26"/>
        <v>Business Achieved 50%</v>
      </c>
      <c r="CI120" s="93">
        <f t="shared" si="19"/>
        <v>0.64935064935064934</v>
      </c>
      <c r="CJ120" s="95">
        <f ca="1">IFERROR(__xludf.DUMMYFUNCTION("""COMPUTED_VALUE"""),719)</f>
        <v>719</v>
      </c>
      <c r="CK120" s="95">
        <f ca="1">IFERROR(__xludf.DUMMYFUNCTION("""COMPUTED_VALUE"""),120)</f>
        <v>120</v>
      </c>
      <c r="CL120" s="95">
        <f ca="1">IFERROR(__xludf.DUMMYFUNCTION("""COMPUTED_VALUE"""),0)</f>
        <v>0</v>
      </c>
      <c r="CM120" s="96">
        <f t="shared" ca="1" si="20"/>
        <v>0</v>
      </c>
      <c r="CN120" s="103"/>
      <c r="CO120" s="4"/>
      <c r="CP120" s="100"/>
      <c r="CQ120" s="101"/>
      <c r="CR120" s="4"/>
      <c r="CS120" s="4"/>
      <c r="CT120" s="4"/>
      <c r="CU120" s="4"/>
      <c r="CV120" s="4"/>
      <c r="CW120" s="101"/>
      <c r="CX120" s="51"/>
      <c r="CY120" s="4"/>
      <c r="CZ120" s="4"/>
    </row>
    <row r="121" spans="1:104" ht="15.6">
      <c r="A121" s="1" t="s">
        <v>118</v>
      </c>
      <c r="B121" s="1" t="s">
        <v>375</v>
      </c>
      <c r="C121" s="1" t="s">
        <v>143</v>
      </c>
      <c r="D121" s="1" t="s">
        <v>473</v>
      </c>
      <c r="E121" s="1" t="s">
        <v>587</v>
      </c>
      <c r="F121" s="104">
        <v>45444</v>
      </c>
      <c r="G121" s="76">
        <v>0</v>
      </c>
      <c r="H121" s="76">
        <v>4000000</v>
      </c>
      <c r="I121" s="77">
        <v>560081.52</v>
      </c>
      <c r="J121" s="77">
        <v>0</v>
      </c>
      <c r="K121" s="4">
        <v>27</v>
      </c>
      <c r="L121" s="4">
        <v>24</v>
      </c>
      <c r="M121" s="4">
        <v>0</v>
      </c>
      <c r="N121" s="4">
        <v>27</v>
      </c>
      <c r="O121" s="4">
        <v>3</v>
      </c>
      <c r="P121" s="77">
        <v>560081.52</v>
      </c>
      <c r="Q121" s="77">
        <v>0</v>
      </c>
      <c r="R121" s="4">
        <v>11</v>
      </c>
      <c r="S121" s="4">
        <v>0</v>
      </c>
      <c r="T121" s="4">
        <v>11</v>
      </c>
      <c r="U121" s="4">
        <v>0</v>
      </c>
      <c r="V121" s="4">
        <v>38</v>
      </c>
      <c r="W121" s="4">
        <v>38</v>
      </c>
      <c r="X121" s="4">
        <v>132</v>
      </c>
      <c r="Y121" s="4">
        <v>2</v>
      </c>
      <c r="Z121" s="4">
        <v>5</v>
      </c>
      <c r="AA121" s="4">
        <v>0</v>
      </c>
      <c r="AB121" s="4">
        <v>0</v>
      </c>
      <c r="AC121" s="4">
        <v>1</v>
      </c>
      <c r="AD121" s="4">
        <v>1</v>
      </c>
      <c r="AE121" s="4">
        <v>86</v>
      </c>
      <c r="AF121" s="4">
        <v>130</v>
      </c>
      <c r="AG121" s="4">
        <v>82</v>
      </c>
      <c r="AH121" s="76">
        <f t="shared" si="1"/>
        <v>6830.2624390243909</v>
      </c>
      <c r="AI121" s="76">
        <f t="shared" si="2"/>
        <v>1.5853658536585367</v>
      </c>
      <c r="AJ121" s="112">
        <v>27000</v>
      </c>
      <c r="AK121" s="76">
        <f t="shared" si="62"/>
        <v>94500</v>
      </c>
      <c r="AL121" s="49">
        <v>35750</v>
      </c>
      <c r="AM121" s="80">
        <f t="shared" si="4"/>
        <v>0.23255543228778552</v>
      </c>
      <c r="AN121" s="76">
        <f t="shared" si="5"/>
        <v>50916.501818181823</v>
      </c>
      <c r="AO121" s="102">
        <f t="shared" si="81"/>
        <v>0.14002038</v>
      </c>
      <c r="AP121" s="82">
        <v>0</v>
      </c>
      <c r="AQ121" s="4">
        <v>19</v>
      </c>
      <c r="AR121" s="4">
        <v>772</v>
      </c>
      <c r="AS121" s="4">
        <v>0</v>
      </c>
      <c r="AT121" s="4">
        <v>0</v>
      </c>
      <c r="AU121" s="4">
        <v>0</v>
      </c>
      <c r="AV121" s="1">
        <v>11</v>
      </c>
      <c r="AW121" s="1">
        <v>14</v>
      </c>
      <c r="AX121" s="1">
        <v>2</v>
      </c>
      <c r="AY121" s="86" t="str">
        <f>IFERROR(VLOOKUP(C121,#REF!,13,0),"")</f>
        <v/>
      </c>
      <c r="AZ121" s="87">
        <v>45853</v>
      </c>
      <c r="BA121" s="1" t="str">
        <f t="shared" si="6"/>
        <v>LEFT</v>
      </c>
      <c r="BB121" s="1" t="e">
        <f t="shared" ca="1" si="7"/>
        <v>#NAME?</v>
      </c>
      <c r="BC121" s="1" t="e">
        <f t="shared" ca="1" si="82"/>
        <v>#NAME?</v>
      </c>
      <c r="BD121" s="33">
        <v>3.5</v>
      </c>
      <c r="BE121" s="91" t="str">
        <v/>
      </c>
      <c r="BF121" s="1">
        <f t="shared" si="9"/>
        <v>0</v>
      </c>
      <c r="BG121" s="1" t="s">
        <v>428</v>
      </c>
      <c r="BH121" s="89">
        <f ca="1">IFERROR(__xludf.DUMMYFUNCTION("""COMPUTED_VALUE"""),1374117)</f>
        <v>1374117</v>
      </c>
      <c r="BI121" s="89">
        <f ca="1">IFERROR(__xludf.DUMMYFUNCTION("""COMPUTED_VALUE"""),1748676.88)</f>
        <v>1748676.88</v>
      </c>
      <c r="BJ121" s="109"/>
      <c r="BK121" s="91"/>
      <c r="BL121" s="91">
        <f t="shared" si="47"/>
        <v>0</v>
      </c>
      <c r="BM121" s="91">
        <f t="shared" si="11"/>
        <v>4000000</v>
      </c>
      <c r="BN121" s="91"/>
      <c r="BO121" s="92">
        <f ca="1">IFERROR(__xludf.DUMMYFUNCTION("IFERROR(ArrayFormula(SUM(VLOOKUP($C121,importrange(""1MwNMVzWE3QBVOyJjKr3eFX-Sq1Ng0Q1sghWJbgbE_8g"",""ORDER BOOKING REPORT 2024-25!C:CV""),{16,23,30},0))))"),75263.2)</f>
        <v>75263.199999999997</v>
      </c>
      <c r="BP121" s="92">
        <f ca="1">IFERROR(__xludf.DUMMYFUNCTION("IFERROR(ArrayFormula(SUM(VLOOKUP($C121,importrange(""1MwNMVzWE3QBVOyJjKr3eFX-Sq1Ng0Q1sghWJbgbE_8g"",""ORDER BOOKING REPORT 2024-25!C:CV""),{37,44,51},0))))"),421676.68)</f>
        <v>421676.68</v>
      </c>
      <c r="BQ121" s="92">
        <f ca="1">IFERROR(__xludf.DUMMYFUNCTION("IFERROR(ArrayFormula(SUM(VLOOKUP($C121,importrange(""1MwNMVzWE3QBVOyJjKr3eFX-Sq1Ng0Q1sghWJbgbE_8g"",""ORDER BOOKING REPORT 2024-25!C:CV""),{58,65,72},0))))"),549430.5)</f>
        <v>549430.5</v>
      </c>
      <c r="BR121" s="92">
        <f ca="1">IFERROR(__xludf.DUMMYFUNCTION("IFERROR(ArrayFormula(SUM(VLOOKUP($C121,importrange(""1MwNMVzWE3QBVOyJjKr3eFX-Sq1Ng0Q1sghWJbgbE_8g"",""ORDER BOOKING REPORT 2024-25!C:CV""),{79,86,93},0))))"),702306.5)</f>
        <v>702306.5</v>
      </c>
      <c r="BS121" s="93" t="str">
        <f t="shared" si="12"/>
        <v/>
      </c>
      <c r="BT121" s="93" t="str">
        <f t="shared" si="13"/>
        <v/>
      </c>
      <c r="BU121" s="37">
        <f t="shared" si="14"/>
        <v>0</v>
      </c>
      <c r="BV121" s="94"/>
      <c r="BW121" s="94"/>
      <c r="BX121" s="94"/>
      <c r="BY121" s="37">
        <f t="shared" si="15"/>
        <v>-27000</v>
      </c>
      <c r="BZ121" s="37"/>
      <c r="CA121" s="37" t="e">
        <f>BE121*4</f>
        <v>#VALUE!</v>
      </c>
      <c r="CB121" s="37"/>
      <c r="CC121" s="37" t="e">
        <f>CA121-H121</f>
        <v>#VALUE!</v>
      </c>
      <c r="CD121" s="37"/>
      <c r="CE121" s="37"/>
      <c r="CF121" s="37"/>
      <c r="CG121" s="37" t="str">
        <f t="shared" si="18"/>
        <v>Below 60</v>
      </c>
      <c r="CH121" s="37" t="str">
        <f t="shared" si="26"/>
        <v>Not 50%</v>
      </c>
      <c r="CI121" s="93">
        <f t="shared" si="19"/>
        <v>0.40740740740740738</v>
      </c>
      <c r="CJ121" s="105">
        <f ca="1">IFERROR(__xludf.DUMMYFUNCTION("""COMPUTED_VALUE"""),45)</f>
        <v>45</v>
      </c>
      <c r="CK121" s="105">
        <f ca="1">IFERROR(__xludf.DUMMYFUNCTION("""COMPUTED_VALUE"""),41)</f>
        <v>41</v>
      </c>
      <c r="CL121" s="105">
        <f ca="1">IFERROR(__xludf.DUMMYFUNCTION("""COMPUTED_VALUE"""),0)</f>
        <v>0</v>
      </c>
      <c r="CM121" s="96">
        <f t="shared" ca="1" si="20"/>
        <v>0</v>
      </c>
      <c r="CN121" s="106"/>
      <c r="CO121" s="93"/>
      <c r="CP121" s="107"/>
      <c r="CQ121" s="110"/>
      <c r="CR121" s="93"/>
      <c r="CS121" s="93"/>
      <c r="CT121" s="93"/>
      <c r="CU121" s="93"/>
      <c r="CV121" s="93"/>
      <c r="CW121" s="93"/>
      <c r="CX121" s="51"/>
      <c r="CY121" s="93"/>
      <c r="CZ121" s="93"/>
    </row>
    <row r="122" spans="1:104" ht="15.6">
      <c r="A122" s="1" t="s">
        <v>124</v>
      </c>
      <c r="B122" s="1" t="s">
        <v>443</v>
      </c>
      <c r="C122" s="1" t="s">
        <v>242</v>
      </c>
      <c r="D122" s="1" t="s">
        <v>517</v>
      </c>
      <c r="E122" s="1" t="s">
        <v>518</v>
      </c>
      <c r="F122" s="104">
        <v>45446</v>
      </c>
      <c r="G122" s="76">
        <v>0</v>
      </c>
      <c r="H122" s="76">
        <v>14400000</v>
      </c>
      <c r="I122" s="77">
        <v>9948476.75</v>
      </c>
      <c r="J122" s="77">
        <v>0</v>
      </c>
      <c r="K122" s="4">
        <v>39</v>
      </c>
      <c r="L122" s="4">
        <v>64</v>
      </c>
      <c r="M122" s="4">
        <v>26</v>
      </c>
      <c r="N122" s="4">
        <v>65</v>
      </c>
      <c r="O122" s="4">
        <v>1</v>
      </c>
      <c r="P122" s="77">
        <v>3027868.7</v>
      </c>
      <c r="Q122" s="77">
        <v>6920608.0499999998</v>
      </c>
      <c r="R122" s="4">
        <v>22</v>
      </c>
      <c r="S122" s="4">
        <v>25</v>
      </c>
      <c r="T122" s="4">
        <v>47</v>
      </c>
      <c r="U122" s="4">
        <v>0</v>
      </c>
      <c r="V122" s="4">
        <v>134</v>
      </c>
      <c r="W122" s="4">
        <v>301</v>
      </c>
      <c r="X122" s="4">
        <v>94</v>
      </c>
      <c r="Y122" s="4">
        <v>7</v>
      </c>
      <c r="Z122" s="4">
        <v>216</v>
      </c>
      <c r="AA122" s="4">
        <v>0</v>
      </c>
      <c r="AB122" s="4">
        <v>0</v>
      </c>
      <c r="AC122" s="4">
        <v>1</v>
      </c>
      <c r="AD122" s="4">
        <v>14</v>
      </c>
      <c r="AE122" s="4">
        <v>662</v>
      </c>
      <c r="AF122" s="4">
        <v>1193</v>
      </c>
      <c r="AG122" s="4">
        <v>296</v>
      </c>
      <c r="AH122" s="76">
        <f t="shared" si="1"/>
        <v>33609.71875</v>
      </c>
      <c r="AI122" s="76">
        <f t="shared" si="2"/>
        <v>4.0304054054054053</v>
      </c>
      <c r="AJ122" s="78">
        <v>39837</v>
      </c>
      <c r="AK122" s="76">
        <f t="shared" si="62"/>
        <v>478044</v>
      </c>
      <c r="AL122" s="79">
        <v>125540</v>
      </c>
      <c r="AM122" s="80">
        <f t="shared" si="4"/>
        <v>6.0670996693036452E-2</v>
      </c>
      <c r="AN122" s="76">
        <f t="shared" si="5"/>
        <v>211669.71808510637</v>
      </c>
      <c r="AO122" s="102">
        <f t="shared" si="81"/>
        <v>0.69086644097222227</v>
      </c>
      <c r="AP122" s="82">
        <v>0</v>
      </c>
      <c r="AQ122" s="4">
        <v>237</v>
      </c>
      <c r="AR122" s="4">
        <v>2970</v>
      </c>
      <c r="AS122" s="4">
        <v>2629.51</v>
      </c>
      <c r="AT122" s="4">
        <v>25</v>
      </c>
      <c r="AU122" s="4">
        <v>41</v>
      </c>
      <c r="AV122" s="1">
        <v>47</v>
      </c>
      <c r="AW122" s="1">
        <v>17</v>
      </c>
      <c r="AX122" s="1">
        <v>1</v>
      </c>
      <c r="AY122" s="86" t="str">
        <f>IFERROR(VLOOKUP(C122,#REF!,13,0),"")</f>
        <v/>
      </c>
      <c r="AZ122" s="87"/>
      <c r="BA122" s="1" t="str">
        <f t="shared" si="6"/>
        <v>Active</v>
      </c>
      <c r="BB122" s="1" t="e">
        <f t="shared" ca="1" si="7"/>
        <v>#NAME?</v>
      </c>
      <c r="BC122" s="1" t="e">
        <f t="shared" ca="1" si="82"/>
        <v>#NAME?</v>
      </c>
      <c r="BD122" s="33">
        <f t="shared" ref="BD122:BD124" si="83">MATCH($BD$2,{"Apr","May","Jun","Jul","Aug","Sep","Oct","Nov","Dec","Jan","Feb","Mar"},0)</f>
        <v>12</v>
      </c>
      <c r="BE122" s="88" t="str">
        <v/>
      </c>
      <c r="BF122" s="1">
        <f t="shared" si="9"/>
        <v>1</v>
      </c>
      <c r="BG122" s="1" t="s">
        <v>428</v>
      </c>
      <c r="BH122" s="89">
        <f ca="1">IFERROR(__xludf.DUMMYFUNCTION("""COMPUTED_VALUE"""),2169373)</f>
        <v>2169373</v>
      </c>
      <c r="BI122" s="89">
        <f ca="1">IFERROR(__xludf.DUMMYFUNCTION("""COMPUTED_VALUE"""),2169431.46)</f>
        <v>2169431.46</v>
      </c>
      <c r="BJ122" s="90"/>
      <c r="BK122" s="91"/>
      <c r="BL122" s="91">
        <f t="shared" si="47"/>
        <v>0</v>
      </c>
      <c r="BM122" s="91">
        <f t="shared" si="11"/>
        <v>14400000</v>
      </c>
      <c r="BN122" s="91"/>
      <c r="BO122" s="92">
        <f ca="1">IFERROR(__xludf.DUMMYFUNCTION("IFERROR(ArrayFormula(SUM(VLOOKUP($C122,importrange(""1MwNMVzWE3QBVOyJjKr3eFX-Sq1Ng0Q1sghWJbgbE_8g"",""ORDER BOOKING REPORT 2024-25!C:CV""),{16,23,30},0))))"),0)</f>
        <v>0</v>
      </c>
      <c r="BP122" s="92">
        <f ca="1">IFERROR(__xludf.DUMMYFUNCTION("IFERROR(ArrayFormula(SUM(VLOOKUP($C122,importrange(""1MwNMVzWE3QBVOyJjKr3eFX-Sq1Ng0Q1sghWJbgbE_8g"",""ORDER BOOKING REPORT 2024-25!C:CV""),{37,44,51},0))))"),162274.95)</f>
        <v>162274.95000000001</v>
      </c>
      <c r="BQ122" s="92">
        <f ca="1">IFERROR(__xludf.DUMMYFUNCTION("IFERROR(ArrayFormula(SUM(VLOOKUP($C122,importrange(""1MwNMVzWE3QBVOyJjKr3eFX-Sq1Ng0Q1sghWJbgbE_8g"",""ORDER BOOKING REPORT 2024-25!C:CV""),{58,65,72},0))))"),241452.8)</f>
        <v>241452.79999999999</v>
      </c>
      <c r="BR122" s="92">
        <f ca="1">IFERROR(__xludf.DUMMYFUNCTION("IFERROR(ArrayFormula(SUM(VLOOKUP($C122,importrange(""1MwNMVzWE3QBVOyJjKr3eFX-Sq1Ng0Q1sghWJbgbE_8g"",""ORDER BOOKING REPORT 2024-25!C:CV""),{79,86,93},0))))"),1765703.71)</f>
        <v>1765703.71</v>
      </c>
      <c r="BS122" s="93" t="str">
        <f t="shared" si="12"/>
        <v/>
      </c>
      <c r="BT122" s="93" t="str">
        <f t="shared" si="13"/>
        <v/>
      </c>
      <c r="BU122" s="37">
        <f t="shared" si="14"/>
        <v>0</v>
      </c>
      <c r="BV122" s="94">
        <v>39837</v>
      </c>
      <c r="BW122" s="94" t="s">
        <v>445</v>
      </c>
      <c r="BX122" s="94">
        <v>1101</v>
      </c>
      <c r="BY122" s="37">
        <f t="shared" si="15"/>
        <v>0</v>
      </c>
      <c r="BZ122" s="37"/>
      <c r="CA122" s="37"/>
      <c r="CB122" s="37"/>
      <c r="CC122" s="37"/>
      <c r="CD122" s="37"/>
      <c r="CE122" s="37"/>
      <c r="CF122" s="37"/>
      <c r="CG122" s="37" t="str">
        <f t="shared" si="18"/>
        <v xml:space="preserve"> </v>
      </c>
      <c r="CH122" s="37" t="str">
        <f t="shared" si="26"/>
        <v>Business Achieved 50%</v>
      </c>
      <c r="CI122" s="93">
        <f t="shared" si="19"/>
        <v>0.72307692307692306</v>
      </c>
      <c r="CJ122" s="95">
        <f ca="1">IFERROR(__xludf.DUMMYFUNCTION("""COMPUTED_VALUE"""),588)</f>
        <v>588</v>
      </c>
      <c r="CK122" s="95">
        <f ca="1">IFERROR(__xludf.DUMMYFUNCTION("""COMPUTED_VALUE"""),74)</f>
        <v>74</v>
      </c>
      <c r="CL122" s="95">
        <f ca="1">IFERROR(__xludf.DUMMYFUNCTION("""COMPUTED_VALUE"""),0)</f>
        <v>0</v>
      </c>
      <c r="CM122" s="96">
        <f t="shared" ca="1" si="20"/>
        <v>0</v>
      </c>
      <c r="CN122" s="103"/>
      <c r="CO122" s="4"/>
      <c r="CP122" s="100"/>
      <c r="CQ122" s="101"/>
      <c r="CR122" s="4"/>
      <c r="CS122" s="4"/>
      <c r="CT122" s="4"/>
      <c r="CU122" s="4"/>
      <c r="CV122" s="4"/>
      <c r="CW122" s="101"/>
      <c r="CX122" s="51"/>
      <c r="CY122" s="4"/>
      <c r="CZ122" s="4"/>
    </row>
    <row r="123" spans="1:104" ht="15.6">
      <c r="A123" s="1" t="s">
        <v>118</v>
      </c>
      <c r="B123" s="1" t="s">
        <v>378</v>
      </c>
      <c r="C123" s="1" t="s">
        <v>243</v>
      </c>
      <c r="D123" s="1" t="s">
        <v>486</v>
      </c>
      <c r="E123" s="1" t="s">
        <v>512</v>
      </c>
      <c r="F123" s="48">
        <v>45453</v>
      </c>
      <c r="G123" s="76">
        <v>0</v>
      </c>
      <c r="H123" s="76">
        <v>14400000</v>
      </c>
      <c r="I123" s="77">
        <v>9775546.1199999992</v>
      </c>
      <c r="J123" s="77">
        <v>0</v>
      </c>
      <c r="K123" s="4">
        <v>114</v>
      </c>
      <c r="L123" s="4">
        <v>140</v>
      </c>
      <c r="M123" s="4">
        <v>28</v>
      </c>
      <c r="N123" s="4">
        <v>142</v>
      </c>
      <c r="O123" s="4">
        <v>2</v>
      </c>
      <c r="P123" s="77">
        <v>8602665.4199999999</v>
      </c>
      <c r="Q123" s="77">
        <v>1172880.7</v>
      </c>
      <c r="R123" s="4">
        <v>77</v>
      </c>
      <c r="S123" s="4">
        <v>28</v>
      </c>
      <c r="T123" s="4">
        <v>105</v>
      </c>
      <c r="U123" s="4">
        <v>0</v>
      </c>
      <c r="V123" s="4">
        <v>73</v>
      </c>
      <c r="W123" s="4">
        <v>180</v>
      </c>
      <c r="X123" s="4">
        <v>146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1861</v>
      </c>
      <c r="AF123" s="4">
        <v>2041</v>
      </c>
      <c r="AG123" s="4">
        <v>266</v>
      </c>
      <c r="AH123" s="76">
        <f t="shared" si="1"/>
        <v>36750.173383458641</v>
      </c>
      <c r="AI123" s="76">
        <f t="shared" si="2"/>
        <v>7.6729323308270674</v>
      </c>
      <c r="AJ123" s="78">
        <f>BV123</f>
        <v>36925</v>
      </c>
      <c r="AK123" s="76">
        <f t="shared" si="62"/>
        <v>443100</v>
      </c>
      <c r="AL123" s="49">
        <v>260804</v>
      </c>
      <c r="AM123" s="80">
        <f t="shared" si="4"/>
        <v>7.2006616444667756E-2</v>
      </c>
      <c r="AN123" s="76">
        <f t="shared" si="5"/>
        <v>93100.439238095234</v>
      </c>
      <c r="AO123" s="102">
        <f t="shared" si="81"/>
        <v>0.67885736944444441</v>
      </c>
      <c r="AP123" s="82">
        <v>0</v>
      </c>
      <c r="AQ123" s="4">
        <v>478</v>
      </c>
      <c r="AR123" s="4">
        <v>3267</v>
      </c>
      <c r="AS123" s="4">
        <v>3213.2</v>
      </c>
      <c r="AT123" s="4">
        <v>28</v>
      </c>
      <c r="AU123" s="4">
        <v>23</v>
      </c>
      <c r="AV123" s="1">
        <v>105</v>
      </c>
      <c r="AW123" s="1">
        <v>36</v>
      </c>
      <c r="AX123" s="1">
        <v>1</v>
      </c>
      <c r="AY123" s="86" t="str">
        <f>IFERROR(VLOOKUP(C123,#REF!,13,0),"")</f>
        <v/>
      </c>
      <c r="AZ123" s="87"/>
      <c r="BA123" s="1" t="str">
        <f t="shared" si="6"/>
        <v>Active</v>
      </c>
      <c r="BB123" s="1" t="e">
        <f t="shared" ca="1" si="7"/>
        <v>#NAME?</v>
      </c>
      <c r="BC123" s="1" t="e">
        <f t="shared" ca="1" si="82"/>
        <v>#NAME?</v>
      </c>
      <c r="BD123" s="33">
        <f t="shared" si="83"/>
        <v>12</v>
      </c>
      <c r="BE123" s="88" t="str">
        <v/>
      </c>
      <c r="BF123" s="1">
        <f t="shared" si="9"/>
        <v>0</v>
      </c>
      <c r="BG123" s="1" t="s">
        <v>428</v>
      </c>
      <c r="BH123" s="89">
        <f ca="1">IFERROR(__xludf.DUMMYFUNCTION("""COMPUTED_VALUE"""),6342486.85)</f>
        <v>6342486.8499999996</v>
      </c>
      <c r="BI123" s="89">
        <f ca="1">IFERROR(__xludf.DUMMYFUNCTION("""COMPUTED_VALUE"""),7028562.25)</f>
        <v>7028562.25</v>
      </c>
      <c r="BJ123" s="90"/>
      <c r="BK123" s="91"/>
      <c r="BL123" s="91">
        <f t="shared" si="47"/>
        <v>0</v>
      </c>
      <c r="BM123" s="91">
        <f t="shared" si="11"/>
        <v>14400000</v>
      </c>
      <c r="BN123" s="91"/>
      <c r="BO123" s="92">
        <f ca="1">IFERROR(__xludf.DUMMYFUNCTION("IFERROR(ArrayFormula(SUM(VLOOKUP($C123,importrange(""1MwNMVzWE3QBVOyJjKr3eFX-Sq1Ng0Q1sghWJbgbE_8g"",""ORDER BOOKING REPORT 2024-25!C:CV""),{16,23,30},0))))"),0)</f>
        <v>0</v>
      </c>
      <c r="BP123" s="92">
        <f ca="1">IFERROR(__xludf.DUMMYFUNCTION("IFERROR(ArrayFormula(SUM(VLOOKUP($C123,importrange(""1MwNMVzWE3QBVOyJjKr3eFX-Sq1Ng0Q1sghWJbgbE_8g"",""ORDER BOOKING REPORT 2024-25!C:CV""),{37,44,51},0))))"),1905135.6)</f>
        <v>1905135.6</v>
      </c>
      <c r="BQ123" s="92">
        <f ca="1">IFERROR(__xludf.DUMMYFUNCTION("IFERROR(ArrayFormula(SUM(VLOOKUP($C123,importrange(""1MwNMVzWE3QBVOyJjKr3eFX-Sq1Ng0Q1sghWJbgbE_8g"",""ORDER BOOKING REPORT 2024-25!C:CV""),{58,65,72},0))))"),2138996.3)</f>
        <v>2138996.2999999998</v>
      </c>
      <c r="BR123" s="92">
        <f ca="1">IFERROR(__xludf.DUMMYFUNCTION("IFERROR(ArrayFormula(SUM(VLOOKUP($C123,importrange(""1MwNMVzWE3QBVOyJjKr3eFX-Sq1Ng0Q1sghWJbgbE_8g"",""ORDER BOOKING REPORT 2024-25!C:CV""),{79,86,93},0))))"),2984430.35)</f>
        <v>2984430.35</v>
      </c>
      <c r="BS123" s="93" t="str">
        <f t="shared" si="12"/>
        <v/>
      </c>
      <c r="BT123" s="93" t="str">
        <f t="shared" si="13"/>
        <v/>
      </c>
      <c r="BU123" s="37">
        <f t="shared" si="14"/>
        <v>0</v>
      </c>
      <c r="BV123" s="94">
        <v>36925</v>
      </c>
      <c r="BW123" s="94" t="s">
        <v>476</v>
      </c>
      <c r="BX123" s="94">
        <v>1103</v>
      </c>
      <c r="BY123" s="37">
        <f t="shared" si="15"/>
        <v>0</v>
      </c>
      <c r="BZ123" s="37"/>
      <c r="CA123" s="37"/>
      <c r="CB123" s="37"/>
      <c r="CC123" s="37"/>
      <c r="CD123" s="37"/>
      <c r="CE123" s="37"/>
      <c r="CF123" s="37"/>
      <c r="CG123" s="37" t="str">
        <f t="shared" si="18"/>
        <v xml:space="preserve"> </v>
      </c>
      <c r="CH123" s="37" t="str">
        <f t="shared" si="26"/>
        <v>Business Achieved 50%</v>
      </c>
      <c r="CI123" s="93">
        <f t="shared" si="19"/>
        <v>0.73943661971830987</v>
      </c>
      <c r="CJ123" s="105">
        <f ca="1">IFERROR(__xludf.DUMMYFUNCTION("""COMPUTED_VALUE"""),1366)</f>
        <v>1366</v>
      </c>
      <c r="CK123" s="105">
        <f ca="1">IFERROR(__xludf.DUMMYFUNCTION("""COMPUTED_VALUE"""),495)</f>
        <v>495</v>
      </c>
      <c r="CL123" s="105">
        <f ca="1">IFERROR(__xludf.DUMMYFUNCTION("""COMPUTED_VALUE"""),0)</f>
        <v>0</v>
      </c>
      <c r="CM123" s="96">
        <f t="shared" ca="1" si="20"/>
        <v>0</v>
      </c>
      <c r="CN123" s="106"/>
      <c r="CO123" s="93"/>
      <c r="CP123" s="107"/>
      <c r="CQ123" s="110"/>
      <c r="CR123" s="93"/>
      <c r="CS123" s="93"/>
      <c r="CT123" s="93"/>
      <c r="CU123" s="93"/>
      <c r="CV123" s="93"/>
      <c r="CW123" s="93"/>
      <c r="CX123" s="51"/>
      <c r="CY123" s="93"/>
      <c r="CZ123" s="93"/>
    </row>
    <row r="124" spans="1:104" ht="15.6">
      <c r="A124" s="1" t="s">
        <v>118</v>
      </c>
      <c r="B124" s="1" t="s">
        <v>362</v>
      </c>
      <c r="C124" s="1" t="s">
        <v>245</v>
      </c>
      <c r="D124" s="1" t="s">
        <v>419</v>
      </c>
      <c r="E124" s="1" t="s">
        <v>591</v>
      </c>
      <c r="F124" s="48">
        <v>45460</v>
      </c>
      <c r="G124" s="76">
        <v>0</v>
      </c>
      <c r="H124" s="76">
        <v>18000000</v>
      </c>
      <c r="I124" s="77">
        <v>18000673.829999998</v>
      </c>
      <c r="J124" s="77">
        <v>0</v>
      </c>
      <c r="K124" s="4">
        <v>69</v>
      </c>
      <c r="L124" s="4">
        <v>89</v>
      </c>
      <c r="M124" s="4">
        <v>27</v>
      </c>
      <c r="N124" s="4">
        <v>96</v>
      </c>
      <c r="O124" s="4">
        <v>7</v>
      </c>
      <c r="P124" s="77">
        <v>10307973.07</v>
      </c>
      <c r="Q124" s="77">
        <v>7692700.7599999998</v>
      </c>
      <c r="R124" s="4">
        <v>39</v>
      </c>
      <c r="S124" s="4">
        <v>27</v>
      </c>
      <c r="T124" s="4">
        <v>66</v>
      </c>
      <c r="U124" s="4">
        <v>0</v>
      </c>
      <c r="V124" s="4">
        <v>24</v>
      </c>
      <c r="W124" s="4">
        <v>31</v>
      </c>
      <c r="X124" s="4">
        <v>52</v>
      </c>
      <c r="Y124" s="4">
        <v>3</v>
      </c>
      <c r="Z124" s="4">
        <v>32</v>
      </c>
      <c r="AA124" s="4">
        <v>0</v>
      </c>
      <c r="AB124" s="4">
        <v>0</v>
      </c>
      <c r="AC124" s="4">
        <v>0</v>
      </c>
      <c r="AD124" s="4">
        <v>0</v>
      </c>
      <c r="AE124" s="4">
        <v>1163</v>
      </c>
      <c r="AF124" s="4">
        <v>1226</v>
      </c>
      <c r="AG124" s="4">
        <v>299</v>
      </c>
      <c r="AH124" s="76">
        <f t="shared" si="1"/>
        <v>60202.922508361196</v>
      </c>
      <c r="AI124" s="76">
        <f t="shared" si="2"/>
        <v>4.1003344481605355</v>
      </c>
      <c r="AJ124" s="112">
        <v>29900</v>
      </c>
      <c r="AK124" s="76">
        <f t="shared" si="62"/>
        <v>358800</v>
      </c>
      <c r="AL124" s="79">
        <v>164163</v>
      </c>
      <c r="AM124" s="80">
        <f t="shared" si="4"/>
        <v>2.9052412422940949E-2</v>
      </c>
      <c r="AN124" s="76">
        <f t="shared" si="5"/>
        <v>272737.48227272724</v>
      </c>
      <c r="AO124" s="102">
        <f t="shared" si="81"/>
        <v>1.0000374349999999</v>
      </c>
      <c r="AP124" s="82">
        <v>0</v>
      </c>
      <c r="AQ124" s="4">
        <v>286</v>
      </c>
      <c r="AR124" s="4">
        <v>3260</v>
      </c>
      <c r="AS124" s="4">
        <v>2285.0300000000002</v>
      </c>
      <c r="AT124" s="4">
        <v>27</v>
      </c>
      <c r="AU124" s="4">
        <v>26</v>
      </c>
      <c r="AV124" s="1">
        <v>66</v>
      </c>
      <c r="AW124" s="1">
        <v>25</v>
      </c>
      <c r="AX124" s="1">
        <v>5</v>
      </c>
      <c r="AY124" s="86" t="str">
        <f>IFERROR(VLOOKUP(C124,#REF!,13,0),"")</f>
        <v/>
      </c>
      <c r="AZ124" s="87"/>
      <c r="BA124" s="1" t="str">
        <f t="shared" si="6"/>
        <v>Active</v>
      </c>
      <c r="BB124" s="1" t="e">
        <f t="shared" ca="1" si="7"/>
        <v>#NAME?</v>
      </c>
      <c r="BC124" s="1" t="e">
        <f t="shared" ca="1" si="82"/>
        <v>#NAME?</v>
      </c>
      <c r="BD124" s="33">
        <f t="shared" si="83"/>
        <v>12</v>
      </c>
      <c r="BE124" s="88" t="str">
        <v/>
      </c>
      <c r="BF124" s="1">
        <f t="shared" si="9"/>
        <v>0</v>
      </c>
      <c r="BG124" s="1" t="s">
        <v>428</v>
      </c>
      <c r="BH124" s="89">
        <f ca="1">IFERROR(__xludf.DUMMYFUNCTION("""COMPUTED_VALUE"""),6346376)</f>
        <v>6346376</v>
      </c>
      <c r="BI124" s="89">
        <f ca="1">IFERROR(__xludf.DUMMYFUNCTION("""COMPUTED_VALUE"""),9850408.07999999)</f>
        <v>9850408.0799999908</v>
      </c>
      <c r="BJ124" s="90"/>
      <c r="BK124" s="91"/>
      <c r="BL124" s="91">
        <f t="shared" si="47"/>
        <v>0</v>
      </c>
      <c r="BM124" s="91">
        <f t="shared" si="11"/>
        <v>18000000</v>
      </c>
      <c r="BN124" s="91"/>
      <c r="BO124" s="92">
        <f ca="1">IFERROR(__xludf.DUMMYFUNCTION("IFERROR(ArrayFormula(SUM(VLOOKUP($C124,importrange(""1MwNMVzWE3QBVOyJjKr3eFX-Sq1Ng0Q1sghWJbgbE_8g"",""ORDER BOOKING REPORT 2024-25!C:CV""),{16,23,30},0))))"),37258.6)</f>
        <v>37258.6</v>
      </c>
      <c r="BP124" s="92">
        <f ca="1">IFERROR(__xludf.DUMMYFUNCTION("IFERROR(ArrayFormula(SUM(VLOOKUP($C124,importrange(""1MwNMVzWE3QBVOyJjKr3eFX-Sq1Ng0Q1sghWJbgbE_8g"",""ORDER BOOKING REPORT 2024-25!C:CV""),{37,44,51},0))))"),2138495.15)</f>
        <v>2138495.15</v>
      </c>
      <c r="BQ124" s="92">
        <f ca="1">IFERROR(__xludf.DUMMYFUNCTION("IFERROR(ArrayFormula(SUM(VLOOKUP($C124,importrange(""1MwNMVzWE3QBVOyJjKr3eFX-Sq1Ng0Q1sghWJbgbE_8g"",""ORDER BOOKING REPORT 2024-25!C:CV""),{58,65,72},0))))"),2890106.8)</f>
        <v>2890106.8</v>
      </c>
      <c r="BR124" s="92">
        <f ca="1">IFERROR(__xludf.DUMMYFUNCTION("IFERROR(ArrayFormula(SUM(VLOOKUP($C124,importrange(""1MwNMVzWE3QBVOyJjKr3eFX-Sq1Ng0Q1sghWJbgbE_8g"",""ORDER BOOKING REPORT 2024-25!C:CV""),{79,86,93},0))))"),4784547.52999999)</f>
        <v>4784547.52999999</v>
      </c>
      <c r="BS124" s="93" t="str">
        <f t="shared" si="12"/>
        <v/>
      </c>
      <c r="BT124" s="93" t="str">
        <f t="shared" si="13"/>
        <v/>
      </c>
      <c r="BU124" s="37">
        <f t="shared" si="14"/>
        <v>0</v>
      </c>
      <c r="BV124" s="94">
        <v>29900</v>
      </c>
      <c r="BW124" s="94" t="s">
        <v>593</v>
      </c>
      <c r="BX124" s="94">
        <v>1104</v>
      </c>
      <c r="BY124" s="37">
        <f t="shared" si="15"/>
        <v>0</v>
      </c>
      <c r="BZ124" s="37"/>
      <c r="CA124" s="37"/>
      <c r="CB124" s="37"/>
      <c r="CC124" s="37"/>
      <c r="CD124" s="37"/>
      <c r="CE124" s="37"/>
      <c r="CF124" s="37"/>
      <c r="CG124" s="37" t="str">
        <f t="shared" si="18"/>
        <v xml:space="preserve"> </v>
      </c>
      <c r="CH124" s="37" t="str">
        <f t="shared" si="26"/>
        <v>Business Achieved 50%</v>
      </c>
      <c r="CI124" s="93">
        <f t="shared" si="19"/>
        <v>0.6875</v>
      </c>
      <c r="CJ124" s="95">
        <f ca="1">IFERROR(__xludf.DUMMYFUNCTION("""COMPUTED_VALUE"""),1001)</f>
        <v>1001</v>
      </c>
      <c r="CK124" s="95">
        <f ca="1">IFERROR(__xludf.DUMMYFUNCTION("""COMPUTED_VALUE"""),162)</f>
        <v>162</v>
      </c>
      <c r="CL124" s="95">
        <f ca="1">IFERROR(__xludf.DUMMYFUNCTION("""COMPUTED_VALUE"""),0)</f>
        <v>0</v>
      </c>
      <c r="CM124" s="96">
        <f t="shared" ca="1" si="20"/>
        <v>0</v>
      </c>
      <c r="CN124" s="103"/>
      <c r="CO124" s="4"/>
      <c r="CP124" s="100"/>
      <c r="CQ124" s="101"/>
      <c r="CR124" s="4"/>
      <c r="CS124" s="4"/>
      <c r="CT124" s="4"/>
      <c r="CU124" s="4"/>
      <c r="CV124" s="4"/>
      <c r="CW124" s="101"/>
      <c r="CX124" s="51"/>
      <c r="CY124" s="4"/>
      <c r="CZ124" s="4"/>
    </row>
    <row r="125" spans="1:104" ht="15.6">
      <c r="A125" s="1" t="s">
        <v>118</v>
      </c>
      <c r="B125" s="1" t="s">
        <v>375</v>
      </c>
      <c r="C125" s="1" t="s">
        <v>246</v>
      </c>
      <c r="D125" s="1" t="s">
        <v>473</v>
      </c>
      <c r="E125" s="1" t="s">
        <v>594</v>
      </c>
      <c r="F125" s="48">
        <v>45462</v>
      </c>
      <c r="G125" s="76">
        <v>0</v>
      </c>
      <c r="H125" s="76">
        <v>3600000</v>
      </c>
      <c r="I125" s="77">
        <v>812156.53</v>
      </c>
      <c r="J125" s="77">
        <v>0</v>
      </c>
      <c r="K125" s="4">
        <v>48</v>
      </c>
      <c r="L125" s="4">
        <v>47</v>
      </c>
      <c r="M125" s="4">
        <v>0</v>
      </c>
      <c r="N125" s="4">
        <v>48</v>
      </c>
      <c r="O125" s="4">
        <v>1</v>
      </c>
      <c r="P125" s="77">
        <v>812156.53</v>
      </c>
      <c r="Q125" s="77">
        <v>0</v>
      </c>
      <c r="R125" s="4">
        <v>20</v>
      </c>
      <c r="S125" s="4">
        <v>0</v>
      </c>
      <c r="T125" s="4">
        <v>20</v>
      </c>
      <c r="U125" s="4">
        <v>0</v>
      </c>
      <c r="V125" s="4">
        <v>14</v>
      </c>
      <c r="W125" s="4">
        <v>24</v>
      </c>
      <c r="X125" s="4">
        <v>56</v>
      </c>
      <c r="Y125" s="4">
        <v>1</v>
      </c>
      <c r="Z125" s="4">
        <v>48</v>
      </c>
      <c r="AA125" s="4">
        <v>0</v>
      </c>
      <c r="AB125" s="4">
        <v>0</v>
      </c>
      <c r="AC125" s="4">
        <v>0</v>
      </c>
      <c r="AD125" s="4">
        <v>0</v>
      </c>
      <c r="AE125" s="4">
        <v>228</v>
      </c>
      <c r="AF125" s="4">
        <v>300</v>
      </c>
      <c r="AG125" s="4">
        <v>61</v>
      </c>
      <c r="AH125" s="76">
        <f t="shared" si="1"/>
        <v>13314.041475409836</v>
      </c>
      <c r="AI125" s="76">
        <f t="shared" si="2"/>
        <v>4.918032786885246</v>
      </c>
      <c r="AJ125" s="112">
        <v>24116</v>
      </c>
      <c r="AK125" s="76">
        <f t="shared" si="62"/>
        <v>72348</v>
      </c>
      <c r="AL125" s="49">
        <v>27895</v>
      </c>
      <c r="AM125" s="80">
        <f t="shared" si="4"/>
        <v>0.12342817707813049</v>
      </c>
      <c r="AN125" s="76">
        <f t="shared" si="5"/>
        <v>40607.826500000003</v>
      </c>
      <c r="AO125" s="102">
        <f t="shared" si="81"/>
        <v>0.22559903611111112</v>
      </c>
      <c r="AP125" s="82">
        <v>0</v>
      </c>
      <c r="AQ125" s="4">
        <v>38</v>
      </c>
      <c r="AR125" s="4">
        <v>493</v>
      </c>
      <c r="AS125" s="4">
        <v>0</v>
      </c>
      <c r="AT125" s="4">
        <v>0</v>
      </c>
      <c r="AU125" s="4">
        <v>0</v>
      </c>
      <c r="AV125" s="1">
        <v>20</v>
      </c>
      <c r="AW125" s="1">
        <v>27</v>
      </c>
      <c r="AX125" s="1">
        <v>1</v>
      </c>
      <c r="AY125" s="86" t="str">
        <f>IFERROR(VLOOKUP(C125,#REF!,13,0),"")</f>
        <v/>
      </c>
      <c r="AZ125" s="87">
        <v>45838</v>
      </c>
      <c r="BA125" s="1" t="str">
        <f t="shared" si="6"/>
        <v>LEFT</v>
      </c>
      <c r="BB125" s="1" t="e">
        <f t="shared" ca="1" si="7"/>
        <v>#NAME?</v>
      </c>
      <c r="BC125" s="1" t="e">
        <f t="shared" ca="1" si="82"/>
        <v>#NAME?</v>
      </c>
      <c r="BD125" s="33">
        <v>3</v>
      </c>
      <c r="BE125" s="91" t="str">
        <v/>
      </c>
      <c r="BF125" s="1">
        <f t="shared" si="9"/>
        <v>0</v>
      </c>
      <c r="BG125" s="1" t="s">
        <v>428</v>
      </c>
      <c r="BH125" s="89">
        <f ca="1">IFERROR(__xludf.DUMMYFUNCTION("""COMPUTED_VALUE"""),1888089.46)</f>
        <v>1888089.46</v>
      </c>
      <c r="BI125" s="89">
        <f ca="1">IFERROR(__xludf.DUMMYFUNCTION("""COMPUTED_VALUE"""),2172013.22)</f>
        <v>2172013.2200000002</v>
      </c>
      <c r="BJ125" s="109"/>
      <c r="BK125" s="91"/>
      <c r="BL125" s="91">
        <f t="shared" si="47"/>
        <v>0</v>
      </c>
      <c r="BM125" s="91">
        <f t="shared" si="11"/>
        <v>3600000</v>
      </c>
      <c r="BN125" s="91"/>
      <c r="BO125" s="92">
        <f ca="1">IFERROR(__xludf.DUMMYFUNCTION("IFERROR(ArrayFormula(SUM(VLOOKUP($C125,importrange(""1MwNMVzWE3QBVOyJjKr3eFX-Sq1Ng0Q1sghWJbgbE_8g"",""ORDER BOOKING REPORT 2024-25!C:CV""),{16,23,30},0))))"),0)</f>
        <v>0</v>
      </c>
      <c r="BP125" s="92">
        <f ca="1">IFERROR(__xludf.DUMMYFUNCTION("IFERROR(ArrayFormula(SUM(VLOOKUP($C125,importrange(""1MwNMVzWE3QBVOyJjKr3eFX-Sq1Ng0Q1sghWJbgbE_8g"",""ORDER BOOKING REPORT 2024-25!C:CV""),{37,44,51},0))))"),508473.6)</f>
        <v>508473.59999999998</v>
      </c>
      <c r="BQ125" s="92">
        <f ca="1">IFERROR(__xludf.DUMMYFUNCTION("IFERROR(ArrayFormula(SUM(VLOOKUP($C125,importrange(""1MwNMVzWE3QBVOyJjKr3eFX-Sq1Ng0Q1sghWJbgbE_8g"",""ORDER BOOKING REPORT 2024-25!C:CV""),{58,65,72},0))))"),832380.449999999)</f>
        <v>832380.44999999902</v>
      </c>
      <c r="BR125" s="92">
        <f ca="1">IFERROR(__xludf.DUMMYFUNCTION("IFERROR(ArrayFormula(SUM(VLOOKUP($C125,importrange(""1MwNMVzWE3QBVOyJjKr3eFX-Sq1Ng0Q1sghWJbgbE_8g"",""ORDER BOOKING REPORT 2024-25!C:CV""),{79,86,93},0))))"),831159.17)</f>
        <v>831159.17</v>
      </c>
      <c r="BS125" s="93" t="str">
        <f t="shared" si="12"/>
        <v/>
      </c>
      <c r="BT125" s="93" t="str">
        <f t="shared" si="13"/>
        <v/>
      </c>
      <c r="BU125" s="37">
        <f t="shared" si="14"/>
        <v>0</v>
      </c>
      <c r="BV125" s="94"/>
      <c r="BW125" s="94"/>
      <c r="BX125" s="94"/>
      <c r="BY125" s="37">
        <f t="shared" si="15"/>
        <v>-24116</v>
      </c>
      <c r="BZ125" s="37"/>
      <c r="CA125" s="37" t="e">
        <f>BE125*BD125</f>
        <v>#VALUE!</v>
      </c>
      <c r="CB125" s="37"/>
      <c r="CC125" s="37" t="e">
        <f>CA125-H125</f>
        <v>#VALUE!</v>
      </c>
      <c r="CD125" s="37"/>
      <c r="CE125" s="37"/>
      <c r="CF125" s="37"/>
      <c r="CG125" s="37" t="str">
        <f t="shared" si="18"/>
        <v>Below 60</v>
      </c>
      <c r="CH125" s="37" t="str">
        <f t="shared" si="26"/>
        <v>Not 50%</v>
      </c>
      <c r="CI125" s="93">
        <f t="shared" si="19"/>
        <v>0.41666666666666669</v>
      </c>
      <c r="CJ125" s="105">
        <f ca="1">IFERROR(__xludf.DUMMYFUNCTION("""COMPUTED_VALUE"""),127)</f>
        <v>127</v>
      </c>
      <c r="CK125" s="105">
        <f ca="1">IFERROR(__xludf.DUMMYFUNCTION("""COMPUTED_VALUE"""),101)</f>
        <v>101</v>
      </c>
      <c r="CL125" s="105">
        <f ca="1">IFERROR(__xludf.DUMMYFUNCTION("""COMPUTED_VALUE"""),0)</f>
        <v>0</v>
      </c>
      <c r="CM125" s="96">
        <f t="shared" ca="1" si="20"/>
        <v>0</v>
      </c>
      <c r="CN125" s="106"/>
      <c r="CO125" s="93"/>
      <c r="CP125" s="107"/>
      <c r="CQ125" s="110"/>
      <c r="CR125" s="93"/>
      <c r="CS125" s="93"/>
      <c r="CT125" s="93"/>
      <c r="CU125" s="93"/>
      <c r="CV125" s="93"/>
      <c r="CW125" s="93"/>
      <c r="CX125" s="51"/>
      <c r="CY125" s="93"/>
      <c r="CZ125" s="93"/>
    </row>
    <row r="126" spans="1:104" ht="15.6">
      <c r="A126" s="1" t="s">
        <v>154</v>
      </c>
      <c r="B126" s="1" t="s">
        <v>367</v>
      </c>
      <c r="C126" s="1" t="s">
        <v>247</v>
      </c>
      <c r="D126" s="1" t="s">
        <v>577</v>
      </c>
      <c r="E126" s="1" t="s">
        <v>377</v>
      </c>
      <c r="F126" s="48">
        <v>45464</v>
      </c>
      <c r="G126" s="76">
        <v>0</v>
      </c>
      <c r="H126" s="76">
        <v>4500000</v>
      </c>
      <c r="I126" s="77">
        <v>462446.74</v>
      </c>
      <c r="J126" s="77">
        <v>0</v>
      </c>
      <c r="K126" s="4">
        <v>31</v>
      </c>
      <c r="L126" s="4">
        <v>24</v>
      </c>
      <c r="M126" s="4">
        <v>5</v>
      </c>
      <c r="N126" s="4">
        <v>36</v>
      </c>
      <c r="O126" s="4">
        <v>12</v>
      </c>
      <c r="P126" s="77">
        <v>290652.74</v>
      </c>
      <c r="Q126" s="77">
        <v>171794</v>
      </c>
      <c r="R126" s="4">
        <v>5</v>
      </c>
      <c r="S126" s="4">
        <v>3</v>
      </c>
      <c r="T126" s="4">
        <v>8</v>
      </c>
      <c r="U126" s="4">
        <v>0</v>
      </c>
      <c r="V126" s="4">
        <v>94</v>
      </c>
      <c r="W126" s="4">
        <v>145</v>
      </c>
      <c r="X126" s="4">
        <v>306</v>
      </c>
      <c r="Y126" s="4">
        <v>4</v>
      </c>
      <c r="Z126" s="4">
        <v>23</v>
      </c>
      <c r="AA126" s="4">
        <v>0</v>
      </c>
      <c r="AB126" s="4">
        <v>0</v>
      </c>
      <c r="AC126" s="4">
        <v>2</v>
      </c>
      <c r="AD126" s="4">
        <v>4</v>
      </c>
      <c r="AE126" s="4">
        <v>209</v>
      </c>
      <c r="AF126" s="4">
        <v>381</v>
      </c>
      <c r="AG126" s="4">
        <v>75</v>
      </c>
      <c r="AH126" s="76">
        <f t="shared" si="1"/>
        <v>6165.956533333333</v>
      </c>
      <c r="AI126" s="76">
        <f t="shared" si="2"/>
        <v>5.08</v>
      </c>
      <c r="AJ126" s="112">
        <v>38285</v>
      </c>
      <c r="AK126" s="76">
        <f t="shared" si="62"/>
        <v>114855</v>
      </c>
      <c r="AL126" s="79">
        <v>27335</v>
      </c>
      <c r="AM126" s="80">
        <f t="shared" si="4"/>
        <v>0.30747324545957444</v>
      </c>
      <c r="AN126" s="76">
        <f t="shared" si="5"/>
        <v>57805.842499999999</v>
      </c>
      <c r="AO126" s="102">
        <f t="shared" si="81"/>
        <v>0.10276594222222223</v>
      </c>
      <c r="AP126" s="82">
        <v>0</v>
      </c>
      <c r="AQ126" s="4">
        <v>15</v>
      </c>
      <c r="AR126" s="4">
        <v>792</v>
      </c>
      <c r="AS126" s="4">
        <v>0</v>
      </c>
      <c r="AT126" s="4">
        <v>3</v>
      </c>
      <c r="AU126" s="4">
        <v>0</v>
      </c>
      <c r="AV126" s="1">
        <v>8</v>
      </c>
      <c r="AW126" s="1">
        <v>16</v>
      </c>
      <c r="AX126" s="1">
        <v>12</v>
      </c>
      <c r="AY126" s="86" t="str">
        <f>IFERROR(VLOOKUP(C126,#REF!,13,0),"")</f>
        <v/>
      </c>
      <c r="AZ126" s="87">
        <v>45838</v>
      </c>
      <c r="BA126" s="1" t="str">
        <f t="shared" si="6"/>
        <v>LEFT</v>
      </c>
      <c r="BB126" s="1" t="e">
        <f t="shared" ca="1" si="7"/>
        <v>#NAME?</v>
      </c>
      <c r="BC126" s="1" t="e">
        <f t="shared" ca="1" si="82"/>
        <v>#NAME?</v>
      </c>
      <c r="BD126" s="33">
        <v>3</v>
      </c>
      <c r="BE126" s="91" t="str">
        <v/>
      </c>
      <c r="BF126" s="1">
        <f t="shared" si="9"/>
        <v>2</v>
      </c>
      <c r="BG126" s="1" t="s">
        <v>428</v>
      </c>
      <c r="BH126" s="89">
        <f ca="1">IFERROR(__xludf.DUMMYFUNCTION("""COMPUTED_VALUE"""),698221)</f>
        <v>698221</v>
      </c>
      <c r="BI126" s="89">
        <f ca="1">IFERROR(__xludf.DUMMYFUNCTION("""COMPUTED_VALUE"""),2392839.7)</f>
        <v>2392839.7000000002</v>
      </c>
      <c r="BJ126" s="109"/>
      <c r="BK126" s="91"/>
      <c r="BL126" s="91">
        <f t="shared" si="47"/>
        <v>0</v>
      </c>
      <c r="BM126" s="91">
        <f t="shared" si="11"/>
        <v>4500000</v>
      </c>
      <c r="BN126" s="91"/>
      <c r="BO126" s="92">
        <f ca="1">IFERROR(__xludf.DUMMYFUNCTION("IFERROR(ArrayFormula(SUM(VLOOKUP($C126,importrange(""1MwNMVzWE3QBVOyJjKr3eFX-Sq1Ng0Q1sghWJbgbE_8g"",""ORDER BOOKING REPORT 2024-25!C:CV""),{16,23,30},0))))"),0)</f>
        <v>0</v>
      </c>
      <c r="BP126" s="92">
        <f ca="1">IFERROR(__xludf.DUMMYFUNCTION("IFERROR(ArrayFormula(SUM(VLOOKUP($C126,importrange(""1MwNMVzWE3QBVOyJjKr3eFX-Sq1Ng0Q1sghWJbgbE_8g"",""ORDER BOOKING REPORT 2024-25!C:CV""),{37,44,51},0))))"),93876.33)</f>
        <v>93876.33</v>
      </c>
      <c r="BQ126" s="92">
        <f ca="1">IFERROR(__xludf.DUMMYFUNCTION("IFERROR(ArrayFormula(SUM(VLOOKUP($C126,importrange(""1MwNMVzWE3QBVOyJjKr3eFX-Sq1Ng0Q1sghWJbgbE_8g"",""ORDER BOOKING REPORT 2024-25!C:CV""),{58,65,72},0))))"),913157.72)</f>
        <v>913157.72</v>
      </c>
      <c r="BR126" s="92">
        <f ca="1">IFERROR(__xludf.DUMMYFUNCTION("IFERROR(ArrayFormula(SUM(VLOOKUP($C126,importrange(""1MwNMVzWE3QBVOyJjKr3eFX-Sq1Ng0Q1sghWJbgbE_8g"",""ORDER BOOKING REPORT 2024-25!C:CV""),{79,86,93},0))))"),1385805.65)</f>
        <v>1385805.65</v>
      </c>
      <c r="BS126" s="93" t="str">
        <f t="shared" si="12"/>
        <v/>
      </c>
      <c r="BT126" s="93" t="str">
        <f t="shared" si="13"/>
        <v/>
      </c>
      <c r="BU126" s="37">
        <f t="shared" si="14"/>
        <v>0</v>
      </c>
      <c r="BV126" s="94"/>
      <c r="BW126" s="94"/>
      <c r="BX126" s="94"/>
      <c r="BY126" s="37">
        <f t="shared" si="15"/>
        <v>-38285</v>
      </c>
      <c r="BZ126" s="37"/>
      <c r="CA126" s="37"/>
      <c r="CB126" s="37"/>
      <c r="CC126" s="37"/>
      <c r="CD126" s="37"/>
      <c r="CE126" s="37"/>
      <c r="CF126" s="37"/>
      <c r="CG126" s="37" t="str">
        <f t="shared" si="18"/>
        <v>Below 60</v>
      </c>
      <c r="CH126" s="37" t="str">
        <f t="shared" si="26"/>
        <v>Not 50%</v>
      </c>
      <c r="CI126" s="93">
        <f t="shared" si="19"/>
        <v>0.22222222222222221</v>
      </c>
      <c r="CJ126" s="95">
        <f ca="1">IFERROR(__xludf.DUMMYFUNCTION("""COMPUTED_VALUE"""),64)</f>
        <v>64</v>
      </c>
      <c r="CK126" s="95">
        <f ca="1">IFERROR(__xludf.DUMMYFUNCTION("""COMPUTED_VALUE"""),145)</f>
        <v>145</v>
      </c>
      <c r="CL126" s="95">
        <f ca="1">IFERROR(__xludf.DUMMYFUNCTION("""COMPUTED_VALUE"""),0)</f>
        <v>0</v>
      </c>
      <c r="CM126" s="96">
        <f t="shared" ca="1" si="20"/>
        <v>0</v>
      </c>
      <c r="CN126" s="103"/>
      <c r="CO126" s="4"/>
      <c r="CP126" s="100"/>
      <c r="CQ126" s="101"/>
      <c r="CR126" s="4"/>
      <c r="CS126" s="4"/>
      <c r="CT126" s="4"/>
      <c r="CU126" s="4"/>
      <c r="CV126" s="4"/>
      <c r="CW126" s="101"/>
      <c r="CX126" s="51"/>
      <c r="CY126" s="4"/>
      <c r="CZ126" s="4"/>
    </row>
    <row r="127" spans="1:104" ht="15.6">
      <c r="A127" s="1" t="s">
        <v>201</v>
      </c>
      <c r="B127" s="1" t="s">
        <v>438</v>
      </c>
      <c r="C127" s="1" t="s">
        <v>248</v>
      </c>
      <c r="D127" s="1" t="s">
        <v>504</v>
      </c>
      <c r="E127" s="1" t="s">
        <v>604</v>
      </c>
      <c r="F127" s="48">
        <v>45467</v>
      </c>
      <c r="G127" s="76">
        <v>0</v>
      </c>
      <c r="H127" s="76">
        <v>16666670</v>
      </c>
      <c r="I127" s="77">
        <v>4918934.8099999996</v>
      </c>
      <c r="J127" s="77">
        <v>0</v>
      </c>
      <c r="K127" s="4">
        <v>46</v>
      </c>
      <c r="L127" s="4">
        <v>47</v>
      </c>
      <c r="M127" s="4">
        <v>2</v>
      </c>
      <c r="N127" s="4">
        <v>48</v>
      </c>
      <c r="O127" s="4">
        <v>1</v>
      </c>
      <c r="P127" s="77">
        <v>4370630.54</v>
      </c>
      <c r="Q127" s="77">
        <v>548304.27</v>
      </c>
      <c r="R127" s="4">
        <v>34</v>
      </c>
      <c r="S127" s="4">
        <v>2</v>
      </c>
      <c r="T127" s="4">
        <v>36</v>
      </c>
      <c r="U127" s="4">
        <v>0</v>
      </c>
      <c r="V127" s="4">
        <v>17</v>
      </c>
      <c r="W127" s="4">
        <v>39</v>
      </c>
      <c r="X127" s="4">
        <v>10</v>
      </c>
      <c r="Y127" s="4">
        <v>2</v>
      </c>
      <c r="Z127" s="4">
        <v>29</v>
      </c>
      <c r="AA127" s="4">
        <v>0</v>
      </c>
      <c r="AB127" s="4">
        <v>0</v>
      </c>
      <c r="AC127" s="4">
        <v>0</v>
      </c>
      <c r="AD127" s="4">
        <v>0</v>
      </c>
      <c r="AE127" s="4">
        <v>714</v>
      </c>
      <c r="AF127" s="4">
        <v>782</v>
      </c>
      <c r="AG127" s="4">
        <v>234</v>
      </c>
      <c r="AH127" s="76">
        <f t="shared" si="1"/>
        <v>21021.08893162393</v>
      </c>
      <c r="AI127" s="76">
        <f t="shared" si="2"/>
        <v>3.341880341880342</v>
      </c>
      <c r="AJ127" s="78">
        <f>BV127</f>
        <v>27260</v>
      </c>
      <c r="AK127" s="76">
        <f t="shared" si="62"/>
        <v>272600</v>
      </c>
      <c r="AL127" s="49">
        <v>135501</v>
      </c>
      <c r="AM127" s="80">
        <f t="shared" si="4"/>
        <v>8.2965319883960817E-2</v>
      </c>
      <c r="AN127" s="76">
        <f t="shared" si="5"/>
        <v>136637.07805555555</v>
      </c>
      <c r="AO127" s="102">
        <f t="shared" si="81"/>
        <v>0.29513602957279406</v>
      </c>
      <c r="AP127" s="82">
        <v>0</v>
      </c>
      <c r="AQ127" s="4">
        <v>113</v>
      </c>
      <c r="AR127" s="4">
        <v>2162</v>
      </c>
      <c r="AS127" s="4">
        <v>0</v>
      </c>
      <c r="AT127" s="4">
        <v>2</v>
      </c>
      <c r="AU127" s="4">
        <v>0</v>
      </c>
      <c r="AV127" s="1">
        <v>36</v>
      </c>
      <c r="AW127" s="1">
        <v>12</v>
      </c>
      <c r="AX127" s="1">
        <v>0</v>
      </c>
      <c r="AY127" s="86" t="str">
        <f>IFERROR(VLOOKUP(C127,#REF!,13,0),"")</f>
        <v/>
      </c>
      <c r="AZ127" s="87">
        <v>46053</v>
      </c>
      <c r="BA127" s="1" t="str">
        <f t="shared" si="6"/>
        <v>LEFT</v>
      </c>
      <c r="BB127" s="1" t="e">
        <f t="shared" ca="1" si="7"/>
        <v>#NAME?</v>
      </c>
      <c r="BC127" s="1" t="e">
        <f t="shared" ca="1" si="82"/>
        <v>#NAME?</v>
      </c>
      <c r="BD127" s="33">
        <v>10</v>
      </c>
      <c r="BE127" s="88" t="str">
        <v/>
      </c>
      <c r="BF127" s="1">
        <f t="shared" si="9"/>
        <v>0</v>
      </c>
      <c r="BG127" s="1" t="s">
        <v>428</v>
      </c>
      <c r="BH127" s="89">
        <f ca="1">IFERROR(__xludf.DUMMYFUNCTION("""COMPUTED_VALUE"""),5519917)</f>
        <v>5519917</v>
      </c>
      <c r="BI127" s="89">
        <f ca="1">IFERROR(__xludf.DUMMYFUNCTION("""COMPUTED_VALUE"""),4878469.38)</f>
        <v>4878469.38</v>
      </c>
      <c r="BJ127" s="90"/>
      <c r="BK127" s="91"/>
      <c r="BL127" s="91">
        <f t="shared" si="47"/>
        <v>0</v>
      </c>
      <c r="BM127" s="91">
        <f t="shared" si="11"/>
        <v>16666670</v>
      </c>
      <c r="BN127" s="91"/>
      <c r="BO127" s="92">
        <f ca="1">IFERROR(__xludf.DUMMYFUNCTION("IFERROR(ArrayFormula(SUM(VLOOKUP($C127,importrange(""1MwNMVzWE3QBVOyJjKr3eFX-Sq1Ng0Q1sghWJbgbE_8g"",""ORDER BOOKING REPORT 2024-25!C:CV""),{16,23,30},0))))"),0)</f>
        <v>0</v>
      </c>
      <c r="BP127" s="92">
        <f ca="1">IFERROR(__xludf.DUMMYFUNCTION("IFERROR(ArrayFormula(SUM(VLOOKUP($C127,importrange(""1MwNMVzWE3QBVOyJjKr3eFX-Sq1Ng0Q1sghWJbgbE_8g"",""ORDER BOOKING REPORT 2024-25!C:CV""),{37,44,51},0))))"),917845.36)</f>
        <v>917845.36</v>
      </c>
      <c r="BQ127" s="92">
        <f ca="1">IFERROR(__xludf.DUMMYFUNCTION("IFERROR(ArrayFormula(SUM(VLOOKUP($C127,importrange(""1MwNMVzWE3QBVOyJjKr3eFX-Sq1Ng0Q1sghWJbgbE_8g"",""ORDER BOOKING REPORT 2024-25!C:CV""),{58,65,72},0))))"),1983594.17)</f>
        <v>1983594.17</v>
      </c>
      <c r="BR127" s="92">
        <f ca="1">IFERROR(__xludf.DUMMYFUNCTION("IFERROR(ArrayFormula(SUM(VLOOKUP($C127,importrange(""1MwNMVzWE3QBVOyJjKr3eFX-Sq1Ng0Q1sghWJbgbE_8g"",""ORDER BOOKING REPORT 2024-25!C:CV""),{79,86,93},0))))"),1977029.85)</f>
        <v>1977029.85</v>
      </c>
      <c r="BS127" s="93" t="str">
        <f t="shared" si="12"/>
        <v/>
      </c>
      <c r="BT127" s="93" t="str">
        <f t="shared" si="13"/>
        <v/>
      </c>
      <c r="BU127" s="37">
        <f t="shared" si="14"/>
        <v>0</v>
      </c>
      <c r="BV127" s="94">
        <v>27260</v>
      </c>
      <c r="BW127" s="94" t="s">
        <v>593</v>
      </c>
      <c r="BX127" s="94">
        <v>1105</v>
      </c>
      <c r="BY127" s="37">
        <f t="shared" si="15"/>
        <v>0</v>
      </c>
      <c r="BZ127" s="37"/>
      <c r="CA127" s="37"/>
      <c r="CB127" s="37"/>
      <c r="CC127" s="37"/>
      <c r="CD127" s="37"/>
      <c r="CE127" s="37"/>
      <c r="CF127" s="37"/>
      <c r="CG127" s="37" t="str">
        <f t="shared" si="18"/>
        <v>Below 60</v>
      </c>
      <c r="CH127" s="37" t="str">
        <f t="shared" si="26"/>
        <v>Business Achieved 50%</v>
      </c>
      <c r="CI127" s="93">
        <f t="shared" si="19"/>
        <v>0.75</v>
      </c>
      <c r="CJ127" s="105">
        <f ca="1">IFERROR(__xludf.DUMMYFUNCTION("""COMPUTED_VALUE"""),553)</f>
        <v>553</v>
      </c>
      <c r="CK127" s="105">
        <f ca="1">IFERROR(__xludf.DUMMYFUNCTION("""COMPUTED_VALUE"""),161)</f>
        <v>161</v>
      </c>
      <c r="CL127" s="105">
        <f ca="1">IFERROR(__xludf.DUMMYFUNCTION("""COMPUTED_VALUE"""),0)</f>
        <v>0</v>
      </c>
      <c r="CM127" s="96">
        <f t="shared" ca="1" si="20"/>
        <v>0</v>
      </c>
      <c r="CN127" s="106"/>
      <c r="CO127" s="93"/>
      <c r="CP127" s="107"/>
      <c r="CQ127" s="110"/>
      <c r="CR127" s="93"/>
      <c r="CS127" s="93"/>
      <c r="CT127" s="93"/>
      <c r="CU127" s="93"/>
      <c r="CV127" s="93"/>
      <c r="CW127" s="93"/>
      <c r="CX127" s="51"/>
      <c r="CY127" s="93"/>
      <c r="CZ127" s="93"/>
    </row>
    <row r="128" spans="1:104" ht="15.6">
      <c r="A128" s="1" t="s">
        <v>108</v>
      </c>
      <c r="B128" s="1" t="s">
        <v>465</v>
      </c>
      <c r="C128" s="1" t="s">
        <v>126</v>
      </c>
      <c r="D128" s="1" t="s">
        <v>506</v>
      </c>
      <c r="E128" s="1" t="s">
        <v>605</v>
      </c>
      <c r="F128" s="104">
        <v>45474</v>
      </c>
      <c r="G128" s="76">
        <v>0</v>
      </c>
      <c r="H128" s="49">
        <v>16500000</v>
      </c>
      <c r="I128" s="77">
        <v>7594541.7999999998</v>
      </c>
      <c r="J128" s="77">
        <v>0</v>
      </c>
      <c r="K128" s="4">
        <v>81</v>
      </c>
      <c r="L128" s="4">
        <v>65</v>
      </c>
      <c r="M128" s="4">
        <v>1</v>
      </c>
      <c r="N128" s="4">
        <v>82</v>
      </c>
      <c r="O128" s="4">
        <v>17</v>
      </c>
      <c r="P128" s="77">
        <v>7536209.7999999998</v>
      </c>
      <c r="Q128" s="77">
        <v>58332</v>
      </c>
      <c r="R128" s="4">
        <v>35</v>
      </c>
      <c r="S128" s="4">
        <v>1</v>
      </c>
      <c r="T128" s="4">
        <v>36</v>
      </c>
      <c r="U128" s="4">
        <v>0</v>
      </c>
      <c r="V128" s="4">
        <v>5</v>
      </c>
      <c r="W128" s="4">
        <v>5</v>
      </c>
      <c r="X128" s="4">
        <v>19</v>
      </c>
      <c r="Y128" s="4">
        <v>4</v>
      </c>
      <c r="Z128" s="4">
        <v>16</v>
      </c>
      <c r="AA128" s="4">
        <v>0</v>
      </c>
      <c r="AB128" s="4">
        <v>0</v>
      </c>
      <c r="AC128" s="4">
        <v>1</v>
      </c>
      <c r="AD128" s="4">
        <v>1</v>
      </c>
      <c r="AE128" s="4">
        <v>1310</v>
      </c>
      <c r="AF128" s="4">
        <v>1332</v>
      </c>
      <c r="AG128" s="4">
        <v>229</v>
      </c>
      <c r="AH128" s="76">
        <f t="shared" si="1"/>
        <v>33163.937991266372</v>
      </c>
      <c r="AI128" s="76">
        <f t="shared" si="2"/>
        <v>5.8165938864628819</v>
      </c>
      <c r="AJ128" s="78">
        <v>36000</v>
      </c>
      <c r="AK128" s="76">
        <f t="shared" si="62"/>
        <v>432000</v>
      </c>
      <c r="AL128" s="49"/>
      <c r="AM128" s="80">
        <f t="shared" si="4"/>
        <v>5.6882957705229831E-2</v>
      </c>
      <c r="AN128" s="76">
        <f t="shared" si="5"/>
        <v>210959.49444444443</v>
      </c>
      <c r="AO128" s="102">
        <f t="shared" si="81"/>
        <v>0.46027526060606061</v>
      </c>
      <c r="AP128" s="82">
        <v>0</v>
      </c>
      <c r="AQ128" s="4">
        <v>197</v>
      </c>
      <c r="AR128" s="4">
        <v>1863</v>
      </c>
      <c r="AS128" s="4">
        <v>1612.89</v>
      </c>
      <c r="AT128" s="4">
        <v>1</v>
      </c>
      <c r="AU128" s="4">
        <v>25</v>
      </c>
      <c r="AV128" s="1">
        <v>36</v>
      </c>
      <c r="AW128" s="1">
        <v>29</v>
      </c>
      <c r="AX128" s="1">
        <v>17</v>
      </c>
      <c r="AY128" s="86" t="str">
        <f>IFERROR(VLOOKUP(C128,#REF!,13,0),"")</f>
        <v/>
      </c>
      <c r="AZ128" s="87">
        <v>46112</v>
      </c>
      <c r="BA128" s="1" t="str">
        <f t="shared" si="6"/>
        <v>LEFT</v>
      </c>
      <c r="BB128" s="1" t="e">
        <f t="shared" ca="1" si="7"/>
        <v>#NAME?</v>
      </c>
      <c r="BC128" s="1" t="e">
        <f t="shared" ca="1" si="82"/>
        <v>#NAME?</v>
      </c>
      <c r="BD128" s="33">
        <v>12</v>
      </c>
      <c r="BE128" s="91" t="str">
        <v/>
      </c>
      <c r="BF128" s="1">
        <f t="shared" si="9"/>
        <v>0</v>
      </c>
      <c r="BG128" s="1" t="s">
        <v>428</v>
      </c>
      <c r="BH128" s="89">
        <f ca="1">IFERROR(__xludf.DUMMYFUNCTION("""COMPUTED_VALUE"""),13868680.72)</f>
        <v>13868680.720000001</v>
      </c>
      <c r="BI128" s="89">
        <f ca="1">IFERROR(__xludf.DUMMYFUNCTION("""COMPUTED_VALUE"""),9345300.24)</f>
        <v>9345300.2400000002</v>
      </c>
      <c r="BJ128" s="90"/>
      <c r="BK128" s="91"/>
      <c r="BL128" s="91">
        <f t="shared" si="47"/>
        <v>0</v>
      </c>
      <c r="BM128" s="91">
        <f t="shared" si="11"/>
        <v>16500000</v>
      </c>
      <c r="BN128" s="91"/>
      <c r="BO128" s="92">
        <f ca="1">IFERROR(__xludf.DUMMYFUNCTION("IFERROR(ArrayFormula(SUM(VLOOKUP($C128,importrange(""1MwNMVzWE3QBVOyJjKr3eFX-Sq1Ng0Q1sghWJbgbE_8g"",""ORDER BOOKING REPORT 2024-25!C:CV""),{16,23,30},0))))"),0)</f>
        <v>0</v>
      </c>
      <c r="BP128" s="92">
        <f ca="1">IFERROR(__xludf.DUMMYFUNCTION("IFERROR(ArrayFormula(SUM(VLOOKUP($C128,importrange(""1MwNMVzWE3QBVOyJjKr3eFX-Sq1Ng0Q1sghWJbgbE_8g"",""ORDER BOOKING REPORT 2024-25!C:CV""),{37,44,51},0))))"),3421063.2)</f>
        <v>3421063.2</v>
      </c>
      <c r="BQ128" s="92">
        <f ca="1">IFERROR(__xludf.DUMMYFUNCTION("IFERROR(ArrayFormula(SUM(VLOOKUP($C128,importrange(""1MwNMVzWE3QBVOyJjKr3eFX-Sq1Ng0Q1sghWJbgbE_8g"",""ORDER BOOKING REPORT 2024-25!C:CV""),{58,65,72},0))))"),3354000.59999999)</f>
        <v>3354000.5999999898</v>
      </c>
      <c r="BR128" s="92">
        <f ca="1">IFERROR(__xludf.DUMMYFUNCTION("IFERROR(ArrayFormula(SUM(VLOOKUP($C128,importrange(""1MwNMVzWE3QBVOyJjKr3eFX-Sq1Ng0Q1sghWJbgbE_8g"",""ORDER BOOKING REPORT 2024-25!C:CV""),{79,86,93},0))))"),2570236.44)</f>
        <v>2570236.44</v>
      </c>
      <c r="BS128" s="93" t="str">
        <f t="shared" si="12"/>
        <v/>
      </c>
      <c r="BT128" s="93" t="str">
        <f t="shared" si="13"/>
        <v/>
      </c>
      <c r="BU128" s="37">
        <f t="shared" si="14"/>
        <v>0</v>
      </c>
      <c r="BV128" s="94"/>
      <c r="BW128" s="94"/>
      <c r="BX128" s="94"/>
      <c r="BY128" s="37">
        <f t="shared" si="15"/>
        <v>-36000</v>
      </c>
      <c r="BZ128" s="37"/>
      <c r="CA128" s="37"/>
      <c r="CB128" s="37"/>
      <c r="CC128" s="37"/>
      <c r="CD128" s="37"/>
      <c r="CE128" s="37"/>
      <c r="CF128" s="37"/>
      <c r="CG128" s="37" t="str">
        <f t="shared" si="18"/>
        <v xml:space="preserve"> </v>
      </c>
      <c r="CH128" s="37" t="str">
        <f t="shared" si="26"/>
        <v>Not 50%</v>
      </c>
      <c r="CI128" s="93">
        <f t="shared" si="19"/>
        <v>0.43902439024390244</v>
      </c>
      <c r="CJ128" s="105">
        <f ca="1">IFERROR(__xludf.DUMMYFUNCTION("""COMPUTED_VALUE"""),1155)</f>
        <v>1155</v>
      </c>
      <c r="CK128" s="105">
        <f ca="1">IFERROR(__xludf.DUMMYFUNCTION("""COMPUTED_VALUE"""),155)</f>
        <v>155</v>
      </c>
      <c r="CL128" s="105">
        <f ca="1">IFERROR(__xludf.DUMMYFUNCTION("""COMPUTED_VALUE"""),0)</f>
        <v>0</v>
      </c>
      <c r="CM128" s="96">
        <f t="shared" ca="1" si="20"/>
        <v>0</v>
      </c>
      <c r="CN128" s="106"/>
      <c r="CO128" s="93"/>
      <c r="CP128" s="107"/>
      <c r="CQ128" s="110"/>
      <c r="CR128" s="93"/>
      <c r="CS128" s="93"/>
      <c r="CT128" s="93"/>
      <c r="CU128" s="93"/>
      <c r="CV128" s="93"/>
      <c r="CW128" s="93"/>
      <c r="CX128" s="51"/>
      <c r="CY128" s="93"/>
      <c r="CZ128" s="93"/>
    </row>
    <row r="129" spans="1:104" ht="15.6">
      <c r="A129" s="1" t="s">
        <v>118</v>
      </c>
      <c r="B129" s="1" t="s">
        <v>436</v>
      </c>
      <c r="C129" s="1" t="s">
        <v>249</v>
      </c>
      <c r="D129" s="1" t="s">
        <v>499</v>
      </c>
      <c r="E129" s="1" t="s">
        <v>606</v>
      </c>
      <c r="F129" s="104">
        <v>45474</v>
      </c>
      <c r="G129" s="76">
        <v>0</v>
      </c>
      <c r="H129" s="76">
        <v>6250000</v>
      </c>
      <c r="I129" s="77">
        <v>546972.11</v>
      </c>
      <c r="J129" s="77">
        <v>0</v>
      </c>
      <c r="K129" s="4">
        <v>20</v>
      </c>
      <c r="L129" s="4">
        <v>9</v>
      </c>
      <c r="M129" s="4">
        <v>1</v>
      </c>
      <c r="N129" s="4">
        <v>21</v>
      </c>
      <c r="O129" s="4">
        <v>12</v>
      </c>
      <c r="P129" s="77">
        <v>0</v>
      </c>
      <c r="Q129" s="77">
        <v>546972.11</v>
      </c>
      <c r="R129" s="4">
        <v>0</v>
      </c>
      <c r="S129" s="4">
        <v>1</v>
      </c>
      <c r="T129" s="4">
        <v>1</v>
      </c>
      <c r="U129" s="4">
        <v>0</v>
      </c>
      <c r="V129" s="4">
        <v>340</v>
      </c>
      <c r="W129" s="4">
        <v>514</v>
      </c>
      <c r="X129" s="4">
        <v>191</v>
      </c>
      <c r="Y129" s="4">
        <v>2</v>
      </c>
      <c r="Z129" s="4">
        <v>2</v>
      </c>
      <c r="AA129" s="4">
        <v>1</v>
      </c>
      <c r="AB129" s="4">
        <v>1</v>
      </c>
      <c r="AC129" s="4">
        <v>2</v>
      </c>
      <c r="AD129" s="4">
        <v>2</v>
      </c>
      <c r="AE129" s="4">
        <v>19</v>
      </c>
      <c r="AF129" s="4">
        <v>538</v>
      </c>
      <c r="AG129" s="4">
        <v>94</v>
      </c>
      <c r="AH129" s="76">
        <f t="shared" si="1"/>
        <v>5818.8522340425534</v>
      </c>
      <c r="AI129" s="76">
        <f t="shared" si="2"/>
        <v>5.7234042553191493</v>
      </c>
      <c r="AJ129" s="78">
        <f t="shared" ref="AJ129:AJ130" si="84">BV129</f>
        <v>35645</v>
      </c>
      <c r="AK129" s="76">
        <f t="shared" si="62"/>
        <v>151491.25</v>
      </c>
      <c r="AL129" s="49">
        <v>83879</v>
      </c>
      <c r="AM129" s="80">
        <f t="shared" si="4"/>
        <v>0.43031490216201335</v>
      </c>
      <c r="AN129" s="76">
        <f t="shared" si="5"/>
        <v>546972.11</v>
      </c>
      <c r="AO129" s="102">
        <f t="shared" si="81"/>
        <v>8.7515537599999998E-2</v>
      </c>
      <c r="AP129" s="82">
        <v>0</v>
      </c>
      <c r="AQ129" s="4">
        <v>4</v>
      </c>
      <c r="AR129" s="4">
        <v>978</v>
      </c>
      <c r="AS129" s="4">
        <v>0</v>
      </c>
      <c r="AT129" s="4">
        <v>1</v>
      </c>
      <c r="AU129" s="4">
        <v>0</v>
      </c>
      <c r="AV129" s="1">
        <v>1</v>
      </c>
      <c r="AW129" s="1">
        <v>9</v>
      </c>
      <c r="AX129" s="1">
        <v>11</v>
      </c>
      <c r="AY129" s="86" t="str">
        <f>IFERROR(VLOOKUP(C129,#REF!,13,0),"")</f>
        <v/>
      </c>
      <c r="AZ129" s="87">
        <v>45877</v>
      </c>
      <c r="BA129" s="1" t="str">
        <f t="shared" si="6"/>
        <v>LEFT</v>
      </c>
      <c r="BB129" s="1" t="e">
        <f t="shared" ca="1" si="7"/>
        <v>#NAME?</v>
      </c>
      <c r="BC129" s="1" t="e">
        <f t="shared" ca="1" si="82"/>
        <v>#NAME?</v>
      </c>
      <c r="BD129" s="33">
        <v>4.25</v>
      </c>
      <c r="BE129" s="91" t="str">
        <v/>
      </c>
      <c r="BF129" s="1">
        <f t="shared" si="9"/>
        <v>0</v>
      </c>
      <c r="BG129" s="1" t="s">
        <v>428</v>
      </c>
      <c r="BH129" s="89">
        <f ca="1">IFERROR(__xludf.DUMMYFUNCTION("""COMPUTED_VALUE"""),0)</f>
        <v>0</v>
      </c>
      <c r="BI129" s="89">
        <f ca="1">IFERROR(__xludf.DUMMYFUNCTION("""COMPUTED_VALUE"""),543199)</f>
        <v>543199</v>
      </c>
      <c r="BJ129" s="109"/>
      <c r="BK129" s="91"/>
      <c r="BL129" s="91">
        <f t="shared" si="47"/>
        <v>0</v>
      </c>
      <c r="BM129" s="91">
        <f t="shared" si="11"/>
        <v>6250000</v>
      </c>
      <c r="BN129" s="91"/>
      <c r="BO129" s="92">
        <f ca="1">IFERROR(__xludf.DUMMYFUNCTION("IFERROR(ArrayFormula(SUM(VLOOKUP($C129,importrange(""1MwNMVzWE3QBVOyJjKr3eFX-Sq1Ng0Q1sghWJbgbE_8g"",""ORDER BOOKING REPORT 2024-25!C:CV""),{16,23,30},0))))"),0)</f>
        <v>0</v>
      </c>
      <c r="BP129" s="92">
        <f ca="1">IFERROR(__xludf.DUMMYFUNCTION("IFERROR(ArrayFormula(SUM(VLOOKUP($C129,importrange(""1MwNMVzWE3QBVOyJjKr3eFX-Sq1Ng0Q1sghWJbgbE_8g"",""ORDER BOOKING REPORT 2024-25!C:CV""),{37,44,51},0))))"),28767.4)</f>
        <v>28767.4</v>
      </c>
      <c r="BQ129" s="92">
        <f ca="1">IFERROR(__xludf.DUMMYFUNCTION("IFERROR(ArrayFormula(SUM(VLOOKUP($C129,importrange(""1MwNMVzWE3QBVOyJjKr3eFX-Sq1Ng0Q1sghWJbgbE_8g"",""ORDER BOOKING REPORT 2024-25!C:CV""),{58,65,72},0))))"),178509.6)</f>
        <v>178509.6</v>
      </c>
      <c r="BR129" s="92">
        <f ca="1">IFERROR(__xludf.DUMMYFUNCTION("IFERROR(ArrayFormula(SUM(VLOOKUP($C129,importrange(""1MwNMVzWE3QBVOyJjKr3eFX-Sq1Ng0Q1sghWJbgbE_8g"",""ORDER BOOKING REPORT 2024-25!C:CV""),{79,86,93},0))))"),335922)</f>
        <v>335922</v>
      </c>
      <c r="BS129" s="93" t="str">
        <f t="shared" si="12"/>
        <v/>
      </c>
      <c r="BT129" s="93" t="str">
        <f t="shared" si="13"/>
        <v/>
      </c>
      <c r="BU129" s="37">
        <f t="shared" si="14"/>
        <v>0</v>
      </c>
      <c r="BV129" s="94">
        <v>35645</v>
      </c>
      <c r="BW129" s="94" t="s">
        <v>429</v>
      </c>
      <c r="BX129" s="94">
        <v>1139</v>
      </c>
      <c r="BY129" s="37">
        <f t="shared" si="15"/>
        <v>0</v>
      </c>
      <c r="BZ129" s="37"/>
      <c r="CA129" s="37" t="e">
        <f>BE129*5</f>
        <v>#VALUE!</v>
      </c>
      <c r="CB129" s="37"/>
      <c r="CC129" s="37" t="e">
        <f>CA129-H129</f>
        <v>#VALUE!</v>
      </c>
      <c r="CD129" s="37"/>
      <c r="CE129" s="37"/>
      <c r="CF129" s="37"/>
      <c r="CG129" s="37" t="str">
        <f t="shared" si="18"/>
        <v>Below 60</v>
      </c>
      <c r="CH129" s="37" t="str">
        <f t="shared" si="26"/>
        <v>Not 50%</v>
      </c>
      <c r="CI129" s="93">
        <f t="shared" si="19"/>
        <v>4.7619047619047616E-2</v>
      </c>
      <c r="CJ129" s="105">
        <f ca="1">IFERROR(__xludf.DUMMYFUNCTION("""COMPUTED_VALUE"""),0)</f>
        <v>0</v>
      </c>
      <c r="CK129" s="105">
        <f ca="1">IFERROR(__xludf.DUMMYFUNCTION("""COMPUTED_VALUE"""),19)</f>
        <v>19</v>
      </c>
      <c r="CL129" s="105">
        <f ca="1">IFERROR(__xludf.DUMMYFUNCTION("""COMPUTED_VALUE"""),0)</f>
        <v>0</v>
      </c>
      <c r="CM129" s="96">
        <f t="shared" ca="1" si="20"/>
        <v>0</v>
      </c>
      <c r="CN129" s="106"/>
      <c r="CO129" s="93"/>
      <c r="CP129" s="107"/>
      <c r="CQ129" s="110"/>
      <c r="CR129" s="93"/>
      <c r="CS129" s="93"/>
      <c r="CT129" s="93"/>
      <c r="CU129" s="93"/>
      <c r="CV129" s="93"/>
      <c r="CW129" s="93"/>
      <c r="CX129" s="51"/>
      <c r="CY129" s="93"/>
      <c r="CZ129" s="93"/>
    </row>
    <row r="130" spans="1:104" ht="15.6">
      <c r="A130" s="1" t="s">
        <v>201</v>
      </c>
      <c r="B130" s="1" t="s">
        <v>431</v>
      </c>
      <c r="C130" s="1" t="s">
        <v>250</v>
      </c>
      <c r="D130" s="1" t="s">
        <v>431</v>
      </c>
      <c r="E130" s="1" t="s">
        <v>561</v>
      </c>
      <c r="F130" s="104">
        <v>45482</v>
      </c>
      <c r="G130" s="76">
        <v>0</v>
      </c>
      <c r="H130" s="76">
        <v>18999996</v>
      </c>
      <c r="I130" s="77">
        <v>13646291.630000001</v>
      </c>
      <c r="J130" s="77">
        <v>0</v>
      </c>
      <c r="K130" s="4">
        <v>55</v>
      </c>
      <c r="L130" s="4">
        <v>75</v>
      </c>
      <c r="M130" s="4">
        <v>22</v>
      </c>
      <c r="N130" s="4">
        <v>77</v>
      </c>
      <c r="O130" s="4">
        <v>2</v>
      </c>
      <c r="P130" s="77">
        <v>7669407.3899999997</v>
      </c>
      <c r="Q130" s="77">
        <v>5976884.2400000002</v>
      </c>
      <c r="R130" s="4">
        <v>35</v>
      </c>
      <c r="S130" s="4">
        <v>21</v>
      </c>
      <c r="T130" s="4">
        <v>56</v>
      </c>
      <c r="U130" s="4">
        <v>0</v>
      </c>
      <c r="V130" s="4">
        <v>118</v>
      </c>
      <c r="W130" s="4">
        <v>182</v>
      </c>
      <c r="X130" s="4">
        <v>147</v>
      </c>
      <c r="Y130" s="4">
        <v>1</v>
      </c>
      <c r="Z130" s="4">
        <v>91</v>
      </c>
      <c r="AA130" s="4">
        <v>0</v>
      </c>
      <c r="AB130" s="4">
        <v>0</v>
      </c>
      <c r="AC130" s="4">
        <v>0</v>
      </c>
      <c r="AD130" s="4">
        <v>0</v>
      </c>
      <c r="AE130" s="4">
        <v>1069</v>
      </c>
      <c r="AF130" s="4">
        <v>1342</v>
      </c>
      <c r="AG130" s="4">
        <v>278</v>
      </c>
      <c r="AH130" s="76">
        <f t="shared" si="1"/>
        <v>49087.379964028783</v>
      </c>
      <c r="AI130" s="76">
        <f t="shared" si="2"/>
        <v>4.8273381294964031</v>
      </c>
      <c r="AJ130" s="78">
        <f t="shared" si="84"/>
        <v>28940</v>
      </c>
      <c r="AK130" s="76">
        <f t="shared" si="62"/>
        <v>347280</v>
      </c>
      <c r="AL130" s="49">
        <v>128281</v>
      </c>
      <c r="AM130" s="80">
        <f t="shared" si="4"/>
        <v>3.4849101345198204E-2</v>
      </c>
      <c r="AN130" s="76">
        <f t="shared" si="5"/>
        <v>243683.77910714288</v>
      </c>
      <c r="AO130" s="102">
        <f t="shared" si="81"/>
        <v>0.7182260264686372</v>
      </c>
      <c r="AP130" s="82">
        <v>0</v>
      </c>
      <c r="AQ130" s="4">
        <v>488</v>
      </c>
      <c r="AR130" s="4">
        <v>2199</v>
      </c>
      <c r="AS130" s="4">
        <v>1818.54</v>
      </c>
      <c r="AT130" s="4">
        <v>21</v>
      </c>
      <c r="AU130" s="4">
        <v>24</v>
      </c>
      <c r="AV130" s="1">
        <v>56</v>
      </c>
      <c r="AW130" s="1">
        <v>19</v>
      </c>
      <c r="AX130" s="1">
        <v>2</v>
      </c>
      <c r="AY130" s="86" t="str">
        <f>IFERROR(VLOOKUP(C130,#REF!,13,0),"")</f>
        <v/>
      </c>
      <c r="AZ130" s="87"/>
      <c r="BA130" s="1" t="str">
        <f t="shared" si="6"/>
        <v>Active</v>
      </c>
      <c r="BB130" s="1" t="e">
        <f t="shared" ca="1" si="7"/>
        <v>#NAME?</v>
      </c>
      <c r="BC130" s="1" t="e">
        <f t="shared" ca="1" si="82"/>
        <v>#NAME?</v>
      </c>
      <c r="BD130" s="33">
        <f t="shared" ref="BD130:BD131" si="85">MATCH($BD$2,{"Apr","May","Jun","Jul","Aug","Sep","Oct","Nov","Dec","Jan","Feb","Mar"},0)</f>
        <v>12</v>
      </c>
      <c r="BE130" s="88" t="str">
        <v/>
      </c>
      <c r="BF130" s="1">
        <f t="shared" si="9"/>
        <v>1</v>
      </c>
      <c r="BG130" s="1" t="s">
        <v>428</v>
      </c>
      <c r="BH130" s="89">
        <f ca="1">IFERROR(__xludf.DUMMYFUNCTION("""COMPUTED_VALUE"""),5199880)</f>
        <v>5199880</v>
      </c>
      <c r="BI130" s="89">
        <f ca="1">IFERROR(__xludf.DUMMYFUNCTION("""COMPUTED_VALUE"""),5239011.23)</f>
        <v>5239011.2300000004</v>
      </c>
      <c r="BJ130" s="90"/>
      <c r="BK130" s="91"/>
      <c r="BL130" s="91">
        <f t="shared" si="47"/>
        <v>0</v>
      </c>
      <c r="BM130" s="91">
        <f t="shared" si="11"/>
        <v>18999996</v>
      </c>
      <c r="BN130" s="91"/>
      <c r="BO130" s="92">
        <f ca="1">IFERROR(__xludf.DUMMYFUNCTION("IFERROR(ArrayFormula(SUM(VLOOKUP($C130,importrange(""1MwNMVzWE3QBVOyJjKr3eFX-Sq1Ng0Q1sghWJbgbE_8g"",""ORDER BOOKING REPORT 2024-25!C:CV""),{16,23,30},0))))"),0)</f>
        <v>0</v>
      </c>
      <c r="BP130" s="92">
        <f ca="1">IFERROR(__xludf.DUMMYFUNCTION("IFERROR(ArrayFormula(SUM(VLOOKUP($C130,importrange(""1MwNMVzWE3QBVOyJjKr3eFX-Sq1Ng0Q1sghWJbgbE_8g"",""ORDER BOOKING REPORT 2024-25!C:CV""),{37,44,51},0))))"),1092332.79999999)</f>
        <v>1092332.79999999</v>
      </c>
      <c r="BQ130" s="92">
        <f ca="1">IFERROR(__xludf.DUMMYFUNCTION("IFERROR(ArrayFormula(SUM(VLOOKUP($C130,importrange(""1MwNMVzWE3QBVOyJjKr3eFX-Sq1Ng0Q1sghWJbgbE_8g"",""ORDER BOOKING REPORT 2024-25!C:CV""),{58,65,72},0))))"),1741801.56)</f>
        <v>1741801.56</v>
      </c>
      <c r="BR130" s="92">
        <f ca="1">IFERROR(__xludf.DUMMYFUNCTION("IFERROR(ArrayFormula(SUM(VLOOKUP($C130,importrange(""1MwNMVzWE3QBVOyJjKr3eFX-Sq1Ng0Q1sghWJbgbE_8g"",""ORDER BOOKING REPORT 2024-25!C:CV""),{79,86,93},0))))"),2404876.87)</f>
        <v>2404876.87</v>
      </c>
      <c r="BS130" s="93" t="str">
        <f t="shared" si="12"/>
        <v/>
      </c>
      <c r="BT130" s="93" t="str">
        <f t="shared" si="13"/>
        <v/>
      </c>
      <c r="BU130" s="37">
        <f t="shared" si="14"/>
        <v>0</v>
      </c>
      <c r="BV130" s="94">
        <v>28940</v>
      </c>
      <c r="BW130" s="94" t="s">
        <v>476</v>
      </c>
      <c r="BX130" s="94">
        <v>1141</v>
      </c>
      <c r="BY130" s="37">
        <f t="shared" si="15"/>
        <v>0</v>
      </c>
      <c r="BZ130" s="37"/>
      <c r="CA130" s="37"/>
      <c r="CB130" s="37"/>
      <c r="CC130" s="37"/>
      <c r="CD130" s="37"/>
      <c r="CE130" s="37"/>
      <c r="CF130" s="37"/>
      <c r="CG130" s="37" t="str">
        <f t="shared" si="18"/>
        <v xml:space="preserve"> </v>
      </c>
      <c r="CH130" s="37" t="str">
        <f t="shared" si="26"/>
        <v>Business Achieved 50%</v>
      </c>
      <c r="CI130" s="93">
        <f t="shared" si="19"/>
        <v>0.72727272727272729</v>
      </c>
      <c r="CJ130" s="105">
        <f ca="1">IFERROR(__xludf.DUMMYFUNCTION("""COMPUTED_VALUE"""),934)</f>
        <v>934</v>
      </c>
      <c r="CK130" s="105">
        <f ca="1">IFERROR(__xludf.DUMMYFUNCTION("""COMPUTED_VALUE"""),135)</f>
        <v>135</v>
      </c>
      <c r="CL130" s="105">
        <f ca="1">IFERROR(__xludf.DUMMYFUNCTION("""COMPUTED_VALUE"""),0)</f>
        <v>0</v>
      </c>
      <c r="CM130" s="96">
        <f t="shared" ca="1" si="20"/>
        <v>0</v>
      </c>
      <c r="CN130" s="106"/>
      <c r="CO130" s="93"/>
      <c r="CP130" s="107"/>
      <c r="CQ130" s="110"/>
      <c r="CR130" s="93"/>
      <c r="CS130" s="93"/>
      <c r="CT130" s="93"/>
      <c r="CU130" s="93"/>
      <c r="CV130" s="93"/>
      <c r="CW130" s="93"/>
      <c r="CX130" s="51"/>
      <c r="CY130" s="93"/>
      <c r="CZ130" s="93"/>
    </row>
    <row r="131" spans="1:104" ht="15.6">
      <c r="A131" s="1" t="s">
        <v>124</v>
      </c>
      <c r="B131" s="1" t="s">
        <v>443</v>
      </c>
      <c r="C131" s="1" t="s">
        <v>251</v>
      </c>
      <c r="D131" s="1" t="s">
        <v>517</v>
      </c>
      <c r="E131" s="1" t="s">
        <v>607</v>
      </c>
      <c r="F131" s="48">
        <v>45483</v>
      </c>
      <c r="G131" s="76">
        <v>0</v>
      </c>
      <c r="H131" s="76">
        <v>12000000</v>
      </c>
      <c r="I131" s="77">
        <v>7287331.75</v>
      </c>
      <c r="J131" s="77">
        <v>0</v>
      </c>
      <c r="K131" s="4">
        <v>59</v>
      </c>
      <c r="L131" s="4">
        <v>100</v>
      </c>
      <c r="M131" s="4">
        <v>42</v>
      </c>
      <c r="N131" s="4">
        <v>101</v>
      </c>
      <c r="O131" s="4">
        <v>1</v>
      </c>
      <c r="P131" s="77">
        <v>5431985.9800000004</v>
      </c>
      <c r="Q131" s="77">
        <v>1855345.77</v>
      </c>
      <c r="R131" s="4">
        <v>51</v>
      </c>
      <c r="S131" s="4">
        <v>42</v>
      </c>
      <c r="T131" s="4">
        <v>93</v>
      </c>
      <c r="U131" s="4">
        <v>0</v>
      </c>
      <c r="V131" s="4">
        <v>183</v>
      </c>
      <c r="W131" s="4">
        <v>373</v>
      </c>
      <c r="X131" s="4">
        <v>62</v>
      </c>
      <c r="Y131" s="4">
        <v>2</v>
      </c>
      <c r="Z131" s="4">
        <v>124</v>
      </c>
      <c r="AA131" s="4">
        <v>0</v>
      </c>
      <c r="AB131" s="4">
        <v>0</v>
      </c>
      <c r="AC131" s="4">
        <v>0</v>
      </c>
      <c r="AD131" s="4">
        <v>0</v>
      </c>
      <c r="AE131" s="4">
        <v>885</v>
      </c>
      <c r="AF131" s="4">
        <v>1382</v>
      </c>
      <c r="AG131" s="4">
        <v>283</v>
      </c>
      <c r="AH131" s="76">
        <f t="shared" si="1"/>
        <v>25750.288869257951</v>
      </c>
      <c r="AI131" s="76">
        <f t="shared" si="2"/>
        <v>4.88339222614841</v>
      </c>
      <c r="AJ131" s="112">
        <v>42475</v>
      </c>
      <c r="AK131" s="76">
        <f t="shared" si="62"/>
        <v>509700</v>
      </c>
      <c r="AL131" s="79">
        <v>168810</v>
      </c>
      <c r="AM131" s="80">
        <f t="shared" si="4"/>
        <v>9.3108153063019256E-2</v>
      </c>
      <c r="AN131" s="76">
        <f t="shared" si="5"/>
        <v>78358.405913978495</v>
      </c>
      <c r="AO131" s="102">
        <f t="shared" si="81"/>
        <v>0.60727764583333332</v>
      </c>
      <c r="AP131" s="82">
        <v>0</v>
      </c>
      <c r="AQ131" s="4">
        <v>423</v>
      </c>
      <c r="AR131" s="4">
        <v>2511</v>
      </c>
      <c r="AS131" s="4">
        <v>3362.29</v>
      </c>
      <c r="AT131" s="4">
        <v>42</v>
      </c>
      <c r="AU131" s="4">
        <v>34</v>
      </c>
      <c r="AV131" s="1">
        <v>93</v>
      </c>
      <c r="AW131" s="1">
        <v>7</v>
      </c>
      <c r="AX131" s="1">
        <v>1</v>
      </c>
      <c r="AY131" s="86" t="str">
        <f>IFERROR(VLOOKUP(C131,#REF!,13,0),"")</f>
        <v/>
      </c>
      <c r="AZ131" s="87"/>
      <c r="BA131" s="1" t="str">
        <f t="shared" si="6"/>
        <v>Active</v>
      </c>
      <c r="BB131" s="1" t="e">
        <f t="shared" ca="1" si="7"/>
        <v>#NAME?</v>
      </c>
      <c r="BC131" s="1" t="e">
        <f t="shared" ca="1" si="82"/>
        <v>#NAME?</v>
      </c>
      <c r="BD131" s="33">
        <f t="shared" si="85"/>
        <v>12</v>
      </c>
      <c r="BE131" s="88" t="str">
        <v/>
      </c>
      <c r="BF131" s="1">
        <f t="shared" si="9"/>
        <v>0</v>
      </c>
      <c r="BG131" s="1" t="s">
        <v>428</v>
      </c>
      <c r="BH131" s="89">
        <f ca="1">IFERROR(__xludf.DUMMYFUNCTION("""COMPUTED_VALUE"""),2646944)</f>
        <v>2646944</v>
      </c>
      <c r="BI131" s="89">
        <f ca="1">IFERROR(__xludf.DUMMYFUNCTION("""COMPUTED_VALUE"""),3115751.88)</f>
        <v>3115751.88</v>
      </c>
      <c r="BJ131" s="90"/>
      <c r="BK131" s="91"/>
      <c r="BL131" s="91">
        <f t="shared" si="47"/>
        <v>0</v>
      </c>
      <c r="BM131" s="91">
        <f t="shared" si="11"/>
        <v>12000000</v>
      </c>
      <c r="BN131" s="91"/>
      <c r="BO131" s="92">
        <f ca="1">IFERROR(__xludf.DUMMYFUNCTION("IFERROR(ArrayFormula(SUM(VLOOKUP($C131,importrange(""1MwNMVzWE3QBVOyJjKr3eFX-Sq1Ng0Q1sghWJbgbE_8g"",""ORDER BOOKING REPORT 2024-25!C:CV""),{16,23,30},0))))"),0)</f>
        <v>0</v>
      </c>
      <c r="BP131" s="92">
        <f ca="1">IFERROR(__xludf.DUMMYFUNCTION("IFERROR(ArrayFormula(SUM(VLOOKUP($C131,importrange(""1MwNMVzWE3QBVOyJjKr3eFX-Sq1Ng0Q1sghWJbgbE_8g"",""ORDER BOOKING REPORT 2024-25!C:CV""),{37,44,51},0))))"),580727.72)</f>
        <v>580727.72</v>
      </c>
      <c r="BQ131" s="92">
        <f ca="1">IFERROR(__xludf.DUMMYFUNCTION("IFERROR(ArrayFormula(SUM(VLOOKUP($C131,importrange(""1MwNMVzWE3QBVOyJjKr3eFX-Sq1Ng0Q1sghWJbgbE_8g"",""ORDER BOOKING REPORT 2024-25!C:CV""),{58,65,72},0))))"),819735.6)</f>
        <v>819735.6</v>
      </c>
      <c r="BR131" s="92">
        <f ca="1">IFERROR(__xludf.DUMMYFUNCTION("IFERROR(ArrayFormula(SUM(VLOOKUP($C131,importrange(""1MwNMVzWE3QBVOyJjKr3eFX-Sq1Ng0Q1sghWJbgbE_8g"",""ORDER BOOKING REPORT 2024-25!C:CV""),{79,86,93},0))))"),1715288.56)</f>
        <v>1715288.56</v>
      </c>
      <c r="BS131" s="93" t="str">
        <f t="shared" si="12"/>
        <v/>
      </c>
      <c r="BT131" s="93" t="str">
        <f t="shared" si="13"/>
        <v/>
      </c>
      <c r="BU131" s="37">
        <f t="shared" si="14"/>
        <v>0</v>
      </c>
      <c r="BV131" s="94">
        <v>42475</v>
      </c>
      <c r="BW131" s="94" t="s">
        <v>593</v>
      </c>
      <c r="BX131" s="94">
        <v>1142</v>
      </c>
      <c r="BY131" s="37">
        <f t="shared" si="15"/>
        <v>0</v>
      </c>
      <c r="BZ131" s="37"/>
      <c r="CA131" s="37"/>
      <c r="CB131" s="37"/>
      <c r="CC131" s="37"/>
      <c r="CD131" s="37"/>
      <c r="CE131" s="37"/>
      <c r="CF131" s="37"/>
      <c r="CG131" s="37" t="str">
        <f t="shared" si="18"/>
        <v xml:space="preserve"> </v>
      </c>
      <c r="CH131" s="37" t="str">
        <f t="shared" si="26"/>
        <v>Business Achieved 50%</v>
      </c>
      <c r="CI131" s="93">
        <f t="shared" si="19"/>
        <v>0.92079207920792083</v>
      </c>
      <c r="CJ131" s="95">
        <f ca="1">IFERROR(__xludf.DUMMYFUNCTION("""COMPUTED_VALUE"""),859)</f>
        <v>859</v>
      </c>
      <c r="CK131" s="95">
        <f ca="1">IFERROR(__xludf.DUMMYFUNCTION("""COMPUTED_VALUE"""),26)</f>
        <v>26</v>
      </c>
      <c r="CL131" s="95">
        <f ca="1">IFERROR(__xludf.DUMMYFUNCTION("""COMPUTED_VALUE"""),0)</f>
        <v>0</v>
      </c>
      <c r="CM131" s="96">
        <f t="shared" ca="1" si="20"/>
        <v>0</v>
      </c>
      <c r="CN131" s="103"/>
      <c r="CO131" s="4"/>
      <c r="CP131" s="100"/>
      <c r="CQ131" s="101"/>
      <c r="CR131" s="4"/>
      <c r="CS131" s="4"/>
      <c r="CT131" s="4"/>
      <c r="CU131" s="4"/>
      <c r="CV131" s="4"/>
      <c r="CW131" s="101"/>
      <c r="CX131" s="51"/>
      <c r="CY131" s="4"/>
      <c r="CZ131" s="4"/>
    </row>
    <row r="132" spans="1:104" ht="15.6">
      <c r="A132" s="1" t="s">
        <v>154</v>
      </c>
      <c r="B132" s="1" t="s">
        <v>370</v>
      </c>
      <c r="C132" s="1" t="s">
        <v>168</v>
      </c>
      <c r="D132" s="1" t="s">
        <v>608</v>
      </c>
      <c r="E132" s="1" t="s">
        <v>609</v>
      </c>
      <c r="F132" s="48">
        <v>45488</v>
      </c>
      <c r="G132" s="76">
        <v>0</v>
      </c>
      <c r="H132" s="76">
        <v>7500000</v>
      </c>
      <c r="I132" s="77">
        <v>477497.81</v>
      </c>
      <c r="J132" s="77">
        <v>0</v>
      </c>
      <c r="K132" s="4">
        <v>92</v>
      </c>
      <c r="L132" s="4">
        <v>67</v>
      </c>
      <c r="M132" s="4">
        <v>8</v>
      </c>
      <c r="N132" s="4">
        <v>100</v>
      </c>
      <c r="O132" s="4">
        <v>33</v>
      </c>
      <c r="P132" s="77">
        <v>399788.1</v>
      </c>
      <c r="Q132" s="77">
        <v>77709.710000000006</v>
      </c>
      <c r="R132" s="4">
        <v>17</v>
      </c>
      <c r="S132" s="4">
        <v>5</v>
      </c>
      <c r="T132" s="4">
        <v>22</v>
      </c>
      <c r="U132" s="4">
        <v>0</v>
      </c>
      <c r="V132" s="4">
        <v>225</v>
      </c>
      <c r="W132" s="4">
        <v>380</v>
      </c>
      <c r="X132" s="4">
        <v>431</v>
      </c>
      <c r="Y132" s="4">
        <v>8</v>
      </c>
      <c r="Z132" s="4">
        <v>39</v>
      </c>
      <c r="AA132" s="4">
        <v>0</v>
      </c>
      <c r="AB132" s="4">
        <v>0</v>
      </c>
      <c r="AC132" s="4">
        <v>11</v>
      </c>
      <c r="AD132" s="4">
        <v>50</v>
      </c>
      <c r="AE132" s="4">
        <v>184</v>
      </c>
      <c r="AF132" s="4">
        <v>653</v>
      </c>
      <c r="AG132" s="4">
        <v>104</v>
      </c>
      <c r="AH132" s="76">
        <f t="shared" si="1"/>
        <v>4591.3250961538461</v>
      </c>
      <c r="AI132" s="76">
        <f t="shared" si="2"/>
        <v>6.2788461538461542</v>
      </c>
      <c r="AJ132" s="78">
        <f>BV132</f>
        <v>32500</v>
      </c>
      <c r="AK132" s="76">
        <f t="shared" si="62"/>
        <v>136175</v>
      </c>
      <c r="AL132" s="49">
        <v>38818</v>
      </c>
      <c r="AM132" s="80">
        <f t="shared" si="4"/>
        <v>0.36647916772644468</v>
      </c>
      <c r="AN132" s="76">
        <f t="shared" si="5"/>
        <v>21704.445909090908</v>
      </c>
      <c r="AO132" s="102">
        <f t="shared" si="81"/>
        <v>6.3666374666666664E-2</v>
      </c>
      <c r="AP132" s="82">
        <v>0</v>
      </c>
      <c r="AQ132" s="4">
        <v>36</v>
      </c>
      <c r="AR132" s="4">
        <v>1087</v>
      </c>
      <c r="AS132" s="4">
        <v>0</v>
      </c>
      <c r="AT132" s="4">
        <v>5</v>
      </c>
      <c r="AU132" s="4">
        <v>0</v>
      </c>
      <c r="AV132" s="1">
        <v>22</v>
      </c>
      <c r="AW132" s="1">
        <v>45</v>
      </c>
      <c r="AX132" s="1">
        <v>33</v>
      </c>
      <c r="AY132" s="86" t="str">
        <f>IFERROR(VLOOKUP(C132,#REF!,13,0),"")</f>
        <v/>
      </c>
      <c r="AZ132" s="87">
        <v>45875</v>
      </c>
      <c r="BA132" s="1" t="str">
        <f t="shared" si="6"/>
        <v>LEFT</v>
      </c>
      <c r="BB132" s="1" t="e">
        <f t="shared" ca="1" si="7"/>
        <v>#NAME?</v>
      </c>
      <c r="BC132" s="1" t="e">
        <f t="shared" ca="1" si="82"/>
        <v>#NAME?</v>
      </c>
      <c r="BD132" s="33">
        <v>4.1900000000000004</v>
      </c>
      <c r="BE132" s="91" t="str">
        <v/>
      </c>
      <c r="BF132" s="1">
        <f t="shared" si="9"/>
        <v>3</v>
      </c>
      <c r="BG132" s="1" t="s">
        <v>428</v>
      </c>
      <c r="BH132" s="89">
        <f ca="1">IFERROR(__xludf.DUMMYFUNCTION("""COMPUTED_VALUE"""),442567)</f>
        <v>442567</v>
      </c>
      <c r="BI132" s="89">
        <f ca="1">IFERROR(__xludf.DUMMYFUNCTION("""COMPUTED_VALUE"""),2103344.36)</f>
        <v>2103344.36</v>
      </c>
      <c r="BJ132" s="109">
        <f>6/31</f>
        <v>0.19354838709677419</v>
      </c>
      <c r="BK132" s="91"/>
      <c r="BL132" s="91">
        <f t="shared" si="47"/>
        <v>0</v>
      </c>
      <c r="BM132" s="91">
        <f t="shared" si="11"/>
        <v>7500000</v>
      </c>
      <c r="BN132" s="91"/>
      <c r="BO132" s="92">
        <f ca="1">IFERROR(__xludf.DUMMYFUNCTION("IFERROR(ArrayFormula(SUM(VLOOKUP($C132,importrange(""1MwNMVzWE3QBVOyJjKr3eFX-Sq1Ng0Q1sghWJbgbE_8g"",""ORDER BOOKING REPORT 2024-25!C:CV""),{16,23,30},0))))"),0)</f>
        <v>0</v>
      </c>
      <c r="BP132" s="92">
        <f ca="1">IFERROR(__xludf.DUMMYFUNCTION("IFERROR(ArrayFormula(SUM(VLOOKUP($C132,importrange(""1MwNMVzWE3QBVOyJjKr3eFX-Sq1Ng0Q1sghWJbgbE_8g"",""ORDER BOOKING REPORT 2024-25!C:CV""),{37,44,51},0))))"),267472.699999999)</f>
        <v>267472.69999999902</v>
      </c>
      <c r="BQ132" s="92">
        <f ca="1">IFERROR(__xludf.DUMMYFUNCTION("IFERROR(ArrayFormula(SUM(VLOOKUP($C132,importrange(""1MwNMVzWE3QBVOyJjKr3eFX-Sq1Ng0Q1sghWJbgbE_8g"",""ORDER BOOKING REPORT 2024-25!C:CV""),{58,65,72},0))))"),505539.66)</f>
        <v>505539.66</v>
      </c>
      <c r="BR132" s="92">
        <f ca="1">IFERROR(__xludf.DUMMYFUNCTION("IFERROR(ArrayFormula(SUM(VLOOKUP($C132,importrange(""1MwNMVzWE3QBVOyJjKr3eFX-Sq1Ng0Q1sghWJbgbE_8g"",""ORDER BOOKING REPORT 2024-25!C:CV""),{79,86,93},0))))"),1330332)</f>
        <v>1330332</v>
      </c>
      <c r="BS132" s="93" t="str">
        <f t="shared" si="12"/>
        <v/>
      </c>
      <c r="BT132" s="93" t="str">
        <f t="shared" si="13"/>
        <v/>
      </c>
      <c r="BU132" s="37">
        <f t="shared" si="14"/>
        <v>0</v>
      </c>
      <c r="BV132" s="94">
        <v>32500</v>
      </c>
      <c r="BW132" s="94" t="s">
        <v>570</v>
      </c>
      <c r="BX132" s="94">
        <v>1146</v>
      </c>
      <c r="BY132" s="37">
        <f t="shared" si="15"/>
        <v>0</v>
      </c>
      <c r="BZ132" s="37"/>
      <c r="CA132" s="37" t="e">
        <f>BE132*5</f>
        <v>#VALUE!</v>
      </c>
      <c r="CB132" s="37"/>
      <c r="CC132" s="37" t="e">
        <f>CA132-H132</f>
        <v>#VALUE!</v>
      </c>
      <c r="CD132" s="37"/>
      <c r="CE132" s="37"/>
      <c r="CF132" s="37"/>
      <c r="CG132" s="37" t="str">
        <f t="shared" si="18"/>
        <v xml:space="preserve"> </v>
      </c>
      <c r="CH132" s="37" t="str">
        <f t="shared" si="26"/>
        <v>Not 50%</v>
      </c>
      <c r="CI132" s="93">
        <f t="shared" si="19"/>
        <v>0.22</v>
      </c>
      <c r="CJ132" s="105">
        <f ca="1">IFERROR(__xludf.DUMMYFUNCTION("""COMPUTED_VALUE"""),85)</f>
        <v>85</v>
      </c>
      <c r="CK132" s="105">
        <f ca="1">IFERROR(__xludf.DUMMYFUNCTION("""COMPUTED_VALUE"""),99)</f>
        <v>99</v>
      </c>
      <c r="CL132" s="105">
        <f ca="1">IFERROR(__xludf.DUMMYFUNCTION("""COMPUTED_VALUE"""),0)</f>
        <v>0</v>
      </c>
      <c r="CM132" s="96">
        <f t="shared" ca="1" si="20"/>
        <v>0</v>
      </c>
      <c r="CN132" s="106"/>
      <c r="CO132" s="93"/>
      <c r="CP132" s="107"/>
      <c r="CQ132" s="110"/>
      <c r="CR132" s="93"/>
      <c r="CS132" s="93"/>
      <c r="CT132" s="93"/>
      <c r="CU132" s="93"/>
      <c r="CV132" s="93"/>
      <c r="CW132" s="93"/>
      <c r="CX132" s="51"/>
      <c r="CY132" s="93"/>
      <c r="CZ132" s="93"/>
    </row>
    <row r="133" spans="1:104" ht="15.6">
      <c r="A133" s="1" t="s">
        <v>108</v>
      </c>
      <c r="B133" s="1" t="s">
        <v>465</v>
      </c>
      <c r="C133" s="1" t="s">
        <v>253</v>
      </c>
      <c r="D133" s="1" t="s">
        <v>506</v>
      </c>
      <c r="E133" s="1" t="s">
        <v>467</v>
      </c>
      <c r="F133" s="48">
        <v>45488</v>
      </c>
      <c r="G133" s="76">
        <v>0</v>
      </c>
      <c r="H133" s="76">
        <v>12665002</v>
      </c>
      <c r="I133" s="77">
        <v>6662120.4000000004</v>
      </c>
      <c r="J133" s="77">
        <v>0</v>
      </c>
      <c r="K133" s="4">
        <v>101</v>
      </c>
      <c r="L133" s="4">
        <v>107</v>
      </c>
      <c r="M133" s="4">
        <v>8</v>
      </c>
      <c r="N133" s="4">
        <v>109</v>
      </c>
      <c r="O133" s="4">
        <v>2</v>
      </c>
      <c r="P133" s="77">
        <v>6149731.7999999998</v>
      </c>
      <c r="Q133" s="77">
        <v>512388.6</v>
      </c>
      <c r="R133" s="4">
        <v>68</v>
      </c>
      <c r="S133" s="4">
        <v>8</v>
      </c>
      <c r="T133" s="4">
        <v>76</v>
      </c>
      <c r="U133" s="4">
        <v>0</v>
      </c>
      <c r="V133" s="4">
        <v>22</v>
      </c>
      <c r="W133" s="4">
        <v>61</v>
      </c>
      <c r="X133" s="4">
        <v>32</v>
      </c>
      <c r="Y133" s="4">
        <v>2</v>
      </c>
      <c r="Z133" s="4">
        <v>60</v>
      </c>
      <c r="AA133" s="4">
        <v>0</v>
      </c>
      <c r="AB133" s="4">
        <v>0</v>
      </c>
      <c r="AC133" s="4">
        <v>0</v>
      </c>
      <c r="AD133" s="4">
        <v>0</v>
      </c>
      <c r="AE133" s="4">
        <v>1687</v>
      </c>
      <c r="AF133" s="4">
        <v>1808</v>
      </c>
      <c r="AG133" s="4">
        <v>280</v>
      </c>
      <c r="AH133" s="76">
        <f t="shared" si="1"/>
        <v>23793.287142857145</v>
      </c>
      <c r="AI133" s="76">
        <f t="shared" si="2"/>
        <v>6.4571428571428573</v>
      </c>
      <c r="AJ133" s="78">
        <v>20000</v>
      </c>
      <c r="AK133" s="76">
        <f t="shared" si="62"/>
        <v>240000</v>
      </c>
      <c r="AL133" s="49">
        <v>122843</v>
      </c>
      <c r="AM133" s="80">
        <f t="shared" si="4"/>
        <v>5.4463590901179144E-2</v>
      </c>
      <c r="AN133" s="76">
        <f t="shared" si="5"/>
        <v>87659.478947368421</v>
      </c>
      <c r="AO133" s="102">
        <f t="shared" si="81"/>
        <v>0.52602600457544346</v>
      </c>
      <c r="AP133" s="82">
        <v>0</v>
      </c>
      <c r="AQ133" s="4">
        <v>518</v>
      </c>
      <c r="AR133" s="4">
        <v>2508</v>
      </c>
      <c r="AS133" s="4">
        <v>2778.6</v>
      </c>
      <c r="AT133" s="4">
        <v>8</v>
      </c>
      <c r="AU133" s="4">
        <v>26</v>
      </c>
      <c r="AV133" s="1">
        <v>76</v>
      </c>
      <c r="AW133" s="1">
        <v>31</v>
      </c>
      <c r="AX133" s="1">
        <v>2</v>
      </c>
      <c r="AY133" s="86" t="str">
        <f>IFERROR(VLOOKUP(C133,#REF!,13,0),"")</f>
        <v/>
      </c>
      <c r="AZ133" s="87"/>
      <c r="BA133" s="1" t="str">
        <f t="shared" si="6"/>
        <v>Active</v>
      </c>
      <c r="BB133" s="1" t="e">
        <f t="shared" ca="1" si="7"/>
        <v>#NAME?</v>
      </c>
      <c r="BC133" s="1" t="e">
        <f t="shared" ca="1" si="82"/>
        <v>#NAME?</v>
      </c>
      <c r="BD133" s="33">
        <f t="array" ref="BD133">MATCH($BD$2,{"Apr","May","Jun","Jul","Aug","Sep","Oct","Nov","Dec","Jan","Feb","Mar"},0)</f>
        <v>12</v>
      </c>
      <c r="BE133" s="91" t="str">
        <v/>
      </c>
      <c r="BF133" s="1">
        <f t="shared" si="9"/>
        <v>0</v>
      </c>
      <c r="BG133" s="1" t="s">
        <v>428</v>
      </c>
      <c r="BH133" s="89">
        <f ca="1">IFERROR(__xludf.DUMMYFUNCTION("""COMPUTED_VALUE"""),4785530)</f>
        <v>4785530</v>
      </c>
      <c r="BI133" s="89">
        <f ca="1">IFERROR(__xludf.DUMMYFUNCTION("""COMPUTED_VALUE"""),3566562.02)</f>
        <v>3566562.02</v>
      </c>
      <c r="BJ133" s="90"/>
      <c r="BK133" s="91"/>
      <c r="BL133" s="91">
        <f t="shared" si="47"/>
        <v>0</v>
      </c>
      <c r="BM133" s="91">
        <f t="shared" si="11"/>
        <v>12665002</v>
      </c>
      <c r="BN133" s="91"/>
      <c r="BO133" s="92">
        <f ca="1">IFERROR(__xludf.DUMMYFUNCTION("IFERROR(ArrayFormula(SUM(VLOOKUP($C133,importrange(""1MwNMVzWE3QBVOyJjKr3eFX-Sq1Ng0Q1sghWJbgbE_8g"",""ORDER BOOKING REPORT 2024-25!C:CV""),{16,23,30},0))))"),0)</f>
        <v>0</v>
      </c>
      <c r="BP133" s="92">
        <f ca="1">IFERROR(__xludf.DUMMYFUNCTION("IFERROR(ArrayFormula(SUM(VLOOKUP($C133,importrange(""1MwNMVzWE3QBVOyJjKr3eFX-Sq1Ng0Q1sghWJbgbE_8g"",""ORDER BOOKING REPORT 2024-25!C:CV""),{37,44,51},0))))"),177159.8)</f>
        <v>177159.8</v>
      </c>
      <c r="BQ133" s="92">
        <f ca="1">IFERROR(__xludf.DUMMYFUNCTION("IFERROR(ArrayFormula(SUM(VLOOKUP($C133,importrange(""1MwNMVzWE3QBVOyJjKr3eFX-Sq1Ng0Q1sghWJbgbE_8g"",""ORDER BOOKING REPORT 2024-25!C:CV""),{58,65,72},0))))"),1253458.04)</f>
        <v>1253458.04</v>
      </c>
      <c r="BR133" s="92">
        <f ca="1">IFERROR(__xludf.DUMMYFUNCTION("IFERROR(ArrayFormula(SUM(VLOOKUP($C133,importrange(""1MwNMVzWE3QBVOyJjKr3eFX-Sq1Ng0Q1sghWJbgbE_8g"",""ORDER BOOKING REPORT 2024-25!C:CV""),{79,86,93},0))))"),2135944.17999999)</f>
        <v>2135944.1799999899</v>
      </c>
      <c r="BS133" s="93" t="str">
        <f t="shared" si="12"/>
        <v/>
      </c>
      <c r="BT133" s="93" t="str">
        <f t="shared" si="13"/>
        <v/>
      </c>
      <c r="BU133" s="37">
        <f t="shared" si="14"/>
        <v>0</v>
      </c>
      <c r="BV133" s="94"/>
      <c r="BW133" s="94"/>
      <c r="BX133" s="94"/>
      <c r="BY133" s="37">
        <f t="shared" si="15"/>
        <v>-20000</v>
      </c>
      <c r="BZ133" s="37"/>
      <c r="CA133" s="37"/>
      <c r="CB133" s="37"/>
      <c r="CC133" s="37"/>
      <c r="CD133" s="37"/>
      <c r="CE133" s="37"/>
      <c r="CF133" s="37"/>
      <c r="CG133" s="37" t="str">
        <f t="shared" si="18"/>
        <v xml:space="preserve"> </v>
      </c>
      <c r="CH133" s="37" t="str">
        <f t="shared" si="26"/>
        <v>Business Achieved 50%</v>
      </c>
      <c r="CI133" s="93">
        <f t="shared" si="19"/>
        <v>0.69724770642201839</v>
      </c>
      <c r="CJ133" s="105">
        <f ca="1">IFERROR(__xludf.DUMMYFUNCTION("""COMPUTED_VALUE"""),1483)</f>
        <v>1483</v>
      </c>
      <c r="CK133" s="105">
        <f ca="1">IFERROR(__xludf.DUMMYFUNCTION("""COMPUTED_VALUE"""),204)</f>
        <v>204</v>
      </c>
      <c r="CL133" s="105">
        <f ca="1">IFERROR(__xludf.DUMMYFUNCTION("""COMPUTED_VALUE"""),0)</f>
        <v>0</v>
      </c>
      <c r="CM133" s="96">
        <f t="shared" ca="1" si="20"/>
        <v>0</v>
      </c>
      <c r="CN133" s="106"/>
      <c r="CO133" s="93"/>
      <c r="CP133" s="107"/>
      <c r="CQ133" s="110"/>
      <c r="CR133" s="93"/>
      <c r="CS133" s="93"/>
      <c r="CT133" s="93"/>
      <c r="CU133" s="93"/>
      <c r="CV133" s="93"/>
      <c r="CW133" s="93"/>
      <c r="CX133" s="51"/>
      <c r="CY133" s="93"/>
      <c r="CZ133" s="93"/>
    </row>
    <row r="134" spans="1:104" ht="15.6">
      <c r="A134" s="1" t="s">
        <v>118</v>
      </c>
      <c r="B134" s="1" t="s">
        <v>372</v>
      </c>
      <c r="C134" s="1" t="s">
        <v>254</v>
      </c>
      <c r="D134" s="1" t="s">
        <v>447</v>
      </c>
      <c r="E134" s="1" t="s">
        <v>610</v>
      </c>
      <c r="F134" s="48">
        <v>45488</v>
      </c>
      <c r="G134" s="76">
        <v>0</v>
      </c>
      <c r="H134" s="76">
        <v>18000000</v>
      </c>
      <c r="I134" s="77">
        <v>4884663.6900000004</v>
      </c>
      <c r="J134" s="77">
        <v>0</v>
      </c>
      <c r="K134" s="4">
        <v>44</v>
      </c>
      <c r="L134" s="4">
        <v>58</v>
      </c>
      <c r="M134" s="4">
        <v>15</v>
      </c>
      <c r="N134" s="4">
        <v>59</v>
      </c>
      <c r="O134" s="4">
        <v>1</v>
      </c>
      <c r="P134" s="77">
        <v>2948047.56</v>
      </c>
      <c r="Q134" s="77">
        <v>1936616.13</v>
      </c>
      <c r="R134" s="4">
        <v>24</v>
      </c>
      <c r="S134" s="4">
        <v>15</v>
      </c>
      <c r="T134" s="4">
        <v>39</v>
      </c>
      <c r="U134" s="4">
        <v>0</v>
      </c>
      <c r="V134" s="4">
        <v>22</v>
      </c>
      <c r="W134" s="4">
        <v>43</v>
      </c>
      <c r="X134" s="4">
        <v>36</v>
      </c>
      <c r="Y134" s="4">
        <v>1</v>
      </c>
      <c r="Z134" s="4">
        <v>116</v>
      </c>
      <c r="AA134" s="4">
        <v>0</v>
      </c>
      <c r="AB134" s="4">
        <v>0</v>
      </c>
      <c r="AC134" s="4">
        <v>0</v>
      </c>
      <c r="AD134" s="4">
        <v>0</v>
      </c>
      <c r="AE134" s="4">
        <v>587</v>
      </c>
      <c r="AF134" s="4">
        <v>746</v>
      </c>
      <c r="AG134" s="4">
        <v>208</v>
      </c>
      <c r="AH134" s="76">
        <f t="shared" si="1"/>
        <v>23483.960048076926</v>
      </c>
      <c r="AI134" s="76">
        <f t="shared" si="2"/>
        <v>3.5865384615384617</v>
      </c>
      <c r="AJ134" s="78">
        <v>30946</v>
      </c>
      <c r="AK134" s="76">
        <f t="shared" si="62"/>
        <v>286559.96000000002</v>
      </c>
      <c r="AL134" s="79">
        <v>98812</v>
      </c>
      <c r="AM134" s="80">
        <f t="shared" si="4"/>
        <v>7.8894266720745315E-2</v>
      </c>
      <c r="AN134" s="76">
        <f t="shared" si="5"/>
        <v>125247.78692307693</v>
      </c>
      <c r="AO134" s="102">
        <f t="shared" si="81"/>
        <v>0.27137020500000003</v>
      </c>
      <c r="AP134" s="82">
        <v>0</v>
      </c>
      <c r="AQ134" s="4">
        <v>114</v>
      </c>
      <c r="AR134" s="4">
        <v>2263</v>
      </c>
      <c r="AS134" s="4">
        <v>0</v>
      </c>
      <c r="AT134" s="4">
        <v>15</v>
      </c>
      <c r="AU134" s="4">
        <v>0</v>
      </c>
      <c r="AV134" s="1">
        <v>39</v>
      </c>
      <c r="AW134" s="1">
        <v>19</v>
      </c>
      <c r="AX134" s="1">
        <v>1</v>
      </c>
      <c r="AY134" s="86" t="str">
        <f>IFERROR(VLOOKUP(C134,#REF!,13,0),"")</f>
        <v/>
      </c>
      <c r="AZ134" s="87">
        <v>46030</v>
      </c>
      <c r="BA134" s="1" t="str">
        <f t="shared" si="6"/>
        <v>LEFT</v>
      </c>
      <c r="BB134" s="1" t="e">
        <f t="shared" ca="1" si="7"/>
        <v>#NAME?</v>
      </c>
      <c r="BC134" s="1" t="e">
        <f t="shared" ca="1" si="82"/>
        <v>#NAME?</v>
      </c>
      <c r="BD134" s="33">
        <v>9.26</v>
      </c>
      <c r="BE134" s="88" t="str">
        <v/>
      </c>
      <c r="BF134" s="1">
        <f t="shared" si="9"/>
        <v>0</v>
      </c>
      <c r="BG134" s="1" t="s">
        <v>428</v>
      </c>
      <c r="BH134" s="89">
        <f ca="1">IFERROR(__xludf.DUMMYFUNCTION("""COMPUTED_VALUE"""),5701215.6)</f>
        <v>5701215.5999999996</v>
      </c>
      <c r="BI134" s="89">
        <f ca="1">IFERROR(__xludf.DUMMYFUNCTION("""COMPUTED_VALUE"""),6382744.94)</f>
        <v>6382744.9400000004</v>
      </c>
      <c r="BJ134" s="109">
        <f>8/31</f>
        <v>0.25806451612903225</v>
      </c>
      <c r="BK134" s="91"/>
      <c r="BL134" s="91">
        <f t="shared" si="47"/>
        <v>0</v>
      </c>
      <c r="BM134" s="91">
        <f t="shared" si="11"/>
        <v>18000000</v>
      </c>
      <c r="BN134" s="91"/>
      <c r="BO134" s="92">
        <f ca="1">IFERROR(__xludf.DUMMYFUNCTION("IFERROR(ArrayFormula(SUM(VLOOKUP($C134,importrange(""1MwNMVzWE3QBVOyJjKr3eFX-Sq1Ng0Q1sghWJbgbE_8g"",""ORDER BOOKING REPORT 2024-25!C:CV""),{16,23,30},0))))"),0)</f>
        <v>0</v>
      </c>
      <c r="BP134" s="92">
        <f ca="1">IFERROR(__xludf.DUMMYFUNCTION("IFERROR(ArrayFormula(SUM(VLOOKUP($C134,importrange(""1MwNMVzWE3QBVOyJjKr3eFX-Sq1Ng0Q1sghWJbgbE_8g"",""ORDER BOOKING REPORT 2024-25!C:CV""),{37,44,51},0))))"),760041.86)</f>
        <v>760041.86</v>
      </c>
      <c r="BQ134" s="92">
        <f ca="1">IFERROR(__xludf.DUMMYFUNCTION("IFERROR(ArrayFormula(SUM(VLOOKUP($C134,importrange(""1MwNMVzWE3QBVOyJjKr3eFX-Sq1Ng0Q1sghWJbgbE_8g"",""ORDER BOOKING REPORT 2024-25!C:CV""),{58,65,72},0))))"),1788120.64)</f>
        <v>1788120.64</v>
      </c>
      <c r="BR134" s="92">
        <f ca="1">IFERROR(__xludf.DUMMYFUNCTION("IFERROR(ArrayFormula(SUM(VLOOKUP($C134,importrange(""1MwNMVzWE3QBVOyJjKr3eFX-Sq1Ng0Q1sghWJbgbE_8g"",""ORDER BOOKING REPORT 2024-25!C:CV""),{79,86,93},0))))"),3834582.44)</f>
        <v>3834582.44</v>
      </c>
      <c r="BS134" s="93" t="str">
        <f t="shared" si="12"/>
        <v/>
      </c>
      <c r="BT134" s="93" t="str">
        <f t="shared" si="13"/>
        <v/>
      </c>
      <c r="BU134" s="37">
        <f t="shared" si="14"/>
        <v>0</v>
      </c>
      <c r="BV134" s="94">
        <v>30946</v>
      </c>
      <c r="BW134" s="94" t="s">
        <v>593</v>
      </c>
      <c r="BX134" s="94">
        <v>1148</v>
      </c>
      <c r="BY134" s="37">
        <f t="shared" si="15"/>
        <v>0</v>
      </c>
      <c r="BZ134" s="37"/>
      <c r="CA134" s="37"/>
      <c r="CB134" s="37"/>
      <c r="CC134" s="37"/>
      <c r="CD134" s="37"/>
      <c r="CE134" s="37"/>
      <c r="CF134" s="37"/>
      <c r="CG134" s="37" t="str">
        <f t="shared" si="18"/>
        <v>Below 60</v>
      </c>
      <c r="CH134" s="37" t="str">
        <f t="shared" si="26"/>
        <v>Business Achieved 50%</v>
      </c>
      <c r="CI134" s="93">
        <f t="shared" si="19"/>
        <v>0.66101694915254239</v>
      </c>
      <c r="CJ134" s="95">
        <f ca="1">IFERROR(__xludf.DUMMYFUNCTION("""COMPUTED_VALUE"""),474)</f>
        <v>474</v>
      </c>
      <c r="CK134" s="95">
        <f ca="1">IFERROR(__xludf.DUMMYFUNCTION("""COMPUTED_VALUE"""),113)</f>
        <v>113</v>
      </c>
      <c r="CL134" s="95">
        <f ca="1">IFERROR(__xludf.DUMMYFUNCTION("""COMPUTED_VALUE"""),0)</f>
        <v>0</v>
      </c>
      <c r="CM134" s="96">
        <f t="shared" ca="1" si="20"/>
        <v>0</v>
      </c>
      <c r="CN134" s="103"/>
      <c r="CO134" s="4"/>
      <c r="CP134" s="100"/>
      <c r="CQ134" s="101"/>
      <c r="CR134" s="4"/>
      <c r="CS134" s="4"/>
      <c r="CT134" s="4"/>
      <c r="CU134" s="4"/>
      <c r="CV134" s="4"/>
      <c r="CW134" s="101"/>
      <c r="CX134" s="51"/>
      <c r="CY134" s="4"/>
      <c r="CZ134" s="4"/>
    </row>
    <row r="135" spans="1:104" ht="15.6">
      <c r="A135" s="1" t="s">
        <v>154</v>
      </c>
      <c r="B135" s="1" t="s">
        <v>367</v>
      </c>
      <c r="C135" s="1" t="s">
        <v>257</v>
      </c>
      <c r="D135" s="1" t="s">
        <v>577</v>
      </c>
      <c r="E135" s="1" t="s">
        <v>611</v>
      </c>
      <c r="F135" s="48">
        <v>45502</v>
      </c>
      <c r="G135" s="76">
        <v>0</v>
      </c>
      <c r="H135" s="76">
        <v>7500000</v>
      </c>
      <c r="I135" s="77">
        <v>454619.97</v>
      </c>
      <c r="J135" s="77">
        <v>0</v>
      </c>
      <c r="K135" s="4">
        <v>30</v>
      </c>
      <c r="L135" s="4">
        <v>27</v>
      </c>
      <c r="M135" s="4">
        <v>1</v>
      </c>
      <c r="N135" s="4">
        <v>31</v>
      </c>
      <c r="O135" s="4">
        <v>4</v>
      </c>
      <c r="P135" s="77">
        <v>279361.21000000002</v>
      </c>
      <c r="Q135" s="77">
        <v>175258.76</v>
      </c>
      <c r="R135" s="4">
        <v>7</v>
      </c>
      <c r="S135" s="4">
        <v>1</v>
      </c>
      <c r="T135" s="4">
        <v>8</v>
      </c>
      <c r="U135" s="4">
        <v>0</v>
      </c>
      <c r="V135" s="4">
        <v>34</v>
      </c>
      <c r="W135" s="4">
        <v>73</v>
      </c>
      <c r="X135" s="4">
        <v>96</v>
      </c>
      <c r="Y135" s="4">
        <v>1</v>
      </c>
      <c r="Z135" s="4">
        <v>48</v>
      </c>
      <c r="AA135" s="4">
        <v>0</v>
      </c>
      <c r="AB135" s="4">
        <v>0</v>
      </c>
      <c r="AC135" s="4">
        <v>0</v>
      </c>
      <c r="AD135" s="4">
        <v>0</v>
      </c>
      <c r="AE135" s="4">
        <v>250</v>
      </c>
      <c r="AF135" s="4">
        <v>371</v>
      </c>
      <c r="AG135" s="4">
        <v>91</v>
      </c>
      <c r="AH135" s="76">
        <f t="shared" si="1"/>
        <v>4995.8238461538458</v>
      </c>
      <c r="AI135" s="76">
        <f t="shared" si="2"/>
        <v>4.0769230769230766</v>
      </c>
      <c r="AJ135" s="112">
        <v>46670</v>
      </c>
      <c r="AK135" s="76">
        <f t="shared" si="62"/>
        <v>215148.7</v>
      </c>
      <c r="AL135" s="79">
        <v>40242</v>
      </c>
      <c r="AM135" s="80">
        <f t="shared" si="4"/>
        <v>0.56176744721530825</v>
      </c>
      <c r="AN135" s="76">
        <f t="shared" si="5"/>
        <v>56827.496249999997</v>
      </c>
      <c r="AO135" s="102">
        <f t="shared" si="81"/>
        <v>6.0615995999999998E-2</v>
      </c>
      <c r="AP135" s="82">
        <v>0</v>
      </c>
      <c r="AQ135" s="4">
        <v>16</v>
      </c>
      <c r="AR135" s="4">
        <v>732</v>
      </c>
      <c r="AS135" s="4">
        <v>0</v>
      </c>
      <c r="AT135" s="4">
        <v>1</v>
      </c>
      <c r="AU135" s="4">
        <v>0</v>
      </c>
      <c r="AV135" s="1">
        <v>8</v>
      </c>
      <c r="AW135" s="1">
        <v>19</v>
      </c>
      <c r="AX135" s="1">
        <v>4</v>
      </c>
      <c r="AY135" s="86" t="str">
        <f>IFERROR(VLOOKUP(C135,#REF!,13,0),"")</f>
        <v/>
      </c>
      <c r="AZ135" s="87">
        <v>45882</v>
      </c>
      <c r="BA135" s="1" t="str">
        <f t="shared" si="6"/>
        <v>LEFT</v>
      </c>
      <c r="BB135" s="1" t="e">
        <f t="shared" ca="1" si="7"/>
        <v>#NAME?</v>
      </c>
      <c r="BC135" s="1" t="e">
        <f t="shared" ca="1" si="82"/>
        <v>#NAME?</v>
      </c>
      <c r="BD135" s="33">
        <v>4.6100000000000003</v>
      </c>
      <c r="BE135" s="91" t="str">
        <v/>
      </c>
      <c r="BF135" s="1">
        <f t="shared" si="9"/>
        <v>0</v>
      </c>
      <c r="BG135" s="1" t="s">
        <v>428</v>
      </c>
      <c r="BH135" s="89">
        <f ca="1">IFERROR(__xludf.DUMMYFUNCTION("""COMPUTED_VALUE"""),541267)</f>
        <v>541267</v>
      </c>
      <c r="BI135" s="89">
        <f ca="1">IFERROR(__xludf.DUMMYFUNCTION("""COMPUTED_VALUE"""),4405303.842)</f>
        <v>4405303.8420000002</v>
      </c>
      <c r="BJ135" s="109">
        <f>19/31</f>
        <v>0.61290322580645162</v>
      </c>
      <c r="BK135" s="91"/>
      <c r="BL135" s="91">
        <f t="shared" si="47"/>
        <v>0</v>
      </c>
      <c r="BM135" s="91">
        <f t="shared" si="11"/>
        <v>7500000</v>
      </c>
      <c r="BN135" s="91"/>
      <c r="BO135" s="92">
        <f ca="1">IFERROR(__xludf.DUMMYFUNCTION("IFERROR(ArrayFormula(SUM(VLOOKUP($C135,importrange(""1MwNMVzWE3QBVOyJjKr3eFX-Sq1Ng0Q1sghWJbgbE_8g"",""ORDER BOOKING REPORT 2024-25!C:CV""),{16,23,30},0))))"),0)</f>
        <v>0</v>
      </c>
      <c r="BP135" s="92">
        <f ca="1">IFERROR(__xludf.DUMMYFUNCTION("IFERROR(ArrayFormula(SUM(VLOOKUP($C135,importrange(""1MwNMVzWE3QBVOyJjKr3eFX-Sq1Ng0Q1sghWJbgbE_8g"",""ORDER BOOKING REPORT 2024-25!C:CV""),{37,44,51},0))))"),229472.3)</f>
        <v>229472.3</v>
      </c>
      <c r="BQ135" s="92">
        <f ca="1">IFERROR(__xludf.DUMMYFUNCTION("IFERROR(ArrayFormula(SUM(VLOOKUP($C135,importrange(""1MwNMVzWE3QBVOyJjKr3eFX-Sq1Ng0Q1sghWJbgbE_8g"",""ORDER BOOKING REPORT 2024-25!C:CV""),{58,65,72},0))))"),2218444.662)</f>
        <v>2218444.662</v>
      </c>
      <c r="BR135" s="92">
        <f ca="1">IFERROR(__xludf.DUMMYFUNCTION("IFERROR(ArrayFormula(SUM(VLOOKUP($C135,importrange(""1MwNMVzWE3QBVOyJjKr3eFX-Sq1Ng0Q1sghWJbgbE_8g"",""ORDER BOOKING REPORT 2024-25!C:CV""),{79,86,93},0))))"),1957386.88)</f>
        <v>1957386.88</v>
      </c>
      <c r="BS135" s="93" t="str">
        <f t="shared" si="12"/>
        <v/>
      </c>
      <c r="BT135" s="93" t="str">
        <f t="shared" si="13"/>
        <v/>
      </c>
      <c r="BU135" s="37">
        <f t="shared" si="14"/>
        <v>0</v>
      </c>
      <c r="BV135" s="94">
        <v>46670</v>
      </c>
      <c r="BW135" s="94" t="s">
        <v>445</v>
      </c>
      <c r="BX135" s="94">
        <v>1154</v>
      </c>
      <c r="BY135" s="37">
        <f t="shared" si="15"/>
        <v>0</v>
      </c>
      <c r="BZ135" s="37"/>
      <c r="CA135" s="37"/>
      <c r="CB135" s="37"/>
      <c r="CC135" s="37"/>
      <c r="CD135" s="37"/>
      <c r="CE135" s="37"/>
      <c r="CF135" s="37"/>
      <c r="CG135" s="37" t="str">
        <f t="shared" si="18"/>
        <v>Below 60</v>
      </c>
      <c r="CH135" s="37" t="str">
        <f t="shared" si="26"/>
        <v>Not 50%</v>
      </c>
      <c r="CI135" s="93">
        <f t="shared" si="19"/>
        <v>0.25806451612903225</v>
      </c>
      <c r="CJ135" s="95">
        <f ca="1">IFERROR(__xludf.DUMMYFUNCTION("""COMPUTED_VALUE"""),128)</f>
        <v>128</v>
      </c>
      <c r="CK135" s="95">
        <f ca="1">IFERROR(__xludf.DUMMYFUNCTION("""COMPUTED_VALUE"""),122)</f>
        <v>122</v>
      </c>
      <c r="CL135" s="95">
        <f ca="1">IFERROR(__xludf.DUMMYFUNCTION("""COMPUTED_VALUE"""),0)</f>
        <v>0</v>
      </c>
      <c r="CM135" s="96">
        <f t="shared" ca="1" si="20"/>
        <v>0</v>
      </c>
      <c r="CN135" s="103"/>
      <c r="CO135" s="4"/>
      <c r="CP135" s="100"/>
      <c r="CQ135" s="101"/>
      <c r="CR135" s="4"/>
      <c r="CS135" s="4"/>
      <c r="CT135" s="4"/>
      <c r="CU135" s="4"/>
      <c r="CV135" s="4"/>
      <c r="CW135" s="101"/>
      <c r="CX135" s="51"/>
      <c r="CY135" s="4"/>
      <c r="CZ135" s="4"/>
    </row>
    <row r="136" spans="1:104" ht="15.6">
      <c r="A136" s="114" t="s">
        <v>201</v>
      </c>
      <c r="B136" s="114" t="s">
        <v>431</v>
      </c>
      <c r="C136" s="114" t="s">
        <v>255</v>
      </c>
      <c r="D136" s="1" t="s">
        <v>431</v>
      </c>
      <c r="E136" s="1" t="s">
        <v>612</v>
      </c>
      <c r="F136" s="104">
        <v>45506</v>
      </c>
      <c r="G136" s="76">
        <v>1100000</v>
      </c>
      <c r="H136" s="76">
        <v>12650000</v>
      </c>
      <c r="I136" s="77">
        <v>1915700.18</v>
      </c>
      <c r="J136" s="77">
        <v>2196126.89</v>
      </c>
      <c r="K136" s="4">
        <v>43</v>
      </c>
      <c r="L136" s="4">
        <v>48</v>
      </c>
      <c r="M136" s="4">
        <v>10</v>
      </c>
      <c r="N136" s="4">
        <v>53</v>
      </c>
      <c r="O136" s="4">
        <v>5</v>
      </c>
      <c r="P136" s="77">
        <v>1527830.88</v>
      </c>
      <c r="Q136" s="77">
        <v>387869.3</v>
      </c>
      <c r="R136" s="4">
        <v>23</v>
      </c>
      <c r="S136" s="4">
        <v>7</v>
      </c>
      <c r="T136" s="4">
        <v>30</v>
      </c>
      <c r="U136" s="4">
        <v>1</v>
      </c>
      <c r="V136" s="4">
        <v>89</v>
      </c>
      <c r="W136" s="4">
        <v>257</v>
      </c>
      <c r="X136" s="4">
        <v>48</v>
      </c>
      <c r="Y136" s="4">
        <v>5</v>
      </c>
      <c r="Z136" s="4">
        <v>30</v>
      </c>
      <c r="AA136" s="4">
        <v>1</v>
      </c>
      <c r="AB136" s="4">
        <v>186</v>
      </c>
      <c r="AC136" s="4">
        <v>3</v>
      </c>
      <c r="AD136" s="4">
        <v>24</v>
      </c>
      <c r="AE136" s="4">
        <v>500</v>
      </c>
      <c r="AF136" s="4">
        <v>997</v>
      </c>
      <c r="AG136" s="4">
        <v>264</v>
      </c>
      <c r="AH136" s="76">
        <f t="shared" si="1"/>
        <v>15575.102537878789</v>
      </c>
      <c r="AI136" s="76">
        <f t="shared" si="2"/>
        <v>3.7765151515151514</v>
      </c>
      <c r="AJ136" s="78">
        <f>BV136</f>
        <v>29360</v>
      </c>
      <c r="AK136" s="76">
        <f t="shared" si="62"/>
        <v>322960</v>
      </c>
      <c r="AL136" s="49">
        <v>77237</v>
      </c>
      <c r="AM136" s="80">
        <f t="shared" si="4"/>
        <v>9.7328266288202625E-2</v>
      </c>
      <c r="AN136" s="76">
        <f t="shared" si="5"/>
        <v>63856.672666666665</v>
      </c>
      <c r="AO136" s="102">
        <f t="shared" si="81"/>
        <v>0.29904196872727273</v>
      </c>
      <c r="AP136" s="82">
        <v>2</v>
      </c>
      <c r="AQ136" s="4">
        <v>73</v>
      </c>
      <c r="AR136" s="4">
        <v>2562</v>
      </c>
      <c r="AS136" s="4">
        <v>142.80000000000001</v>
      </c>
      <c r="AT136" s="4">
        <v>7</v>
      </c>
      <c r="AU136" s="4">
        <v>3</v>
      </c>
      <c r="AV136" s="1">
        <v>30</v>
      </c>
      <c r="AW136" s="1">
        <v>19</v>
      </c>
      <c r="AX136" s="1">
        <v>4</v>
      </c>
      <c r="AY136" s="86" t="str">
        <f>IFERROR(VLOOKUP(C136,#REF!,13,0),"")</f>
        <v/>
      </c>
      <c r="AZ136" s="87">
        <v>46081</v>
      </c>
      <c r="BA136" s="1" t="str">
        <f t="shared" si="6"/>
        <v>LEFT</v>
      </c>
      <c r="BB136" s="1" t="e">
        <f t="shared" ca="1" si="7"/>
        <v>#NAME?</v>
      </c>
      <c r="BC136" s="1" t="e">
        <f t="shared" ca="1" si="82"/>
        <v>#NAME?</v>
      </c>
      <c r="BD136" s="33">
        <v>11</v>
      </c>
      <c r="BE136" s="88" t="str">
        <v/>
      </c>
      <c r="BF136" s="1">
        <f t="shared" si="9"/>
        <v>3</v>
      </c>
      <c r="BG136" s="1" t="s">
        <v>428</v>
      </c>
      <c r="BH136" s="89">
        <f ca="1">IFERROR(__xludf.DUMMYFUNCTION("""COMPUTED_VALUE"""),985472.76)</f>
        <v>985472.76</v>
      </c>
      <c r="BI136" s="89">
        <f ca="1">IFERROR(__xludf.DUMMYFUNCTION("""COMPUTED_VALUE"""),2305075.9)</f>
        <v>2305075.9</v>
      </c>
      <c r="BJ136" s="90"/>
      <c r="BK136" s="91">
        <v>100000</v>
      </c>
      <c r="BL136" s="91">
        <f t="shared" si="47"/>
        <v>1100000</v>
      </c>
      <c r="BM136" s="91">
        <f t="shared" si="11"/>
        <v>13750000</v>
      </c>
      <c r="BN136" s="91"/>
      <c r="BO136" s="92">
        <f ca="1">IFERROR(__xludf.DUMMYFUNCTION("IFERROR(ArrayFormula(SUM(VLOOKUP($C136,importrange(""1MwNMVzWE3QBVOyJjKr3eFX-Sq1Ng0Q1sghWJbgbE_8g"",""ORDER BOOKING REPORT 2024-25!C:CV""),{16,23,30},0))))"),0)</f>
        <v>0</v>
      </c>
      <c r="BP136" s="92">
        <f ca="1">IFERROR(__xludf.DUMMYFUNCTION("IFERROR(ArrayFormula(SUM(VLOOKUP($C136,importrange(""1MwNMVzWE3QBVOyJjKr3eFX-Sq1Ng0Q1sghWJbgbE_8g"",""ORDER BOOKING REPORT 2024-25!C:CV""),{37,44,51},0))))"),25543.86)</f>
        <v>25543.86</v>
      </c>
      <c r="BQ136" s="92">
        <f ca="1">IFERROR(__xludf.DUMMYFUNCTION("IFERROR(ArrayFormula(SUM(VLOOKUP($C136,importrange(""1MwNMVzWE3QBVOyJjKr3eFX-Sq1Ng0Q1sghWJbgbE_8g"",""ORDER BOOKING REPORT 2024-25!C:CV""),{58,65,72},0))))"),893765.48)</f>
        <v>893765.48</v>
      </c>
      <c r="BR136" s="92">
        <f ca="1">IFERROR(__xludf.DUMMYFUNCTION("IFERROR(ArrayFormula(SUM(VLOOKUP($C136,importrange(""1MwNMVzWE3QBVOyJjKr3eFX-Sq1Ng0Q1sghWJbgbE_8g"",""ORDER BOOKING REPORT 2024-25!C:CV""),{79,86,93},0))))"),1385766.56)</f>
        <v>1385766.56</v>
      </c>
      <c r="BS136" s="93" t="str">
        <f t="shared" si="12"/>
        <v/>
      </c>
      <c r="BT136" s="93" t="str">
        <f t="shared" si="13"/>
        <v/>
      </c>
      <c r="BU136" s="37">
        <f t="shared" si="14"/>
        <v>0</v>
      </c>
      <c r="BV136" s="94">
        <v>29360</v>
      </c>
      <c r="BW136" s="94" t="s">
        <v>445</v>
      </c>
      <c r="BX136" s="94">
        <v>1163</v>
      </c>
      <c r="BY136" s="37">
        <f t="shared" si="15"/>
        <v>0</v>
      </c>
      <c r="BZ136" s="37"/>
      <c r="CA136" s="37"/>
      <c r="CB136" s="37"/>
      <c r="CC136" s="37"/>
      <c r="CD136" s="37"/>
      <c r="CE136" s="37"/>
      <c r="CF136" s="37"/>
      <c r="CG136" s="37" t="str">
        <f t="shared" si="18"/>
        <v>Below 60</v>
      </c>
      <c r="CH136" s="37" t="str">
        <f t="shared" si="26"/>
        <v>Business Achieved 50%</v>
      </c>
      <c r="CI136" s="93">
        <f t="shared" si="19"/>
        <v>0.56603773584905659</v>
      </c>
      <c r="CJ136" s="105">
        <f ca="1">IFERROR(__xludf.DUMMYFUNCTION("""COMPUTED_VALUE"""),411)</f>
        <v>411</v>
      </c>
      <c r="CK136" s="105">
        <f ca="1">IFERROR(__xludf.DUMMYFUNCTION("""COMPUTED_VALUE"""),89)</f>
        <v>89</v>
      </c>
      <c r="CL136" s="105">
        <f ca="1">IFERROR(__xludf.DUMMYFUNCTION("""COMPUTED_VALUE"""),0)</f>
        <v>0</v>
      </c>
      <c r="CM136" s="96">
        <f t="shared" ca="1" si="20"/>
        <v>0</v>
      </c>
      <c r="CN136" s="106"/>
      <c r="CO136" s="93"/>
      <c r="CP136" s="107"/>
      <c r="CQ136" s="110"/>
      <c r="CR136" s="93"/>
      <c r="CS136" s="93"/>
      <c r="CT136" s="93"/>
      <c r="CU136" s="93"/>
      <c r="CV136" s="93"/>
      <c r="CW136" s="93"/>
      <c r="CX136" s="51"/>
      <c r="CY136" s="93"/>
      <c r="CZ136" s="93"/>
    </row>
    <row r="137" spans="1:104" ht="15.6">
      <c r="A137" s="1" t="s">
        <v>118</v>
      </c>
      <c r="B137" s="1" t="s">
        <v>359</v>
      </c>
      <c r="C137" s="1" t="s">
        <v>260</v>
      </c>
      <c r="D137" s="1" t="s">
        <v>442</v>
      </c>
      <c r="E137" s="1" t="s">
        <v>613</v>
      </c>
      <c r="F137" s="48">
        <v>45516</v>
      </c>
      <c r="G137" s="76">
        <v>0</v>
      </c>
      <c r="H137" s="76">
        <v>7500000</v>
      </c>
      <c r="I137" s="77">
        <v>0</v>
      </c>
      <c r="J137" s="77">
        <v>383734.19</v>
      </c>
      <c r="K137" s="4">
        <v>13</v>
      </c>
      <c r="L137" s="4">
        <v>11</v>
      </c>
      <c r="M137" s="4">
        <v>0</v>
      </c>
      <c r="N137" s="4">
        <v>13</v>
      </c>
      <c r="O137" s="4">
        <v>2</v>
      </c>
      <c r="P137" s="77">
        <v>0</v>
      </c>
      <c r="Q137" s="77">
        <v>0</v>
      </c>
      <c r="R137" s="4">
        <v>0</v>
      </c>
      <c r="S137" s="4">
        <v>0</v>
      </c>
      <c r="T137" s="4">
        <v>0</v>
      </c>
      <c r="U137" s="4">
        <v>1</v>
      </c>
      <c r="V137" s="4">
        <v>14</v>
      </c>
      <c r="W137" s="4">
        <v>25</v>
      </c>
      <c r="X137" s="4">
        <v>4</v>
      </c>
      <c r="Y137" s="4">
        <v>1</v>
      </c>
      <c r="Z137" s="4">
        <v>15</v>
      </c>
      <c r="AA137" s="4">
        <v>2</v>
      </c>
      <c r="AB137" s="4">
        <v>30</v>
      </c>
      <c r="AC137" s="4">
        <v>0</v>
      </c>
      <c r="AD137" s="4">
        <v>0</v>
      </c>
      <c r="AE137" s="4">
        <v>176</v>
      </c>
      <c r="AF137" s="4">
        <v>246</v>
      </c>
      <c r="AG137" s="4">
        <v>83</v>
      </c>
      <c r="AH137" s="76">
        <f t="shared" si="1"/>
        <v>4623.3034939759036</v>
      </c>
      <c r="AI137" s="76">
        <f t="shared" si="2"/>
        <v>2.963855421686747</v>
      </c>
      <c r="AJ137" s="112">
        <v>25700</v>
      </c>
      <c r="AK137" s="76">
        <f t="shared" si="62"/>
        <v>128500</v>
      </c>
      <c r="AL137" s="79"/>
      <c r="AM137" s="80">
        <f t="shared" si="4"/>
        <v>0.33486721628844174</v>
      </c>
      <c r="AN137" s="76" t="str">
        <f t="shared" si="5"/>
        <v/>
      </c>
      <c r="AO137" s="102">
        <f t="shared" si="81"/>
        <v>5.1164558666666665E-2</v>
      </c>
      <c r="AP137" s="82">
        <v>0</v>
      </c>
      <c r="AQ137" s="4">
        <v>0</v>
      </c>
      <c r="AR137" s="4">
        <v>603</v>
      </c>
      <c r="AS137" s="4">
        <v>0</v>
      </c>
      <c r="AT137" s="4">
        <v>0</v>
      </c>
      <c r="AU137" s="4">
        <v>0</v>
      </c>
      <c r="AV137" s="1">
        <v>0</v>
      </c>
      <c r="AW137" s="1">
        <v>11</v>
      </c>
      <c r="AX137" s="1">
        <v>2</v>
      </c>
      <c r="AY137" s="86" t="str">
        <f>IFERROR(VLOOKUP(C137,#REF!,13,0),"")</f>
        <v/>
      </c>
      <c r="AZ137" s="87">
        <v>45899</v>
      </c>
      <c r="BA137" s="1" t="str">
        <f t="shared" si="6"/>
        <v>LEFT</v>
      </c>
      <c r="BB137" s="1" t="e">
        <f t="shared" ca="1" si="7"/>
        <v>#NAME?</v>
      </c>
      <c r="BC137" s="1" t="e">
        <f t="shared" ca="1" si="82"/>
        <v>#NAME?</v>
      </c>
      <c r="BD137" s="33">
        <v>5</v>
      </c>
      <c r="BE137" s="91" t="str">
        <v/>
      </c>
      <c r="BF137" s="1">
        <f t="shared" si="9"/>
        <v>0</v>
      </c>
      <c r="BG137" s="1" t="s">
        <v>428</v>
      </c>
      <c r="BH137" s="89">
        <f ca="1">IFERROR(__xludf.DUMMYFUNCTION("""COMPUTED_VALUE"""),0)</f>
        <v>0</v>
      </c>
      <c r="BI137" s="89">
        <f ca="1">IFERROR(__xludf.DUMMYFUNCTION("""COMPUTED_VALUE"""),1747803.68)</f>
        <v>1747803.68</v>
      </c>
      <c r="BJ137" s="109"/>
      <c r="BK137" s="91"/>
      <c r="BL137" s="91">
        <f t="shared" si="47"/>
        <v>0</v>
      </c>
      <c r="BM137" s="91">
        <f t="shared" si="11"/>
        <v>7500000</v>
      </c>
      <c r="BN137" s="91"/>
      <c r="BO137" s="92">
        <f ca="1">IFERROR(__xludf.DUMMYFUNCTION("IFERROR(ArrayFormula(SUM(VLOOKUP($C137,importrange(""1MwNMVzWE3QBVOyJjKr3eFX-Sq1Ng0Q1sghWJbgbE_8g"",""ORDER BOOKING REPORT 2024-25!C:CV""),{16,23,30},0))))"),0)</f>
        <v>0</v>
      </c>
      <c r="BP137" s="92">
        <f ca="1">IFERROR(__xludf.DUMMYFUNCTION("IFERROR(ArrayFormula(SUM(VLOOKUP($C137,importrange(""1MwNMVzWE3QBVOyJjKr3eFX-Sq1Ng0Q1sghWJbgbE_8g"",""ORDER BOOKING REPORT 2024-25!C:CV""),{37,44,51},0))))"),748566.8)</f>
        <v>748566.8</v>
      </c>
      <c r="BQ137" s="92">
        <f ca="1">IFERROR(__xludf.DUMMYFUNCTION("IFERROR(ArrayFormula(SUM(VLOOKUP($C137,importrange(""1MwNMVzWE3QBVOyJjKr3eFX-Sq1Ng0Q1sghWJbgbE_8g"",""ORDER BOOKING REPORT 2024-25!C:CV""),{58,65,72},0))))"),635814.76)</f>
        <v>635814.76</v>
      </c>
      <c r="BR137" s="92">
        <f ca="1">IFERROR(__xludf.DUMMYFUNCTION("IFERROR(ArrayFormula(SUM(VLOOKUP($C137,importrange(""1MwNMVzWE3QBVOyJjKr3eFX-Sq1Ng0Q1sghWJbgbE_8g"",""ORDER BOOKING REPORT 2024-25!C:CV""),{79,86,93},0))))"),363422.12)</f>
        <v>363422.12</v>
      </c>
      <c r="BS137" s="93" t="str">
        <f t="shared" si="12"/>
        <v/>
      </c>
      <c r="BT137" s="93" t="str">
        <f t="shared" si="13"/>
        <v/>
      </c>
      <c r="BU137" s="37">
        <f t="shared" si="14"/>
        <v>0</v>
      </c>
      <c r="BV137" s="94">
        <v>25700</v>
      </c>
      <c r="BW137" s="94" t="s">
        <v>593</v>
      </c>
      <c r="BX137" s="94">
        <v>1165</v>
      </c>
      <c r="BY137" s="37">
        <f t="shared" si="15"/>
        <v>0</v>
      </c>
      <c r="BZ137" s="37"/>
      <c r="CA137" s="37"/>
      <c r="CB137" s="37"/>
      <c r="CC137" s="37"/>
      <c r="CD137" s="37"/>
      <c r="CE137" s="37"/>
      <c r="CF137" s="37"/>
      <c r="CG137" s="37" t="str">
        <f t="shared" si="18"/>
        <v>Below 60</v>
      </c>
      <c r="CH137" s="37" t="str">
        <f t="shared" si="26"/>
        <v>Not 50%</v>
      </c>
      <c r="CI137" s="93">
        <f t="shared" si="19"/>
        <v>0</v>
      </c>
      <c r="CJ137" s="95">
        <f ca="1">IFERROR(__xludf.DUMMYFUNCTION("""COMPUTED_VALUE"""),0)</f>
        <v>0</v>
      </c>
      <c r="CK137" s="95">
        <f ca="1">IFERROR(__xludf.DUMMYFUNCTION("""COMPUTED_VALUE"""),176)</f>
        <v>176</v>
      </c>
      <c r="CL137" s="95">
        <f ca="1">IFERROR(__xludf.DUMMYFUNCTION("""COMPUTED_VALUE"""),0)</f>
        <v>0</v>
      </c>
      <c r="CM137" s="96">
        <f t="shared" ca="1" si="20"/>
        <v>0</v>
      </c>
      <c r="CN137" s="103"/>
      <c r="CO137" s="4"/>
      <c r="CP137" s="100"/>
      <c r="CQ137" s="101"/>
      <c r="CR137" s="4"/>
      <c r="CS137" s="4"/>
      <c r="CT137" s="4"/>
      <c r="CU137" s="4"/>
      <c r="CV137" s="4"/>
      <c r="CW137" s="101"/>
      <c r="CX137" s="51"/>
      <c r="CY137" s="4"/>
      <c r="CZ137" s="4"/>
    </row>
    <row r="138" spans="1:104" ht="15.6">
      <c r="A138" s="1" t="s">
        <v>124</v>
      </c>
      <c r="B138" s="1" t="s">
        <v>443</v>
      </c>
      <c r="C138" s="1" t="s">
        <v>261</v>
      </c>
      <c r="D138" s="1" t="s">
        <v>517</v>
      </c>
      <c r="E138" s="1" t="s">
        <v>614</v>
      </c>
      <c r="F138" s="48">
        <v>45516</v>
      </c>
      <c r="G138" s="76">
        <v>0</v>
      </c>
      <c r="H138" s="76">
        <v>12000000</v>
      </c>
      <c r="I138" s="77">
        <v>6205273.3399999999</v>
      </c>
      <c r="J138" s="77">
        <v>0</v>
      </c>
      <c r="K138" s="4">
        <v>135</v>
      </c>
      <c r="L138" s="4">
        <v>141</v>
      </c>
      <c r="M138" s="4">
        <v>17</v>
      </c>
      <c r="N138" s="4">
        <v>152</v>
      </c>
      <c r="O138" s="4">
        <v>11</v>
      </c>
      <c r="P138" s="77">
        <v>5212911.34</v>
      </c>
      <c r="Q138" s="77">
        <v>992362</v>
      </c>
      <c r="R138" s="4">
        <v>78</v>
      </c>
      <c r="S138" s="4">
        <v>16</v>
      </c>
      <c r="T138" s="4">
        <v>94</v>
      </c>
      <c r="U138" s="4">
        <v>0</v>
      </c>
      <c r="V138" s="4">
        <v>358</v>
      </c>
      <c r="W138" s="4">
        <v>662</v>
      </c>
      <c r="X138" s="4">
        <v>70</v>
      </c>
      <c r="Y138" s="4">
        <v>1</v>
      </c>
      <c r="Z138" s="4">
        <v>26</v>
      </c>
      <c r="AA138" s="4">
        <v>0</v>
      </c>
      <c r="AB138" s="4">
        <v>0</v>
      </c>
      <c r="AC138" s="4">
        <v>0</v>
      </c>
      <c r="AD138" s="4">
        <v>0</v>
      </c>
      <c r="AE138" s="4">
        <v>676</v>
      </c>
      <c r="AF138" s="4">
        <v>1364</v>
      </c>
      <c r="AG138" s="4">
        <v>291</v>
      </c>
      <c r="AH138" s="76">
        <f t="shared" si="1"/>
        <v>21323.963367697594</v>
      </c>
      <c r="AI138" s="76">
        <f t="shared" si="2"/>
        <v>4.6872852233676978</v>
      </c>
      <c r="AJ138" s="112">
        <v>27260</v>
      </c>
      <c r="AK138" s="76">
        <f t="shared" si="62"/>
        <v>327120</v>
      </c>
      <c r="AL138" s="79">
        <v>139024</v>
      </c>
      <c r="AM138" s="80">
        <f t="shared" si="4"/>
        <v>7.5120623131164119E-2</v>
      </c>
      <c r="AN138" s="76">
        <f t="shared" si="5"/>
        <v>66013.546170212765</v>
      </c>
      <c r="AO138" s="102">
        <f t="shared" si="81"/>
        <v>0.51710611166666665</v>
      </c>
      <c r="AP138" s="82">
        <v>0</v>
      </c>
      <c r="AQ138" s="4">
        <v>364</v>
      </c>
      <c r="AR138" s="4">
        <v>2839</v>
      </c>
      <c r="AS138" s="4">
        <v>3156.17</v>
      </c>
      <c r="AT138" s="4">
        <v>16</v>
      </c>
      <c r="AU138" s="4">
        <v>22</v>
      </c>
      <c r="AV138" s="1">
        <v>94</v>
      </c>
      <c r="AW138" s="1">
        <v>49</v>
      </c>
      <c r="AX138" s="1">
        <v>9</v>
      </c>
      <c r="AY138" s="86" t="str">
        <f>IFERROR(VLOOKUP(C138,#REF!,13,0),"")</f>
        <v/>
      </c>
      <c r="AZ138" s="87"/>
      <c r="BA138" s="1" t="str">
        <f t="shared" si="6"/>
        <v>Active</v>
      </c>
      <c r="BB138" s="1" t="e">
        <f t="shared" ca="1" si="7"/>
        <v>#NAME?</v>
      </c>
      <c r="BC138" s="1" t="e">
        <f t="shared" ca="1" si="82"/>
        <v>#NAME?</v>
      </c>
      <c r="BD138" s="33">
        <f t="shared" ref="BD138:BD139" si="86">MATCH($BD$2,{"Apr","May","Jun","Jul","Aug","Sep","Oct","Nov","Dec","Jan","Feb","Mar"},0)</f>
        <v>12</v>
      </c>
      <c r="BE138" s="88" t="str">
        <v/>
      </c>
      <c r="BF138" s="1">
        <f t="shared" si="9"/>
        <v>1</v>
      </c>
      <c r="BG138" s="1" t="s">
        <v>428</v>
      </c>
      <c r="BH138" s="89">
        <f ca="1">IFERROR(__xludf.DUMMYFUNCTION("""COMPUTED_VALUE"""),2236625)</f>
        <v>2236625</v>
      </c>
      <c r="BI138" s="89">
        <f ca="1">IFERROR(__xludf.DUMMYFUNCTION("""COMPUTED_VALUE"""),1784453.23)</f>
        <v>1784453.23</v>
      </c>
      <c r="BJ138" s="90"/>
      <c r="BK138" s="91"/>
      <c r="BL138" s="91">
        <f t="shared" si="47"/>
        <v>0</v>
      </c>
      <c r="BM138" s="91">
        <f t="shared" si="11"/>
        <v>12000000</v>
      </c>
      <c r="BN138" s="91"/>
      <c r="BO138" s="92">
        <f ca="1">IFERROR(__xludf.DUMMYFUNCTION("IFERROR(ArrayFormula(SUM(VLOOKUP($C138,importrange(""1MwNMVzWE3QBVOyJjKr3eFX-Sq1Ng0Q1sghWJbgbE_8g"",""ORDER BOOKING REPORT 2024-25!C:CV""),{16,23,30},0))))"),0)</f>
        <v>0</v>
      </c>
      <c r="BP138" s="92">
        <f ca="1">IFERROR(__xludf.DUMMYFUNCTION("IFERROR(ArrayFormula(SUM(VLOOKUP($C138,importrange(""1MwNMVzWE3QBVOyJjKr3eFX-Sq1Ng0Q1sghWJbgbE_8g"",""ORDER BOOKING REPORT 2024-25!C:CV""),{37,44,51},0))))"),236671.7)</f>
        <v>236671.7</v>
      </c>
      <c r="BQ138" s="92">
        <f ca="1">IFERROR(__xludf.DUMMYFUNCTION("IFERROR(ArrayFormula(SUM(VLOOKUP($C138,importrange(""1MwNMVzWE3QBVOyJjKr3eFX-Sq1Ng0Q1sghWJbgbE_8g"",""ORDER BOOKING REPORT 2024-25!C:CV""),{58,65,72},0))))"),584062.28)</f>
        <v>584062.28</v>
      </c>
      <c r="BR138" s="92">
        <f ca="1">IFERROR(__xludf.DUMMYFUNCTION("IFERROR(ArrayFormula(SUM(VLOOKUP($C138,importrange(""1MwNMVzWE3QBVOyJjKr3eFX-Sq1Ng0Q1sghWJbgbE_8g"",""ORDER BOOKING REPORT 2024-25!C:CV""),{79,86,93},0))))"),963719.25)</f>
        <v>963719.25</v>
      </c>
      <c r="BS138" s="93" t="str">
        <f t="shared" si="12"/>
        <v/>
      </c>
      <c r="BT138" s="93" t="str">
        <f t="shared" si="13"/>
        <v/>
      </c>
      <c r="BU138" s="37">
        <f t="shared" si="14"/>
        <v>0</v>
      </c>
      <c r="BV138" s="94">
        <v>27260</v>
      </c>
      <c r="BW138" s="94" t="s">
        <v>593</v>
      </c>
      <c r="BX138" s="94">
        <v>1164</v>
      </c>
      <c r="BY138" s="37">
        <f t="shared" si="15"/>
        <v>0</v>
      </c>
      <c r="BZ138" s="37"/>
      <c r="CA138" s="37"/>
      <c r="CB138" s="37"/>
      <c r="CC138" s="37"/>
      <c r="CD138" s="37"/>
      <c r="CE138" s="37"/>
      <c r="CF138" s="37"/>
      <c r="CG138" s="37" t="str">
        <f t="shared" si="18"/>
        <v xml:space="preserve"> </v>
      </c>
      <c r="CH138" s="37" t="str">
        <f t="shared" si="26"/>
        <v>Business Achieved 50%</v>
      </c>
      <c r="CI138" s="93">
        <f t="shared" si="19"/>
        <v>0.61842105263157898</v>
      </c>
      <c r="CJ138" s="95">
        <f ca="1">IFERROR(__xludf.DUMMYFUNCTION("""COMPUTED_VALUE"""),522)</f>
        <v>522</v>
      </c>
      <c r="CK138" s="95">
        <f ca="1">IFERROR(__xludf.DUMMYFUNCTION("""COMPUTED_VALUE"""),154)</f>
        <v>154</v>
      </c>
      <c r="CL138" s="95">
        <f ca="1">IFERROR(__xludf.DUMMYFUNCTION("""COMPUTED_VALUE"""),0)</f>
        <v>0</v>
      </c>
      <c r="CM138" s="96">
        <f t="shared" ca="1" si="20"/>
        <v>0</v>
      </c>
      <c r="CN138" s="103"/>
      <c r="CO138" s="4"/>
      <c r="CP138" s="100"/>
      <c r="CQ138" s="101"/>
      <c r="CR138" s="4"/>
      <c r="CS138" s="4"/>
      <c r="CT138" s="4"/>
      <c r="CU138" s="4"/>
      <c r="CV138" s="4"/>
      <c r="CW138" s="101"/>
      <c r="CX138" s="51"/>
      <c r="CY138" s="4"/>
      <c r="CZ138" s="4"/>
    </row>
    <row r="139" spans="1:104" ht="15.6">
      <c r="A139" s="1" t="s">
        <v>154</v>
      </c>
      <c r="B139" s="1" t="s">
        <v>367</v>
      </c>
      <c r="C139" s="1" t="s">
        <v>263</v>
      </c>
      <c r="D139" s="1" t="s">
        <v>577</v>
      </c>
      <c r="E139" s="1" t="s">
        <v>368</v>
      </c>
      <c r="F139" s="48">
        <v>45518</v>
      </c>
      <c r="G139" s="76">
        <v>0</v>
      </c>
      <c r="H139" s="76">
        <v>8400000</v>
      </c>
      <c r="I139" s="77">
        <v>2887869.98</v>
      </c>
      <c r="J139" s="77">
        <v>0</v>
      </c>
      <c r="K139" s="4">
        <v>68</v>
      </c>
      <c r="L139" s="4">
        <v>85</v>
      </c>
      <c r="M139" s="4">
        <v>20</v>
      </c>
      <c r="N139" s="4">
        <v>88</v>
      </c>
      <c r="O139" s="4">
        <v>3</v>
      </c>
      <c r="P139" s="77">
        <v>2051975.42</v>
      </c>
      <c r="Q139" s="77">
        <v>835894.56</v>
      </c>
      <c r="R139" s="4">
        <v>45</v>
      </c>
      <c r="S139" s="4">
        <v>20</v>
      </c>
      <c r="T139" s="4">
        <v>65</v>
      </c>
      <c r="U139" s="4">
        <v>0</v>
      </c>
      <c r="V139" s="4">
        <v>154</v>
      </c>
      <c r="W139" s="4">
        <v>290</v>
      </c>
      <c r="X139" s="4">
        <v>95</v>
      </c>
      <c r="Y139" s="4">
        <v>3</v>
      </c>
      <c r="Z139" s="4">
        <v>225</v>
      </c>
      <c r="AA139" s="4">
        <v>0</v>
      </c>
      <c r="AB139" s="4">
        <v>0</v>
      </c>
      <c r="AC139" s="4">
        <v>0</v>
      </c>
      <c r="AD139" s="4">
        <v>0</v>
      </c>
      <c r="AE139" s="4">
        <v>1536</v>
      </c>
      <c r="AF139" s="4">
        <v>2051</v>
      </c>
      <c r="AG139" s="4">
        <v>270</v>
      </c>
      <c r="AH139" s="76">
        <f t="shared" si="1"/>
        <v>10695.814740740741</v>
      </c>
      <c r="AI139" s="76">
        <f t="shared" si="2"/>
        <v>7.5962962962962965</v>
      </c>
      <c r="AJ139" s="112">
        <v>23570</v>
      </c>
      <c r="AK139" s="76">
        <f t="shared" si="62"/>
        <v>282840</v>
      </c>
      <c r="AL139" s="79">
        <v>172362</v>
      </c>
      <c r="AM139" s="80">
        <f t="shared" si="4"/>
        <v>0.15762551747568634</v>
      </c>
      <c r="AN139" s="76">
        <f t="shared" si="5"/>
        <v>44428.768923076925</v>
      </c>
      <c r="AO139" s="102">
        <f t="shared" si="81"/>
        <v>0.34379404523809526</v>
      </c>
      <c r="AP139" s="82">
        <v>0</v>
      </c>
      <c r="AQ139" s="4">
        <v>203</v>
      </c>
      <c r="AR139" s="4">
        <v>2768</v>
      </c>
      <c r="AS139" s="4">
        <v>2407.7399999999998</v>
      </c>
      <c r="AT139" s="4">
        <v>20</v>
      </c>
      <c r="AU139" s="4">
        <v>28</v>
      </c>
      <c r="AV139" s="1">
        <v>65</v>
      </c>
      <c r="AW139" s="1">
        <v>20</v>
      </c>
      <c r="AX139" s="1">
        <v>3</v>
      </c>
      <c r="AY139" s="86" t="str">
        <f>IFERROR(VLOOKUP(C139,#REF!,13,0),"")</f>
        <v/>
      </c>
      <c r="AZ139" s="87"/>
      <c r="BA139" s="1" t="str">
        <f t="shared" si="6"/>
        <v>Active</v>
      </c>
      <c r="BB139" s="1" t="e">
        <f t="shared" ca="1" si="7"/>
        <v>#NAME?</v>
      </c>
      <c r="BC139" s="1" t="e">
        <f t="shared" ca="1" si="82"/>
        <v>#NAME?</v>
      </c>
      <c r="BD139" s="33">
        <f t="shared" si="86"/>
        <v>12</v>
      </c>
      <c r="BE139" s="88" t="str">
        <v/>
      </c>
      <c r="BF139" s="1">
        <f t="shared" si="9"/>
        <v>0</v>
      </c>
      <c r="BG139" s="1" t="s">
        <v>428</v>
      </c>
      <c r="BH139" s="89">
        <f ca="1">IFERROR(__xludf.DUMMYFUNCTION("""COMPUTED_VALUE"""),0)</f>
        <v>0</v>
      </c>
      <c r="BI139" s="89">
        <f ca="1">IFERROR(__xludf.DUMMYFUNCTION("""COMPUTED_VALUE"""),1665274.9)</f>
        <v>1665274.9</v>
      </c>
      <c r="BJ139" s="90"/>
      <c r="BK139" s="91"/>
      <c r="BL139" s="91">
        <f t="shared" si="47"/>
        <v>0</v>
      </c>
      <c r="BM139" s="91">
        <f t="shared" si="11"/>
        <v>8400000</v>
      </c>
      <c r="BN139" s="91"/>
      <c r="BO139" s="92">
        <f ca="1">IFERROR(__xludf.DUMMYFUNCTION("IFERROR(ArrayFormula(SUM(VLOOKUP($C139,importrange(""1MwNMVzWE3QBVOyJjKr3eFX-Sq1Ng0Q1sghWJbgbE_8g"",""ORDER BOOKING REPORT 2024-25!C:CV""),{16,23,30},0))))"),0)</f>
        <v>0</v>
      </c>
      <c r="BP139" s="92">
        <f ca="1">IFERROR(__xludf.DUMMYFUNCTION("IFERROR(ArrayFormula(SUM(VLOOKUP($C139,importrange(""1MwNMVzWE3QBVOyJjKr3eFX-Sq1Ng0Q1sghWJbgbE_8g"",""ORDER BOOKING REPORT 2024-25!C:CV""),{37,44,51},0))))"),76521.08)</f>
        <v>76521.08</v>
      </c>
      <c r="BQ139" s="92">
        <f ca="1">IFERROR(__xludf.DUMMYFUNCTION("IFERROR(ArrayFormula(SUM(VLOOKUP($C139,importrange(""1MwNMVzWE3QBVOyJjKr3eFX-Sq1Ng0Q1sghWJbgbE_8g"",""ORDER BOOKING REPORT 2024-25!C:CV""),{58,65,72},0))))"),826375.94)</f>
        <v>826375.94</v>
      </c>
      <c r="BR139" s="92">
        <f ca="1">IFERROR(__xludf.DUMMYFUNCTION("IFERROR(ArrayFormula(SUM(VLOOKUP($C139,importrange(""1MwNMVzWE3QBVOyJjKr3eFX-Sq1Ng0Q1sghWJbgbE_8g"",""ORDER BOOKING REPORT 2024-25!C:CV""),{79,86,93},0))))"),762377.88)</f>
        <v>762377.88</v>
      </c>
      <c r="BS139" s="93" t="str">
        <f t="shared" si="12"/>
        <v/>
      </c>
      <c r="BT139" s="93" t="str">
        <f t="shared" si="13"/>
        <v/>
      </c>
      <c r="BU139" s="37">
        <f t="shared" si="14"/>
        <v>0</v>
      </c>
      <c r="BV139" s="94">
        <v>23570</v>
      </c>
      <c r="BW139" s="94" t="s">
        <v>593</v>
      </c>
      <c r="BX139" s="94">
        <v>1166</v>
      </c>
      <c r="BY139" s="37">
        <f t="shared" si="15"/>
        <v>0</v>
      </c>
      <c r="BZ139" s="37"/>
      <c r="CA139" s="37"/>
      <c r="CB139" s="37"/>
      <c r="CC139" s="37"/>
      <c r="CD139" s="37"/>
      <c r="CE139" s="37"/>
      <c r="CF139" s="37"/>
      <c r="CG139" s="37" t="str">
        <f t="shared" si="18"/>
        <v xml:space="preserve"> </v>
      </c>
      <c r="CH139" s="37" t="str">
        <f t="shared" si="26"/>
        <v>Business Achieved 50%</v>
      </c>
      <c r="CI139" s="93">
        <f t="shared" si="19"/>
        <v>0.73863636363636365</v>
      </c>
      <c r="CJ139" s="95">
        <f ca="1">IFERROR(__xludf.DUMMYFUNCTION("""COMPUTED_VALUE"""),1178)</f>
        <v>1178</v>
      </c>
      <c r="CK139" s="95">
        <f ca="1">IFERROR(__xludf.DUMMYFUNCTION("""COMPUTED_VALUE"""),358)</f>
        <v>358</v>
      </c>
      <c r="CL139" s="95">
        <f ca="1">IFERROR(__xludf.DUMMYFUNCTION("""COMPUTED_VALUE"""),0)</f>
        <v>0</v>
      </c>
      <c r="CM139" s="96">
        <f t="shared" ca="1" si="20"/>
        <v>0</v>
      </c>
      <c r="CN139" s="103"/>
      <c r="CO139" s="4"/>
      <c r="CP139" s="100"/>
      <c r="CQ139" s="101"/>
      <c r="CR139" s="4"/>
      <c r="CS139" s="4"/>
      <c r="CT139" s="4"/>
      <c r="CU139" s="4"/>
      <c r="CV139" s="4"/>
      <c r="CW139" s="101"/>
      <c r="CX139" s="51"/>
      <c r="CY139" s="4"/>
      <c r="CZ139" s="4"/>
    </row>
    <row r="140" spans="1:104" ht="15.6">
      <c r="A140" s="1" t="s">
        <v>118</v>
      </c>
      <c r="B140" s="1" t="s">
        <v>460</v>
      </c>
      <c r="C140" s="1" t="s">
        <v>262</v>
      </c>
      <c r="D140" s="1" t="s">
        <v>615</v>
      </c>
      <c r="E140" s="1" t="s">
        <v>616</v>
      </c>
      <c r="F140" s="48">
        <v>45523</v>
      </c>
      <c r="G140" s="76">
        <v>0</v>
      </c>
      <c r="H140" s="76">
        <v>0</v>
      </c>
      <c r="I140" s="77">
        <v>0</v>
      </c>
      <c r="J140" s="77">
        <v>0</v>
      </c>
      <c r="K140" s="4">
        <v>1</v>
      </c>
      <c r="L140" s="4">
        <v>1</v>
      </c>
      <c r="M140" s="4">
        <v>0</v>
      </c>
      <c r="N140" s="4">
        <v>1</v>
      </c>
      <c r="O140" s="4">
        <v>0</v>
      </c>
      <c r="P140" s="77">
        <v>0</v>
      </c>
      <c r="Q140" s="77">
        <v>0</v>
      </c>
      <c r="R140" s="4">
        <v>0</v>
      </c>
      <c r="S140" s="4">
        <v>0</v>
      </c>
      <c r="T140" s="4">
        <v>0</v>
      </c>
      <c r="U140" s="4">
        <v>0</v>
      </c>
      <c r="V140" s="4">
        <v>35</v>
      </c>
      <c r="W140" s="4">
        <v>68</v>
      </c>
      <c r="X140" s="4">
        <v>18</v>
      </c>
      <c r="Y140" s="4">
        <v>2</v>
      </c>
      <c r="Z140" s="4">
        <v>8</v>
      </c>
      <c r="AA140" s="4">
        <v>0</v>
      </c>
      <c r="AB140" s="4">
        <v>0</v>
      </c>
      <c r="AC140" s="4">
        <v>96</v>
      </c>
      <c r="AD140" s="4">
        <v>308</v>
      </c>
      <c r="AE140" s="4">
        <v>1</v>
      </c>
      <c r="AF140" s="4">
        <v>385</v>
      </c>
      <c r="AG140" s="4">
        <v>89</v>
      </c>
      <c r="AH140" s="76">
        <f t="shared" si="1"/>
        <v>0</v>
      </c>
      <c r="AI140" s="76">
        <f t="shared" si="2"/>
        <v>4.3258426966292136</v>
      </c>
      <c r="AJ140" s="112">
        <v>72970</v>
      </c>
      <c r="AK140" s="76">
        <f t="shared" si="62"/>
        <v>291880</v>
      </c>
      <c r="AL140" s="49">
        <v>181228</v>
      </c>
      <c r="AM140" s="80" t="str">
        <f t="shared" si="4"/>
        <v/>
      </c>
      <c r="AN140" s="76" t="str">
        <f t="shared" si="5"/>
        <v/>
      </c>
      <c r="AO140" s="49" t="s">
        <v>161</v>
      </c>
      <c r="AP140" s="82">
        <v>0</v>
      </c>
      <c r="AQ140" s="4">
        <v>0</v>
      </c>
      <c r="AR140" s="4">
        <v>962</v>
      </c>
      <c r="AS140" s="4">
        <v>0</v>
      </c>
      <c r="AT140" s="4">
        <v>0</v>
      </c>
      <c r="AU140" s="4">
        <v>0</v>
      </c>
      <c r="AV140" s="1">
        <v>0</v>
      </c>
      <c r="AW140" s="1">
        <v>1</v>
      </c>
      <c r="AX140" s="1">
        <v>0</v>
      </c>
      <c r="AY140" s="86" t="str">
        <f>IFERROR(VLOOKUP(C140,#REF!,13,0),"")</f>
        <v/>
      </c>
      <c r="AZ140" s="87">
        <v>45869</v>
      </c>
      <c r="BA140" s="1" t="str">
        <f t="shared" si="6"/>
        <v>LEFT</v>
      </c>
      <c r="BB140" s="1" t="e">
        <f t="shared" ca="1" si="7"/>
        <v>#NAME?</v>
      </c>
      <c r="BC140" s="4" t="s">
        <v>161</v>
      </c>
      <c r="BD140" s="33">
        <v>4</v>
      </c>
      <c r="BE140" s="88" t="str">
        <v/>
      </c>
      <c r="BF140" s="1">
        <f t="shared" si="9"/>
        <v>0</v>
      </c>
      <c r="BG140" s="37" t="s">
        <v>423</v>
      </c>
      <c r="BH140" s="89"/>
      <c r="BI140" s="89"/>
      <c r="BJ140" s="109"/>
      <c r="BK140" s="91"/>
      <c r="BL140" s="91">
        <f t="shared" si="47"/>
        <v>0</v>
      </c>
      <c r="BM140" s="91">
        <f t="shared" si="11"/>
        <v>0</v>
      </c>
      <c r="BN140" s="91"/>
      <c r="BO140" s="92" t="str">
        <f ca="1">IFERROR(__xludf.DUMMYFUNCTION("IFERROR(ArrayFormula(SUM(VLOOKUP($C140,importrange(""1MwNMVzWE3QBVOyJjKr3eFX-Sq1Ng0Q1sghWJbgbE_8g"",""ORDER BOOKING REPORT 2024-25!C:CV""),{16,23,30},0))))"),"")</f>
        <v/>
      </c>
      <c r="BP140" s="92" t="str">
        <f ca="1">IFERROR(__xludf.DUMMYFUNCTION("IFERROR(ArrayFormula(SUM(VLOOKUP($C140,importrange(""1MwNMVzWE3QBVOyJjKr3eFX-Sq1Ng0Q1sghWJbgbE_8g"",""ORDER BOOKING REPORT 2024-25!C:CV""),{37,44,51},0))))"),"")</f>
        <v/>
      </c>
      <c r="BQ140" s="92" t="str">
        <f ca="1">IFERROR(__xludf.DUMMYFUNCTION("IFERROR(ArrayFormula(SUM(VLOOKUP($C140,importrange(""1MwNMVzWE3QBVOyJjKr3eFX-Sq1Ng0Q1sghWJbgbE_8g"",""ORDER BOOKING REPORT 2024-25!C:CV""),{58,65,72},0))))"),"")</f>
        <v/>
      </c>
      <c r="BR140" s="92" t="str">
        <f ca="1">IFERROR(__xludf.DUMMYFUNCTION("IFERROR(ArrayFormula(SUM(VLOOKUP($C140,importrange(""1MwNMVzWE3QBVOyJjKr3eFX-Sq1Ng0Q1sghWJbgbE_8g"",""ORDER BOOKING REPORT 2024-25!C:CV""),{79,86,93},0))))"),"")</f>
        <v/>
      </c>
      <c r="BS140" s="93" t="str">
        <f t="shared" si="12"/>
        <v/>
      </c>
      <c r="BT140" s="93" t="str">
        <f t="shared" si="13"/>
        <v/>
      </c>
      <c r="BU140" s="37">
        <f t="shared" si="14"/>
        <v>0</v>
      </c>
      <c r="BV140" s="94"/>
      <c r="BW140" s="94"/>
      <c r="BX140" s="94"/>
      <c r="BY140" s="37">
        <f t="shared" si="15"/>
        <v>-72970</v>
      </c>
      <c r="BZ140" s="37"/>
      <c r="CA140" s="37"/>
      <c r="CB140" s="37"/>
      <c r="CC140" s="37"/>
      <c r="CD140" s="37"/>
      <c r="CE140" s="37"/>
      <c r="CF140" s="37"/>
      <c r="CG140" s="37" t="str">
        <f t="shared" si="18"/>
        <v>Below 60</v>
      </c>
      <c r="CH140" s="37" t="str">
        <f t="shared" si="26"/>
        <v>Not 50%</v>
      </c>
      <c r="CI140" s="93">
        <f t="shared" si="19"/>
        <v>0</v>
      </c>
      <c r="CJ140" s="105"/>
      <c r="CK140" s="105"/>
      <c r="CL140" s="105"/>
      <c r="CM140" s="96">
        <f t="shared" si="20"/>
        <v>1</v>
      </c>
      <c r="CN140" s="106"/>
      <c r="CO140" s="93"/>
      <c r="CP140" s="107"/>
      <c r="CQ140" s="110"/>
      <c r="CR140" s="93"/>
      <c r="CS140" s="93"/>
      <c r="CT140" s="93"/>
      <c r="CU140" s="93"/>
      <c r="CV140" s="93"/>
      <c r="CW140" s="93"/>
      <c r="CX140" s="51"/>
      <c r="CY140" s="93"/>
      <c r="CZ140" s="93"/>
    </row>
    <row r="141" spans="1:104" ht="15.6">
      <c r="A141" s="1" t="s">
        <v>120</v>
      </c>
      <c r="B141" s="1" t="s">
        <v>163</v>
      </c>
      <c r="C141" s="1" t="s">
        <v>207</v>
      </c>
      <c r="D141" s="1" t="s">
        <v>617</v>
      </c>
      <c r="E141" s="1" t="s">
        <v>209</v>
      </c>
      <c r="F141" s="48">
        <v>45551</v>
      </c>
      <c r="G141" s="76">
        <v>0</v>
      </c>
      <c r="H141" s="76">
        <v>15600000</v>
      </c>
      <c r="I141" s="77">
        <v>11338113.18</v>
      </c>
      <c r="J141" s="77">
        <v>0</v>
      </c>
      <c r="K141" s="4">
        <v>115</v>
      </c>
      <c r="L141" s="4">
        <v>113</v>
      </c>
      <c r="M141" s="4">
        <v>11</v>
      </c>
      <c r="N141" s="4">
        <v>126</v>
      </c>
      <c r="O141" s="4">
        <v>13</v>
      </c>
      <c r="P141" s="77">
        <v>9768210.0999999996</v>
      </c>
      <c r="Q141" s="77">
        <v>1569903.08</v>
      </c>
      <c r="R141" s="4">
        <v>88</v>
      </c>
      <c r="S141" s="4">
        <v>10</v>
      </c>
      <c r="T141" s="4">
        <v>98</v>
      </c>
      <c r="U141" s="4">
        <v>0</v>
      </c>
      <c r="V141" s="4">
        <v>107</v>
      </c>
      <c r="W141" s="4">
        <v>186</v>
      </c>
      <c r="X141" s="4">
        <v>78</v>
      </c>
      <c r="Y141" s="4">
        <v>2</v>
      </c>
      <c r="Z141" s="4">
        <v>155</v>
      </c>
      <c r="AA141" s="4">
        <v>0</v>
      </c>
      <c r="AB141" s="4">
        <v>0</v>
      </c>
      <c r="AC141" s="4">
        <v>5</v>
      </c>
      <c r="AD141" s="4">
        <v>13</v>
      </c>
      <c r="AE141" s="4">
        <v>1621</v>
      </c>
      <c r="AF141" s="4">
        <v>1975</v>
      </c>
      <c r="AG141" s="4">
        <v>304</v>
      </c>
      <c r="AH141" s="76">
        <f t="shared" si="1"/>
        <v>37296.424934210525</v>
      </c>
      <c r="AI141" s="76">
        <f t="shared" si="2"/>
        <v>6.4967105263157894</v>
      </c>
      <c r="AJ141" s="78">
        <f t="shared" ref="AJ141:AJ147" si="87">BV141</f>
        <v>28310</v>
      </c>
      <c r="AK141" s="76">
        <f t="shared" si="62"/>
        <v>339720</v>
      </c>
      <c r="AL141" s="49">
        <v>122406</v>
      </c>
      <c r="AM141" s="80">
        <f t="shared" si="4"/>
        <v>4.0758633527770094E-2</v>
      </c>
      <c r="AN141" s="76">
        <f t="shared" si="5"/>
        <v>115695.03244897959</v>
      </c>
      <c r="AO141" s="102">
        <f t="shared" ref="AO141:AO142" si="88">IFERROR(SUM(I141:J141)/SUM(G141:H141),"")</f>
        <v>0.72680212692307689</v>
      </c>
      <c r="AP141" s="82">
        <v>0</v>
      </c>
      <c r="AQ141" s="4">
        <v>520</v>
      </c>
      <c r="AR141" s="4">
        <v>2986</v>
      </c>
      <c r="AS141" s="4">
        <v>956.82</v>
      </c>
      <c r="AT141" s="4">
        <v>10</v>
      </c>
      <c r="AU141" s="4">
        <v>8</v>
      </c>
      <c r="AV141" s="1">
        <v>98</v>
      </c>
      <c r="AW141" s="1">
        <v>16</v>
      </c>
      <c r="AX141" s="1">
        <v>12</v>
      </c>
      <c r="AY141" s="86" t="str">
        <f>IFERROR(VLOOKUP(C141,#REF!,13,0),"")</f>
        <v/>
      </c>
      <c r="AZ141" s="87"/>
      <c r="BA141" s="1" t="str">
        <f t="shared" si="6"/>
        <v>Active</v>
      </c>
      <c r="BB141" s="1" t="e">
        <f t="shared" ca="1" si="7"/>
        <v>#NAME?</v>
      </c>
      <c r="BC141" s="1" t="e">
        <f t="shared" ref="BC141:BC142" ca="1" si="89">_xludf.ifs(AO141&lt;50%,"Below 50%",AO141&lt;70%,"50%-70%",AO141&lt;90%,"70%-90%",AO141&lt;100%,"90%-100%",AO141&gt;100%,"Above 100%")</f>
        <v>#NAME?</v>
      </c>
      <c r="BD141" s="33">
        <f t="shared" ref="BD141:BD143" si="90">MATCH($BD$2,{"Apr","May","Jun","Jul","Aug","Sep","Oct","Nov","Dec","Jan","Feb","Mar"},0)</f>
        <v>12</v>
      </c>
      <c r="BE141" s="88" t="str">
        <v/>
      </c>
      <c r="BF141" s="1">
        <f t="shared" si="9"/>
        <v>1</v>
      </c>
      <c r="BG141" s="1" t="s">
        <v>428</v>
      </c>
      <c r="BH141" s="89">
        <f ca="1">IFERROR(__xludf.DUMMYFUNCTION("""COMPUTED_VALUE"""),5386902.27)</f>
        <v>5386902.2699999996</v>
      </c>
      <c r="BI141" s="89">
        <f ca="1">IFERROR(__xludf.DUMMYFUNCTION("""COMPUTED_VALUE"""),5023855.93)</f>
        <v>5023855.93</v>
      </c>
      <c r="BJ141" s="90"/>
      <c r="BK141" s="91"/>
      <c r="BL141" s="91">
        <f t="shared" si="47"/>
        <v>0</v>
      </c>
      <c r="BM141" s="91">
        <f t="shared" si="11"/>
        <v>15600000</v>
      </c>
      <c r="BN141" s="91"/>
      <c r="BO141" s="92">
        <f ca="1">IFERROR(__xludf.DUMMYFUNCTION("IFERROR(ArrayFormula(SUM(VLOOKUP($C141,importrange(""1MwNMVzWE3QBVOyJjKr3eFX-Sq1Ng0Q1sghWJbgbE_8g"",""ORDER BOOKING REPORT 2024-25!C:CV""),{16,23,30},0))))"),0)</f>
        <v>0</v>
      </c>
      <c r="BP141" s="92">
        <f ca="1">IFERROR(__xludf.DUMMYFUNCTION("IFERROR(ArrayFormula(SUM(VLOOKUP($C141,importrange(""1MwNMVzWE3QBVOyJjKr3eFX-Sq1Ng0Q1sghWJbgbE_8g"",""ORDER BOOKING REPORT 2024-25!C:CV""),{37,44,51},0))))"),0)</f>
        <v>0</v>
      </c>
      <c r="BQ141" s="92">
        <f ca="1">IFERROR(__xludf.DUMMYFUNCTION("IFERROR(ArrayFormula(SUM(VLOOKUP($C141,importrange(""1MwNMVzWE3QBVOyJjKr3eFX-Sq1Ng0Q1sghWJbgbE_8g"",""ORDER BOOKING REPORT 2024-25!C:CV""),{58,65,72},0))))"),2057935.69)</f>
        <v>2057935.69</v>
      </c>
      <c r="BR141" s="92">
        <f ca="1">IFERROR(__xludf.DUMMYFUNCTION("IFERROR(ArrayFormula(SUM(VLOOKUP($C141,importrange(""1MwNMVzWE3QBVOyJjKr3eFX-Sq1Ng0Q1sghWJbgbE_8g"",""ORDER BOOKING REPORT 2024-25!C:CV""),{79,86,93},0))))"),2965920.24)</f>
        <v>2965920.24</v>
      </c>
      <c r="BS141" s="93" t="str">
        <f t="shared" si="12"/>
        <v/>
      </c>
      <c r="BT141" s="93" t="str">
        <f t="shared" si="13"/>
        <v/>
      </c>
      <c r="BU141" s="37">
        <f t="shared" si="14"/>
        <v>0</v>
      </c>
      <c r="BV141" s="94">
        <v>28310</v>
      </c>
      <c r="BW141" s="94" t="s">
        <v>476</v>
      </c>
      <c r="BX141" s="94">
        <v>1171</v>
      </c>
      <c r="BY141" s="37">
        <f t="shared" si="15"/>
        <v>0</v>
      </c>
      <c r="BZ141" s="37"/>
      <c r="CA141" s="37"/>
      <c r="CB141" s="37"/>
      <c r="CC141" s="37"/>
      <c r="CD141" s="37"/>
      <c r="CE141" s="37"/>
      <c r="CF141" s="37"/>
      <c r="CG141" s="37" t="str">
        <f t="shared" si="18"/>
        <v xml:space="preserve"> </v>
      </c>
      <c r="CH141" s="37" t="str">
        <f t="shared" si="26"/>
        <v>Business Achieved 50%</v>
      </c>
      <c r="CI141" s="93">
        <f t="shared" si="19"/>
        <v>0.77777777777777779</v>
      </c>
      <c r="CJ141" s="105">
        <f ca="1">IFERROR(__xludf.DUMMYFUNCTION("""COMPUTED_VALUE"""),1580)</f>
        <v>1580</v>
      </c>
      <c r="CK141" s="105">
        <f ca="1">IFERROR(__xludf.DUMMYFUNCTION("""COMPUTED_VALUE"""),41)</f>
        <v>41</v>
      </c>
      <c r="CL141" s="105">
        <f ca="1">IFERROR(__xludf.DUMMYFUNCTION("""COMPUTED_VALUE"""),0)</f>
        <v>0</v>
      </c>
      <c r="CM141" s="96">
        <f t="shared" ca="1" si="20"/>
        <v>0</v>
      </c>
      <c r="CN141" s="106"/>
      <c r="CO141" s="93"/>
      <c r="CP141" s="107"/>
      <c r="CQ141" s="110"/>
      <c r="CR141" s="93"/>
      <c r="CS141" s="93"/>
      <c r="CT141" s="93"/>
      <c r="CU141" s="93"/>
      <c r="CV141" s="93"/>
      <c r="CW141" s="93"/>
      <c r="CX141" s="51"/>
      <c r="CY141" s="93"/>
      <c r="CZ141" s="93"/>
    </row>
    <row r="142" spans="1:104" ht="15.6">
      <c r="A142" s="1" t="s">
        <v>120</v>
      </c>
      <c r="B142" s="1" t="s">
        <v>206</v>
      </c>
      <c r="C142" s="1" t="s">
        <v>230</v>
      </c>
      <c r="D142" s="1" t="s">
        <v>618</v>
      </c>
      <c r="E142" s="1" t="s">
        <v>233</v>
      </c>
      <c r="F142" s="104">
        <v>45568</v>
      </c>
      <c r="G142" s="76">
        <v>2400000</v>
      </c>
      <c r="H142" s="76">
        <v>14400000</v>
      </c>
      <c r="I142" s="77">
        <v>10588023.02</v>
      </c>
      <c r="J142" s="77">
        <v>405583.79</v>
      </c>
      <c r="K142" s="4">
        <v>24</v>
      </c>
      <c r="L142" s="4">
        <v>26</v>
      </c>
      <c r="M142" s="4">
        <v>3</v>
      </c>
      <c r="N142" s="4">
        <v>27</v>
      </c>
      <c r="O142" s="4">
        <v>1</v>
      </c>
      <c r="P142" s="77">
        <v>9118887</v>
      </c>
      <c r="Q142" s="77">
        <v>1469136.02</v>
      </c>
      <c r="R142" s="4">
        <v>22</v>
      </c>
      <c r="S142" s="4">
        <v>3</v>
      </c>
      <c r="T142" s="4">
        <v>25</v>
      </c>
      <c r="U142" s="4">
        <v>4</v>
      </c>
      <c r="V142" s="4">
        <v>117</v>
      </c>
      <c r="W142" s="4">
        <v>339</v>
      </c>
      <c r="X142" s="4">
        <v>85</v>
      </c>
      <c r="Y142" s="4">
        <v>2</v>
      </c>
      <c r="Z142" s="4">
        <v>133</v>
      </c>
      <c r="AA142" s="4">
        <v>4</v>
      </c>
      <c r="AB142" s="4">
        <v>141</v>
      </c>
      <c r="AC142" s="4">
        <v>0</v>
      </c>
      <c r="AD142" s="4">
        <v>0</v>
      </c>
      <c r="AE142" s="4">
        <v>733</v>
      </c>
      <c r="AF142" s="4">
        <v>1346</v>
      </c>
      <c r="AG142" s="4">
        <v>291</v>
      </c>
      <c r="AH142" s="76">
        <f t="shared" si="1"/>
        <v>37778.717560137455</v>
      </c>
      <c r="AI142" s="76">
        <f t="shared" si="2"/>
        <v>4.6254295532646053</v>
      </c>
      <c r="AJ142" s="78">
        <f t="shared" si="87"/>
        <v>30405</v>
      </c>
      <c r="AK142" s="76">
        <f t="shared" si="62"/>
        <v>364860</v>
      </c>
      <c r="AL142" s="49">
        <v>118976</v>
      </c>
      <c r="AM142" s="80">
        <f t="shared" si="4"/>
        <v>4.4010669870409899E-2</v>
      </c>
      <c r="AN142" s="76">
        <f t="shared" si="5"/>
        <v>423520.92079999996</v>
      </c>
      <c r="AO142" s="102">
        <f t="shared" si="88"/>
        <v>0.65438135773809514</v>
      </c>
      <c r="AP142" s="82">
        <v>0.17</v>
      </c>
      <c r="AQ142" s="4">
        <v>160</v>
      </c>
      <c r="AR142" s="4">
        <v>2277</v>
      </c>
      <c r="AS142" s="4">
        <v>1966.89</v>
      </c>
      <c r="AT142" s="4">
        <v>3</v>
      </c>
      <c r="AU142" s="4">
        <v>76</v>
      </c>
      <c r="AV142" s="1">
        <v>25</v>
      </c>
      <c r="AW142" s="1">
        <v>1</v>
      </c>
      <c r="AX142" s="1">
        <v>1</v>
      </c>
      <c r="AY142" s="86" t="str">
        <f>IFERROR(VLOOKUP(C142,#REF!,13,0),"")</f>
        <v/>
      </c>
      <c r="AZ142" s="87"/>
      <c r="BA142" s="1" t="str">
        <f t="shared" si="6"/>
        <v>Active</v>
      </c>
      <c r="BB142" s="1" t="e">
        <f t="shared" ca="1" si="7"/>
        <v>#NAME?</v>
      </c>
      <c r="BC142" s="1" t="e">
        <f t="shared" ca="1" si="89"/>
        <v>#NAME?</v>
      </c>
      <c r="BD142" s="33">
        <f t="shared" si="90"/>
        <v>12</v>
      </c>
      <c r="BE142" s="88" t="str">
        <v/>
      </c>
      <c r="BF142" s="1">
        <f t="shared" si="9"/>
        <v>0</v>
      </c>
      <c r="BG142" s="1" t="s">
        <v>428</v>
      </c>
      <c r="BH142" s="89">
        <f ca="1">IFERROR(__xludf.DUMMYFUNCTION("""COMPUTED_VALUE"""),5312043)</f>
        <v>5312043</v>
      </c>
      <c r="BI142" s="89">
        <f ca="1">IFERROR(__xludf.DUMMYFUNCTION("""COMPUTED_VALUE"""),5165284.7)</f>
        <v>5165284.7</v>
      </c>
      <c r="BJ142" s="90"/>
      <c r="BK142" s="91">
        <v>200000</v>
      </c>
      <c r="BL142" s="91">
        <f t="shared" si="47"/>
        <v>2400000</v>
      </c>
      <c r="BM142" s="91">
        <f t="shared" si="11"/>
        <v>16800000</v>
      </c>
      <c r="BN142" s="91"/>
      <c r="BO142" s="92">
        <f ca="1">IFERROR(__xludf.DUMMYFUNCTION("IFERROR(ArrayFormula(SUM(VLOOKUP($C142,importrange(""1MwNMVzWE3QBVOyJjKr3eFX-Sq1Ng0Q1sghWJbgbE_8g"",""ORDER BOOKING REPORT 2024-25!C:CV""),{16,23,30},0))))"),0)</f>
        <v>0</v>
      </c>
      <c r="BP142" s="92">
        <f ca="1">IFERROR(__xludf.DUMMYFUNCTION("IFERROR(ArrayFormula(SUM(VLOOKUP($C142,importrange(""1MwNMVzWE3QBVOyJjKr3eFX-Sq1Ng0Q1sghWJbgbE_8g"",""ORDER BOOKING REPORT 2024-25!C:CV""),{37,44,51},0))))"),0)</f>
        <v>0</v>
      </c>
      <c r="BQ142" s="92">
        <f ca="1">IFERROR(__xludf.DUMMYFUNCTION("IFERROR(ArrayFormula(SUM(VLOOKUP($C142,importrange(""1MwNMVzWE3QBVOyJjKr3eFX-Sq1Ng0Q1sghWJbgbE_8g"",""ORDER BOOKING REPORT 2024-25!C:CV""),{58,65,72},0))))"),2601155.8)</f>
        <v>2601155.7999999998</v>
      </c>
      <c r="BR142" s="92">
        <f ca="1">IFERROR(__xludf.DUMMYFUNCTION("IFERROR(ArrayFormula(SUM(VLOOKUP($C142,importrange(""1MwNMVzWE3QBVOyJjKr3eFX-Sq1Ng0Q1sghWJbgbE_8g"",""ORDER BOOKING REPORT 2024-25!C:CV""),{79,86,93},0))))"),2564128.9)</f>
        <v>2564128.9</v>
      </c>
      <c r="BS142" s="93" t="str">
        <f t="shared" si="12"/>
        <v/>
      </c>
      <c r="BT142" s="93" t="str">
        <f t="shared" si="13"/>
        <v/>
      </c>
      <c r="BU142" s="37">
        <f t="shared" si="14"/>
        <v>0</v>
      </c>
      <c r="BV142" s="94">
        <v>30405</v>
      </c>
      <c r="BW142" s="94" t="s">
        <v>476</v>
      </c>
      <c r="BX142" s="94">
        <v>1174</v>
      </c>
      <c r="BY142" s="37">
        <f t="shared" si="15"/>
        <v>0</v>
      </c>
      <c r="BZ142" s="37"/>
      <c r="CA142" s="37"/>
      <c r="CB142" s="37"/>
      <c r="CC142" s="37"/>
      <c r="CD142" s="37"/>
      <c r="CE142" s="37"/>
      <c r="CF142" s="37"/>
      <c r="CG142" s="37" t="str">
        <f t="shared" si="18"/>
        <v>Below 60</v>
      </c>
      <c r="CH142" s="37" t="str">
        <f t="shared" si="26"/>
        <v>Business Achieved 50%</v>
      </c>
      <c r="CI142" s="93">
        <f t="shared" si="19"/>
        <v>0.92592592592592593</v>
      </c>
      <c r="CJ142" s="105">
        <f ca="1">IFERROR(__xludf.DUMMYFUNCTION("""COMPUTED_VALUE"""),732)</f>
        <v>732</v>
      </c>
      <c r="CK142" s="105">
        <f ca="1">IFERROR(__xludf.DUMMYFUNCTION("""COMPUTED_VALUE"""),1)</f>
        <v>1</v>
      </c>
      <c r="CL142" s="105">
        <f ca="1">IFERROR(__xludf.DUMMYFUNCTION("""COMPUTED_VALUE"""),0)</f>
        <v>0</v>
      </c>
      <c r="CM142" s="96">
        <f t="shared" ca="1" si="20"/>
        <v>0</v>
      </c>
      <c r="CN142" s="106"/>
      <c r="CO142" s="93"/>
      <c r="CP142" s="107"/>
      <c r="CQ142" s="110"/>
      <c r="CR142" s="93"/>
      <c r="CS142" s="93"/>
      <c r="CT142" s="93"/>
      <c r="CU142" s="93"/>
      <c r="CV142" s="93"/>
      <c r="CW142" s="93"/>
      <c r="CX142" s="51"/>
      <c r="CY142" s="93"/>
      <c r="CZ142" s="93"/>
    </row>
    <row r="143" spans="1:104" ht="15.6">
      <c r="A143" s="1" t="s">
        <v>118</v>
      </c>
      <c r="B143" s="1" t="s">
        <v>460</v>
      </c>
      <c r="C143" s="1" t="s">
        <v>264</v>
      </c>
      <c r="D143" s="1" t="s">
        <v>615</v>
      </c>
      <c r="E143" s="1" t="s">
        <v>619</v>
      </c>
      <c r="F143" s="104">
        <v>45569</v>
      </c>
      <c r="G143" s="76">
        <v>0</v>
      </c>
      <c r="H143" s="76">
        <v>0</v>
      </c>
      <c r="I143" s="77">
        <v>0</v>
      </c>
      <c r="J143" s="77">
        <v>0</v>
      </c>
      <c r="K143" s="4">
        <v>7</v>
      </c>
      <c r="L143" s="4">
        <v>5</v>
      </c>
      <c r="M143" s="4">
        <v>0</v>
      </c>
      <c r="N143" s="4">
        <v>7</v>
      </c>
      <c r="O143" s="4">
        <v>2</v>
      </c>
      <c r="P143" s="77">
        <v>0</v>
      </c>
      <c r="Q143" s="77">
        <v>0</v>
      </c>
      <c r="R143" s="4">
        <v>0</v>
      </c>
      <c r="S143" s="4">
        <v>0</v>
      </c>
      <c r="T143" s="4">
        <v>0</v>
      </c>
      <c r="U143" s="4">
        <v>0</v>
      </c>
      <c r="V143" s="4">
        <v>40</v>
      </c>
      <c r="W143" s="4">
        <v>93</v>
      </c>
      <c r="X143" s="4">
        <v>15</v>
      </c>
      <c r="Y143" s="4">
        <v>0</v>
      </c>
      <c r="Z143" s="4">
        <v>0</v>
      </c>
      <c r="AA143" s="4">
        <v>0</v>
      </c>
      <c r="AB143" s="4">
        <v>0</v>
      </c>
      <c r="AC143" s="4">
        <v>92</v>
      </c>
      <c r="AD143" s="4">
        <v>1267</v>
      </c>
      <c r="AE143" s="4">
        <v>68</v>
      </c>
      <c r="AF143" s="4">
        <v>1428</v>
      </c>
      <c r="AG143" s="4">
        <v>290</v>
      </c>
      <c r="AH143" s="76">
        <f t="shared" si="1"/>
        <v>0</v>
      </c>
      <c r="AI143" s="76">
        <f t="shared" si="2"/>
        <v>4.9241379310344824</v>
      </c>
      <c r="AJ143" s="78">
        <f t="shared" si="87"/>
        <v>151013</v>
      </c>
      <c r="AK143" s="76">
        <f t="shared" si="62"/>
        <v>1812156</v>
      </c>
      <c r="AL143" s="49">
        <v>446251</v>
      </c>
      <c r="AM143" s="80" t="str">
        <f t="shared" si="4"/>
        <v/>
      </c>
      <c r="AN143" s="76" t="str">
        <f t="shared" si="5"/>
        <v/>
      </c>
      <c r="AO143" s="49" t="s">
        <v>161</v>
      </c>
      <c r="AP143" s="82">
        <v>0</v>
      </c>
      <c r="AQ143" s="4">
        <v>0</v>
      </c>
      <c r="AR143" s="4">
        <v>3082</v>
      </c>
      <c r="AS143" s="4">
        <v>3371.49</v>
      </c>
      <c r="AT143" s="4">
        <v>0</v>
      </c>
      <c r="AU143" s="4">
        <v>674</v>
      </c>
      <c r="AV143" s="1">
        <v>0</v>
      </c>
      <c r="AW143" s="1">
        <v>5</v>
      </c>
      <c r="AX143" s="1">
        <v>2</v>
      </c>
      <c r="AY143" s="86" t="str">
        <f>IFERROR(VLOOKUP(C143,#REF!,13,0),"")</f>
        <v/>
      </c>
      <c r="AZ143" s="87"/>
      <c r="BA143" s="1" t="str">
        <f t="shared" si="6"/>
        <v>Active</v>
      </c>
      <c r="BB143" s="1" t="e">
        <f t="shared" ca="1" si="7"/>
        <v>#NAME?</v>
      </c>
      <c r="BC143" s="4" t="s">
        <v>161</v>
      </c>
      <c r="BD143" s="33">
        <f t="shared" si="90"/>
        <v>12</v>
      </c>
      <c r="BE143" s="88" t="str">
        <v/>
      </c>
      <c r="BF143" s="1">
        <f t="shared" si="9"/>
        <v>0</v>
      </c>
      <c r="BG143" s="37" t="s">
        <v>423</v>
      </c>
      <c r="BH143" s="89"/>
      <c r="BI143" s="89"/>
      <c r="BJ143" s="90"/>
      <c r="BK143" s="91"/>
      <c r="BL143" s="91">
        <f t="shared" si="47"/>
        <v>0</v>
      </c>
      <c r="BM143" s="91">
        <f t="shared" si="11"/>
        <v>0</v>
      </c>
      <c r="BN143" s="91"/>
      <c r="BO143" s="92" t="str">
        <f ca="1">IFERROR(__xludf.DUMMYFUNCTION("IFERROR(ArrayFormula(SUM(VLOOKUP($C143,importrange(""1MwNMVzWE3QBVOyJjKr3eFX-Sq1Ng0Q1sghWJbgbE_8g"",""ORDER BOOKING REPORT 2024-25!C:CV""),{16,23,30},0))))"),"")</f>
        <v/>
      </c>
      <c r="BP143" s="92" t="str">
        <f ca="1">IFERROR(__xludf.DUMMYFUNCTION("IFERROR(ArrayFormula(SUM(VLOOKUP($C143,importrange(""1MwNMVzWE3QBVOyJjKr3eFX-Sq1Ng0Q1sghWJbgbE_8g"",""ORDER BOOKING REPORT 2024-25!C:CV""),{37,44,51},0))))"),"")</f>
        <v/>
      </c>
      <c r="BQ143" s="92" t="str">
        <f ca="1">IFERROR(__xludf.DUMMYFUNCTION("IFERROR(ArrayFormula(SUM(VLOOKUP($C143,importrange(""1MwNMVzWE3QBVOyJjKr3eFX-Sq1Ng0Q1sghWJbgbE_8g"",""ORDER BOOKING REPORT 2024-25!C:CV""),{58,65,72},0))))"),"")</f>
        <v/>
      </c>
      <c r="BR143" s="92" t="str">
        <f ca="1">IFERROR(__xludf.DUMMYFUNCTION("IFERROR(ArrayFormula(SUM(VLOOKUP($C143,importrange(""1MwNMVzWE3QBVOyJjKr3eFX-Sq1Ng0Q1sghWJbgbE_8g"",""ORDER BOOKING REPORT 2024-25!C:CV""),{79,86,93},0))))"),"")</f>
        <v/>
      </c>
      <c r="BS143" s="93" t="str">
        <f t="shared" si="12"/>
        <v/>
      </c>
      <c r="BT143" s="93" t="str">
        <f t="shared" si="13"/>
        <v/>
      </c>
      <c r="BU143" s="37">
        <f t="shared" si="14"/>
        <v>0</v>
      </c>
      <c r="BV143" s="94">
        <v>151013</v>
      </c>
      <c r="BW143" s="94" t="s">
        <v>434</v>
      </c>
      <c r="BX143" s="94">
        <v>1175</v>
      </c>
      <c r="BY143" s="37">
        <f t="shared" si="15"/>
        <v>0</v>
      </c>
      <c r="BZ143" s="37"/>
      <c r="CA143" s="37"/>
      <c r="CB143" s="37"/>
      <c r="CC143" s="37"/>
      <c r="CD143" s="37"/>
      <c r="CE143" s="37"/>
      <c r="CF143" s="37"/>
      <c r="CG143" s="37" t="str">
        <f t="shared" si="18"/>
        <v>Below 60</v>
      </c>
      <c r="CH143" s="37" t="str">
        <f t="shared" si="26"/>
        <v>Not 50%</v>
      </c>
      <c r="CI143" s="93">
        <f t="shared" si="19"/>
        <v>0</v>
      </c>
      <c r="CJ143" s="105"/>
      <c r="CK143" s="105"/>
      <c r="CL143" s="105"/>
      <c r="CM143" s="96">
        <f t="shared" si="20"/>
        <v>68</v>
      </c>
      <c r="CN143" s="106"/>
      <c r="CO143" s="93"/>
      <c r="CP143" s="107"/>
      <c r="CQ143" s="110"/>
      <c r="CR143" s="93"/>
      <c r="CS143" s="93"/>
      <c r="CT143" s="93"/>
      <c r="CU143" s="93"/>
      <c r="CV143" s="93"/>
      <c r="CW143" s="93"/>
      <c r="CX143" s="51"/>
      <c r="CY143" s="93"/>
      <c r="CZ143" s="93"/>
    </row>
    <row r="144" spans="1:104" ht="15.6">
      <c r="A144" s="1" t="s">
        <v>118</v>
      </c>
      <c r="B144" s="1" t="s">
        <v>460</v>
      </c>
      <c r="C144" s="1" t="s">
        <v>265</v>
      </c>
      <c r="D144" s="1" t="s">
        <v>615</v>
      </c>
      <c r="E144" s="1" t="s">
        <v>620</v>
      </c>
      <c r="F144" s="104">
        <v>45569</v>
      </c>
      <c r="G144" s="76">
        <v>0</v>
      </c>
      <c r="H144" s="76">
        <v>0</v>
      </c>
      <c r="I144" s="77">
        <v>0</v>
      </c>
      <c r="J144" s="77">
        <v>0</v>
      </c>
      <c r="K144" s="4">
        <v>2</v>
      </c>
      <c r="L144" s="4">
        <v>1</v>
      </c>
      <c r="M144" s="4">
        <v>0</v>
      </c>
      <c r="N144" s="4">
        <v>2</v>
      </c>
      <c r="O144" s="4">
        <v>1</v>
      </c>
      <c r="P144" s="77">
        <v>0</v>
      </c>
      <c r="Q144" s="77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50</v>
      </c>
      <c r="Y144" s="4">
        <v>0</v>
      </c>
      <c r="Z144" s="4">
        <v>0</v>
      </c>
      <c r="AA144" s="4">
        <v>1</v>
      </c>
      <c r="AB144" s="4">
        <v>4</v>
      </c>
      <c r="AC144" s="4">
        <v>98</v>
      </c>
      <c r="AD144" s="4">
        <v>294</v>
      </c>
      <c r="AE144" s="4">
        <v>2</v>
      </c>
      <c r="AF144" s="4">
        <v>300</v>
      </c>
      <c r="AG144" s="4">
        <v>91</v>
      </c>
      <c r="AH144" s="76">
        <f t="shared" si="1"/>
        <v>0</v>
      </c>
      <c r="AI144" s="76">
        <f t="shared" si="2"/>
        <v>3.2967032967032965</v>
      </c>
      <c r="AJ144" s="78">
        <f t="shared" si="87"/>
        <v>153110</v>
      </c>
      <c r="AK144" s="76">
        <f t="shared" si="62"/>
        <v>535885</v>
      </c>
      <c r="AL144" s="49">
        <v>205739</v>
      </c>
      <c r="AM144" s="80" t="str">
        <f t="shared" si="4"/>
        <v/>
      </c>
      <c r="AN144" s="76" t="str">
        <f t="shared" si="5"/>
        <v/>
      </c>
      <c r="AO144" s="49" t="s">
        <v>161</v>
      </c>
      <c r="AP144" s="82">
        <v>0</v>
      </c>
      <c r="AQ144" s="4">
        <v>0</v>
      </c>
      <c r="AR144" s="4">
        <v>1012</v>
      </c>
      <c r="AS144" s="4">
        <v>0</v>
      </c>
      <c r="AT144" s="4">
        <v>0</v>
      </c>
      <c r="AU144" s="4">
        <v>0</v>
      </c>
      <c r="AV144" s="1">
        <v>0</v>
      </c>
      <c r="AW144" s="1">
        <v>1</v>
      </c>
      <c r="AX144" s="1">
        <v>1</v>
      </c>
      <c r="AY144" s="86" t="str">
        <f>IFERROR(VLOOKUP(C144,#REF!,13,0),"")</f>
        <v/>
      </c>
      <c r="AZ144" s="87">
        <v>45856</v>
      </c>
      <c r="BA144" s="1" t="str">
        <f t="shared" si="6"/>
        <v>LEFT</v>
      </c>
      <c r="BB144" s="1" t="e">
        <f t="shared" ca="1" si="7"/>
        <v>#NAME?</v>
      </c>
      <c r="BC144" s="4" t="s">
        <v>161</v>
      </c>
      <c r="BD144" s="33">
        <v>3.5</v>
      </c>
      <c r="BE144" s="88" t="str">
        <v/>
      </c>
      <c r="BF144" s="1">
        <f t="shared" si="9"/>
        <v>0</v>
      </c>
      <c r="BG144" s="37" t="s">
        <v>423</v>
      </c>
      <c r="BH144" s="89"/>
      <c r="BI144" s="89"/>
      <c r="BJ144" s="109"/>
      <c r="BK144" s="91"/>
      <c r="BL144" s="91">
        <f t="shared" si="47"/>
        <v>0</v>
      </c>
      <c r="BM144" s="91">
        <f t="shared" si="11"/>
        <v>0</v>
      </c>
      <c r="BN144" s="91"/>
      <c r="BO144" s="92" t="str">
        <f ca="1">IFERROR(__xludf.DUMMYFUNCTION("IFERROR(ArrayFormula(SUM(VLOOKUP($C144,importrange(""1MwNMVzWE3QBVOyJjKr3eFX-Sq1Ng0Q1sghWJbgbE_8g"",""ORDER BOOKING REPORT 2024-25!C:CV""),{16,23,30},0))))"),"")</f>
        <v/>
      </c>
      <c r="BP144" s="92" t="str">
        <f ca="1">IFERROR(__xludf.DUMMYFUNCTION("IFERROR(ArrayFormula(SUM(VLOOKUP($C144,importrange(""1MwNMVzWE3QBVOyJjKr3eFX-Sq1Ng0Q1sghWJbgbE_8g"",""ORDER BOOKING REPORT 2024-25!C:CV""),{37,44,51},0))))"),"")</f>
        <v/>
      </c>
      <c r="BQ144" s="92" t="str">
        <f ca="1">IFERROR(__xludf.DUMMYFUNCTION("IFERROR(ArrayFormula(SUM(VLOOKUP($C144,importrange(""1MwNMVzWE3QBVOyJjKr3eFX-Sq1Ng0Q1sghWJbgbE_8g"",""ORDER BOOKING REPORT 2024-25!C:CV""),{58,65,72},0))))"),"")</f>
        <v/>
      </c>
      <c r="BR144" s="92" t="str">
        <f ca="1">IFERROR(__xludf.DUMMYFUNCTION("IFERROR(ArrayFormula(SUM(VLOOKUP($C144,importrange(""1MwNMVzWE3QBVOyJjKr3eFX-Sq1Ng0Q1sghWJbgbE_8g"",""ORDER BOOKING REPORT 2024-25!C:CV""),{79,86,93},0))))"),"")</f>
        <v/>
      </c>
      <c r="BS144" s="93" t="str">
        <f t="shared" si="12"/>
        <v/>
      </c>
      <c r="BT144" s="93" t="str">
        <f t="shared" si="13"/>
        <v/>
      </c>
      <c r="BU144" s="37">
        <f t="shared" si="14"/>
        <v>0</v>
      </c>
      <c r="BV144" s="94">
        <v>153110</v>
      </c>
      <c r="BW144" s="94" t="s">
        <v>434</v>
      </c>
      <c r="BX144" s="94">
        <v>1176</v>
      </c>
      <c r="BY144" s="37">
        <f t="shared" si="15"/>
        <v>0</v>
      </c>
      <c r="BZ144" s="37"/>
      <c r="CA144" s="37"/>
      <c r="CB144" s="37"/>
      <c r="CC144" s="37"/>
      <c r="CD144" s="37"/>
      <c r="CE144" s="37"/>
      <c r="CF144" s="37"/>
      <c r="CG144" s="37" t="str">
        <f t="shared" si="18"/>
        <v>Below 60</v>
      </c>
      <c r="CH144" s="37" t="str">
        <f t="shared" si="26"/>
        <v>Not 50%</v>
      </c>
      <c r="CI144" s="93">
        <f t="shared" si="19"/>
        <v>0</v>
      </c>
      <c r="CJ144" s="105"/>
      <c r="CK144" s="105"/>
      <c r="CL144" s="105"/>
      <c r="CM144" s="96">
        <f t="shared" si="20"/>
        <v>2</v>
      </c>
      <c r="CN144" s="106"/>
      <c r="CO144" s="93"/>
      <c r="CP144" s="107"/>
      <c r="CQ144" s="110"/>
      <c r="CR144" s="93"/>
      <c r="CS144" s="93"/>
      <c r="CT144" s="93"/>
      <c r="CU144" s="93"/>
      <c r="CV144" s="93"/>
      <c r="CW144" s="93"/>
      <c r="CX144" s="51"/>
      <c r="CY144" s="93"/>
      <c r="CZ144" s="93"/>
    </row>
    <row r="145" spans="1:104" ht="15.6">
      <c r="A145" s="1" t="s">
        <v>108</v>
      </c>
      <c r="B145" s="1" t="s">
        <v>465</v>
      </c>
      <c r="C145" s="1" t="s">
        <v>252</v>
      </c>
      <c r="D145" s="1" t="s">
        <v>621</v>
      </c>
      <c r="E145" s="1" t="s">
        <v>622</v>
      </c>
      <c r="F145" s="104">
        <v>45597</v>
      </c>
      <c r="G145" s="76">
        <v>0</v>
      </c>
      <c r="H145" s="76">
        <v>9940000</v>
      </c>
      <c r="I145" s="77">
        <v>4551251.6399999997</v>
      </c>
      <c r="J145" s="77">
        <v>0</v>
      </c>
      <c r="K145" s="4">
        <v>94</v>
      </c>
      <c r="L145" s="4">
        <v>94</v>
      </c>
      <c r="M145" s="4">
        <v>9</v>
      </c>
      <c r="N145" s="4">
        <v>103</v>
      </c>
      <c r="O145" s="4">
        <v>9</v>
      </c>
      <c r="P145" s="77">
        <v>4133116.44</v>
      </c>
      <c r="Q145" s="77">
        <v>418135.2</v>
      </c>
      <c r="R145" s="4">
        <v>43</v>
      </c>
      <c r="S145" s="4">
        <v>6</v>
      </c>
      <c r="T145" s="4">
        <v>49</v>
      </c>
      <c r="U145" s="4">
        <v>0</v>
      </c>
      <c r="V145" s="4">
        <v>16</v>
      </c>
      <c r="W145" s="4">
        <v>42</v>
      </c>
      <c r="X145" s="4">
        <v>53</v>
      </c>
      <c r="Y145" s="4">
        <v>1</v>
      </c>
      <c r="Z145" s="4">
        <v>100</v>
      </c>
      <c r="AA145" s="4">
        <v>0</v>
      </c>
      <c r="AB145" s="4">
        <v>0</v>
      </c>
      <c r="AC145" s="4">
        <v>0</v>
      </c>
      <c r="AD145" s="4">
        <v>0</v>
      </c>
      <c r="AE145" s="4">
        <v>1184</v>
      </c>
      <c r="AF145" s="4">
        <v>1326</v>
      </c>
      <c r="AG145" s="4">
        <v>209</v>
      </c>
      <c r="AH145" s="76">
        <f t="shared" si="1"/>
        <v>21776.323636363635</v>
      </c>
      <c r="AI145" s="76">
        <f t="shared" si="2"/>
        <v>6.3444976076555024</v>
      </c>
      <c r="AJ145" s="78">
        <f t="shared" si="87"/>
        <v>26792</v>
      </c>
      <c r="AK145" s="76">
        <f t="shared" si="62"/>
        <v>245414.72</v>
      </c>
      <c r="AL145" s="49">
        <v>118615</v>
      </c>
      <c r="AM145" s="80">
        <f t="shared" si="4"/>
        <v>7.9984529266766718E-2</v>
      </c>
      <c r="AN145" s="76">
        <f t="shared" si="5"/>
        <v>92882.686530612234</v>
      </c>
      <c r="AO145" s="102">
        <f t="shared" ref="AO145:AO147" si="91">IFERROR(SUM(I145:J145)/SUM(G145:H145),"")</f>
        <v>0.45787239839034199</v>
      </c>
      <c r="AP145" s="82">
        <v>0</v>
      </c>
      <c r="AQ145" s="4">
        <v>171</v>
      </c>
      <c r="AR145" s="4">
        <v>1849</v>
      </c>
      <c r="AS145" s="4">
        <v>0</v>
      </c>
      <c r="AT145" s="4">
        <v>6</v>
      </c>
      <c r="AU145" s="4">
        <v>0</v>
      </c>
      <c r="AV145" s="1">
        <v>49</v>
      </c>
      <c r="AW145" s="1">
        <v>45</v>
      </c>
      <c r="AX145" s="1">
        <v>9</v>
      </c>
      <c r="AY145" s="86" t="str">
        <f>IFERROR(VLOOKUP(C145,#REF!,13,0),"")</f>
        <v/>
      </c>
      <c r="AZ145" s="87">
        <v>46027</v>
      </c>
      <c r="BA145" s="1" t="str">
        <f t="shared" si="6"/>
        <v>LEFT</v>
      </c>
      <c r="BB145" s="1" t="e">
        <f t="shared" ca="1" si="7"/>
        <v>#NAME?</v>
      </c>
      <c r="BC145" s="1" t="e">
        <f t="shared" ref="BC145:BC147" ca="1" si="92">_xludf.ifs(AO145&lt;50%,"Below 50%",AO145&lt;70%,"50%-70%",AO145&lt;90%,"70%-90%",AO145&lt;100%,"90%-100%",AO145&gt;100%,"Above 100%")</f>
        <v>#NAME?</v>
      </c>
      <c r="BD145" s="33">
        <v>9.16</v>
      </c>
      <c r="BE145" s="91" t="str">
        <v/>
      </c>
      <c r="BF145" s="1">
        <f t="shared" si="9"/>
        <v>3</v>
      </c>
      <c r="BG145" s="1" t="s">
        <v>428</v>
      </c>
      <c r="BH145" s="89">
        <f ca="1">IFERROR(__xludf.DUMMYFUNCTION("""COMPUTED_VALUE"""),0)</f>
        <v>0</v>
      </c>
      <c r="BI145" s="89">
        <f ca="1">IFERROR(__xludf.DUMMYFUNCTION("""COMPUTED_VALUE"""),3557679.82)</f>
        <v>3557679.82</v>
      </c>
      <c r="BJ145" s="109">
        <f>5/31</f>
        <v>0.16129032258064516</v>
      </c>
      <c r="BK145" s="91"/>
      <c r="BL145" s="91">
        <f t="shared" si="47"/>
        <v>0</v>
      </c>
      <c r="BM145" s="91">
        <f t="shared" si="11"/>
        <v>9940000</v>
      </c>
      <c r="BN145" s="91"/>
      <c r="BO145" s="92">
        <f ca="1">IFERROR(__xludf.DUMMYFUNCTION("IFERROR(ArrayFormula(SUM(VLOOKUP($C145,importrange(""1MwNMVzWE3QBVOyJjKr3eFX-Sq1Ng0Q1sghWJbgbE_8g"",""ORDER BOOKING REPORT 2024-25!C:CV""),{16,23,30},0))))"),0)</f>
        <v>0</v>
      </c>
      <c r="BP145" s="92">
        <f ca="1">IFERROR(__xludf.DUMMYFUNCTION("IFERROR(ArrayFormula(SUM(VLOOKUP($C145,importrange(""1MwNMVzWE3QBVOyJjKr3eFX-Sq1Ng0Q1sghWJbgbE_8g"",""ORDER BOOKING REPORT 2024-25!C:CV""),{37,44,51},0))))"),139303.599999999)</f>
        <v>139303.59999999899</v>
      </c>
      <c r="BQ145" s="92">
        <f ca="1">IFERROR(__xludf.DUMMYFUNCTION("IFERROR(ArrayFormula(SUM(VLOOKUP($C145,importrange(""1MwNMVzWE3QBVOyJjKr3eFX-Sq1Ng0Q1sghWJbgbE_8g"",""ORDER BOOKING REPORT 2024-25!C:CV""),{58,65,72},0))))"),1895031.24)</f>
        <v>1895031.24</v>
      </c>
      <c r="BR145" s="92">
        <f ca="1">IFERROR(__xludf.DUMMYFUNCTION("IFERROR(ArrayFormula(SUM(VLOOKUP($C145,importrange(""1MwNMVzWE3QBVOyJjKr3eFX-Sq1Ng0Q1sghWJbgbE_8g"",""ORDER BOOKING REPORT 2024-25!C:CV""),{79,86,93},0))))"),1523344.98)</f>
        <v>1523344.98</v>
      </c>
      <c r="BS145" s="93" t="str">
        <f t="shared" si="12"/>
        <v/>
      </c>
      <c r="BT145" s="93" t="str">
        <f t="shared" si="13"/>
        <v/>
      </c>
      <c r="BU145" s="37">
        <f t="shared" si="14"/>
        <v>0</v>
      </c>
      <c r="BV145" s="94">
        <v>26792</v>
      </c>
      <c r="BW145" s="94" t="s">
        <v>476</v>
      </c>
      <c r="BX145" s="94">
        <v>1180</v>
      </c>
      <c r="BY145" s="37">
        <f t="shared" si="15"/>
        <v>0</v>
      </c>
      <c r="BZ145" s="37"/>
      <c r="CA145" s="37"/>
      <c r="CB145" s="37"/>
      <c r="CC145" s="37"/>
      <c r="CD145" s="37"/>
      <c r="CE145" s="37"/>
      <c r="CF145" s="37"/>
      <c r="CG145" s="37" t="str">
        <f t="shared" si="18"/>
        <v xml:space="preserve"> </v>
      </c>
      <c r="CH145" s="37" t="str">
        <f t="shared" si="26"/>
        <v>Not 50%</v>
      </c>
      <c r="CI145" s="93">
        <f t="shared" si="19"/>
        <v>0.47572815533980584</v>
      </c>
      <c r="CJ145" s="105">
        <f ca="1">IFERROR(__xludf.DUMMYFUNCTION("""COMPUTED_VALUE"""),839)</f>
        <v>839</v>
      </c>
      <c r="CK145" s="105">
        <f ca="1">IFERROR(__xludf.DUMMYFUNCTION("""COMPUTED_VALUE"""),345)</f>
        <v>345</v>
      </c>
      <c r="CL145" s="105">
        <f ca="1">IFERROR(__xludf.DUMMYFUNCTION("""COMPUTED_VALUE"""),0)</f>
        <v>0</v>
      </c>
      <c r="CM145" s="96">
        <f t="shared" ca="1" si="20"/>
        <v>0</v>
      </c>
      <c r="CN145" s="106"/>
      <c r="CO145" s="93"/>
      <c r="CP145" s="107"/>
      <c r="CQ145" s="110"/>
      <c r="CR145" s="93"/>
      <c r="CS145" s="93"/>
      <c r="CT145" s="93"/>
      <c r="CU145" s="93"/>
      <c r="CV145" s="93"/>
      <c r="CW145" s="93"/>
      <c r="CX145" s="51"/>
      <c r="CY145" s="93"/>
      <c r="CZ145" s="93"/>
    </row>
    <row r="146" spans="1:104" ht="15.6">
      <c r="A146" s="1" t="s">
        <v>201</v>
      </c>
      <c r="B146" s="1" t="s">
        <v>431</v>
      </c>
      <c r="C146" s="1" t="s">
        <v>266</v>
      </c>
      <c r="D146" s="1" t="s">
        <v>431</v>
      </c>
      <c r="E146" s="1" t="s">
        <v>531</v>
      </c>
      <c r="F146" s="104">
        <v>45600</v>
      </c>
      <c r="G146" s="76">
        <v>0</v>
      </c>
      <c r="H146" s="76">
        <v>24999996</v>
      </c>
      <c r="I146" s="77">
        <v>20009611.600000001</v>
      </c>
      <c r="J146" s="77">
        <v>0</v>
      </c>
      <c r="K146" s="4">
        <v>123</v>
      </c>
      <c r="L146" s="4">
        <v>141</v>
      </c>
      <c r="M146" s="4">
        <v>32</v>
      </c>
      <c r="N146" s="4">
        <v>155</v>
      </c>
      <c r="O146" s="4">
        <v>14</v>
      </c>
      <c r="P146" s="77">
        <v>16673452.140000001</v>
      </c>
      <c r="Q146" s="77">
        <v>3336159.46</v>
      </c>
      <c r="R146" s="4">
        <v>71</v>
      </c>
      <c r="S146" s="4">
        <v>23</v>
      </c>
      <c r="T146" s="4">
        <v>94</v>
      </c>
      <c r="U146" s="4">
        <v>0</v>
      </c>
      <c r="V146" s="4">
        <v>30</v>
      </c>
      <c r="W146" s="4">
        <v>59</v>
      </c>
      <c r="X146" s="4">
        <v>51</v>
      </c>
      <c r="Y146" s="4">
        <v>3</v>
      </c>
      <c r="Z146" s="4">
        <v>111</v>
      </c>
      <c r="AA146" s="4">
        <v>0</v>
      </c>
      <c r="AB146" s="4">
        <v>0</v>
      </c>
      <c r="AC146" s="4">
        <v>0</v>
      </c>
      <c r="AD146" s="4">
        <v>0</v>
      </c>
      <c r="AE146" s="4">
        <v>1282</v>
      </c>
      <c r="AF146" s="4">
        <v>1452</v>
      </c>
      <c r="AG146" s="4">
        <v>300</v>
      </c>
      <c r="AH146" s="76">
        <f t="shared" si="1"/>
        <v>66698.705333333332</v>
      </c>
      <c r="AI146" s="76">
        <f t="shared" si="2"/>
        <v>4.84</v>
      </c>
      <c r="AJ146" s="78">
        <f t="shared" si="87"/>
        <v>51910</v>
      </c>
      <c r="AK146" s="76">
        <f t="shared" si="62"/>
        <v>622920</v>
      </c>
      <c r="AL146" s="49">
        <v>189136</v>
      </c>
      <c r="AM146" s="80">
        <f t="shared" si="4"/>
        <v>4.0583296479377938E-2</v>
      </c>
      <c r="AN146" s="76">
        <f t="shared" si="5"/>
        <v>212868.2085106383</v>
      </c>
      <c r="AO146" s="102">
        <f t="shared" si="91"/>
        <v>0.80038459206153478</v>
      </c>
      <c r="AP146" s="82">
        <v>0</v>
      </c>
      <c r="AQ146" s="4">
        <v>352</v>
      </c>
      <c r="AR146" s="4">
        <v>2350</v>
      </c>
      <c r="AS146" s="4">
        <v>2819.04</v>
      </c>
      <c r="AT146" s="4">
        <v>23</v>
      </c>
      <c r="AU146" s="4">
        <v>20</v>
      </c>
      <c r="AV146" s="1">
        <v>94</v>
      </c>
      <c r="AW146" s="1">
        <v>47</v>
      </c>
      <c r="AX146" s="1">
        <v>14</v>
      </c>
      <c r="AY146" s="86" t="str">
        <f>IFERROR(VLOOKUP(C146,#REF!,13,0),"")</f>
        <v/>
      </c>
      <c r="AZ146" s="87"/>
      <c r="BA146" s="1" t="str">
        <f t="shared" si="6"/>
        <v>Active</v>
      </c>
      <c r="BB146" s="1" t="e">
        <f t="shared" ca="1" si="7"/>
        <v>#NAME?</v>
      </c>
      <c r="BC146" s="1" t="e">
        <f t="shared" ca="1" si="92"/>
        <v>#NAME?</v>
      </c>
      <c r="BD146" s="33">
        <f t="shared" ref="BD146:BD147" si="93">MATCH($BD$2,{"Apr","May","Jun","Jul","Aug","Sep","Oct","Nov","Dec","Jan","Feb","Mar"},0)</f>
        <v>12</v>
      </c>
      <c r="BE146" s="88" t="str">
        <v/>
      </c>
      <c r="BF146" s="1">
        <f t="shared" si="9"/>
        <v>9</v>
      </c>
      <c r="BG146" s="1" t="s">
        <v>428</v>
      </c>
      <c r="BH146" s="89">
        <f ca="1">IFERROR(__xludf.DUMMYFUNCTION("""COMPUTED_VALUE"""),2120729)</f>
        <v>2120729</v>
      </c>
      <c r="BI146" s="89">
        <f ca="1">IFERROR(__xludf.DUMMYFUNCTION("""COMPUTED_VALUE"""),3161991.98)</f>
        <v>3161991.98</v>
      </c>
      <c r="BJ146" s="90"/>
      <c r="BK146" s="91"/>
      <c r="BL146" s="91">
        <f t="shared" si="47"/>
        <v>0</v>
      </c>
      <c r="BM146" s="91">
        <f t="shared" si="11"/>
        <v>24999996</v>
      </c>
      <c r="BN146" s="91"/>
      <c r="BO146" s="92">
        <f ca="1">IFERROR(__xludf.DUMMYFUNCTION("IFERROR(ArrayFormula(SUM(VLOOKUP($C146,importrange(""1MwNMVzWE3QBVOyJjKr3eFX-Sq1Ng0Q1sghWJbgbE_8g"",""ORDER BOOKING REPORT 2024-25!C:CV""),{16,23,30},0))))"),0)</f>
        <v>0</v>
      </c>
      <c r="BP146" s="92">
        <f ca="1">IFERROR(__xludf.DUMMYFUNCTION("IFERROR(ArrayFormula(SUM(VLOOKUP($C146,importrange(""1MwNMVzWE3QBVOyJjKr3eFX-Sq1Ng0Q1sghWJbgbE_8g"",""ORDER BOOKING REPORT 2024-25!C:CV""),{37,44,51},0))))"),0)</f>
        <v>0</v>
      </c>
      <c r="BQ146" s="92">
        <f ca="1">IFERROR(__xludf.DUMMYFUNCTION("IFERROR(ArrayFormula(SUM(VLOOKUP($C146,importrange(""1MwNMVzWE3QBVOyJjKr3eFX-Sq1Ng0Q1sghWJbgbE_8g"",""ORDER BOOKING REPORT 2024-25!C:CV""),{58,65,72},0))))"),810141.3)</f>
        <v>810141.3</v>
      </c>
      <c r="BR146" s="92">
        <f ca="1">IFERROR(__xludf.DUMMYFUNCTION("IFERROR(ArrayFormula(SUM(VLOOKUP($C146,importrange(""1MwNMVzWE3QBVOyJjKr3eFX-Sq1Ng0Q1sghWJbgbE_8g"",""ORDER BOOKING REPORT 2024-25!C:CV""),{79,86,93},0))))"),2351850.68)</f>
        <v>2351850.6800000002</v>
      </c>
      <c r="BS146" s="93" t="str">
        <f t="shared" si="12"/>
        <v/>
      </c>
      <c r="BT146" s="93" t="str">
        <f t="shared" si="13"/>
        <v/>
      </c>
      <c r="BU146" s="37">
        <f t="shared" si="14"/>
        <v>0</v>
      </c>
      <c r="BV146" s="94">
        <v>51910</v>
      </c>
      <c r="BW146" s="94" t="s">
        <v>462</v>
      </c>
      <c r="BX146" s="94">
        <v>1182</v>
      </c>
      <c r="BY146" s="37">
        <f t="shared" si="15"/>
        <v>0</v>
      </c>
      <c r="BZ146" s="37"/>
      <c r="CA146" s="37"/>
      <c r="CB146" s="37"/>
      <c r="CC146" s="37"/>
      <c r="CD146" s="37"/>
      <c r="CE146" s="37"/>
      <c r="CF146" s="37"/>
      <c r="CG146" s="37" t="str">
        <f t="shared" si="18"/>
        <v xml:space="preserve"> </v>
      </c>
      <c r="CH146" s="37" t="str">
        <f t="shared" si="26"/>
        <v>Business Achieved 50%</v>
      </c>
      <c r="CI146" s="93">
        <f t="shared" si="19"/>
        <v>0.6064516129032258</v>
      </c>
      <c r="CJ146" s="105">
        <f ca="1">IFERROR(__xludf.DUMMYFUNCTION("""COMPUTED_VALUE"""),1043)</f>
        <v>1043</v>
      </c>
      <c r="CK146" s="105">
        <f ca="1">IFERROR(__xludf.DUMMYFUNCTION("""COMPUTED_VALUE"""),239)</f>
        <v>239</v>
      </c>
      <c r="CL146" s="105">
        <f ca="1">IFERROR(__xludf.DUMMYFUNCTION("""COMPUTED_VALUE"""),0)</f>
        <v>0</v>
      </c>
      <c r="CM146" s="96">
        <f t="shared" ca="1" si="20"/>
        <v>0</v>
      </c>
      <c r="CN146" s="106"/>
      <c r="CO146" s="93"/>
      <c r="CP146" s="107"/>
      <c r="CQ146" s="110"/>
      <c r="CR146" s="93"/>
      <c r="CS146" s="93"/>
      <c r="CT146" s="93"/>
      <c r="CU146" s="93"/>
      <c r="CV146" s="93"/>
      <c r="CW146" s="93"/>
      <c r="CX146" s="51"/>
      <c r="CY146" s="93"/>
      <c r="CZ146" s="93"/>
    </row>
    <row r="147" spans="1:104" ht="15.6">
      <c r="A147" s="1" t="s">
        <v>201</v>
      </c>
      <c r="B147" s="1" t="s">
        <v>431</v>
      </c>
      <c r="C147" s="1" t="s">
        <v>267</v>
      </c>
      <c r="D147" s="1" t="s">
        <v>431</v>
      </c>
      <c r="E147" s="1" t="s">
        <v>531</v>
      </c>
      <c r="F147" s="48">
        <v>45607</v>
      </c>
      <c r="G147" s="76">
        <v>0</v>
      </c>
      <c r="H147" s="76">
        <v>21999996</v>
      </c>
      <c r="I147" s="77">
        <v>10214660.369999999</v>
      </c>
      <c r="J147" s="77">
        <v>0</v>
      </c>
      <c r="K147" s="4">
        <v>121</v>
      </c>
      <c r="L147" s="4">
        <v>151</v>
      </c>
      <c r="M147" s="4">
        <v>34</v>
      </c>
      <c r="N147" s="4">
        <v>155</v>
      </c>
      <c r="O147" s="4">
        <v>4</v>
      </c>
      <c r="P147" s="77">
        <v>9048454.9499999993</v>
      </c>
      <c r="Q147" s="77">
        <v>1166205.42</v>
      </c>
      <c r="R147" s="4">
        <v>51</v>
      </c>
      <c r="S147" s="4">
        <v>27</v>
      </c>
      <c r="T147" s="4">
        <v>78</v>
      </c>
      <c r="U147" s="4">
        <v>0</v>
      </c>
      <c r="V147" s="4">
        <v>116</v>
      </c>
      <c r="W147" s="4">
        <v>236</v>
      </c>
      <c r="X147" s="4">
        <v>47</v>
      </c>
      <c r="Y147" s="4">
        <v>2</v>
      </c>
      <c r="Z147" s="4">
        <v>147</v>
      </c>
      <c r="AA147" s="4">
        <v>0</v>
      </c>
      <c r="AB147" s="4">
        <v>0</v>
      </c>
      <c r="AC147" s="4">
        <v>0</v>
      </c>
      <c r="AD147" s="4">
        <v>0</v>
      </c>
      <c r="AE147" s="4">
        <v>1492</v>
      </c>
      <c r="AF147" s="4">
        <v>1875</v>
      </c>
      <c r="AG147" s="4">
        <v>295</v>
      </c>
      <c r="AH147" s="76">
        <f t="shared" si="1"/>
        <v>34625.967355932204</v>
      </c>
      <c r="AI147" s="76">
        <f t="shared" si="2"/>
        <v>6.3559322033898304</v>
      </c>
      <c r="AJ147" s="78">
        <f t="shared" si="87"/>
        <v>33043</v>
      </c>
      <c r="AK147" s="76">
        <f t="shared" si="62"/>
        <v>396516</v>
      </c>
      <c r="AL147" s="49">
        <v>83064</v>
      </c>
      <c r="AM147" s="80">
        <f t="shared" si="4"/>
        <v>4.6950165999498625E-2</v>
      </c>
      <c r="AN147" s="76">
        <f t="shared" si="5"/>
        <v>130957.18423076921</v>
      </c>
      <c r="AO147" s="102">
        <f t="shared" si="91"/>
        <v>0.46430282850960514</v>
      </c>
      <c r="AP147" s="82">
        <v>0</v>
      </c>
      <c r="AQ147" s="4">
        <v>353</v>
      </c>
      <c r="AR147" s="4">
        <v>2653</v>
      </c>
      <c r="AS147" s="4">
        <v>1857.83</v>
      </c>
      <c r="AT147" s="4">
        <v>27</v>
      </c>
      <c r="AU147" s="4">
        <v>12</v>
      </c>
      <c r="AV147" s="1">
        <v>78</v>
      </c>
      <c r="AW147" s="1">
        <v>73</v>
      </c>
      <c r="AX147" s="1">
        <v>4</v>
      </c>
      <c r="AY147" s="86" t="str">
        <f>IFERROR(VLOOKUP(C147,#REF!,13,0),"")</f>
        <v/>
      </c>
      <c r="AZ147" s="87"/>
      <c r="BA147" s="1" t="str">
        <f t="shared" si="6"/>
        <v>Active</v>
      </c>
      <c r="BB147" s="1" t="e">
        <f t="shared" ca="1" si="7"/>
        <v>#NAME?</v>
      </c>
      <c r="BC147" s="1" t="e">
        <f t="shared" ca="1" si="92"/>
        <v>#NAME?</v>
      </c>
      <c r="BD147" s="33">
        <f t="shared" si="93"/>
        <v>12</v>
      </c>
      <c r="BE147" s="88" t="str">
        <v/>
      </c>
      <c r="BF147" s="1">
        <f t="shared" si="9"/>
        <v>7</v>
      </c>
      <c r="BG147" s="1" t="s">
        <v>428</v>
      </c>
      <c r="BH147" s="89">
        <f ca="1">IFERROR(__xludf.DUMMYFUNCTION("""COMPUTED_VALUE"""),2524674)</f>
        <v>2524674</v>
      </c>
      <c r="BI147" s="89">
        <f ca="1">IFERROR(__xludf.DUMMYFUNCTION("""COMPUTED_VALUE"""),2547084.94)</f>
        <v>2547084.94</v>
      </c>
      <c r="BJ147" s="90"/>
      <c r="BK147" s="91"/>
      <c r="BL147" s="91">
        <f t="shared" si="47"/>
        <v>0</v>
      </c>
      <c r="BM147" s="91">
        <f t="shared" si="11"/>
        <v>21999996</v>
      </c>
      <c r="BN147" s="91"/>
      <c r="BO147" s="92">
        <f ca="1">IFERROR(__xludf.DUMMYFUNCTION("IFERROR(ArrayFormula(SUM(VLOOKUP($C147,importrange(""1MwNMVzWE3QBVOyJjKr3eFX-Sq1Ng0Q1sghWJbgbE_8g"",""ORDER BOOKING REPORT 2024-25!C:CV""),{16,23,30},0))))"),0)</f>
        <v>0</v>
      </c>
      <c r="BP147" s="92">
        <f ca="1">IFERROR(__xludf.DUMMYFUNCTION("IFERROR(ArrayFormula(SUM(VLOOKUP($C147,importrange(""1MwNMVzWE3QBVOyJjKr3eFX-Sq1Ng0Q1sghWJbgbE_8g"",""ORDER BOOKING REPORT 2024-25!C:CV""),{37,44,51},0))))"),0)</f>
        <v>0</v>
      </c>
      <c r="BQ147" s="92">
        <f ca="1">IFERROR(__xludf.DUMMYFUNCTION("IFERROR(ArrayFormula(SUM(VLOOKUP($C147,importrange(""1MwNMVzWE3QBVOyJjKr3eFX-Sq1Ng0Q1sghWJbgbE_8g"",""ORDER BOOKING REPORT 2024-25!C:CV""),{58,65,72},0))))"),621655.9)</f>
        <v>621655.9</v>
      </c>
      <c r="BR147" s="92">
        <f ca="1">IFERROR(__xludf.DUMMYFUNCTION("IFERROR(ArrayFormula(SUM(VLOOKUP($C147,importrange(""1MwNMVzWE3QBVOyJjKr3eFX-Sq1Ng0Q1sghWJbgbE_8g"",""ORDER BOOKING REPORT 2024-25!C:CV""),{79,86,93},0))))"),1925429.04)</f>
        <v>1925429.04</v>
      </c>
      <c r="BS147" s="93" t="str">
        <f t="shared" si="12"/>
        <v/>
      </c>
      <c r="BT147" s="93" t="str">
        <f t="shared" si="13"/>
        <v/>
      </c>
      <c r="BU147" s="37">
        <f t="shared" si="14"/>
        <v>0</v>
      </c>
      <c r="BV147" s="94">
        <v>33043</v>
      </c>
      <c r="BW147" s="94" t="s">
        <v>445</v>
      </c>
      <c r="BX147" s="94">
        <v>1184</v>
      </c>
      <c r="BY147" s="37">
        <f t="shared" si="15"/>
        <v>0</v>
      </c>
      <c r="BZ147" s="37"/>
      <c r="CA147" s="37"/>
      <c r="CB147" s="37"/>
      <c r="CC147" s="37"/>
      <c r="CD147" s="37"/>
      <c r="CE147" s="37"/>
      <c r="CF147" s="37"/>
      <c r="CG147" s="37" t="str">
        <f t="shared" si="18"/>
        <v xml:space="preserve"> </v>
      </c>
      <c r="CH147" s="37" t="str">
        <f t="shared" si="26"/>
        <v>Business Achieved 50%</v>
      </c>
      <c r="CI147" s="93">
        <f t="shared" si="19"/>
        <v>0.50322580645161286</v>
      </c>
      <c r="CJ147" s="105">
        <f ca="1">IFERROR(__xludf.DUMMYFUNCTION("""COMPUTED_VALUE"""),1171)</f>
        <v>1171</v>
      </c>
      <c r="CK147" s="105">
        <f ca="1">IFERROR(__xludf.DUMMYFUNCTION("""COMPUTED_VALUE"""),321)</f>
        <v>321</v>
      </c>
      <c r="CL147" s="105">
        <f ca="1">IFERROR(__xludf.DUMMYFUNCTION("""COMPUTED_VALUE"""),0)</f>
        <v>0</v>
      </c>
      <c r="CM147" s="96">
        <f t="shared" ca="1" si="20"/>
        <v>0</v>
      </c>
      <c r="CN147" s="106"/>
      <c r="CO147" s="93"/>
      <c r="CP147" s="107"/>
      <c r="CQ147" s="110"/>
      <c r="CR147" s="93"/>
      <c r="CS147" s="93"/>
      <c r="CT147" s="93"/>
      <c r="CU147" s="93"/>
      <c r="CV147" s="93"/>
      <c r="CW147" s="93"/>
      <c r="CX147" s="51"/>
      <c r="CY147" s="93"/>
      <c r="CZ147" s="93"/>
    </row>
    <row r="148" spans="1:104" ht="15.6">
      <c r="A148" s="1" t="s">
        <v>118</v>
      </c>
      <c r="B148" s="1" t="s">
        <v>362</v>
      </c>
      <c r="C148" s="1" t="s">
        <v>268</v>
      </c>
      <c r="D148" s="1" t="s">
        <v>623</v>
      </c>
      <c r="E148" s="1" t="s">
        <v>624</v>
      </c>
      <c r="F148" s="48">
        <v>45614</v>
      </c>
      <c r="G148" s="76">
        <v>0</v>
      </c>
      <c r="H148" s="76">
        <v>0</v>
      </c>
      <c r="I148" s="77">
        <v>2236523.5299999998</v>
      </c>
      <c r="J148" s="77">
        <v>0</v>
      </c>
      <c r="K148" s="4">
        <v>56</v>
      </c>
      <c r="L148" s="4">
        <v>83</v>
      </c>
      <c r="M148" s="4">
        <v>37</v>
      </c>
      <c r="N148" s="4">
        <v>93</v>
      </c>
      <c r="O148" s="4">
        <v>10</v>
      </c>
      <c r="P148" s="77">
        <v>1179015.52</v>
      </c>
      <c r="Q148" s="77">
        <v>1057508.01</v>
      </c>
      <c r="R148" s="4">
        <v>26</v>
      </c>
      <c r="S148" s="4">
        <v>36</v>
      </c>
      <c r="T148" s="4">
        <v>62</v>
      </c>
      <c r="U148" s="4">
        <v>0</v>
      </c>
      <c r="V148" s="4">
        <v>84</v>
      </c>
      <c r="W148" s="4">
        <v>156</v>
      </c>
      <c r="X148" s="4">
        <v>34</v>
      </c>
      <c r="Y148" s="4">
        <v>5</v>
      </c>
      <c r="Z148" s="4">
        <v>147</v>
      </c>
      <c r="AA148" s="4">
        <v>0</v>
      </c>
      <c r="AB148" s="4">
        <v>0</v>
      </c>
      <c r="AC148" s="4">
        <v>8</v>
      </c>
      <c r="AD148" s="4">
        <v>18</v>
      </c>
      <c r="AE148" s="4">
        <v>656</v>
      </c>
      <c r="AF148" s="4">
        <v>977</v>
      </c>
      <c r="AG148" s="4">
        <v>186</v>
      </c>
      <c r="AH148" s="76">
        <f t="shared" si="1"/>
        <v>12024.32005376344</v>
      </c>
      <c r="AI148" s="76">
        <f t="shared" si="2"/>
        <v>5.252688172043011</v>
      </c>
      <c r="AJ148" s="112">
        <v>46670</v>
      </c>
      <c r="AK148" s="76">
        <f t="shared" si="62"/>
        <v>373360</v>
      </c>
      <c r="AL148" s="79">
        <v>154887</v>
      </c>
      <c r="AM148" s="80">
        <f t="shared" si="4"/>
        <v>0.23619112113700858</v>
      </c>
      <c r="AN148" s="76">
        <f t="shared" si="5"/>
        <v>36072.960161290321</v>
      </c>
      <c r="AO148" s="49" t="s">
        <v>161</v>
      </c>
      <c r="AP148" s="82">
        <v>0</v>
      </c>
      <c r="AQ148" s="4">
        <v>141</v>
      </c>
      <c r="AR148" s="4">
        <v>1825</v>
      </c>
      <c r="AS148" s="4">
        <v>0</v>
      </c>
      <c r="AT148" s="4">
        <v>36</v>
      </c>
      <c r="AU148" s="4">
        <v>0</v>
      </c>
      <c r="AV148" s="1">
        <v>62</v>
      </c>
      <c r="AW148" s="1">
        <v>21</v>
      </c>
      <c r="AX148" s="1">
        <v>10</v>
      </c>
      <c r="AY148" s="86" t="str">
        <f>IFERROR(VLOOKUP(C148,#REF!,13,0),"")</f>
        <v/>
      </c>
      <c r="AZ148" s="87">
        <v>45991</v>
      </c>
      <c r="BA148" s="1" t="str">
        <f t="shared" si="6"/>
        <v>LEFT</v>
      </c>
      <c r="BB148" s="1" t="e">
        <f t="shared" ca="1" si="7"/>
        <v>#NAME?</v>
      </c>
      <c r="BC148" s="4" t="s">
        <v>161</v>
      </c>
      <c r="BD148" s="33">
        <v>8</v>
      </c>
      <c r="BE148" s="88" t="str">
        <v/>
      </c>
      <c r="BF148" s="1">
        <f t="shared" si="9"/>
        <v>1</v>
      </c>
      <c r="BG148" s="37" t="s">
        <v>423</v>
      </c>
      <c r="BH148" s="89">
        <f ca="1">IFERROR(__xludf.DUMMYFUNCTION("""COMPUTED_VALUE"""),322722)</f>
        <v>322722</v>
      </c>
      <c r="BI148" s="89">
        <f ca="1">IFERROR(__xludf.DUMMYFUNCTION("""COMPUTED_VALUE"""),649864.94)</f>
        <v>649864.93999999994</v>
      </c>
      <c r="BJ148" s="90"/>
      <c r="BK148" s="91"/>
      <c r="BL148" s="91">
        <f t="shared" si="47"/>
        <v>0</v>
      </c>
      <c r="BM148" s="91">
        <f t="shared" si="11"/>
        <v>0</v>
      </c>
      <c r="BN148" s="91"/>
      <c r="BO148" s="92">
        <f ca="1">IFERROR(__xludf.DUMMYFUNCTION("IFERROR(ArrayFormula(SUM(VLOOKUP($C148,importrange(""1MwNMVzWE3QBVOyJjKr3eFX-Sq1Ng0Q1sghWJbgbE_8g"",""ORDER BOOKING REPORT 2024-25!C:CV""),{16,23,30},0))))"),0)</f>
        <v>0</v>
      </c>
      <c r="BP148" s="92">
        <f ca="1">IFERROR(__xludf.DUMMYFUNCTION("IFERROR(ArrayFormula(SUM(VLOOKUP($C148,importrange(""1MwNMVzWE3QBVOyJjKr3eFX-Sq1Ng0Q1sghWJbgbE_8g"",""ORDER BOOKING REPORT 2024-25!C:CV""),{37,44,51},0))))"),0)</f>
        <v>0</v>
      </c>
      <c r="BQ148" s="92">
        <f ca="1">IFERROR(__xludf.DUMMYFUNCTION("IFERROR(ArrayFormula(SUM(VLOOKUP($C148,importrange(""1MwNMVzWE3QBVOyJjKr3eFX-Sq1Ng0Q1sghWJbgbE_8g"",""ORDER BOOKING REPORT 2024-25!C:CV""),{58,65,72},0))))"),121037.75)</f>
        <v>121037.75</v>
      </c>
      <c r="BR148" s="92">
        <f ca="1">IFERROR(__xludf.DUMMYFUNCTION("IFERROR(ArrayFormula(SUM(VLOOKUP($C148,importrange(""1MwNMVzWE3QBVOyJjKr3eFX-Sq1Ng0Q1sghWJbgbE_8g"",""ORDER BOOKING REPORT 2024-25!C:CV""),{79,86,93},0))))"),528827.19)</f>
        <v>528827.18999999994</v>
      </c>
      <c r="BS148" s="93" t="str">
        <f t="shared" si="12"/>
        <v/>
      </c>
      <c r="BT148" s="93" t="str">
        <f t="shared" si="13"/>
        <v/>
      </c>
      <c r="BU148" s="37">
        <f t="shared" si="14"/>
        <v>0</v>
      </c>
      <c r="BV148" s="94">
        <v>46670</v>
      </c>
      <c r="BW148" s="94" t="s">
        <v>429</v>
      </c>
      <c r="BX148" s="94">
        <v>1185</v>
      </c>
      <c r="BY148" s="37">
        <f t="shared" si="15"/>
        <v>0</v>
      </c>
      <c r="BZ148" s="37"/>
      <c r="CA148" s="37"/>
      <c r="CB148" s="37"/>
      <c r="CC148" s="37"/>
      <c r="CD148" s="37"/>
      <c r="CE148" s="37"/>
      <c r="CF148" s="37"/>
      <c r="CG148" s="37" t="str">
        <f t="shared" si="18"/>
        <v xml:space="preserve"> </v>
      </c>
      <c r="CH148" s="37" t="str">
        <f t="shared" si="26"/>
        <v>Business Achieved 50%</v>
      </c>
      <c r="CI148" s="93">
        <f t="shared" si="19"/>
        <v>0.66666666666666663</v>
      </c>
      <c r="CJ148" s="95">
        <f ca="1">IFERROR(__xludf.DUMMYFUNCTION("""COMPUTED_VALUE"""),526)</f>
        <v>526</v>
      </c>
      <c r="CK148" s="95">
        <f ca="1">IFERROR(__xludf.DUMMYFUNCTION("""COMPUTED_VALUE"""),130)</f>
        <v>130</v>
      </c>
      <c r="CL148" s="95">
        <f ca="1">IFERROR(__xludf.DUMMYFUNCTION("""COMPUTED_VALUE"""),0)</f>
        <v>0</v>
      </c>
      <c r="CM148" s="96">
        <f t="shared" ca="1" si="20"/>
        <v>0</v>
      </c>
      <c r="CN148" s="103"/>
      <c r="CO148" s="4"/>
      <c r="CP148" s="100"/>
      <c r="CQ148" s="101"/>
      <c r="CR148" s="4"/>
      <c r="CS148" s="4"/>
      <c r="CT148" s="4"/>
      <c r="CU148" s="4"/>
      <c r="CV148" s="4"/>
      <c r="CW148" s="101"/>
      <c r="CX148" s="51"/>
      <c r="CY148" s="4"/>
      <c r="CZ148" s="4"/>
    </row>
    <row r="149" spans="1:104" ht="15.6">
      <c r="A149" s="1" t="s">
        <v>118</v>
      </c>
      <c r="B149" s="1" t="s">
        <v>372</v>
      </c>
      <c r="C149" s="1" t="s">
        <v>258</v>
      </c>
      <c r="D149" s="1" t="s">
        <v>447</v>
      </c>
      <c r="E149" s="1" t="s">
        <v>625</v>
      </c>
      <c r="F149" s="104">
        <v>45628</v>
      </c>
      <c r="G149" s="76">
        <v>0</v>
      </c>
      <c r="H149" s="76">
        <v>18000000</v>
      </c>
      <c r="I149" s="77">
        <v>16104219.560000001</v>
      </c>
      <c r="J149" s="77">
        <v>0</v>
      </c>
      <c r="K149" s="4">
        <v>69</v>
      </c>
      <c r="L149" s="4">
        <v>81</v>
      </c>
      <c r="M149" s="4">
        <v>17</v>
      </c>
      <c r="N149" s="4">
        <v>86</v>
      </c>
      <c r="O149" s="4">
        <v>5</v>
      </c>
      <c r="P149" s="77">
        <v>12805398.609999999</v>
      </c>
      <c r="Q149" s="77">
        <v>3298820.95</v>
      </c>
      <c r="R149" s="4">
        <v>43</v>
      </c>
      <c r="S149" s="4">
        <v>17</v>
      </c>
      <c r="T149" s="4">
        <v>60</v>
      </c>
      <c r="U149" s="4">
        <v>0</v>
      </c>
      <c r="V149" s="4">
        <v>117</v>
      </c>
      <c r="W149" s="4">
        <v>271</v>
      </c>
      <c r="X149" s="4">
        <v>59</v>
      </c>
      <c r="Y149" s="4">
        <v>2</v>
      </c>
      <c r="Z149" s="4">
        <v>86</v>
      </c>
      <c r="AA149" s="4">
        <v>0</v>
      </c>
      <c r="AB149" s="4">
        <v>0</v>
      </c>
      <c r="AC149" s="4">
        <v>4</v>
      </c>
      <c r="AD149" s="4">
        <v>5</v>
      </c>
      <c r="AE149" s="4">
        <v>1157</v>
      </c>
      <c r="AF149" s="4">
        <v>1519</v>
      </c>
      <c r="AG149" s="4">
        <v>279</v>
      </c>
      <c r="AH149" s="76">
        <f t="shared" si="1"/>
        <v>57721.2170609319</v>
      </c>
      <c r="AI149" s="76">
        <f t="shared" si="2"/>
        <v>5.4444444444444446</v>
      </c>
      <c r="AJ149" s="112">
        <v>26755</v>
      </c>
      <c r="AK149" s="76">
        <f t="shared" si="62"/>
        <v>321060</v>
      </c>
      <c r="AL149" s="79">
        <v>177527</v>
      </c>
      <c r="AM149" s="80">
        <f t="shared" si="4"/>
        <v>3.0960022504809913E-2</v>
      </c>
      <c r="AN149" s="76">
        <f t="shared" si="5"/>
        <v>268403.65933333331</v>
      </c>
      <c r="AO149" s="102">
        <f t="shared" ref="AO149:AO156" si="94">IFERROR(SUM(I149:J149)/SUM(G149:H149),"")</f>
        <v>0.89467886444444444</v>
      </c>
      <c r="AP149" s="82">
        <v>0</v>
      </c>
      <c r="AQ149" s="4">
        <v>263</v>
      </c>
      <c r="AR149" s="4">
        <v>2807</v>
      </c>
      <c r="AS149" s="4">
        <v>3046.99</v>
      </c>
      <c r="AT149" s="4">
        <v>17</v>
      </c>
      <c r="AU149" s="4">
        <v>38</v>
      </c>
      <c r="AV149" s="1">
        <v>60</v>
      </c>
      <c r="AW149" s="1">
        <v>21</v>
      </c>
      <c r="AX149" s="1">
        <v>5</v>
      </c>
      <c r="AY149" s="86" t="str">
        <f>IFERROR(VLOOKUP(C149,#REF!,13,0),"")</f>
        <v/>
      </c>
      <c r="AZ149" s="87"/>
      <c r="BA149" s="1" t="str">
        <f t="shared" si="6"/>
        <v>Active</v>
      </c>
      <c r="BB149" s="1" t="e">
        <f t="shared" ca="1" si="7"/>
        <v>#NAME?</v>
      </c>
      <c r="BC149" s="1" t="e">
        <f t="shared" ref="BC149:BC156" ca="1" si="95">_xludf.ifs(AO149&lt;50%,"Below 50%",AO149&lt;70%,"50%-70%",AO149&lt;90%,"70%-90%",AO149&lt;100%,"90%-100%",AO149&gt;100%,"Above 100%")</f>
        <v>#NAME?</v>
      </c>
      <c r="BD149" s="33">
        <f t="shared" ref="BD149:BD150" si="96">MATCH($BD$2,{"Apr","May","Jun","Jul","Aug","Sep","Oct","Nov","Dec","Jan","Feb","Mar"},0)</f>
        <v>12</v>
      </c>
      <c r="BE149" s="88" t="str">
        <v/>
      </c>
      <c r="BF149" s="1">
        <f t="shared" si="9"/>
        <v>0</v>
      </c>
      <c r="BG149" s="1" t="s">
        <v>428</v>
      </c>
      <c r="BH149" s="89">
        <f ca="1">IFERROR(__xludf.DUMMYFUNCTION("""COMPUTED_VALUE"""),3867360)</f>
        <v>3867360</v>
      </c>
      <c r="BI149" s="89">
        <f ca="1">IFERROR(__xludf.DUMMYFUNCTION("""COMPUTED_VALUE"""),4875796.05)</f>
        <v>4875796.05</v>
      </c>
      <c r="BJ149" s="90"/>
      <c r="BK149" s="91"/>
      <c r="BL149" s="91">
        <f t="shared" si="47"/>
        <v>0</v>
      </c>
      <c r="BM149" s="91">
        <f t="shared" si="11"/>
        <v>18000000</v>
      </c>
      <c r="BN149" s="91"/>
      <c r="BO149" s="92">
        <f ca="1">IFERROR(__xludf.DUMMYFUNCTION("IFERROR(ArrayFormula(SUM(VLOOKUP($C149,importrange(""1MwNMVzWE3QBVOyJjKr3eFX-Sq1Ng0Q1sghWJbgbE_8g"",""ORDER BOOKING REPORT 2024-25!C:CV""),{16,23,30},0))))"),0)</f>
        <v>0</v>
      </c>
      <c r="BP149" s="92">
        <f ca="1">IFERROR(__xludf.DUMMYFUNCTION("IFERROR(ArrayFormula(SUM(VLOOKUP($C149,importrange(""1MwNMVzWE3QBVOyJjKr3eFX-Sq1Ng0Q1sghWJbgbE_8g"",""ORDER BOOKING REPORT 2024-25!C:CV""),{37,44,51},0))))"),0)</f>
        <v>0</v>
      </c>
      <c r="BQ149" s="92">
        <f ca="1">IFERROR(__xludf.DUMMYFUNCTION("IFERROR(ArrayFormula(SUM(VLOOKUP($C149,importrange(""1MwNMVzWE3QBVOyJjKr3eFX-Sq1Ng0Q1sghWJbgbE_8g"",""ORDER BOOKING REPORT 2024-25!C:CV""),{58,65,72},0))))"),2426802.2)</f>
        <v>2426802.2000000002</v>
      </c>
      <c r="BR149" s="92">
        <f ca="1">IFERROR(__xludf.DUMMYFUNCTION("IFERROR(ArrayFormula(SUM(VLOOKUP($C149,importrange(""1MwNMVzWE3QBVOyJjKr3eFX-Sq1Ng0Q1sghWJbgbE_8g"",""ORDER BOOKING REPORT 2024-25!C:CV""),{79,86,93},0))))"),2448993.85)</f>
        <v>2448993.85</v>
      </c>
      <c r="BS149" s="93" t="str">
        <f t="shared" si="12"/>
        <v/>
      </c>
      <c r="BT149" s="93" t="str">
        <f t="shared" si="13"/>
        <v/>
      </c>
      <c r="BU149" s="37">
        <f t="shared" si="14"/>
        <v>0</v>
      </c>
      <c r="BV149" s="94">
        <v>26755</v>
      </c>
      <c r="BW149" s="94" t="s">
        <v>476</v>
      </c>
      <c r="BX149" s="94">
        <v>1196</v>
      </c>
      <c r="BY149" s="37">
        <f t="shared" si="15"/>
        <v>0</v>
      </c>
      <c r="BZ149" s="37"/>
      <c r="CA149" s="37"/>
      <c r="CB149" s="37"/>
      <c r="CC149" s="37"/>
      <c r="CD149" s="37"/>
      <c r="CE149" s="37"/>
      <c r="CF149" s="37"/>
      <c r="CG149" s="37" t="str">
        <f t="shared" si="18"/>
        <v xml:space="preserve"> </v>
      </c>
      <c r="CH149" s="37" t="str">
        <f t="shared" si="26"/>
        <v>Business Achieved 50%</v>
      </c>
      <c r="CI149" s="93">
        <f t="shared" si="19"/>
        <v>0.69767441860465118</v>
      </c>
      <c r="CJ149" s="95">
        <f ca="1">IFERROR(__xludf.DUMMYFUNCTION("""COMPUTED_VALUE"""),1015)</f>
        <v>1015</v>
      </c>
      <c r="CK149" s="95">
        <f ca="1">IFERROR(__xludf.DUMMYFUNCTION("""COMPUTED_VALUE"""),142)</f>
        <v>142</v>
      </c>
      <c r="CL149" s="95">
        <f ca="1">IFERROR(__xludf.DUMMYFUNCTION("""COMPUTED_VALUE"""),0)</f>
        <v>0</v>
      </c>
      <c r="CM149" s="96">
        <f t="shared" ca="1" si="20"/>
        <v>0</v>
      </c>
      <c r="CN149" s="103"/>
      <c r="CO149" s="4"/>
      <c r="CP149" s="100"/>
      <c r="CQ149" s="101"/>
      <c r="CR149" s="4"/>
      <c r="CS149" s="4"/>
      <c r="CT149" s="4"/>
      <c r="CU149" s="4"/>
      <c r="CV149" s="4"/>
      <c r="CW149" s="101"/>
      <c r="CX149" s="51"/>
      <c r="CY149" s="4"/>
      <c r="CZ149" s="4"/>
    </row>
    <row r="150" spans="1:104" ht="15.6">
      <c r="A150" s="1" t="s">
        <v>118</v>
      </c>
      <c r="B150" s="1" t="s">
        <v>436</v>
      </c>
      <c r="C150" s="1" t="s">
        <v>270</v>
      </c>
      <c r="D150" s="1" t="s">
        <v>499</v>
      </c>
      <c r="E150" s="1" t="s">
        <v>449</v>
      </c>
      <c r="F150" s="104">
        <v>45635</v>
      </c>
      <c r="G150" s="76">
        <v>0</v>
      </c>
      <c r="H150" s="76">
        <v>15000000</v>
      </c>
      <c r="I150" s="77">
        <v>10609300.15</v>
      </c>
      <c r="J150" s="77">
        <v>0</v>
      </c>
      <c r="K150" s="4">
        <v>94</v>
      </c>
      <c r="L150" s="4">
        <v>147</v>
      </c>
      <c r="M150" s="4">
        <v>59</v>
      </c>
      <c r="N150" s="4">
        <v>153</v>
      </c>
      <c r="O150" s="4">
        <v>6</v>
      </c>
      <c r="P150" s="77">
        <v>7711859</v>
      </c>
      <c r="Q150" s="77">
        <v>2897441.15</v>
      </c>
      <c r="R150" s="4">
        <v>60</v>
      </c>
      <c r="S150" s="4">
        <v>58</v>
      </c>
      <c r="T150" s="4">
        <v>118</v>
      </c>
      <c r="U150" s="4">
        <v>0</v>
      </c>
      <c r="V150" s="4">
        <v>85</v>
      </c>
      <c r="W150" s="4">
        <v>189</v>
      </c>
      <c r="X150" s="4">
        <v>25</v>
      </c>
      <c r="Y150" s="4">
        <v>7</v>
      </c>
      <c r="Z150" s="4">
        <v>260</v>
      </c>
      <c r="AA150" s="4">
        <v>3</v>
      </c>
      <c r="AB150" s="4">
        <v>26</v>
      </c>
      <c r="AC150" s="4">
        <v>5</v>
      </c>
      <c r="AD150" s="4">
        <v>28</v>
      </c>
      <c r="AE150" s="4">
        <v>1912</v>
      </c>
      <c r="AF150" s="4">
        <v>2415</v>
      </c>
      <c r="AG150" s="4">
        <v>296</v>
      </c>
      <c r="AH150" s="76">
        <f t="shared" si="1"/>
        <v>35842.230236486488</v>
      </c>
      <c r="AI150" s="76">
        <f t="shared" si="2"/>
        <v>8.1587837837837842</v>
      </c>
      <c r="AJ150" s="78">
        <f t="shared" ref="AJ150:AJ151" si="97">BV150</f>
        <v>36188</v>
      </c>
      <c r="AK150" s="76">
        <f t="shared" si="62"/>
        <v>434256</v>
      </c>
      <c r="AL150" s="49">
        <v>206983</v>
      </c>
      <c r="AM150" s="80">
        <f t="shared" si="4"/>
        <v>6.0441215813844235E-2</v>
      </c>
      <c r="AN150" s="76">
        <f t="shared" si="5"/>
        <v>89909.323305084748</v>
      </c>
      <c r="AO150" s="102">
        <f t="shared" si="94"/>
        <v>0.70728667666666667</v>
      </c>
      <c r="AP150" s="82">
        <v>0</v>
      </c>
      <c r="AQ150" s="4">
        <v>702</v>
      </c>
      <c r="AR150" s="4">
        <v>3481</v>
      </c>
      <c r="AS150" s="4">
        <v>4805.3500000000004</v>
      </c>
      <c r="AT150" s="4">
        <v>58</v>
      </c>
      <c r="AU150" s="4">
        <v>33</v>
      </c>
      <c r="AV150" s="1">
        <v>118</v>
      </c>
      <c r="AW150" s="1">
        <v>30</v>
      </c>
      <c r="AX150" s="1">
        <v>5</v>
      </c>
      <c r="AY150" s="86" t="str">
        <f>IFERROR(VLOOKUP(C150,#REF!,13,0),"")</f>
        <v/>
      </c>
      <c r="AZ150" s="87"/>
      <c r="BA150" s="1" t="str">
        <f t="shared" si="6"/>
        <v>Active</v>
      </c>
      <c r="BB150" s="1" t="e">
        <f t="shared" ca="1" si="7"/>
        <v>#NAME?</v>
      </c>
      <c r="BC150" s="1" t="e">
        <f t="shared" ca="1" si="95"/>
        <v>#NAME?</v>
      </c>
      <c r="BD150" s="33">
        <f t="shared" si="96"/>
        <v>12</v>
      </c>
      <c r="BE150" s="88" t="str">
        <v/>
      </c>
      <c r="BF150" s="1">
        <f t="shared" si="9"/>
        <v>1</v>
      </c>
      <c r="BG150" s="1" t="s">
        <v>428</v>
      </c>
      <c r="BH150" s="89">
        <f ca="1">IFERROR(__xludf.DUMMYFUNCTION("""COMPUTED_VALUE"""),1158936.14)</f>
        <v>1158936.1399999999</v>
      </c>
      <c r="BI150" s="89">
        <f ca="1">IFERROR(__xludf.DUMMYFUNCTION("""COMPUTED_VALUE"""),1860525.00999999)</f>
        <v>1860525.00999999</v>
      </c>
      <c r="BJ150" s="90"/>
      <c r="BK150" s="91"/>
      <c r="BL150" s="91">
        <f t="shared" si="47"/>
        <v>0</v>
      </c>
      <c r="BM150" s="91">
        <f t="shared" si="11"/>
        <v>15000000</v>
      </c>
      <c r="BN150" s="91"/>
      <c r="BO150" s="92">
        <f ca="1">IFERROR(__xludf.DUMMYFUNCTION("IFERROR(ArrayFormula(SUM(VLOOKUP($C150,importrange(""1MwNMVzWE3QBVOyJjKr3eFX-Sq1Ng0Q1sghWJbgbE_8g"",""ORDER BOOKING REPORT 2024-25!C:CV""),{16,23,30},0))))"),0)</f>
        <v>0</v>
      </c>
      <c r="BP150" s="92">
        <f ca="1">IFERROR(__xludf.DUMMYFUNCTION("IFERROR(ArrayFormula(SUM(VLOOKUP($C150,importrange(""1MwNMVzWE3QBVOyJjKr3eFX-Sq1Ng0Q1sghWJbgbE_8g"",""ORDER BOOKING REPORT 2024-25!C:CV""),{37,44,51},0))))"),0)</f>
        <v>0</v>
      </c>
      <c r="BQ150" s="92">
        <f ca="1">IFERROR(__xludf.DUMMYFUNCTION("IFERROR(ArrayFormula(SUM(VLOOKUP($C150,importrange(""1MwNMVzWE3QBVOyJjKr3eFX-Sq1Ng0Q1sghWJbgbE_8g"",""ORDER BOOKING REPORT 2024-25!C:CV""),{58,65,72},0))))"),279759.56)</f>
        <v>279759.56</v>
      </c>
      <c r="BR150" s="92">
        <f ca="1">IFERROR(__xludf.DUMMYFUNCTION("IFERROR(ArrayFormula(SUM(VLOOKUP($C150,importrange(""1MwNMVzWE3QBVOyJjKr3eFX-Sq1Ng0Q1sghWJbgbE_8g"",""ORDER BOOKING REPORT 2024-25!C:CV""),{79,86,93},0))))"),1580765.45)</f>
        <v>1580765.45</v>
      </c>
      <c r="BS150" s="93" t="str">
        <f t="shared" si="12"/>
        <v/>
      </c>
      <c r="BT150" s="93" t="str">
        <f t="shared" si="13"/>
        <v/>
      </c>
      <c r="BU150" s="37">
        <f t="shared" si="14"/>
        <v>0</v>
      </c>
      <c r="BV150" s="94">
        <v>36188</v>
      </c>
      <c r="BW150" s="94" t="s">
        <v>445</v>
      </c>
      <c r="BX150" s="94">
        <v>1197</v>
      </c>
      <c r="BY150" s="37">
        <f t="shared" si="15"/>
        <v>0</v>
      </c>
      <c r="BZ150" s="37"/>
      <c r="CA150" s="37"/>
      <c r="CB150" s="37"/>
      <c r="CC150" s="37"/>
      <c r="CD150" s="37"/>
      <c r="CE150" s="37"/>
      <c r="CF150" s="37"/>
      <c r="CG150" s="37" t="str">
        <f t="shared" si="18"/>
        <v xml:space="preserve"> </v>
      </c>
      <c r="CH150" s="37" t="str">
        <f t="shared" si="26"/>
        <v>Business Achieved 50%</v>
      </c>
      <c r="CI150" s="93">
        <f t="shared" si="19"/>
        <v>0.77124183006535951</v>
      </c>
      <c r="CJ150" s="105">
        <f ca="1">IFERROR(__xludf.DUMMYFUNCTION("""COMPUTED_VALUE"""),1700)</f>
        <v>1700</v>
      </c>
      <c r="CK150" s="105">
        <f ca="1">IFERROR(__xludf.DUMMYFUNCTION("""COMPUTED_VALUE"""),212)</f>
        <v>212</v>
      </c>
      <c r="CL150" s="105">
        <f ca="1">IFERROR(__xludf.DUMMYFUNCTION("""COMPUTED_VALUE"""),0)</f>
        <v>0</v>
      </c>
      <c r="CM150" s="96">
        <f t="shared" ca="1" si="20"/>
        <v>0</v>
      </c>
      <c r="CN150" s="106"/>
      <c r="CO150" s="93"/>
      <c r="CP150" s="107"/>
      <c r="CQ150" s="110"/>
      <c r="CR150" s="93"/>
      <c r="CS150" s="93"/>
      <c r="CT150" s="93"/>
      <c r="CU150" s="93"/>
      <c r="CV150" s="93"/>
      <c r="CW150" s="93"/>
      <c r="CX150" s="51"/>
      <c r="CY150" s="93"/>
      <c r="CZ150" s="93"/>
    </row>
    <row r="151" spans="1:104" ht="15.6">
      <c r="A151" s="1" t="s">
        <v>118</v>
      </c>
      <c r="B151" s="1" t="s">
        <v>378</v>
      </c>
      <c r="C151" s="1" t="s">
        <v>269</v>
      </c>
      <c r="D151" s="1" t="s">
        <v>486</v>
      </c>
      <c r="E151" s="1" t="s">
        <v>519</v>
      </c>
      <c r="F151" s="48">
        <v>45636</v>
      </c>
      <c r="G151" s="76">
        <v>0</v>
      </c>
      <c r="H151" s="76">
        <v>23375000</v>
      </c>
      <c r="I151" s="77">
        <v>20718919.32</v>
      </c>
      <c r="J151" s="77">
        <v>0</v>
      </c>
      <c r="K151" s="4">
        <v>103</v>
      </c>
      <c r="L151" s="4">
        <v>197</v>
      </c>
      <c r="M151" s="4">
        <v>101</v>
      </c>
      <c r="N151" s="4">
        <v>204</v>
      </c>
      <c r="O151" s="4">
        <v>7</v>
      </c>
      <c r="P151" s="77">
        <v>8788190.3599999994</v>
      </c>
      <c r="Q151" s="77">
        <v>11930728.960000001</v>
      </c>
      <c r="R151" s="4">
        <v>74</v>
      </c>
      <c r="S151" s="4">
        <v>101</v>
      </c>
      <c r="T151" s="4">
        <v>175</v>
      </c>
      <c r="U151" s="4">
        <v>0</v>
      </c>
      <c r="V151" s="4">
        <v>336</v>
      </c>
      <c r="W151" s="4">
        <v>761</v>
      </c>
      <c r="X151" s="4">
        <v>78</v>
      </c>
      <c r="Y151" s="4">
        <v>2</v>
      </c>
      <c r="Z151" s="4">
        <v>80</v>
      </c>
      <c r="AA151" s="4">
        <v>1</v>
      </c>
      <c r="AB151" s="4">
        <v>1</v>
      </c>
      <c r="AC151" s="4">
        <v>5</v>
      </c>
      <c r="AD151" s="4">
        <v>34</v>
      </c>
      <c r="AE151" s="4">
        <v>1241</v>
      </c>
      <c r="AF151" s="4">
        <v>2117</v>
      </c>
      <c r="AG151" s="4">
        <v>252</v>
      </c>
      <c r="AH151" s="76">
        <f t="shared" si="1"/>
        <v>82217.933809523805</v>
      </c>
      <c r="AI151" s="76">
        <f t="shared" si="2"/>
        <v>8.4007936507936503</v>
      </c>
      <c r="AJ151" s="78">
        <f t="shared" si="97"/>
        <v>51910</v>
      </c>
      <c r="AK151" s="76">
        <f t="shared" si="62"/>
        <v>547650.5</v>
      </c>
      <c r="AL151" s="49">
        <v>152056</v>
      </c>
      <c r="AM151" s="80">
        <f t="shared" si="4"/>
        <v>3.3771380118487765E-2</v>
      </c>
      <c r="AN151" s="76">
        <f t="shared" si="5"/>
        <v>118393.82468571428</v>
      </c>
      <c r="AO151" s="102">
        <f t="shared" si="94"/>
        <v>0.88637087999999997</v>
      </c>
      <c r="AP151" s="82">
        <v>0</v>
      </c>
      <c r="AQ151" s="4">
        <v>506</v>
      </c>
      <c r="AR151" s="4">
        <v>2985</v>
      </c>
      <c r="AS151" s="4">
        <v>3241.88</v>
      </c>
      <c r="AT151" s="4">
        <v>101</v>
      </c>
      <c r="AU151" s="4">
        <v>16</v>
      </c>
      <c r="AV151" s="1">
        <v>175</v>
      </c>
      <c r="AW151" s="1">
        <v>26</v>
      </c>
      <c r="AX151" s="1">
        <v>3</v>
      </c>
      <c r="AY151" s="86" t="str">
        <f>IFERROR(VLOOKUP(C151,#REF!,13,0),"")</f>
        <v/>
      </c>
      <c r="AZ151" s="87"/>
      <c r="BA151" s="1" t="str">
        <f t="shared" si="6"/>
        <v>Active</v>
      </c>
      <c r="BB151" s="1" t="e">
        <f t="shared" ca="1" si="7"/>
        <v>#NAME?</v>
      </c>
      <c r="BC151" s="1" t="e">
        <f t="shared" ca="1" si="95"/>
        <v>#NAME?</v>
      </c>
      <c r="BD151" s="33">
        <v>10.55</v>
      </c>
      <c r="BE151" s="88" t="str">
        <v/>
      </c>
      <c r="BF151" s="1">
        <f t="shared" si="9"/>
        <v>0</v>
      </c>
      <c r="BG151" s="1" t="s">
        <v>428</v>
      </c>
      <c r="BH151" s="89">
        <f ca="1">IFERROR(__xludf.DUMMYFUNCTION("""COMPUTED_VALUE"""),2196264)</f>
        <v>2196264</v>
      </c>
      <c r="BI151" s="89">
        <f ca="1">IFERROR(__xludf.DUMMYFUNCTION("""COMPUTED_VALUE"""),3252877.45)</f>
        <v>3252877.45</v>
      </c>
      <c r="BJ151" s="109">
        <f>17/31</f>
        <v>0.54838709677419351</v>
      </c>
      <c r="BK151" s="91"/>
      <c r="BL151" s="91">
        <f t="shared" si="47"/>
        <v>0</v>
      </c>
      <c r="BM151" s="91">
        <f t="shared" si="11"/>
        <v>23375000</v>
      </c>
      <c r="BN151" s="91" t="s">
        <v>626</v>
      </c>
      <c r="BO151" s="92">
        <f ca="1">IFERROR(__xludf.DUMMYFUNCTION("IFERROR(ArrayFormula(SUM(VLOOKUP($C151,importrange(""1MwNMVzWE3QBVOyJjKr3eFX-Sq1Ng0Q1sghWJbgbE_8g"",""ORDER BOOKING REPORT 2024-25!C:CV""),{16,23,30},0))))"),0)</f>
        <v>0</v>
      </c>
      <c r="BP151" s="92">
        <f ca="1">IFERROR(__xludf.DUMMYFUNCTION("IFERROR(ArrayFormula(SUM(VLOOKUP($C151,importrange(""1MwNMVzWE3QBVOyJjKr3eFX-Sq1Ng0Q1sghWJbgbE_8g"",""ORDER BOOKING REPORT 2024-25!C:CV""),{37,44,51},0))))"),0)</f>
        <v>0</v>
      </c>
      <c r="BQ151" s="92">
        <f ca="1">IFERROR(__xludf.DUMMYFUNCTION("IFERROR(ArrayFormula(SUM(VLOOKUP($C151,importrange(""1MwNMVzWE3QBVOyJjKr3eFX-Sq1Ng0Q1sghWJbgbE_8g"",""ORDER BOOKING REPORT 2024-25!C:CV""),{58,65,72},0))))"),400197.899999999)</f>
        <v>400197.89999999898</v>
      </c>
      <c r="BR151" s="92">
        <f ca="1">IFERROR(__xludf.DUMMYFUNCTION("IFERROR(ArrayFormula(SUM(VLOOKUP($C151,importrange(""1MwNMVzWE3QBVOyJjKr3eFX-Sq1Ng0Q1sghWJbgbE_8g"",""ORDER BOOKING REPORT 2024-25!C:CV""),{79,86,93},0))))"),2852679.55)</f>
        <v>2852679.55</v>
      </c>
      <c r="BS151" s="93" t="str">
        <f t="shared" si="12"/>
        <v/>
      </c>
      <c r="BT151" s="93" t="str">
        <f t="shared" si="13"/>
        <v/>
      </c>
      <c r="BU151" s="37">
        <f t="shared" si="14"/>
        <v>0</v>
      </c>
      <c r="BV151" s="94">
        <v>51910</v>
      </c>
      <c r="BW151" s="94" t="s">
        <v>429</v>
      </c>
      <c r="BX151" s="94">
        <v>1198</v>
      </c>
      <c r="BY151" s="37">
        <f t="shared" si="15"/>
        <v>0</v>
      </c>
      <c r="BZ151" s="37"/>
      <c r="CA151" s="37"/>
      <c r="CB151" s="37"/>
      <c r="CC151" s="37"/>
      <c r="CD151" s="37"/>
      <c r="CE151" s="37"/>
      <c r="CF151" s="37"/>
      <c r="CG151" s="37" t="str">
        <f t="shared" si="18"/>
        <v xml:space="preserve"> </v>
      </c>
      <c r="CH151" s="37" t="str">
        <f t="shared" si="26"/>
        <v>Business Achieved 50%</v>
      </c>
      <c r="CI151" s="93">
        <f t="shared" si="19"/>
        <v>0.85784313725490191</v>
      </c>
      <c r="CJ151" s="105">
        <f ca="1">IFERROR(__xludf.DUMMYFUNCTION("""COMPUTED_VALUE"""),1081)</f>
        <v>1081</v>
      </c>
      <c r="CK151" s="105">
        <f ca="1">IFERROR(__xludf.DUMMYFUNCTION("""COMPUTED_VALUE"""),160)</f>
        <v>160</v>
      </c>
      <c r="CL151" s="105">
        <f ca="1">IFERROR(__xludf.DUMMYFUNCTION("""COMPUTED_VALUE"""),0)</f>
        <v>0</v>
      </c>
      <c r="CM151" s="96">
        <f t="shared" ca="1" si="20"/>
        <v>0</v>
      </c>
      <c r="CN151" s="106"/>
      <c r="CO151" s="93"/>
      <c r="CP151" s="107"/>
      <c r="CQ151" s="110"/>
      <c r="CR151" s="93"/>
      <c r="CS151" s="93"/>
      <c r="CT151" s="93"/>
      <c r="CU151" s="93"/>
      <c r="CV151" s="93"/>
      <c r="CW151" s="93"/>
      <c r="CX151" s="51"/>
      <c r="CY151" s="93"/>
      <c r="CZ151" s="93"/>
    </row>
    <row r="152" spans="1:104" ht="15.6">
      <c r="A152" s="1" t="s">
        <v>118</v>
      </c>
      <c r="B152" s="1" t="s">
        <v>362</v>
      </c>
      <c r="C152" s="1" t="s">
        <v>272</v>
      </c>
      <c r="D152" s="1" t="s">
        <v>419</v>
      </c>
      <c r="E152" s="1" t="s">
        <v>627</v>
      </c>
      <c r="F152" s="48">
        <v>45637</v>
      </c>
      <c r="G152" s="76">
        <v>0</v>
      </c>
      <c r="H152" s="76">
        <v>51000000</v>
      </c>
      <c r="I152" s="77">
        <v>39724716.270000003</v>
      </c>
      <c r="J152" s="77">
        <v>0</v>
      </c>
      <c r="K152" s="4">
        <v>79</v>
      </c>
      <c r="L152" s="4">
        <v>91</v>
      </c>
      <c r="M152" s="4">
        <v>13</v>
      </c>
      <c r="N152" s="4">
        <v>92</v>
      </c>
      <c r="O152" s="4">
        <v>1</v>
      </c>
      <c r="P152" s="77">
        <v>31670322.359999999</v>
      </c>
      <c r="Q152" s="77">
        <v>8054393.9100000001</v>
      </c>
      <c r="R152" s="4">
        <v>55</v>
      </c>
      <c r="S152" s="4">
        <v>13</v>
      </c>
      <c r="T152" s="4">
        <v>68</v>
      </c>
      <c r="U152" s="4">
        <v>0</v>
      </c>
      <c r="V152" s="4">
        <v>19</v>
      </c>
      <c r="W152" s="4">
        <v>31</v>
      </c>
      <c r="X152" s="4">
        <v>17</v>
      </c>
      <c r="Y152" s="4">
        <v>2</v>
      </c>
      <c r="Z152" s="4">
        <v>39</v>
      </c>
      <c r="AA152" s="4">
        <v>0</v>
      </c>
      <c r="AB152" s="4">
        <v>0</v>
      </c>
      <c r="AC152" s="4">
        <v>0</v>
      </c>
      <c r="AD152" s="4">
        <v>0</v>
      </c>
      <c r="AE152" s="4">
        <v>1518</v>
      </c>
      <c r="AF152" s="4">
        <v>1588</v>
      </c>
      <c r="AG152" s="4">
        <v>296</v>
      </c>
      <c r="AH152" s="76">
        <f t="shared" si="1"/>
        <v>134205.12253378378</v>
      </c>
      <c r="AI152" s="76">
        <f t="shared" si="2"/>
        <v>5.3648648648648649</v>
      </c>
      <c r="AJ152" s="112">
        <v>34090</v>
      </c>
      <c r="AK152" s="76">
        <f t="shared" si="62"/>
        <v>409080</v>
      </c>
      <c r="AL152" s="79">
        <v>132775</v>
      </c>
      <c r="AM152" s="80">
        <f t="shared" si="4"/>
        <v>1.3640248461867741E-2</v>
      </c>
      <c r="AN152" s="76">
        <f t="shared" si="5"/>
        <v>584187.00397058832</v>
      </c>
      <c r="AO152" s="102">
        <f t="shared" si="94"/>
        <v>0.77891600529411775</v>
      </c>
      <c r="AP152" s="82">
        <v>0</v>
      </c>
      <c r="AQ152" s="4">
        <v>407</v>
      </c>
      <c r="AR152" s="4">
        <v>3141</v>
      </c>
      <c r="AS152" s="4">
        <v>3765.71</v>
      </c>
      <c r="AT152" s="4">
        <v>13</v>
      </c>
      <c r="AU152" s="4">
        <v>41</v>
      </c>
      <c r="AV152" s="1">
        <v>68</v>
      </c>
      <c r="AW152" s="1">
        <v>23</v>
      </c>
      <c r="AX152" s="1">
        <v>1</v>
      </c>
      <c r="AY152" s="86" t="str">
        <f>IFERROR(VLOOKUP(C152,#REF!,13,0),"")</f>
        <v/>
      </c>
      <c r="AZ152" s="87"/>
      <c r="BA152" s="1" t="str">
        <f t="shared" si="6"/>
        <v>Active</v>
      </c>
      <c r="BB152" s="1" t="e">
        <f t="shared" ca="1" si="7"/>
        <v>#NAME?</v>
      </c>
      <c r="BC152" s="1" t="e">
        <f t="shared" ca="1" si="95"/>
        <v>#NAME?</v>
      </c>
      <c r="BD152" s="33">
        <f t="shared" ref="BD152:BD153" si="98">MATCH($BD$2,{"Apr","May","Jun","Jul","Aug","Sep","Oct","Nov","Dec","Jan","Feb","Mar"},0)</f>
        <v>12</v>
      </c>
      <c r="BE152" s="88" t="str">
        <v/>
      </c>
      <c r="BF152" s="1">
        <f t="shared" si="9"/>
        <v>0</v>
      </c>
      <c r="BG152" s="1" t="s">
        <v>428</v>
      </c>
      <c r="BH152" s="89">
        <f ca="1">IFERROR(__xludf.DUMMYFUNCTION("""COMPUTED_VALUE"""),2407183)</f>
        <v>2407183</v>
      </c>
      <c r="BI152" s="89">
        <f ca="1">IFERROR(__xludf.DUMMYFUNCTION("""COMPUTED_VALUE"""),2568223.5)</f>
        <v>2568223.5</v>
      </c>
      <c r="BJ152" s="90"/>
      <c r="BK152" s="91"/>
      <c r="BL152" s="91">
        <f t="shared" si="47"/>
        <v>0</v>
      </c>
      <c r="BM152" s="91">
        <f t="shared" si="11"/>
        <v>51000000</v>
      </c>
      <c r="BN152" s="91"/>
      <c r="BO152" s="92">
        <f ca="1">IFERROR(__xludf.DUMMYFUNCTION("IFERROR(ArrayFormula(SUM(VLOOKUP($C152,importrange(""1MwNMVzWE3QBVOyJjKr3eFX-Sq1Ng0Q1sghWJbgbE_8g"",""ORDER BOOKING REPORT 2024-25!C:CV""),{16,23,30},0))))"),0)</f>
        <v>0</v>
      </c>
      <c r="BP152" s="92">
        <f ca="1">IFERROR(__xludf.DUMMYFUNCTION("IFERROR(ArrayFormula(SUM(VLOOKUP($C152,importrange(""1MwNMVzWE3QBVOyJjKr3eFX-Sq1Ng0Q1sghWJbgbE_8g"",""ORDER BOOKING REPORT 2024-25!C:CV""),{37,44,51},0))))"),0)</f>
        <v>0</v>
      </c>
      <c r="BQ152" s="92">
        <f ca="1">IFERROR(__xludf.DUMMYFUNCTION("IFERROR(ArrayFormula(SUM(VLOOKUP($C152,importrange(""1MwNMVzWE3QBVOyJjKr3eFX-Sq1Ng0Q1sghWJbgbE_8g"",""ORDER BOOKING REPORT 2024-25!C:CV""),{58,65,72},0))))"),307174.1)</f>
        <v>307174.09999999998</v>
      </c>
      <c r="BR152" s="92">
        <f ca="1">IFERROR(__xludf.DUMMYFUNCTION("IFERROR(ArrayFormula(SUM(VLOOKUP($C152,importrange(""1MwNMVzWE3QBVOyJjKr3eFX-Sq1Ng0Q1sghWJbgbE_8g"",""ORDER BOOKING REPORT 2024-25!C:CV""),{79,86,93},0))))"),2261049.4)</f>
        <v>2261049.4</v>
      </c>
      <c r="BS152" s="93" t="str">
        <f t="shared" si="12"/>
        <v/>
      </c>
      <c r="BT152" s="93" t="str">
        <f t="shared" si="13"/>
        <v/>
      </c>
      <c r="BU152" s="37">
        <f t="shared" si="14"/>
        <v>0</v>
      </c>
      <c r="BV152" s="94">
        <v>34090</v>
      </c>
      <c r="BW152" s="94" t="s">
        <v>476</v>
      </c>
      <c r="BX152" s="94">
        <v>1199</v>
      </c>
      <c r="BY152" s="37">
        <f t="shared" si="15"/>
        <v>0</v>
      </c>
      <c r="BZ152" s="37"/>
      <c r="CA152" s="37"/>
      <c r="CB152" s="37"/>
      <c r="CC152" s="37"/>
      <c r="CD152" s="37"/>
      <c r="CE152" s="37"/>
      <c r="CF152" s="37"/>
      <c r="CG152" s="37" t="str">
        <f t="shared" si="18"/>
        <v xml:space="preserve"> </v>
      </c>
      <c r="CH152" s="37" t="str">
        <f t="shared" si="26"/>
        <v>Business Achieved 50%</v>
      </c>
      <c r="CI152" s="93">
        <f t="shared" si="19"/>
        <v>0.73913043478260865</v>
      </c>
      <c r="CJ152" s="95">
        <f ca="1">IFERROR(__xludf.DUMMYFUNCTION("""COMPUTED_VALUE"""),1331)</f>
        <v>1331</v>
      </c>
      <c r="CK152" s="95">
        <f ca="1">IFERROR(__xludf.DUMMYFUNCTION("""COMPUTED_VALUE"""),187)</f>
        <v>187</v>
      </c>
      <c r="CL152" s="95">
        <f ca="1">IFERROR(__xludf.DUMMYFUNCTION("""COMPUTED_VALUE"""),0)</f>
        <v>0</v>
      </c>
      <c r="CM152" s="96">
        <f t="shared" ca="1" si="20"/>
        <v>0</v>
      </c>
      <c r="CN152" s="103"/>
      <c r="CO152" s="4"/>
      <c r="CP152" s="100"/>
      <c r="CQ152" s="101"/>
      <c r="CR152" s="4"/>
      <c r="CS152" s="4"/>
      <c r="CT152" s="4"/>
      <c r="CU152" s="4"/>
      <c r="CV152" s="4"/>
      <c r="CW152" s="101"/>
      <c r="CX152" s="51"/>
      <c r="CY152" s="4"/>
      <c r="CZ152" s="4"/>
    </row>
    <row r="153" spans="1:104" ht="15.6">
      <c r="A153" s="1" t="s">
        <v>117</v>
      </c>
      <c r="B153" s="1" t="s">
        <v>450</v>
      </c>
      <c r="C153" s="1" t="s">
        <v>158</v>
      </c>
      <c r="D153" s="1" t="s">
        <v>482</v>
      </c>
      <c r="E153" s="1" t="s">
        <v>628</v>
      </c>
      <c r="F153" s="48">
        <v>45638</v>
      </c>
      <c r="G153" s="76">
        <v>0</v>
      </c>
      <c r="H153" s="76">
        <v>12500004</v>
      </c>
      <c r="I153" s="77">
        <v>244183.86</v>
      </c>
      <c r="J153" s="77">
        <v>0</v>
      </c>
      <c r="K153" s="4">
        <v>100</v>
      </c>
      <c r="L153" s="4">
        <v>20</v>
      </c>
      <c r="M153" s="4">
        <v>1</v>
      </c>
      <c r="N153" s="4">
        <v>101</v>
      </c>
      <c r="O153" s="4">
        <v>81</v>
      </c>
      <c r="P153" s="77">
        <v>244183.86</v>
      </c>
      <c r="Q153" s="77">
        <v>0</v>
      </c>
      <c r="R153" s="4">
        <v>16</v>
      </c>
      <c r="S153" s="4">
        <v>0</v>
      </c>
      <c r="T153" s="4">
        <v>16</v>
      </c>
      <c r="U153" s="4">
        <v>0</v>
      </c>
      <c r="V153" s="4">
        <v>218</v>
      </c>
      <c r="W153" s="4">
        <v>586</v>
      </c>
      <c r="X153" s="4">
        <v>124</v>
      </c>
      <c r="Y153" s="4">
        <v>2</v>
      </c>
      <c r="Z153" s="4">
        <v>81</v>
      </c>
      <c r="AA153" s="4">
        <v>0</v>
      </c>
      <c r="AB153" s="4">
        <v>0</v>
      </c>
      <c r="AC153" s="4">
        <v>0</v>
      </c>
      <c r="AD153" s="4">
        <v>0</v>
      </c>
      <c r="AE153" s="4">
        <v>28</v>
      </c>
      <c r="AF153" s="4">
        <v>695</v>
      </c>
      <c r="AG153" s="4">
        <v>261</v>
      </c>
      <c r="AH153" s="76">
        <f t="shared" si="1"/>
        <v>935.57034482758615</v>
      </c>
      <c r="AI153" s="76">
        <f t="shared" si="2"/>
        <v>2.6628352490421454</v>
      </c>
      <c r="AJ153" s="112">
        <v>47720</v>
      </c>
      <c r="AK153" s="76">
        <f t="shared" si="62"/>
        <v>572640</v>
      </c>
      <c r="AL153" s="79">
        <v>142607</v>
      </c>
      <c r="AM153" s="80">
        <f t="shared" si="4"/>
        <v>2.9291329901984513</v>
      </c>
      <c r="AN153" s="76">
        <f t="shared" si="5"/>
        <v>15261.491249999999</v>
      </c>
      <c r="AO153" s="102">
        <f t="shared" si="94"/>
        <v>1.9534702548895184E-2</v>
      </c>
      <c r="AP153" s="82">
        <v>0</v>
      </c>
      <c r="AQ153" s="4">
        <v>30</v>
      </c>
      <c r="AR153" s="4">
        <v>2924</v>
      </c>
      <c r="AS153" s="4">
        <v>2775.07</v>
      </c>
      <c r="AT153" s="4">
        <v>0</v>
      </c>
      <c r="AU153" s="4">
        <v>139</v>
      </c>
      <c r="AV153" s="1">
        <v>16</v>
      </c>
      <c r="AW153" s="1">
        <v>14</v>
      </c>
      <c r="AX153" s="1">
        <v>71</v>
      </c>
      <c r="AY153" s="86" t="str">
        <f>IFERROR(VLOOKUP(C153,#REF!,13,0),"")</f>
        <v/>
      </c>
      <c r="AZ153" s="87"/>
      <c r="BA153" s="1" t="str">
        <f t="shared" si="6"/>
        <v>Active</v>
      </c>
      <c r="BB153" s="1" t="e">
        <f t="shared" ca="1" si="7"/>
        <v>#NAME?</v>
      </c>
      <c r="BC153" s="1" t="e">
        <f t="shared" ca="1" si="95"/>
        <v>#NAME?</v>
      </c>
      <c r="BD153" s="33">
        <f t="shared" si="98"/>
        <v>12</v>
      </c>
      <c r="BE153" s="88" t="str">
        <v/>
      </c>
      <c r="BF153" s="1">
        <f t="shared" si="9"/>
        <v>1</v>
      </c>
      <c r="BG153" s="1" t="s">
        <v>428</v>
      </c>
      <c r="BH153" s="89">
        <f ca="1">IFERROR(__xludf.DUMMYFUNCTION("""COMPUTED_VALUE"""),0)</f>
        <v>0</v>
      </c>
      <c r="BI153" s="89">
        <f ca="1">IFERROR(__xludf.DUMMYFUNCTION("""COMPUTED_VALUE"""),0)</f>
        <v>0</v>
      </c>
      <c r="BJ153" s="90"/>
      <c r="BK153" s="91"/>
      <c r="BL153" s="91">
        <f t="shared" si="47"/>
        <v>0</v>
      </c>
      <c r="BM153" s="91">
        <f t="shared" si="11"/>
        <v>12500004</v>
      </c>
      <c r="BN153" s="91"/>
      <c r="BO153" s="92">
        <f ca="1">IFERROR(__xludf.DUMMYFUNCTION("IFERROR(ArrayFormula(SUM(VLOOKUP($C153,importrange(""1MwNMVzWE3QBVOyJjKr3eFX-Sq1Ng0Q1sghWJbgbE_8g"",""ORDER BOOKING REPORT 2024-25!C:CV""),{16,23,30},0))))"),0)</f>
        <v>0</v>
      </c>
      <c r="BP153" s="92">
        <f ca="1">IFERROR(__xludf.DUMMYFUNCTION("IFERROR(ArrayFormula(SUM(VLOOKUP($C153,importrange(""1MwNMVzWE3QBVOyJjKr3eFX-Sq1Ng0Q1sghWJbgbE_8g"",""ORDER BOOKING REPORT 2024-25!C:CV""),{37,44,51},0))))"),0)</f>
        <v>0</v>
      </c>
      <c r="BQ153" s="92">
        <f ca="1">IFERROR(__xludf.DUMMYFUNCTION("IFERROR(ArrayFormula(SUM(VLOOKUP($C153,importrange(""1MwNMVzWE3QBVOyJjKr3eFX-Sq1Ng0Q1sghWJbgbE_8g"",""ORDER BOOKING REPORT 2024-25!C:CV""),{58,65,72},0))))"),0)</f>
        <v>0</v>
      </c>
      <c r="BR153" s="92">
        <f ca="1">IFERROR(__xludf.DUMMYFUNCTION("IFERROR(ArrayFormula(SUM(VLOOKUP($C153,importrange(""1MwNMVzWE3QBVOyJjKr3eFX-Sq1Ng0Q1sghWJbgbE_8g"",""ORDER BOOKING REPORT 2024-25!C:CV""),{79,86,93},0))))"),0)</f>
        <v>0</v>
      </c>
      <c r="BS153" s="93" t="str">
        <f t="shared" si="12"/>
        <v/>
      </c>
      <c r="BT153" s="93" t="str">
        <f t="shared" si="13"/>
        <v/>
      </c>
      <c r="BU153" s="37">
        <f t="shared" si="14"/>
        <v>0</v>
      </c>
      <c r="BV153" s="94">
        <v>47720</v>
      </c>
      <c r="BW153" s="94" t="s">
        <v>429</v>
      </c>
      <c r="BX153" s="94">
        <v>1200</v>
      </c>
      <c r="BY153" s="37">
        <f t="shared" si="15"/>
        <v>0</v>
      </c>
      <c r="BZ153" s="37"/>
      <c r="CA153" s="37"/>
      <c r="CB153" s="37"/>
      <c r="CC153" s="37"/>
      <c r="CD153" s="37"/>
      <c r="CE153" s="37"/>
      <c r="CF153" s="37"/>
      <c r="CG153" s="37" t="str">
        <f t="shared" si="18"/>
        <v xml:space="preserve"> </v>
      </c>
      <c r="CH153" s="37" t="str">
        <f t="shared" si="26"/>
        <v>Not 50%</v>
      </c>
      <c r="CI153" s="93">
        <f t="shared" si="19"/>
        <v>0.15841584158415842</v>
      </c>
      <c r="CJ153" s="95">
        <f ca="1">IFERROR(__xludf.DUMMYFUNCTION("""COMPUTED_VALUE"""),9)</f>
        <v>9</v>
      </c>
      <c r="CK153" s="95">
        <f ca="1">IFERROR(__xludf.DUMMYFUNCTION("""COMPUTED_VALUE"""),19)</f>
        <v>19</v>
      </c>
      <c r="CL153" s="95">
        <f ca="1">IFERROR(__xludf.DUMMYFUNCTION("""COMPUTED_VALUE"""),0)</f>
        <v>0</v>
      </c>
      <c r="CM153" s="96">
        <f t="shared" ca="1" si="20"/>
        <v>0</v>
      </c>
      <c r="CN153" s="103"/>
      <c r="CO153" s="4"/>
      <c r="CP153" s="100"/>
      <c r="CQ153" s="101"/>
      <c r="CR153" s="4"/>
      <c r="CS153" s="4"/>
      <c r="CT153" s="4"/>
      <c r="CU153" s="4"/>
      <c r="CV153" s="4"/>
      <c r="CW153" s="101"/>
      <c r="CX153" s="51"/>
      <c r="CY153" s="4"/>
      <c r="CZ153" s="4"/>
    </row>
    <row r="154" spans="1:104" ht="15.6">
      <c r="A154" s="1" t="s">
        <v>201</v>
      </c>
      <c r="B154" s="1" t="s">
        <v>431</v>
      </c>
      <c r="C154" s="1" t="s">
        <v>271</v>
      </c>
      <c r="D154" s="1" t="s">
        <v>431</v>
      </c>
      <c r="E154" s="1" t="s">
        <v>433</v>
      </c>
      <c r="F154" s="48">
        <v>45639</v>
      </c>
      <c r="G154" s="76">
        <v>0</v>
      </c>
      <c r="H154" s="76">
        <v>10750002</v>
      </c>
      <c r="I154" s="77">
        <v>4367670.0999999996</v>
      </c>
      <c r="J154" s="77">
        <v>0</v>
      </c>
      <c r="K154" s="4">
        <v>41</v>
      </c>
      <c r="L154" s="4">
        <v>52</v>
      </c>
      <c r="M154" s="4">
        <v>19</v>
      </c>
      <c r="N154" s="4">
        <v>60</v>
      </c>
      <c r="O154" s="4">
        <v>8</v>
      </c>
      <c r="P154" s="77">
        <v>3150576.37</v>
      </c>
      <c r="Q154" s="77">
        <v>1217093.73</v>
      </c>
      <c r="R154" s="4">
        <v>27</v>
      </c>
      <c r="S154" s="4">
        <v>18</v>
      </c>
      <c r="T154" s="4">
        <v>45</v>
      </c>
      <c r="U154" s="4">
        <v>0</v>
      </c>
      <c r="V154" s="4">
        <v>86</v>
      </c>
      <c r="W154" s="4">
        <v>173</v>
      </c>
      <c r="X154" s="4">
        <v>37</v>
      </c>
      <c r="Y154" s="4">
        <v>4</v>
      </c>
      <c r="Z154" s="4">
        <v>101</v>
      </c>
      <c r="AA154" s="4">
        <v>0</v>
      </c>
      <c r="AB154" s="4">
        <v>0</v>
      </c>
      <c r="AC154" s="4">
        <v>0</v>
      </c>
      <c r="AD154" s="4">
        <v>0</v>
      </c>
      <c r="AE154" s="4">
        <v>430</v>
      </c>
      <c r="AF154" s="4">
        <v>704</v>
      </c>
      <c r="AG154" s="4">
        <v>126</v>
      </c>
      <c r="AH154" s="76">
        <f t="shared" si="1"/>
        <v>34664.048412698408</v>
      </c>
      <c r="AI154" s="76">
        <f t="shared" si="2"/>
        <v>5.587301587301587</v>
      </c>
      <c r="AJ154" s="78">
        <f>BV154</f>
        <v>35140</v>
      </c>
      <c r="AK154" s="76">
        <f t="shared" si="62"/>
        <v>190810.19999999998</v>
      </c>
      <c r="AL154" s="49">
        <v>48733</v>
      </c>
      <c r="AM154" s="80">
        <f t="shared" si="4"/>
        <v>5.4844618415662849E-2</v>
      </c>
      <c r="AN154" s="76">
        <f t="shared" si="5"/>
        <v>97059.335555555546</v>
      </c>
      <c r="AO154" s="102">
        <f t="shared" si="94"/>
        <v>0.4062948174335223</v>
      </c>
      <c r="AP154" s="82">
        <v>0</v>
      </c>
      <c r="AQ154" s="4">
        <v>103</v>
      </c>
      <c r="AR154" s="4">
        <v>1014</v>
      </c>
      <c r="AS154" s="4">
        <v>0</v>
      </c>
      <c r="AT154" s="4">
        <v>18</v>
      </c>
      <c r="AU154" s="4">
        <v>0</v>
      </c>
      <c r="AV154" s="1">
        <v>45</v>
      </c>
      <c r="AW154" s="1">
        <v>10</v>
      </c>
      <c r="AX154" s="1">
        <v>5</v>
      </c>
      <c r="AY154" s="86" t="str">
        <f>IFERROR(VLOOKUP(C154,#REF!,13,0),"")</f>
        <v/>
      </c>
      <c r="AZ154" s="87">
        <v>45913</v>
      </c>
      <c r="BA154" s="1" t="str">
        <f t="shared" si="6"/>
        <v>LEFT</v>
      </c>
      <c r="BB154" s="1" t="e">
        <f t="shared" ca="1" si="7"/>
        <v>#NAME?</v>
      </c>
      <c r="BC154" s="1" t="e">
        <f t="shared" ca="1" si="95"/>
        <v>#NAME?</v>
      </c>
      <c r="BD154" s="118">
        <v>5.43</v>
      </c>
      <c r="BE154" s="88" t="str">
        <v/>
      </c>
      <c r="BF154" s="1">
        <f t="shared" si="9"/>
        <v>1</v>
      </c>
      <c r="BG154" s="1" t="s">
        <v>428</v>
      </c>
      <c r="BH154" s="89">
        <f ca="1">IFERROR(__xludf.DUMMYFUNCTION("""COMPUTED_VALUE"""),2332678)</f>
        <v>2332678</v>
      </c>
      <c r="BI154" s="89">
        <f ca="1">IFERROR(__xludf.DUMMYFUNCTION("""COMPUTED_VALUE"""),2110203.7)</f>
        <v>2110203.7000000002</v>
      </c>
      <c r="BJ154" s="90"/>
      <c r="BK154" s="91"/>
      <c r="BL154" s="91">
        <f t="shared" si="47"/>
        <v>0</v>
      </c>
      <c r="BM154" s="91">
        <f t="shared" si="11"/>
        <v>10750002</v>
      </c>
      <c r="BN154" s="91"/>
      <c r="BO154" s="92">
        <f ca="1">IFERROR(__xludf.DUMMYFUNCTION("IFERROR(ArrayFormula(SUM(VLOOKUP($C154,importrange(""1MwNMVzWE3QBVOyJjKr3eFX-Sq1Ng0Q1sghWJbgbE_8g"",""ORDER BOOKING REPORT 2024-25!C:CV""),{16,23,30},0))))"),0)</f>
        <v>0</v>
      </c>
      <c r="BP154" s="92">
        <f ca="1">IFERROR(__xludf.DUMMYFUNCTION("IFERROR(ArrayFormula(SUM(VLOOKUP($C154,importrange(""1MwNMVzWE3QBVOyJjKr3eFX-Sq1Ng0Q1sghWJbgbE_8g"",""ORDER BOOKING REPORT 2024-25!C:CV""),{37,44,51},0))))"),0)</f>
        <v>0</v>
      </c>
      <c r="BQ154" s="92">
        <f ca="1">IFERROR(__xludf.DUMMYFUNCTION("IFERROR(ArrayFormula(SUM(VLOOKUP($C154,importrange(""1MwNMVzWE3QBVOyJjKr3eFX-Sq1Ng0Q1sghWJbgbE_8g"",""ORDER BOOKING REPORT 2024-25!C:CV""),{58,65,72},0))))"),146329.04)</f>
        <v>146329.04</v>
      </c>
      <c r="BR154" s="92">
        <f ca="1">IFERROR(__xludf.DUMMYFUNCTION("IFERROR(ArrayFormula(SUM(VLOOKUP($C154,importrange(""1MwNMVzWE3QBVOyJjKr3eFX-Sq1Ng0Q1sghWJbgbE_8g"",""ORDER BOOKING REPORT 2024-25!C:CV""),{79,86,93},0))))"),1963874.66)</f>
        <v>1963874.66</v>
      </c>
      <c r="BS154" s="93" t="str">
        <f t="shared" si="12"/>
        <v/>
      </c>
      <c r="BT154" s="93" t="str">
        <f t="shared" si="13"/>
        <v/>
      </c>
      <c r="BU154" s="37">
        <f t="shared" si="14"/>
        <v>0</v>
      </c>
      <c r="BV154" s="94">
        <v>35140</v>
      </c>
      <c r="BW154" s="94" t="s">
        <v>445</v>
      </c>
      <c r="BX154" s="94">
        <v>1201</v>
      </c>
      <c r="BY154" s="37">
        <f t="shared" si="15"/>
        <v>0</v>
      </c>
      <c r="BZ154" s="37"/>
      <c r="CA154" s="37" t="e">
        <f>BE154*BD154</f>
        <v>#VALUE!</v>
      </c>
      <c r="CB154" s="37"/>
      <c r="CC154" s="37" t="e">
        <f>CA154-H154</f>
        <v>#VALUE!</v>
      </c>
      <c r="CD154" s="37"/>
      <c r="CE154" s="37"/>
      <c r="CF154" s="37"/>
      <c r="CG154" s="37" t="str">
        <f t="shared" si="18"/>
        <v xml:space="preserve"> </v>
      </c>
      <c r="CH154" s="37" t="str">
        <f t="shared" si="26"/>
        <v>Business Achieved 50%</v>
      </c>
      <c r="CI154" s="93">
        <f t="shared" si="19"/>
        <v>0.75</v>
      </c>
      <c r="CJ154" s="105">
        <f ca="1">IFERROR(__xludf.DUMMYFUNCTION("""COMPUTED_VALUE"""),372)</f>
        <v>372</v>
      </c>
      <c r="CK154" s="105">
        <f ca="1">IFERROR(__xludf.DUMMYFUNCTION("""COMPUTED_VALUE"""),58)</f>
        <v>58</v>
      </c>
      <c r="CL154" s="105">
        <f ca="1">IFERROR(__xludf.DUMMYFUNCTION("""COMPUTED_VALUE"""),0)</f>
        <v>0</v>
      </c>
      <c r="CM154" s="96">
        <f t="shared" ca="1" si="20"/>
        <v>0</v>
      </c>
      <c r="CN154" s="106"/>
      <c r="CO154" s="93"/>
      <c r="CP154" s="107"/>
      <c r="CQ154" s="110"/>
      <c r="CR154" s="93"/>
      <c r="CS154" s="93"/>
      <c r="CT154" s="93"/>
      <c r="CU154" s="93"/>
      <c r="CV154" s="93"/>
      <c r="CW154" s="93"/>
      <c r="CX154" s="51"/>
      <c r="CY154" s="93"/>
      <c r="CZ154" s="93"/>
    </row>
    <row r="155" spans="1:104" ht="15.6">
      <c r="A155" s="1" t="s">
        <v>118</v>
      </c>
      <c r="B155" s="1" t="s">
        <v>468</v>
      </c>
      <c r="C155" s="1" t="s">
        <v>273</v>
      </c>
      <c r="D155" s="1" t="s">
        <v>509</v>
      </c>
      <c r="E155" s="1" t="s">
        <v>555</v>
      </c>
      <c r="F155" s="48">
        <v>45639</v>
      </c>
      <c r="G155" s="76">
        <v>0</v>
      </c>
      <c r="H155" s="76">
        <v>24000000</v>
      </c>
      <c r="I155" s="77">
        <v>20736406.800000001</v>
      </c>
      <c r="J155" s="77">
        <v>0</v>
      </c>
      <c r="K155" s="4">
        <v>84</v>
      </c>
      <c r="L155" s="4">
        <v>96</v>
      </c>
      <c r="M155" s="4">
        <v>22</v>
      </c>
      <c r="N155" s="4">
        <v>106</v>
      </c>
      <c r="O155" s="4">
        <v>10</v>
      </c>
      <c r="P155" s="77">
        <v>16856756.550000001</v>
      </c>
      <c r="Q155" s="77">
        <v>3879650.25</v>
      </c>
      <c r="R155" s="4">
        <v>44</v>
      </c>
      <c r="S155" s="4">
        <v>21</v>
      </c>
      <c r="T155" s="4">
        <v>65</v>
      </c>
      <c r="U155" s="4">
        <v>0</v>
      </c>
      <c r="V155" s="4">
        <v>171</v>
      </c>
      <c r="W155" s="4">
        <v>334</v>
      </c>
      <c r="X155" s="4">
        <v>68</v>
      </c>
      <c r="Y155" s="4">
        <v>1</v>
      </c>
      <c r="Z155" s="4">
        <v>90</v>
      </c>
      <c r="AA155" s="4">
        <v>0</v>
      </c>
      <c r="AB155" s="4">
        <v>0</v>
      </c>
      <c r="AC155" s="4">
        <v>0</v>
      </c>
      <c r="AD155" s="4">
        <v>0</v>
      </c>
      <c r="AE155" s="4">
        <v>902</v>
      </c>
      <c r="AF155" s="4">
        <v>1326</v>
      </c>
      <c r="AG155" s="4">
        <v>287</v>
      </c>
      <c r="AH155" s="76">
        <f t="shared" si="1"/>
        <v>72252.288501742165</v>
      </c>
      <c r="AI155" s="76">
        <f t="shared" si="2"/>
        <v>4.6202090592334493</v>
      </c>
      <c r="AJ155" s="78">
        <v>33568</v>
      </c>
      <c r="AK155" s="76">
        <f t="shared" si="62"/>
        <v>402816</v>
      </c>
      <c r="AL155" s="79">
        <v>132464</v>
      </c>
      <c r="AM155" s="80">
        <f t="shared" si="4"/>
        <v>2.5813536798477546E-2</v>
      </c>
      <c r="AN155" s="76">
        <f t="shared" si="5"/>
        <v>319021.64307692309</v>
      </c>
      <c r="AO155" s="102">
        <f t="shared" si="94"/>
        <v>0.86401695000000001</v>
      </c>
      <c r="AP155" s="82">
        <v>0</v>
      </c>
      <c r="AQ155" s="4">
        <v>258</v>
      </c>
      <c r="AR155" s="4">
        <v>2681</v>
      </c>
      <c r="AS155" s="4">
        <v>2187.25</v>
      </c>
      <c r="AT155" s="4">
        <v>21</v>
      </c>
      <c r="AU155" s="4">
        <v>23</v>
      </c>
      <c r="AV155" s="1">
        <v>65</v>
      </c>
      <c r="AW155" s="1">
        <v>32</v>
      </c>
      <c r="AX155" s="1">
        <v>9</v>
      </c>
      <c r="AY155" s="86" t="str">
        <f>IFERROR(VLOOKUP(C155,#REF!,13,0),"")</f>
        <v/>
      </c>
      <c r="AZ155" s="87"/>
      <c r="BA155" s="1" t="str">
        <f t="shared" si="6"/>
        <v>Active</v>
      </c>
      <c r="BB155" s="1" t="e">
        <f t="shared" ca="1" si="7"/>
        <v>#NAME?</v>
      </c>
      <c r="BC155" s="1" t="e">
        <f t="shared" ca="1" si="95"/>
        <v>#NAME?</v>
      </c>
      <c r="BD155" s="33">
        <f t="shared" ref="BD155:BD156" si="99">MATCH($BD$2,{"Apr","May","Jun","Jul","Aug","Sep","Oct","Nov","Dec","Jan","Feb","Mar"},0)</f>
        <v>12</v>
      </c>
      <c r="BE155" s="88" t="str">
        <v/>
      </c>
      <c r="BF155" s="1">
        <f t="shared" si="9"/>
        <v>1</v>
      </c>
      <c r="BG155" s="1" t="s">
        <v>428</v>
      </c>
      <c r="BH155" s="89">
        <f ca="1">IFERROR(__xludf.DUMMYFUNCTION("""COMPUTED_VALUE"""),0)</f>
        <v>0</v>
      </c>
      <c r="BI155" s="89">
        <f ca="1">IFERROR(__xludf.DUMMYFUNCTION("""COMPUTED_VALUE"""),2894937.16)</f>
        <v>2894937.16</v>
      </c>
      <c r="BJ155" s="90"/>
      <c r="BK155" s="91"/>
      <c r="BL155" s="91">
        <f t="shared" si="47"/>
        <v>0</v>
      </c>
      <c r="BM155" s="91">
        <f t="shared" si="11"/>
        <v>24000000</v>
      </c>
      <c r="BN155" s="91"/>
      <c r="BO155" s="92">
        <f ca="1">IFERROR(__xludf.DUMMYFUNCTION("IFERROR(ArrayFormula(SUM(VLOOKUP($C155,importrange(""1MwNMVzWE3QBVOyJjKr3eFX-Sq1Ng0Q1sghWJbgbE_8g"",""ORDER BOOKING REPORT 2024-25!C:CV""),{16,23,30},0))))"),0)</f>
        <v>0</v>
      </c>
      <c r="BP155" s="92">
        <f ca="1">IFERROR(__xludf.DUMMYFUNCTION("IFERROR(ArrayFormula(SUM(VLOOKUP($C155,importrange(""1MwNMVzWE3QBVOyJjKr3eFX-Sq1Ng0Q1sghWJbgbE_8g"",""ORDER BOOKING REPORT 2024-25!C:CV""),{37,44,51},0))))"),0)</f>
        <v>0</v>
      </c>
      <c r="BQ155" s="92">
        <f ca="1">IFERROR(__xludf.DUMMYFUNCTION("IFERROR(ArrayFormula(SUM(VLOOKUP($C155,importrange(""1MwNMVzWE3QBVOyJjKr3eFX-Sq1Ng0Q1sghWJbgbE_8g"",""ORDER BOOKING REPORT 2024-25!C:CV""),{58,65,72},0))))"),0)</f>
        <v>0</v>
      </c>
      <c r="BR155" s="92">
        <f ca="1">IFERROR(__xludf.DUMMYFUNCTION("IFERROR(ArrayFormula(SUM(VLOOKUP($C155,importrange(""1MwNMVzWE3QBVOyJjKr3eFX-Sq1Ng0Q1sghWJbgbE_8g"",""ORDER BOOKING REPORT 2024-25!C:CV""),{79,86,93},0))))"),2894937.16)</f>
        <v>2894937.16</v>
      </c>
      <c r="BS155" s="93" t="str">
        <f t="shared" si="12"/>
        <v/>
      </c>
      <c r="BT155" s="93" t="str">
        <f t="shared" si="13"/>
        <v/>
      </c>
      <c r="BU155" s="37">
        <f t="shared" si="14"/>
        <v>0</v>
      </c>
      <c r="BV155" s="94">
        <v>33568</v>
      </c>
      <c r="BW155" s="94" t="s">
        <v>476</v>
      </c>
      <c r="BX155" s="94">
        <v>1202</v>
      </c>
      <c r="BY155" s="37">
        <f t="shared" si="15"/>
        <v>0</v>
      </c>
      <c r="BZ155" s="37"/>
      <c r="CA155" s="37"/>
      <c r="CB155" s="37"/>
      <c r="CC155" s="37"/>
      <c r="CD155" s="37"/>
      <c r="CE155" s="37"/>
      <c r="CF155" s="37"/>
      <c r="CG155" s="37" t="str">
        <f t="shared" si="18"/>
        <v xml:space="preserve"> </v>
      </c>
      <c r="CH155" s="37" t="str">
        <f t="shared" si="26"/>
        <v>Business Achieved 50%</v>
      </c>
      <c r="CI155" s="93">
        <f t="shared" si="19"/>
        <v>0.6132075471698113</v>
      </c>
      <c r="CJ155" s="95">
        <f ca="1">IFERROR(__xludf.DUMMYFUNCTION("""COMPUTED_VALUE"""),730)</f>
        <v>730</v>
      </c>
      <c r="CK155" s="95">
        <f ca="1">IFERROR(__xludf.DUMMYFUNCTION("""COMPUTED_VALUE"""),172)</f>
        <v>172</v>
      </c>
      <c r="CL155" s="95">
        <f ca="1">IFERROR(__xludf.DUMMYFUNCTION("""COMPUTED_VALUE"""),0)</f>
        <v>0</v>
      </c>
      <c r="CM155" s="96">
        <f t="shared" ca="1" si="20"/>
        <v>0</v>
      </c>
      <c r="CN155" s="103"/>
      <c r="CO155" s="4"/>
      <c r="CP155" s="100"/>
      <c r="CQ155" s="101"/>
      <c r="CR155" s="4"/>
      <c r="CS155" s="4"/>
      <c r="CT155" s="4"/>
      <c r="CU155" s="4"/>
      <c r="CV155" s="4"/>
      <c r="CW155" s="101"/>
      <c r="CX155" s="51"/>
      <c r="CY155" s="4"/>
      <c r="CZ155" s="4"/>
    </row>
    <row r="156" spans="1:104" ht="15.6">
      <c r="A156" s="1" t="s">
        <v>118</v>
      </c>
      <c r="B156" s="1" t="s">
        <v>372</v>
      </c>
      <c r="C156" s="1" t="s">
        <v>274</v>
      </c>
      <c r="D156" s="1" t="s">
        <v>447</v>
      </c>
      <c r="E156" s="1" t="s">
        <v>629</v>
      </c>
      <c r="F156" s="48">
        <v>45640</v>
      </c>
      <c r="G156" s="76">
        <v>0</v>
      </c>
      <c r="H156" s="76">
        <v>24000000</v>
      </c>
      <c r="I156" s="77">
        <v>18142053.789999999</v>
      </c>
      <c r="J156" s="77">
        <v>0</v>
      </c>
      <c r="K156" s="4">
        <v>17</v>
      </c>
      <c r="L156" s="4">
        <v>26</v>
      </c>
      <c r="M156" s="4">
        <v>9</v>
      </c>
      <c r="N156" s="4">
        <v>26</v>
      </c>
      <c r="O156" s="4">
        <v>0</v>
      </c>
      <c r="P156" s="77">
        <v>13752087.73</v>
      </c>
      <c r="Q156" s="77">
        <v>4389966.0599999996</v>
      </c>
      <c r="R156" s="4">
        <v>16</v>
      </c>
      <c r="S156" s="4">
        <v>9</v>
      </c>
      <c r="T156" s="4">
        <v>25</v>
      </c>
      <c r="U156" s="4">
        <v>0</v>
      </c>
      <c r="V156" s="4">
        <v>96</v>
      </c>
      <c r="W156" s="4">
        <v>265</v>
      </c>
      <c r="X156" s="4">
        <v>20</v>
      </c>
      <c r="Y156" s="4">
        <v>1</v>
      </c>
      <c r="Z156" s="4">
        <v>40</v>
      </c>
      <c r="AA156" s="4">
        <v>0</v>
      </c>
      <c r="AB156" s="4">
        <v>0</v>
      </c>
      <c r="AC156" s="4">
        <v>0</v>
      </c>
      <c r="AD156" s="4">
        <v>0</v>
      </c>
      <c r="AE156" s="4">
        <v>659</v>
      </c>
      <c r="AF156" s="4">
        <v>964</v>
      </c>
      <c r="AG156" s="4">
        <v>254</v>
      </c>
      <c r="AH156" s="76">
        <f t="shared" si="1"/>
        <v>71425.408622047238</v>
      </c>
      <c r="AI156" s="76">
        <f t="shared" si="2"/>
        <v>3.795275590551181</v>
      </c>
      <c r="AJ156" s="112">
        <v>28850</v>
      </c>
      <c r="AK156" s="76">
        <f t="shared" si="62"/>
        <v>346200</v>
      </c>
      <c r="AL156" s="79">
        <v>106415</v>
      </c>
      <c r="AM156" s="80">
        <f t="shared" si="4"/>
        <v>2.4948388161514762E-2</v>
      </c>
      <c r="AN156" s="76">
        <f t="shared" si="5"/>
        <v>725682.15159999998</v>
      </c>
      <c r="AO156" s="102">
        <f t="shared" si="94"/>
        <v>0.7559189079166666</v>
      </c>
      <c r="AP156" s="82">
        <v>0</v>
      </c>
      <c r="AQ156" s="4">
        <v>240</v>
      </c>
      <c r="AR156" s="4">
        <v>2788</v>
      </c>
      <c r="AS156" s="4">
        <v>1963.27</v>
      </c>
      <c r="AT156" s="4">
        <v>9</v>
      </c>
      <c r="AU156" s="4">
        <v>76</v>
      </c>
      <c r="AV156" s="1">
        <v>25</v>
      </c>
      <c r="AW156" s="1">
        <v>1</v>
      </c>
      <c r="AX156" s="1">
        <v>0</v>
      </c>
      <c r="AY156" s="86" t="str">
        <f>IFERROR(VLOOKUP(C156,#REF!,13,0),"")</f>
        <v/>
      </c>
      <c r="AZ156" s="87"/>
      <c r="BA156" s="1" t="str">
        <f t="shared" si="6"/>
        <v>Active</v>
      </c>
      <c r="BB156" s="1" t="e">
        <f t="shared" ca="1" si="7"/>
        <v>#NAME?</v>
      </c>
      <c r="BC156" s="1" t="e">
        <f t="shared" ca="1" si="95"/>
        <v>#NAME?</v>
      </c>
      <c r="BD156" s="33">
        <f t="shared" si="99"/>
        <v>12</v>
      </c>
      <c r="BE156" s="88" t="str">
        <v/>
      </c>
      <c r="BF156" s="1">
        <f t="shared" si="9"/>
        <v>0</v>
      </c>
      <c r="BG156" s="1" t="s">
        <v>428</v>
      </c>
      <c r="BH156" s="89">
        <f ca="1">IFERROR(__xludf.DUMMYFUNCTION("""COMPUTED_VALUE"""),3804407.77)</f>
        <v>3804407.77</v>
      </c>
      <c r="BI156" s="89">
        <f ca="1">IFERROR(__xludf.DUMMYFUNCTION("""COMPUTED_VALUE"""),3786719.52)</f>
        <v>3786719.52</v>
      </c>
      <c r="BJ156" s="90"/>
      <c r="BK156" s="91"/>
      <c r="BL156" s="91">
        <f t="shared" si="47"/>
        <v>0</v>
      </c>
      <c r="BM156" s="91">
        <f t="shared" si="11"/>
        <v>24000000</v>
      </c>
      <c r="BN156" s="91"/>
      <c r="BO156" s="92">
        <f ca="1">IFERROR(__xludf.DUMMYFUNCTION("IFERROR(ArrayFormula(SUM(VLOOKUP($C156,importrange(""1MwNMVzWE3QBVOyJjKr3eFX-Sq1Ng0Q1sghWJbgbE_8g"",""ORDER BOOKING REPORT 2024-25!C:CV""),{16,23,30},0))))"),0)</f>
        <v>0</v>
      </c>
      <c r="BP156" s="92">
        <f ca="1">IFERROR(__xludf.DUMMYFUNCTION("IFERROR(ArrayFormula(SUM(VLOOKUP($C156,importrange(""1MwNMVzWE3QBVOyJjKr3eFX-Sq1Ng0Q1sghWJbgbE_8g"",""ORDER BOOKING REPORT 2024-25!C:CV""),{37,44,51},0))))"),0)</f>
        <v>0</v>
      </c>
      <c r="BQ156" s="92">
        <f ca="1">IFERROR(__xludf.DUMMYFUNCTION("IFERROR(ArrayFormula(SUM(VLOOKUP($C156,importrange(""1MwNMVzWE3QBVOyJjKr3eFX-Sq1Ng0Q1sghWJbgbE_8g"",""ORDER BOOKING REPORT 2024-25!C:CV""),{58,65,72},0))))"),124974)</f>
        <v>124974</v>
      </c>
      <c r="BR156" s="92">
        <f ca="1">IFERROR(__xludf.DUMMYFUNCTION("IFERROR(ArrayFormula(SUM(VLOOKUP($C156,importrange(""1MwNMVzWE3QBVOyJjKr3eFX-Sq1Ng0Q1sghWJbgbE_8g"",""ORDER BOOKING REPORT 2024-25!C:CV""),{79,86,93},0))))"),3661745.52)</f>
        <v>3661745.52</v>
      </c>
      <c r="BS156" s="93" t="str">
        <f t="shared" si="12"/>
        <v/>
      </c>
      <c r="BT156" s="93" t="str">
        <f t="shared" si="13"/>
        <v/>
      </c>
      <c r="BU156" s="37">
        <f t="shared" si="14"/>
        <v>0</v>
      </c>
      <c r="BV156" s="94">
        <v>28850</v>
      </c>
      <c r="BW156" s="94" t="s">
        <v>476</v>
      </c>
      <c r="BX156" s="94">
        <v>1204</v>
      </c>
      <c r="BY156" s="37">
        <f t="shared" si="15"/>
        <v>0</v>
      </c>
      <c r="BZ156" s="37"/>
      <c r="CA156" s="37"/>
      <c r="CB156" s="37"/>
      <c r="CC156" s="37"/>
      <c r="CD156" s="37"/>
      <c r="CE156" s="37"/>
      <c r="CF156" s="37"/>
      <c r="CG156" s="37" t="str">
        <f t="shared" si="18"/>
        <v>Below 60</v>
      </c>
      <c r="CH156" s="37" t="str">
        <f t="shared" si="26"/>
        <v>Business Achieved 50%</v>
      </c>
      <c r="CI156" s="93">
        <f t="shared" si="19"/>
        <v>0.96153846153846156</v>
      </c>
      <c r="CJ156" s="95">
        <f ca="1">IFERROR(__xludf.DUMMYFUNCTION("""COMPUTED_VALUE"""),656)</f>
        <v>656</v>
      </c>
      <c r="CK156" s="95">
        <f ca="1">IFERROR(__xludf.DUMMYFUNCTION("""COMPUTED_VALUE"""),3)</f>
        <v>3</v>
      </c>
      <c r="CL156" s="95">
        <f ca="1">IFERROR(__xludf.DUMMYFUNCTION("""COMPUTED_VALUE"""),0)</f>
        <v>0</v>
      </c>
      <c r="CM156" s="96">
        <f t="shared" ca="1" si="20"/>
        <v>0</v>
      </c>
      <c r="CN156" s="103"/>
      <c r="CO156" s="4"/>
      <c r="CP156" s="100"/>
      <c r="CQ156" s="101"/>
      <c r="CR156" s="4"/>
      <c r="CS156" s="4"/>
      <c r="CT156" s="4"/>
      <c r="CU156" s="4"/>
      <c r="CV156" s="4"/>
      <c r="CW156" s="101"/>
      <c r="CX156" s="51"/>
      <c r="CY156" s="4"/>
      <c r="CZ156" s="4"/>
    </row>
    <row r="157" spans="1:104" ht="15.6">
      <c r="A157" s="1" t="s">
        <v>118</v>
      </c>
      <c r="B157" s="1" t="s">
        <v>436</v>
      </c>
      <c r="C157" s="1" t="s">
        <v>275</v>
      </c>
      <c r="D157" s="1" t="s">
        <v>499</v>
      </c>
      <c r="E157" s="1" t="s">
        <v>630</v>
      </c>
      <c r="F157" s="48">
        <v>45646</v>
      </c>
      <c r="G157" s="76">
        <v>0</v>
      </c>
      <c r="H157" s="76">
        <v>0</v>
      </c>
      <c r="I157" s="77">
        <v>47630</v>
      </c>
      <c r="J157" s="77">
        <v>0</v>
      </c>
      <c r="K157" s="4">
        <v>32</v>
      </c>
      <c r="L157" s="4">
        <v>14</v>
      </c>
      <c r="M157" s="4">
        <v>4</v>
      </c>
      <c r="N157" s="4">
        <v>36</v>
      </c>
      <c r="O157" s="4">
        <v>22</v>
      </c>
      <c r="P157" s="77">
        <v>47630</v>
      </c>
      <c r="Q157" s="77">
        <v>0</v>
      </c>
      <c r="R157" s="4">
        <v>8</v>
      </c>
      <c r="S157" s="4">
        <v>0</v>
      </c>
      <c r="T157" s="4">
        <v>8</v>
      </c>
      <c r="U157" s="4">
        <v>0</v>
      </c>
      <c r="V157" s="4">
        <v>17</v>
      </c>
      <c r="W157" s="4">
        <v>18</v>
      </c>
      <c r="X157" s="4">
        <v>75</v>
      </c>
      <c r="Y157" s="4">
        <v>1</v>
      </c>
      <c r="Z157" s="4">
        <v>2</v>
      </c>
      <c r="AA157" s="4">
        <v>0</v>
      </c>
      <c r="AB157" s="4">
        <v>0</v>
      </c>
      <c r="AC157" s="4">
        <v>0</v>
      </c>
      <c r="AD157" s="4">
        <v>0</v>
      </c>
      <c r="AE157" s="4">
        <v>19</v>
      </c>
      <c r="AF157" s="4">
        <v>39</v>
      </c>
      <c r="AG157" s="4">
        <v>11</v>
      </c>
      <c r="AH157" s="76">
        <f t="shared" si="1"/>
        <v>4330</v>
      </c>
      <c r="AI157" s="76">
        <f t="shared" si="2"/>
        <v>3.5454545454545454</v>
      </c>
      <c r="AJ157" s="112">
        <v>33570</v>
      </c>
      <c r="AK157" s="76">
        <f t="shared" si="62"/>
        <v>16785</v>
      </c>
      <c r="AL157" s="49">
        <v>5260</v>
      </c>
      <c r="AM157" s="80">
        <f t="shared" si="4"/>
        <v>0.46283854713415912</v>
      </c>
      <c r="AN157" s="76">
        <f t="shared" si="5"/>
        <v>5953.75</v>
      </c>
      <c r="AO157" s="49" t="s">
        <v>161</v>
      </c>
      <c r="AP157" s="82">
        <v>0</v>
      </c>
      <c r="AQ157" s="4">
        <v>9</v>
      </c>
      <c r="AR157" s="4">
        <v>107</v>
      </c>
      <c r="AS157" s="4">
        <v>0</v>
      </c>
      <c r="AT157" s="4">
        <v>0</v>
      </c>
      <c r="AU157" s="4">
        <v>0</v>
      </c>
      <c r="AV157" s="1">
        <v>8</v>
      </c>
      <c r="AW157" s="1">
        <v>6</v>
      </c>
      <c r="AX157" s="1">
        <v>22</v>
      </c>
      <c r="AY157" s="86" t="str">
        <f>IFERROR(VLOOKUP(C157,#REF!,13,0),"")</f>
        <v/>
      </c>
      <c r="AZ157" s="111">
        <v>45762</v>
      </c>
      <c r="BA157" s="1" t="str">
        <f t="shared" si="6"/>
        <v>LEFT</v>
      </c>
      <c r="BB157" s="1" t="e">
        <f t="shared" ca="1" si="7"/>
        <v>#NAME?</v>
      </c>
      <c r="BC157" s="4" t="s">
        <v>161</v>
      </c>
      <c r="BD157" s="33">
        <v>0.5</v>
      </c>
      <c r="BE157" s="88" t="str">
        <v/>
      </c>
      <c r="BF157" s="1">
        <f t="shared" si="9"/>
        <v>4</v>
      </c>
      <c r="BG157" s="1" t="s">
        <v>428</v>
      </c>
      <c r="BH157" s="89">
        <f ca="1">IFERROR(__xludf.DUMMYFUNCTION("""COMPUTED_VALUE"""),386440.49)</f>
        <v>386440.49</v>
      </c>
      <c r="BI157" s="89">
        <f ca="1">IFERROR(__xludf.DUMMYFUNCTION("""COMPUTED_VALUE"""),485157.75)</f>
        <v>485157.75</v>
      </c>
      <c r="BJ157" s="109">
        <f>15/30</f>
        <v>0.5</v>
      </c>
      <c r="BK157" s="113"/>
      <c r="BL157" s="91">
        <f t="shared" si="47"/>
        <v>0</v>
      </c>
      <c r="BM157" s="91">
        <f t="shared" si="11"/>
        <v>0</v>
      </c>
      <c r="BN157" s="91"/>
      <c r="BO157" s="92">
        <f ca="1">IFERROR(__xludf.DUMMYFUNCTION("IFERROR(ArrayFormula(SUM(VLOOKUP($C157,importrange(""1MwNMVzWE3QBVOyJjKr3eFX-Sq1Ng0Q1sghWJbgbE_8g"",""ORDER BOOKING REPORT 2024-25!C:CV""),{16,23,30},0))))"),0)</f>
        <v>0</v>
      </c>
      <c r="BP157" s="92">
        <f ca="1">IFERROR(__xludf.DUMMYFUNCTION("IFERROR(ArrayFormula(SUM(VLOOKUP($C157,importrange(""1MwNMVzWE3QBVOyJjKr3eFX-Sq1Ng0Q1sghWJbgbE_8g"",""ORDER BOOKING REPORT 2024-25!C:CV""),{37,44,51},0))))"),0)</f>
        <v>0</v>
      </c>
      <c r="BQ157" s="92">
        <f ca="1">IFERROR(__xludf.DUMMYFUNCTION("IFERROR(ArrayFormula(SUM(VLOOKUP($C157,importrange(""1MwNMVzWE3QBVOyJjKr3eFX-Sq1Ng0Q1sghWJbgbE_8g"",""ORDER BOOKING REPORT 2024-25!C:CV""),{58,65,72},0))))"),10133.2)</f>
        <v>10133.200000000001</v>
      </c>
      <c r="BR157" s="92">
        <f ca="1">IFERROR(__xludf.DUMMYFUNCTION("IFERROR(ArrayFormula(SUM(VLOOKUP($C157,importrange(""1MwNMVzWE3QBVOyJjKr3eFX-Sq1Ng0Q1sghWJbgbE_8g"",""ORDER BOOKING REPORT 2024-25!C:CV""),{79,86,93},0))))"),475024.55)</f>
        <v>475024.55</v>
      </c>
      <c r="BS157" s="93" t="str">
        <f t="shared" si="12"/>
        <v/>
      </c>
      <c r="BT157" s="93" t="str">
        <f t="shared" si="13"/>
        <v/>
      </c>
      <c r="BU157" s="37">
        <f t="shared" si="14"/>
        <v>0</v>
      </c>
      <c r="BV157" s="94"/>
      <c r="BW157" s="94"/>
      <c r="BX157" s="94"/>
      <c r="BY157" s="37">
        <f t="shared" si="15"/>
        <v>-33570</v>
      </c>
      <c r="BZ157" s="37"/>
      <c r="CA157" s="37"/>
      <c r="CB157" s="37"/>
      <c r="CC157" s="37"/>
      <c r="CD157" s="37"/>
      <c r="CE157" s="37"/>
      <c r="CF157" s="37"/>
      <c r="CG157" s="37" t="str">
        <f t="shared" si="18"/>
        <v>Below 60</v>
      </c>
      <c r="CH157" s="37" t="str">
        <f t="shared" si="26"/>
        <v>Not 50%</v>
      </c>
      <c r="CI157" s="93">
        <f t="shared" si="19"/>
        <v>0.22222222222222221</v>
      </c>
      <c r="CJ157" s="105">
        <f ca="1">IFERROR(__xludf.DUMMYFUNCTION("""COMPUTED_VALUE"""),11)</f>
        <v>11</v>
      </c>
      <c r="CK157" s="105">
        <f ca="1">IFERROR(__xludf.DUMMYFUNCTION("""COMPUTED_VALUE"""),8)</f>
        <v>8</v>
      </c>
      <c r="CL157" s="105">
        <f ca="1">IFERROR(__xludf.DUMMYFUNCTION("""COMPUTED_VALUE"""),0)</f>
        <v>0</v>
      </c>
      <c r="CM157" s="96">
        <f t="shared" ca="1" si="20"/>
        <v>0</v>
      </c>
      <c r="CN157" s="106"/>
      <c r="CO157" s="93"/>
      <c r="CP157" s="107"/>
      <c r="CQ157" s="110"/>
      <c r="CR157" s="93"/>
      <c r="CS157" s="93"/>
      <c r="CT157" s="93"/>
      <c r="CU157" s="93"/>
      <c r="CV157" s="93"/>
      <c r="CW157" s="93"/>
      <c r="CX157" s="51"/>
      <c r="CY157" s="93"/>
      <c r="CZ157" s="93"/>
    </row>
    <row r="158" spans="1:104" ht="15.6">
      <c r="A158" s="1" t="s">
        <v>124</v>
      </c>
      <c r="B158" s="1" t="s">
        <v>443</v>
      </c>
      <c r="C158" s="1" t="s">
        <v>276</v>
      </c>
      <c r="D158" s="1" t="s">
        <v>517</v>
      </c>
      <c r="E158" s="1" t="s">
        <v>524</v>
      </c>
      <c r="F158" s="48">
        <v>45651</v>
      </c>
      <c r="G158" s="76">
        <v>0</v>
      </c>
      <c r="H158" s="76">
        <v>5000000</v>
      </c>
      <c r="I158" s="77">
        <v>1792672.44</v>
      </c>
      <c r="J158" s="77">
        <v>0</v>
      </c>
      <c r="K158" s="4">
        <v>73</v>
      </c>
      <c r="L158" s="4">
        <v>76</v>
      </c>
      <c r="M158" s="4">
        <v>8</v>
      </c>
      <c r="N158" s="4">
        <v>81</v>
      </c>
      <c r="O158" s="4">
        <v>5</v>
      </c>
      <c r="P158" s="77">
        <v>1183649.19</v>
      </c>
      <c r="Q158" s="77">
        <v>609023.25</v>
      </c>
      <c r="R158" s="4">
        <v>22</v>
      </c>
      <c r="S158" s="4">
        <v>6</v>
      </c>
      <c r="T158" s="4">
        <v>28</v>
      </c>
      <c r="U158" s="4">
        <v>0</v>
      </c>
      <c r="V158" s="4">
        <v>57</v>
      </c>
      <c r="W158" s="4">
        <v>115</v>
      </c>
      <c r="X158" s="4">
        <v>16</v>
      </c>
      <c r="Y158" s="4">
        <v>1</v>
      </c>
      <c r="Z158" s="4">
        <v>51</v>
      </c>
      <c r="AA158" s="4">
        <v>0</v>
      </c>
      <c r="AB158" s="4">
        <v>0</v>
      </c>
      <c r="AC158" s="4">
        <v>0</v>
      </c>
      <c r="AD158" s="4">
        <v>0</v>
      </c>
      <c r="AE158" s="4">
        <v>296</v>
      </c>
      <c r="AF158" s="4">
        <v>462</v>
      </c>
      <c r="AG158" s="4">
        <v>114</v>
      </c>
      <c r="AH158" s="76">
        <f t="shared" si="1"/>
        <v>15725.196842105262</v>
      </c>
      <c r="AI158" s="76">
        <f t="shared" si="2"/>
        <v>4.0526315789473681</v>
      </c>
      <c r="AJ158" s="112">
        <v>25165</v>
      </c>
      <c r="AK158" s="76">
        <f t="shared" si="62"/>
        <v>125825</v>
      </c>
      <c r="AL158" s="79">
        <v>81389</v>
      </c>
      <c r="AM158" s="80">
        <f t="shared" si="4"/>
        <v>0.11558943807938499</v>
      </c>
      <c r="AN158" s="76">
        <f t="shared" si="5"/>
        <v>64024.015714285713</v>
      </c>
      <c r="AO158" s="102">
        <f t="shared" ref="AO158:AO160" si="100">IFERROR(SUM(I158:J158)/SUM(G158:H158),"")</f>
        <v>0.35853448799999998</v>
      </c>
      <c r="AP158" s="82">
        <v>0</v>
      </c>
      <c r="AQ158" s="4">
        <v>64</v>
      </c>
      <c r="AR158" s="4">
        <v>1156</v>
      </c>
      <c r="AS158" s="4">
        <v>0</v>
      </c>
      <c r="AT158" s="4">
        <v>6</v>
      </c>
      <c r="AU158" s="4">
        <v>0</v>
      </c>
      <c r="AV158" s="1">
        <v>28</v>
      </c>
      <c r="AW158" s="1">
        <v>48</v>
      </c>
      <c r="AX158" s="1">
        <v>5</v>
      </c>
      <c r="AY158" s="86" t="str">
        <f>IFERROR(VLOOKUP(C158,#REF!,13,0),"")</f>
        <v/>
      </c>
      <c r="AZ158" s="87">
        <v>45899</v>
      </c>
      <c r="BA158" s="1" t="str">
        <f t="shared" si="6"/>
        <v>LEFT</v>
      </c>
      <c r="BB158" s="1" t="e">
        <f t="shared" ca="1" si="7"/>
        <v>#NAME?</v>
      </c>
      <c r="BC158" s="1" t="e">
        <f t="shared" ref="BC158:BC160" ca="1" si="101">_xludf.ifs(AO158&lt;50%,"Below 50%",AO158&lt;70%,"50%-70%",AO158&lt;90%,"70%-90%",AO158&lt;100%,"90%-100%",AO158&gt;100%,"Above 100%")</f>
        <v>#NAME?</v>
      </c>
      <c r="BD158" s="33">
        <v>5</v>
      </c>
      <c r="BE158" s="91" t="str">
        <v/>
      </c>
      <c r="BF158" s="1">
        <f t="shared" si="9"/>
        <v>2</v>
      </c>
      <c r="BG158" s="1" t="s">
        <v>428</v>
      </c>
      <c r="BH158" s="89">
        <f ca="1">IFERROR(__xludf.DUMMYFUNCTION("""COMPUTED_VALUE"""),2501918)</f>
        <v>2501918</v>
      </c>
      <c r="BI158" s="89">
        <f ca="1">IFERROR(__xludf.DUMMYFUNCTION("""COMPUTED_VALUE"""),2276092.94)</f>
        <v>2276092.94</v>
      </c>
      <c r="BJ158" s="109"/>
      <c r="BK158" s="91"/>
      <c r="BL158" s="91">
        <f t="shared" si="47"/>
        <v>0</v>
      </c>
      <c r="BM158" s="91">
        <f t="shared" si="11"/>
        <v>5000000</v>
      </c>
      <c r="BN158" s="91"/>
      <c r="BO158" s="92">
        <f ca="1">IFERROR(__xludf.DUMMYFUNCTION("IFERROR(ArrayFormula(SUM(VLOOKUP($C158,importrange(""1MwNMVzWE3QBVOyJjKr3eFX-Sq1Ng0Q1sghWJbgbE_8g"",""ORDER BOOKING REPORT 2024-25!C:CV""),{16,23,30},0))))"),0)</f>
        <v>0</v>
      </c>
      <c r="BP158" s="92">
        <f ca="1">IFERROR(__xludf.DUMMYFUNCTION("IFERROR(ArrayFormula(SUM(VLOOKUP($C158,importrange(""1MwNMVzWE3QBVOyJjKr3eFX-Sq1Ng0Q1sghWJbgbE_8g"",""ORDER BOOKING REPORT 2024-25!C:CV""),{37,44,51},0))))"),0)</f>
        <v>0</v>
      </c>
      <c r="BQ158" s="92">
        <f ca="1">IFERROR(__xludf.DUMMYFUNCTION("IFERROR(ArrayFormula(SUM(VLOOKUP($C158,importrange(""1MwNMVzWE3QBVOyJjKr3eFX-Sq1Ng0Q1sghWJbgbE_8g"",""ORDER BOOKING REPORT 2024-25!C:CV""),{58,65,72},0))))"),0)</f>
        <v>0</v>
      </c>
      <c r="BR158" s="92">
        <f ca="1">IFERROR(__xludf.DUMMYFUNCTION("IFERROR(ArrayFormula(SUM(VLOOKUP($C158,importrange(""1MwNMVzWE3QBVOyJjKr3eFX-Sq1Ng0Q1sghWJbgbE_8g"",""ORDER BOOKING REPORT 2024-25!C:CV""),{79,86,93},0))))"),2276092.94)</f>
        <v>2276092.94</v>
      </c>
      <c r="BS158" s="93" t="str">
        <f t="shared" si="12"/>
        <v/>
      </c>
      <c r="BT158" s="93" t="str">
        <f t="shared" si="13"/>
        <v/>
      </c>
      <c r="BU158" s="37">
        <f t="shared" si="14"/>
        <v>0</v>
      </c>
      <c r="BV158" s="94">
        <v>25165</v>
      </c>
      <c r="BW158" s="94" t="s">
        <v>476</v>
      </c>
      <c r="BX158" s="94">
        <v>1208</v>
      </c>
      <c r="BY158" s="37">
        <f t="shared" si="15"/>
        <v>0</v>
      </c>
      <c r="BZ158" s="37"/>
      <c r="CA158" s="37"/>
      <c r="CB158" s="37"/>
      <c r="CC158" s="37"/>
      <c r="CD158" s="37"/>
      <c r="CE158" s="37"/>
      <c r="CF158" s="37"/>
      <c r="CG158" s="37" t="str">
        <f t="shared" si="18"/>
        <v xml:space="preserve"> </v>
      </c>
      <c r="CH158" s="37" t="str">
        <f t="shared" si="26"/>
        <v>Not 50%</v>
      </c>
      <c r="CI158" s="93">
        <f t="shared" si="19"/>
        <v>0.34567901234567899</v>
      </c>
      <c r="CJ158" s="95">
        <f ca="1">IFERROR(__xludf.DUMMYFUNCTION("""COMPUTED_VALUE"""),161)</f>
        <v>161</v>
      </c>
      <c r="CK158" s="95">
        <f ca="1">IFERROR(__xludf.DUMMYFUNCTION("""COMPUTED_VALUE"""),135)</f>
        <v>135</v>
      </c>
      <c r="CL158" s="95">
        <f ca="1">IFERROR(__xludf.DUMMYFUNCTION("""COMPUTED_VALUE"""),0)</f>
        <v>0</v>
      </c>
      <c r="CM158" s="96">
        <f t="shared" ca="1" si="20"/>
        <v>0</v>
      </c>
      <c r="CN158" s="103"/>
      <c r="CO158" s="4"/>
      <c r="CP158" s="100"/>
      <c r="CQ158" s="101"/>
      <c r="CR158" s="4"/>
      <c r="CS158" s="4"/>
      <c r="CT158" s="4"/>
      <c r="CU158" s="4"/>
      <c r="CV158" s="4"/>
      <c r="CW158" s="101"/>
      <c r="CX158" s="51"/>
      <c r="CY158" s="4"/>
      <c r="CZ158" s="4"/>
    </row>
    <row r="159" spans="1:104" ht="15.6">
      <c r="A159" s="1" t="s">
        <v>120</v>
      </c>
      <c r="B159" s="1" t="s">
        <v>286</v>
      </c>
      <c r="C159" s="1" t="s">
        <v>256</v>
      </c>
      <c r="D159" s="1" t="s">
        <v>631</v>
      </c>
      <c r="E159" s="1" t="s">
        <v>259</v>
      </c>
      <c r="F159" s="104">
        <v>45658</v>
      </c>
      <c r="G159" s="76">
        <v>0</v>
      </c>
      <c r="H159" s="76">
        <v>14400000</v>
      </c>
      <c r="I159" s="77">
        <v>7218770.4699999997</v>
      </c>
      <c r="J159" s="77">
        <v>0</v>
      </c>
      <c r="K159" s="4">
        <v>14</v>
      </c>
      <c r="L159" s="4">
        <v>82</v>
      </c>
      <c r="M159" s="4">
        <v>73</v>
      </c>
      <c r="N159" s="4">
        <v>87</v>
      </c>
      <c r="O159" s="4">
        <v>5</v>
      </c>
      <c r="P159" s="77">
        <v>925850.23</v>
      </c>
      <c r="Q159" s="77">
        <v>6292920.2400000002</v>
      </c>
      <c r="R159" s="4">
        <v>8</v>
      </c>
      <c r="S159" s="4">
        <v>73</v>
      </c>
      <c r="T159" s="4">
        <v>81</v>
      </c>
      <c r="U159" s="4">
        <v>0</v>
      </c>
      <c r="V159" s="4">
        <v>230</v>
      </c>
      <c r="W159" s="4">
        <v>547</v>
      </c>
      <c r="X159" s="4">
        <v>38</v>
      </c>
      <c r="Y159" s="4">
        <v>7</v>
      </c>
      <c r="Z159" s="4">
        <v>155</v>
      </c>
      <c r="AA159" s="4">
        <v>1</v>
      </c>
      <c r="AB159" s="4">
        <v>16</v>
      </c>
      <c r="AC159" s="4">
        <v>63</v>
      </c>
      <c r="AD159" s="4">
        <v>367</v>
      </c>
      <c r="AE159" s="4">
        <v>611</v>
      </c>
      <c r="AF159" s="4">
        <v>1696</v>
      </c>
      <c r="AG159" s="4">
        <v>298</v>
      </c>
      <c r="AH159" s="76">
        <f t="shared" si="1"/>
        <v>24224.061979865772</v>
      </c>
      <c r="AI159" s="76">
        <f t="shared" si="2"/>
        <v>5.6912751677852347</v>
      </c>
      <c r="AJ159" s="78">
        <f t="shared" ref="AJ159:AJ160" si="102">BV159</f>
        <v>31455</v>
      </c>
      <c r="AK159" s="76">
        <f t="shared" si="62"/>
        <v>377460</v>
      </c>
      <c r="AL159" s="49">
        <v>134634</v>
      </c>
      <c r="AM159" s="80">
        <f t="shared" si="4"/>
        <v>7.0939227411118952E-2</v>
      </c>
      <c r="AN159" s="76">
        <f t="shared" si="5"/>
        <v>89120.623086419757</v>
      </c>
      <c r="AO159" s="102">
        <f t="shared" si="100"/>
        <v>0.50130350486111108</v>
      </c>
      <c r="AP159" s="82">
        <v>0</v>
      </c>
      <c r="AQ159" s="4">
        <v>283</v>
      </c>
      <c r="AR159" s="4">
        <v>2797</v>
      </c>
      <c r="AS159" s="4">
        <v>3652.68</v>
      </c>
      <c r="AT159" s="4">
        <v>73</v>
      </c>
      <c r="AU159" s="4">
        <v>45</v>
      </c>
      <c r="AV159" s="1">
        <v>81</v>
      </c>
      <c r="AW159" s="1">
        <v>5</v>
      </c>
      <c r="AX159" s="1">
        <v>1</v>
      </c>
      <c r="AY159" s="86" t="str">
        <f>IFERROR(VLOOKUP(C159,#REF!,13,0),"")</f>
        <v/>
      </c>
      <c r="AZ159" s="87"/>
      <c r="BA159" s="1" t="str">
        <f t="shared" si="6"/>
        <v>Active</v>
      </c>
      <c r="BB159" s="1" t="e">
        <f t="shared" ca="1" si="7"/>
        <v>#NAME?</v>
      </c>
      <c r="BC159" s="1" t="e">
        <f t="shared" ca="1" si="101"/>
        <v>#NAME?</v>
      </c>
      <c r="BD159" s="33">
        <f t="shared" ref="BD159:BD160" si="103">MATCH($BD$2,{"Apr","May","Jun","Jul","Aug","Sep","Oct","Nov","Dec","Jan","Feb","Mar"},0)</f>
        <v>12</v>
      </c>
      <c r="BE159" s="88" t="str">
        <v/>
      </c>
      <c r="BF159" s="1">
        <f t="shared" si="9"/>
        <v>0</v>
      </c>
      <c r="BG159" s="1" t="s">
        <v>428</v>
      </c>
      <c r="BH159" s="89">
        <f ca="1">IFERROR(__xludf.DUMMYFUNCTION("""COMPUTED_VALUE"""),0)</f>
        <v>0</v>
      </c>
      <c r="BI159" s="89">
        <f ca="1">IFERROR(__xludf.DUMMYFUNCTION("""COMPUTED_VALUE"""),72468.3)</f>
        <v>72468.3</v>
      </c>
      <c r="BJ159" s="90"/>
      <c r="BK159" s="91"/>
      <c r="BL159" s="91">
        <f t="shared" si="47"/>
        <v>0</v>
      </c>
      <c r="BM159" s="91">
        <f t="shared" si="11"/>
        <v>14400000</v>
      </c>
      <c r="BN159" s="91"/>
      <c r="BO159" s="92">
        <f ca="1">IFERROR(__xludf.DUMMYFUNCTION("IFERROR(ArrayFormula(SUM(VLOOKUP($C159,importrange(""1MwNMVzWE3QBVOyJjKr3eFX-Sq1Ng0Q1sghWJbgbE_8g"",""ORDER BOOKING REPORT 2024-25!C:CV""),{16,23,30},0))))"),0)</f>
        <v>0</v>
      </c>
      <c r="BP159" s="92">
        <f ca="1">IFERROR(__xludf.DUMMYFUNCTION("IFERROR(ArrayFormula(SUM(VLOOKUP($C159,importrange(""1MwNMVzWE3QBVOyJjKr3eFX-Sq1Ng0Q1sghWJbgbE_8g"",""ORDER BOOKING REPORT 2024-25!C:CV""),{37,44,51},0))))"),0)</f>
        <v>0</v>
      </c>
      <c r="BQ159" s="92">
        <f ca="1">IFERROR(__xludf.DUMMYFUNCTION("IFERROR(ArrayFormula(SUM(VLOOKUP($C159,importrange(""1MwNMVzWE3QBVOyJjKr3eFX-Sq1Ng0Q1sghWJbgbE_8g"",""ORDER BOOKING REPORT 2024-25!C:CV""),{58,65,72},0))))"),0)</f>
        <v>0</v>
      </c>
      <c r="BR159" s="92">
        <f ca="1">IFERROR(__xludf.DUMMYFUNCTION("IFERROR(ArrayFormula(SUM(VLOOKUP($C159,importrange(""1MwNMVzWE3QBVOyJjKr3eFX-Sq1Ng0Q1sghWJbgbE_8g"",""ORDER BOOKING REPORT 2024-25!C:CV""),{79,86,93},0))))"),72468.3)</f>
        <v>72468.3</v>
      </c>
      <c r="BS159" s="93" t="str">
        <f t="shared" si="12"/>
        <v/>
      </c>
      <c r="BT159" s="93" t="str">
        <f t="shared" si="13"/>
        <v/>
      </c>
      <c r="BU159" s="37">
        <f t="shared" si="14"/>
        <v>0</v>
      </c>
      <c r="BV159" s="94">
        <v>31455</v>
      </c>
      <c r="BW159" s="94" t="s">
        <v>476</v>
      </c>
      <c r="BX159" s="94">
        <v>1211</v>
      </c>
      <c r="BY159" s="37">
        <f t="shared" si="15"/>
        <v>0</v>
      </c>
      <c r="BZ159" s="37"/>
      <c r="CA159" s="37"/>
      <c r="CB159" s="37"/>
      <c r="CC159" s="37"/>
      <c r="CD159" s="37"/>
      <c r="CE159" s="37"/>
      <c r="CF159" s="37"/>
      <c r="CG159" s="37" t="str">
        <f t="shared" si="18"/>
        <v xml:space="preserve"> </v>
      </c>
      <c r="CH159" s="37" t="str">
        <f t="shared" si="26"/>
        <v>Business Achieved 50%</v>
      </c>
      <c r="CI159" s="93">
        <f t="shared" si="19"/>
        <v>0.93103448275862066</v>
      </c>
      <c r="CJ159" s="105">
        <f ca="1">IFERROR(__xludf.DUMMYFUNCTION("""COMPUTED_VALUE"""),589)</f>
        <v>589</v>
      </c>
      <c r="CK159" s="105">
        <f ca="1">IFERROR(__xludf.DUMMYFUNCTION("""COMPUTED_VALUE"""),22)</f>
        <v>22</v>
      </c>
      <c r="CL159" s="105">
        <f ca="1">IFERROR(__xludf.DUMMYFUNCTION("""COMPUTED_VALUE"""),0)</f>
        <v>0</v>
      </c>
      <c r="CM159" s="96">
        <f t="shared" ca="1" si="20"/>
        <v>0</v>
      </c>
      <c r="CN159" s="106"/>
      <c r="CO159" s="93"/>
      <c r="CP159" s="107"/>
      <c r="CQ159" s="110"/>
      <c r="CR159" s="93"/>
      <c r="CS159" s="93"/>
      <c r="CT159" s="93"/>
      <c r="CU159" s="93"/>
      <c r="CV159" s="93"/>
      <c r="CW159" s="93"/>
      <c r="CX159" s="51"/>
      <c r="CY159" s="93"/>
      <c r="CZ159" s="93"/>
    </row>
    <row r="160" spans="1:104" ht="15.6">
      <c r="A160" s="1" t="s">
        <v>201</v>
      </c>
      <c r="B160" s="1" t="s">
        <v>469</v>
      </c>
      <c r="C160" s="1" t="s">
        <v>277</v>
      </c>
      <c r="D160" s="1" t="s">
        <v>470</v>
      </c>
      <c r="E160" s="1" t="s">
        <v>491</v>
      </c>
      <c r="F160" s="104">
        <v>45658</v>
      </c>
      <c r="G160" s="76">
        <v>0</v>
      </c>
      <c r="H160" s="76">
        <v>14000004</v>
      </c>
      <c r="I160" s="77">
        <v>6786619.6699999999</v>
      </c>
      <c r="J160" s="77">
        <v>0</v>
      </c>
      <c r="K160" s="4">
        <v>28</v>
      </c>
      <c r="L160" s="4">
        <v>56</v>
      </c>
      <c r="M160" s="4">
        <v>31</v>
      </c>
      <c r="N160" s="4">
        <v>59</v>
      </c>
      <c r="O160" s="4">
        <v>3</v>
      </c>
      <c r="P160" s="77">
        <v>2445813.39</v>
      </c>
      <c r="Q160" s="77">
        <v>4340806.28</v>
      </c>
      <c r="R160" s="4">
        <v>14</v>
      </c>
      <c r="S160" s="4">
        <v>30</v>
      </c>
      <c r="T160" s="4">
        <v>44</v>
      </c>
      <c r="U160" s="4">
        <v>0</v>
      </c>
      <c r="V160" s="4">
        <v>237</v>
      </c>
      <c r="W160" s="4">
        <v>452</v>
      </c>
      <c r="X160" s="4">
        <v>74</v>
      </c>
      <c r="Y160" s="4">
        <v>1</v>
      </c>
      <c r="Z160" s="4">
        <v>18</v>
      </c>
      <c r="AA160" s="4">
        <v>0</v>
      </c>
      <c r="AB160" s="4">
        <v>0</v>
      </c>
      <c r="AC160" s="4">
        <v>0</v>
      </c>
      <c r="AD160" s="4">
        <v>0</v>
      </c>
      <c r="AE160" s="4">
        <v>957</v>
      </c>
      <c r="AF160" s="4">
        <v>1427</v>
      </c>
      <c r="AG160" s="4">
        <v>281</v>
      </c>
      <c r="AH160" s="76">
        <f t="shared" si="1"/>
        <v>24151.671423487544</v>
      </c>
      <c r="AI160" s="76">
        <f t="shared" si="2"/>
        <v>5.0782918149466196</v>
      </c>
      <c r="AJ160" s="78">
        <f t="shared" si="102"/>
        <v>36188</v>
      </c>
      <c r="AK160" s="76">
        <f t="shared" si="62"/>
        <v>434256</v>
      </c>
      <c r="AL160" s="49">
        <v>117372</v>
      </c>
      <c r="AM160" s="80">
        <f t="shared" si="4"/>
        <v>8.1281702353006621E-2</v>
      </c>
      <c r="AN160" s="76">
        <f t="shared" si="5"/>
        <v>154241.35613636364</v>
      </c>
      <c r="AO160" s="102">
        <f t="shared" si="100"/>
        <v>0.48475840935474018</v>
      </c>
      <c r="AP160" s="82">
        <v>0</v>
      </c>
      <c r="AQ160" s="4">
        <v>225</v>
      </c>
      <c r="AR160" s="4">
        <v>2207</v>
      </c>
      <c r="AS160" s="4">
        <v>2135.91</v>
      </c>
      <c r="AT160" s="4">
        <v>30</v>
      </c>
      <c r="AU160" s="4">
        <v>38</v>
      </c>
      <c r="AV160" s="1">
        <v>44</v>
      </c>
      <c r="AW160" s="1">
        <v>12</v>
      </c>
      <c r="AX160" s="1">
        <v>3</v>
      </c>
      <c r="AY160" s="86" t="str">
        <f>IFERROR(VLOOKUP(C160,#REF!,13,0),"")</f>
        <v/>
      </c>
      <c r="AZ160" s="87"/>
      <c r="BA160" s="1" t="str">
        <f t="shared" si="6"/>
        <v>Active</v>
      </c>
      <c r="BB160" s="1" t="e">
        <f t="shared" ca="1" si="7"/>
        <v>#NAME?</v>
      </c>
      <c r="BC160" s="1" t="e">
        <f t="shared" ca="1" si="101"/>
        <v>#NAME?</v>
      </c>
      <c r="BD160" s="33">
        <f t="shared" si="103"/>
        <v>12</v>
      </c>
      <c r="BE160" s="88" t="str">
        <v/>
      </c>
      <c r="BF160" s="1">
        <f t="shared" si="9"/>
        <v>1</v>
      </c>
      <c r="BG160" s="1" t="s">
        <v>428</v>
      </c>
      <c r="BH160" s="89">
        <f ca="1">IFERROR(__xludf.DUMMYFUNCTION("""COMPUTED_VALUE"""),336189)</f>
        <v>336189</v>
      </c>
      <c r="BI160" s="89">
        <f ca="1">IFERROR(__xludf.DUMMYFUNCTION("""COMPUTED_VALUE"""),564033.84)</f>
        <v>564033.84</v>
      </c>
      <c r="BJ160" s="90"/>
      <c r="BK160" s="91"/>
      <c r="BL160" s="91">
        <f t="shared" si="47"/>
        <v>0</v>
      </c>
      <c r="BM160" s="91">
        <f t="shared" si="11"/>
        <v>14000004</v>
      </c>
      <c r="BN160" s="91"/>
      <c r="BO160" s="92">
        <f ca="1">IFERROR(__xludf.DUMMYFUNCTION("IFERROR(ArrayFormula(SUM(VLOOKUP($C160,importrange(""1MwNMVzWE3QBVOyJjKr3eFX-Sq1Ng0Q1sghWJbgbE_8g"",""ORDER BOOKING REPORT 2024-25!C:CV""),{16,23,30},0))))"),0)</f>
        <v>0</v>
      </c>
      <c r="BP160" s="92">
        <f ca="1">IFERROR(__xludf.DUMMYFUNCTION("IFERROR(ArrayFormula(SUM(VLOOKUP($C160,importrange(""1MwNMVzWE3QBVOyJjKr3eFX-Sq1Ng0Q1sghWJbgbE_8g"",""ORDER BOOKING REPORT 2024-25!C:CV""),{37,44,51},0))))"),0)</f>
        <v>0</v>
      </c>
      <c r="BQ160" s="92">
        <f ca="1">IFERROR(__xludf.DUMMYFUNCTION("IFERROR(ArrayFormula(SUM(VLOOKUP($C160,importrange(""1MwNMVzWE3QBVOyJjKr3eFX-Sq1Ng0Q1sghWJbgbE_8g"",""ORDER BOOKING REPORT 2024-25!C:CV""),{58,65,72},0))))"),0)</f>
        <v>0</v>
      </c>
      <c r="BR160" s="92">
        <f ca="1">IFERROR(__xludf.DUMMYFUNCTION("IFERROR(ArrayFormula(SUM(VLOOKUP($C160,importrange(""1MwNMVzWE3QBVOyJjKr3eFX-Sq1Ng0Q1sghWJbgbE_8g"",""ORDER BOOKING REPORT 2024-25!C:CV""),{79,86,93},0))))"),564033.84)</f>
        <v>564033.84</v>
      </c>
      <c r="BS160" s="93" t="str">
        <f t="shared" si="12"/>
        <v/>
      </c>
      <c r="BT160" s="93" t="str">
        <f t="shared" si="13"/>
        <v/>
      </c>
      <c r="BU160" s="37">
        <f t="shared" si="14"/>
        <v>0</v>
      </c>
      <c r="BV160" s="94">
        <v>36188</v>
      </c>
      <c r="BW160" s="94" t="s">
        <v>445</v>
      </c>
      <c r="BX160" s="94">
        <v>1212</v>
      </c>
      <c r="BY160" s="37">
        <f t="shared" si="15"/>
        <v>0</v>
      </c>
      <c r="BZ160" s="37"/>
      <c r="CA160" s="37"/>
      <c r="CB160" s="37"/>
      <c r="CC160" s="37"/>
      <c r="CD160" s="37"/>
      <c r="CE160" s="37"/>
      <c r="CF160" s="37"/>
      <c r="CG160" s="37" t="str">
        <f t="shared" si="18"/>
        <v>Below 60</v>
      </c>
      <c r="CH160" s="37" t="str">
        <f t="shared" si="26"/>
        <v>Business Achieved 50%</v>
      </c>
      <c r="CI160" s="93">
        <f t="shared" si="19"/>
        <v>0.74576271186440679</v>
      </c>
      <c r="CJ160" s="105">
        <f ca="1">IFERROR(__xludf.DUMMYFUNCTION("""COMPUTED_VALUE"""),920)</f>
        <v>920</v>
      </c>
      <c r="CK160" s="105">
        <f ca="1">IFERROR(__xludf.DUMMYFUNCTION("""COMPUTED_VALUE"""),37)</f>
        <v>37</v>
      </c>
      <c r="CL160" s="105">
        <f ca="1">IFERROR(__xludf.DUMMYFUNCTION("""COMPUTED_VALUE"""),0)</f>
        <v>0</v>
      </c>
      <c r="CM160" s="96">
        <f t="shared" ca="1" si="20"/>
        <v>0</v>
      </c>
      <c r="CN160" s="106"/>
      <c r="CO160" s="93"/>
      <c r="CP160" s="107"/>
      <c r="CQ160" s="110"/>
      <c r="CR160" s="93"/>
      <c r="CS160" s="93"/>
      <c r="CT160" s="93"/>
      <c r="CU160" s="93"/>
      <c r="CV160" s="93"/>
      <c r="CW160" s="93"/>
      <c r="CX160" s="51"/>
      <c r="CY160" s="93"/>
      <c r="CZ160" s="93"/>
    </row>
    <row r="161" spans="1:104" ht="15.6">
      <c r="A161" s="1" t="s">
        <v>118</v>
      </c>
      <c r="B161" s="1" t="s">
        <v>436</v>
      </c>
      <c r="C161" s="1" t="s">
        <v>278</v>
      </c>
      <c r="D161" s="1" t="s">
        <v>499</v>
      </c>
      <c r="E161" s="1" t="s">
        <v>632</v>
      </c>
      <c r="F161" s="104">
        <v>45660</v>
      </c>
      <c r="G161" s="76">
        <v>0</v>
      </c>
      <c r="H161" s="76">
        <v>0</v>
      </c>
      <c r="I161" s="77">
        <v>818223.7</v>
      </c>
      <c r="J161" s="77">
        <v>0</v>
      </c>
      <c r="K161" s="4">
        <v>67</v>
      </c>
      <c r="L161" s="4">
        <v>59</v>
      </c>
      <c r="M161" s="4">
        <v>8</v>
      </c>
      <c r="N161" s="4">
        <v>75</v>
      </c>
      <c r="O161" s="4">
        <v>16</v>
      </c>
      <c r="P161" s="77">
        <v>737012.5</v>
      </c>
      <c r="Q161" s="77">
        <v>81211.199999999997</v>
      </c>
      <c r="R161" s="4">
        <v>34</v>
      </c>
      <c r="S161" s="4">
        <v>6</v>
      </c>
      <c r="T161" s="4">
        <v>40</v>
      </c>
      <c r="U161" s="4">
        <v>0</v>
      </c>
      <c r="V161" s="4">
        <v>58</v>
      </c>
      <c r="W161" s="4">
        <v>92</v>
      </c>
      <c r="X161" s="4">
        <v>35</v>
      </c>
      <c r="Y161" s="4">
        <v>1</v>
      </c>
      <c r="Z161" s="4">
        <v>21</v>
      </c>
      <c r="AA161" s="4">
        <v>0</v>
      </c>
      <c r="AB161" s="4">
        <v>0</v>
      </c>
      <c r="AC161" s="4">
        <v>0</v>
      </c>
      <c r="AD161" s="4">
        <v>0</v>
      </c>
      <c r="AE161" s="4">
        <v>258</v>
      </c>
      <c r="AF161" s="4">
        <v>371</v>
      </c>
      <c r="AG161" s="4">
        <v>50</v>
      </c>
      <c r="AH161" s="76">
        <f t="shared" si="1"/>
        <v>16364.473999999998</v>
      </c>
      <c r="AI161" s="76">
        <f t="shared" si="2"/>
        <v>7.42</v>
      </c>
      <c r="AJ161" s="112">
        <v>33885</v>
      </c>
      <c r="AK161" s="76">
        <f t="shared" si="62"/>
        <v>80307.45</v>
      </c>
      <c r="AL161" s="49">
        <v>17378</v>
      </c>
      <c r="AM161" s="80">
        <f t="shared" si="4"/>
        <v>0.1193872164788187</v>
      </c>
      <c r="AN161" s="76">
        <f t="shared" si="5"/>
        <v>20455.592499999999</v>
      </c>
      <c r="AO161" s="49" t="s">
        <v>161</v>
      </c>
      <c r="AP161" s="82">
        <v>0</v>
      </c>
      <c r="AQ161" s="4">
        <v>94</v>
      </c>
      <c r="AR161" s="4">
        <v>392</v>
      </c>
      <c r="AS161" s="4">
        <v>0</v>
      </c>
      <c r="AT161" s="4">
        <v>6</v>
      </c>
      <c r="AU161" s="4">
        <v>0</v>
      </c>
      <c r="AV161" s="1">
        <v>40</v>
      </c>
      <c r="AW161" s="1">
        <v>21</v>
      </c>
      <c r="AX161" s="1">
        <v>14</v>
      </c>
      <c r="AY161" s="86" t="str">
        <f>IFERROR(VLOOKUP(C161,#REF!,13,0),"")</f>
        <v/>
      </c>
      <c r="AZ161" s="111">
        <v>45819</v>
      </c>
      <c r="BA161" s="1" t="str">
        <f t="shared" si="6"/>
        <v>LEFT</v>
      </c>
      <c r="BB161" s="1" t="e">
        <f t="shared" ca="1" si="7"/>
        <v>#NAME?</v>
      </c>
      <c r="BC161" s="4" t="s">
        <v>161</v>
      </c>
      <c r="BD161" s="33">
        <v>2.37</v>
      </c>
      <c r="BE161" s="88" t="str">
        <v/>
      </c>
      <c r="BF161" s="1">
        <f t="shared" si="9"/>
        <v>2</v>
      </c>
      <c r="BG161" s="1" t="s">
        <v>428</v>
      </c>
      <c r="BH161" s="89">
        <f ca="1">IFERROR(__xludf.DUMMYFUNCTION("""COMPUTED_VALUE"""),1730514)</f>
        <v>1730514</v>
      </c>
      <c r="BI161" s="89">
        <f ca="1">IFERROR(__xludf.DUMMYFUNCTION("""COMPUTED_VALUE"""),731271.7)</f>
        <v>731271.7</v>
      </c>
      <c r="BJ161" s="109">
        <f>11/30</f>
        <v>0.36666666666666664</v>
      </c>
      <c r="BK161" s="113"/>
      <c r="BL161" s="91">
        <f t="shared" si="47"/>
        <v>0</v>
      </c>
      <c r="BM161" s="91">
        <f t="shared" si="11"/>
        <v>0</v>
      </c>
      <c r="BN161" s="91"/>
      <c r="BO161" s="92">
        <f ca="1">IFERROR(__xludf.DUMMYFUNCTION("IFERROR(ArrayFormula(SUM(VLOOKUP($C161,importrange(""1MwNMVzWE3QBVOyJjKr3eFX-Sq1Ng0Q1sghWJbgbE_8g"",""ORDER BOOKING REPORT 2024-25!C:CV""),{16,23,30},0))))"),0)</f>
        <v>0</v>
      </c>
      <c r="BP161" s="92">
        <f ca="1">IFERROR(__xludf.DUMMYFUNCTION("IFERROR(ArrayFormula(SUM(VLOOKUP($C161,importrange(""1MwNMVzWE3QBVOyJjKr3eFX-Sq1Ng0Q1sghWJbgbE_8g"",""ORDER BOOKING REPORT 2024-25!C:CV""),{37,44,51},0))))"),0)</f>
        <v>0</v>
      </c>
      <c r="BQ161" s="92">
        <f ca="1">IFERROR(__xludf.DUMMYFUNCTION("IFERROR(ArrayFormula(SUM(VLOOKUP($C161,importrange(""1MwNMVzWE3QBVOyJjKr3eFX-Sq1Ng0Q1sghWJbgbE_8g"",""ORDER BOOKING REPORT 2024-25!C:CV""),{58,65,72},0))))"),0)</f>
        <v>0</v>
      </c>
      <c r="BR161" s="92">
        <f ca="1">IFERROR(__xludf.DUMMYFUNCTION("IFERROR(ArrayFormula(SUM(VLOOKUP($C161,importrange(""1MwNMVzWE3QBVOyJjKr3eFX-Sq1Ng0Q1sghWJbgbE_8g"",""ORDER BOOKING REPORT 2024-25!C:CV""),{79,86,93},0))))"),731271.7)</f>
        <v>731271.7</v>
      </c>
      <c r="BS161" s="93" t="str">
        <f t="shared" si="12"/>
        <v/>
      </c>
      <c r="BT161" s="93" t="str">
        <f t="shared" si="13"/>
        <v/>
      </c>
      <c r="BU161" s="37">
        <f t="shared" si="14"/>
        <v>0</v>
      </c>
      <c r="BV161" s="94"/>
      <c r="BW161" s="94"/>
      <c r="BX161" s="94"/>
      <c r="BY161" s="37">
        <f t="shared" si="15"/>
        <v>-33885</v>
      </c>
      <c r="BZ161" s="37"/>
      <c r="CA161" s="37"/>
      <c r="CB161" s="37"/>
      <c r="CC161" s="37"/>
      <c r="CD161" s="37"/>
      <c r="CE161" s="37"/>
      <c r="CF161" s="37"/>
      <c r="CG161" s="37" t="str">
        <f t="shared" si="18"/>
        <v xml:space="preserve"> </v>
      </c>
      <c r="CH161" s="37" t="str">
        <f t="shared" si="26"/>
        <v>Business Achieved 50%</v>
      </c>
      <c r="CI161" s="93">
        <f t="shared" si="19"/>
        <v>0.53333333333333333</v>
      </c>
      <c r="CJ161" s="105">
        <f ca="1">IFERROR(__xludf.DUMMYFUNCTION("""COMPUTED_VALUE"""),180)</f>
        <v>180</v>
      </c>
      <c r="CK161" s="105">
        <f ca="1">IFERROR(__xludf.DUMMYFUNCTION("""COMPUTED_VALUE"""),78)</f>
        <v>78</v>
      </c>
      <c r="CL161" s="105">
        <f ca="1">IFERROR(__xludf.DUMMYFUNCTION("""COMPUTED_VALUE"""),0)</f>
        <v>0</v>
      </c>
      <c r="CM161" s="96">
        <f t="shared" ca="1" si="20"/>
        <v>0</v>
      </c>
      <c r="CN161" s="106"/>
      <c r="CO161" s="93"/>
      <c r="CP161" s="107"/>
      <c r="CQ161" s="110"/>
      <c r="CR161" s="93"/>
      <c r="CS161" s="93"/>
      <c r="CT161" s="93"/>
      <c r="CU161" s="93"/>
      <c r="CV161" s="93"/>
      <c r="CW161" s="93"/>
      <c r="CX161" s="51"/>
      <c r="CY161" s="93"/>
      <c r="CZ161" s="93"/>
    </row>
    <row r="162" spans="1:104" ht="15.6">
      <c r="A162" s="1" t="s">
        <v>177</v>
      </c>
      <c r="B162" s="1" t="s">
        <v>458</v>
      </c>
      <c r="C162" s="1" t="s">
        <v>279</v>
      </c>
      <c r="D162" s="1" t="s">
        <v>581</v>
      </c>
      <c r="E162" s="1" t="s">
        <v>633</v>
      </c>
      <c r="F162" s="104">
        <v>45663</v>
      </c>
      <c r="G162" s="76">
        <v>0</v>
      </c>
      <c r="H162" s="76">
        <v>0</v>
      </c>
      <c r="I162" s="77">
        <v>0</v>
      </c>
      <c r="J162" s="77">
        <v>0</v>
      </c>
      <c r="K162" s="4">
        <v>18</v>
      </c>
      <c r="L162" s="4">
        <v>40</v>
      </c>
      <c r="M162" s="4">
        <v>27</v>
      </c>
      <c r="N162" s="4">
        <v>45</v>
      </c>
      <c r="O162" s="4">
        <v>5</v>
      </c>
      <c r="P162" s="77">
        <v>0</v>
      </c>
      <c r="Q162" s="77">
        <v>0</v>
      </c>
      <c r="R162" s="4">
        <v>0</v>
      </c>
      <c r="S162" s="4">
        <v>0</v>
      </c>
      <c r="T162" s="4">
        <v>0</v>
      </c>
      <c r="U162" s="4">
        <v>0</v>
      </c>
      <c r="V162" s="4">
        <v>130</v>
      </c>
      <c r="W162" s="4">
        <v>292</v>
      </c>
      <c r="X162" s="4">
        <v>21</v>
      </c>
      <c r="Y162" s="4">
        <v>4</v>
      </c>
      <c r="Z162" s="4">
        <v>173</v>
      </c>
      <c r="AA162" s="4">
        <v>0</v>
      </c>
      <c r="AB162" s="4">
        <v>0</v>
      </c>
      <c r="AC162" s="4">
        <v>93</v>
      </c>
      <c r="AD162" s="4">
        <v>584</v>
      </c>
      <c r="AE162" s="4">
        <v>213</v>
      </c>
      <c r="AF162" s="4">
        <v>1262</v>
      </c>
      <c r="AG162" s="4">
        <v>290</v>
      </c>
      <c r="AH162" s="76">
        <f t="shared" si="1"/>
        <v>0</v>
      </c>
      <c r="AI162" s="76">
        <f t="shared" si="2"/>
        <v>4.3517241379310345</v>
      </c>
      <c r="AJ162" s="78">
        <f t="shared" ref="AJ162:AJ163" si="104">BV162</f>
        <v>66667</v>
      </c>
      <c r="AK162" s="76">
        <f t="shared" si="62"/>
        <v>800004</v>
      </c>
      <c r="AL162" s="49">
        <v>485336</v>
      </c>
      <c r="AM162" s="80" t="str">
        <f t="shared" si="4"/>
        <v/>
      </c>
      <c r="AN162" s="76" t="str">
        <f t="shared" si="5"/>
        <v/>
      </c>
      <c r="AO162" s="49" t="s">
        <v>161</v>
      </c>
      <c r="AP162" s="82">
        <v>0</v>
      </c>
      <c r="AQ162" s="4">
        <v>0</v>
      </c>
      <c r="AR162" s="4">
        <v>3000</v>
      </c>
      <c r="AS162" s="4">
        <v>2833.24</v>
      </c>
      <c r="AT162" s="4">
        <v>0</v>
      </c>
      <c r="AU162" s="4">
        <v>71</v>
      </c>
      <c r="AV162" s="1">
        <v>0</v>
      </c>
      <c r="AW162" s="1">
        <v>40</v>
      </c>
      <c r="AX162" s="1">
        <v>5</v>
      </c>
      <c r="AY162" s="86" t="str">
        <f>IFERROR(VLOOKUP(C162,#REF!,13,0),"")</f>
        <v/>
      </c>
      <c r="AZ162" s="87"/>
      <c r="BA162" s="1" t="str">
        <f t="shared" si="6"/>
        <v>Active</v>
      </c>
      <c r="BB162" s="1" t="e">
        <f t="shared" ca="1" si="7"/>
        <v>#NAME?</v>
      </c>
      <c r="BC162" s="4" t="s">
        <v>161</v>
      </c>
      <c r="BD162" s="33">
        <f t="shared" ref="BD162:BD164" si="105">MATCH($BD$2,{"Apr","May","Jun","Jul","Aug","Sep","Oct","Nov","Dec","Jan","Feb","Mar"},0)</f>
        <v>12</v>
      </c>
      <c r="BE162" s="88" t="str">
        <v/>
      </c>
      <c r="BF162" s="1">
        <f t="shared" si="9"/>
        <v>27</v>
      </c>
      <c r="BG162" s="37" t="s">
        <v>423</v>
      </c>
      <c r="BH162" s="89"/>
      <c r="BI162" s="89"/>
      <c r="BJ162" s="90"/>
      <c r="BK162" s="91"/>
      <c r="BL162" s="91">
        <f t="shared" si="47"/>
        <v>0</v>
      </c>
      <c r="BM162" s="91">
        <f t="shared" si="11"/>
        <v>0</v>
      </c>
      <c r="BN162" s="91"/>
      <c r="BO162" s="92" t="str">
        <f ca="1">IFERROR(__xludf.DUMMYFUNCTION("IFERROR(ArrayFormula(SUM(VLOOKUP($C162,importrange(""1MwNMVzWE3QBVOyJjKr3eFX-Sq1Ng0Q1sghWJbgbE_8g"",""ORDER BOOKING REPORT 2024-25!C:CV""),{16,23,30},0))))"),"")</f>
        <v/>
      </c>
      <c r="BP162" s="92" t="str">
        <f ca="1">IFERROR(__xludf.DUMMYFUNCTION("IFERROR(ArrayFormula(SUM(VLOOKUP($C162,importrange(""1MwNMVzWE3QBVOyJjKr3eFX-Sq1Ng0Q1sghWJbgbE_8g"",""ORDER BOOKING REPORT 2024-25!C:CV""),{37,44,51},0))))"),"")</f>
        <v/>
      </c>
      <c r="BQ162" s="92" t="str">
        <f ca="1">IFERROR(__xludf.DUMMYFUNCTION("IFERROR(ArrayFormula(SUM(VLOOKUP($C162,importrange(""1MwNMVzWE3QBVOyJjKr3eFX-Sq1Ng0Q1sghWJbgbE_8g"",""ORDER BOOKING REPORT 2024-25!C:CV""),{58,65,72},0))))"),"")</f>
        <v/>
      </c>
      <c r="BR162" s="92" t="str">
        <f ca="1">IFERROR(__xludf.DUMMYFUNCTION("IFERROR(ArrayFormula(SUM(VLOOKUP($C162,importrange(""1MwNMVzWE3QBVOyJjKr3eFX-Sq1Ng0Q1sghWJbgbE_8g"",""ORDER BOOKING REPORT 2024-25!C:CV""),{79,86,93},0))))"),"")</f>
        <v/>
      </c>
      <c r="BS162" s="93" t="str">
        <f t="shared" si="12"/>
        <v/>
      </c>
      <c r="BT162" s="93" t="str">
        <f t="shared" si="13"/>
        <v/>
      </c>
      <c r="BU162" s="37">
        <f t="shared" si="14"/>
        <v>0</v>
      </c>
      <c r="BV162" s="94">
        <v>66667</v>
      </c>
      <c r="BW162" s="94" t="s">
        <v>434</v>
      </c>
      <c r="BX162" s="94">
        <v>1216</v>
      </c>
      <c r="BY162" s="37">
        <f t="shared" si="15"/>
        <v>0</v>
      </c>
      <c r="BZ162" s="37"/>
      <c r="CA162" s="37"/>
      <c r="CB162" s="37"/>
      <c r="CC162" s="37"/>
      <c r="CD162" s="37"/>
      <c r="CE162" s="37"/>
      <c r="CF162" s="37"/>
      <c r="CG162" s="37" t="str">
        <f t="shared" si="18"/>
        <v>Below 60</v>
      </c>
      <c r="CH162" s="37" t="str">
        <f t="shared" si="26"/>
        <v>Not 50%</v>
      </c>
      <c r="CI162" s="93">
        <f t="shared" si="19"/>
        <v>0</v>
      </c>
      <c r="CJ162" s="105"/>
      <c r="CK162" s="105"/>
      <c r="CL162" s="105"/>
      <c r="CM162" s="96">
        <f t="shared" si="20"/>
        <v>213</v>
      </c>
      <c r="CN162" s="106"/>
      <c r="CO162" s="93"/>
      <c r="CP162" s="107"/>
      <c r="CQ162" s="110"/>
      <c r="CR162" s="93"/>
      <c r="CS162" s="93"/>
      <c r="CT162" s="93"/>
      <c r="CU162" s="93"/>
      <c r="CV162" s="93"/>
      <c r="CW162" s="93"/>
      <c r="CX162" s="51"/>
      <c r="CY162" s="93"/>
      <c r="CZ162" s="93"/>
    </row>
    <row r="163" spans="1:104" ht="15.6">
      <c r="A163" s="1" t="s">
        <v>177</v>
      </c>
      <c r="B163" s="1" t="s">
        <v>458</v>
      </c>
      <c r="C163" s="1" t="s">
        <v>280</v>
      </c>
      <c r="D163" s="1" t="s">
        <v>581</v>
      </c>
      <c r="E163" s="1" t="s">
        <v>634</v>
      </c>
      <c r="F163" s="104">
        <v>45663</v>
      </c>
      <c r="G163" s="76">
        <v>0</v>
      </c>
      <c r="H163" s="76">
        <v>0</v>
      </c>
      <c r="I163" s="77">
        <v>809880.28</v>
      </c>
      <c r="J163" s="77">
        <v>0</v>
      </c>
      <c r="K163" s="4">
        <v>6</v>
      </c>
      <c r="L163" s="4">
        <v>7</v>
      </c>
      <c r="M163" s="4">
        <v>3</v>
      </c>
      <c r="N163" s="4">
        <v>9</v>
      </c>
      <c r="O163" s="4">
        <v>2</v>
      </c>
      <c r="P163" s="77">
        <v>0.01</v>
      </c>
      <c r="Q163" s="77">
        <v>809880.27</v>
      </c>
      <c r="R163" s="4">
        <v>0</v>
      </c>
      <c r="S163" s="4">
        <v>3</v>
      </c>
      <c r="T163" s="4">
        <v>3</v>
      </c>
      <c r="U163" s="4">
        <v>0</v>
      </c>
      <c r="V163" s="4">
        <v>72</v>
      </c>
      <c r="W163" s="4">
        <v>167</v>
      </c>
      <c r="X163" s="4">
        <v>39</v>
      </c>
      <c r="Y163" s="4">
        <v>5</v>
      </c>
      <c r="Z163" s="4">
        <v>222</v>
      </c>
      <c r="AA163" s="4">
        <v>0</v>
      </c>
      <c r="AB163" s="4">
        <v>0</v>
      </c>
      <c r="AC163" s="4">
        <v>60</v>
      </c>
      <c r="AD163" s="4">
        <v>562</v>
      </c>
      <c r="AE163" s="4">
        <v>102</v>
      </c>
      <c r="AF163" s="4">
        <v>1053</v>
      </c>
      <c r="AG163" s="4">
        <v>290</v>
      </c>
      <c r="AH163" s="76">
        <f t="shared" si="1"/>
        <v>2792.6906206896551</v>
      </c>
      <c r="AI163" s="76">
        <f t="shared" si="2"/>
        <v>3.6310344827586207</v>
      </c>
      <c r="AJ163" s="78">
        <f t="shared" si="104"/>
        <v>62500</v>
      </c>
      <c r="AK163" s="76">
        <f t="shared" si="62"/>
        <v>750000</v>
      </c>
      <c r="AL163" s="49">
        <v>331640</v>
      </c>
      <c r="AM163" s="80">
        <f t="shared" si="4"/>
        <v>1.3355554230805571</v>
      </c>
      <c r="AN163" s="76">
        <f t="shared" si="5"/>
        <v>269960.09333333332</v>
      </c>
      <c r="AO163" s="49" t="s">
        <v>161</v>
      </c>
      <c r="AP163" s="82">
        <v>0</v>
      </c>
      <c r="AQ163" s="4">
        <v>18</v>
      </c>
      <c r="AR163" s="4">
        <v>2882</v>
      </c>
      <c r="AS163" s="4">
        <v>2428.75</v>
      </c>
      <c r="AT163" s="4">
        <v>3</v>
      </c>
      <c r="AU163" s="4">
        <v>347</v>
      </c>
      <c r="AV163" s="1">
        <v>3</v>
      </c>
      <c r="AW163" s="1">
        <v>4</v>
      </c>
      <c r="AX163" s="1">
        <v>2</v>
      </c>
      <c r="AY163" s="86" t="str">
        <f>IFERROR(VLOOKUP(C163,#REF!,13,0),"")</f>
        <v/>
      </c>
      <c r="AZ163" s="87"/>
      <c r="BA163" s="1" t="str">
        <f t="shared" si="6"/>
        <v>Active</v>
      </c>
      <c r="BB163" s="1" t="e">
        <f t="shared" ca="1" si="7"/>
        <v>#NAME?</v>
      </c>
      <c r="BC163" s="4" t="s">
        <v>161</v>
      </c>
      <c r="BD163" s="33">
        <f t="shared" si="105"/>
        <v>12</v>
      </c>
      <c r="BE163" s="88" t="str">
        <v/>
      </c>
      <c r="BF163" s="1">
        <f t="shared" si="9"/>
        <v>0</v>
      </c>
      <c r="BG163" s="37" t="s">
        <v>423</v>
      </c>
      <c r="BH163" s="89"/>
      <c r="BI163" s="89"/>
      <c r="BJ163" s="90"/>
      <c r="BK163" s="91"/>
      <c r="BL163" s="91">
        <f t="shared" si="47"/>
        <v>0</v>
      </c>
      <c r="BM163" s="91">
        <f t="shared" si="11"/>
        <v>0</v>
      </c>
      <c r="BN163" s="91"/>
      <c r="BO163" s="92" t="str">
        <f ca="1">IFERROR(__xludf.DUMMYFUNCTION("IFERROR(ArrayFormula(SUM(VLOOKUP($C163,importrange(""1MwNMVzWE3QBVOyJjKr3eFX-Sq1Ng0Q1sghWJbgbE_8g"",""ORDER BOOKING REPORT 2024-25!C:CV""),{16,23,30},0))))"),"")</f>
        <v/>
      </c>
      <c r="BP163" s="92" t="str">
        <f ca="1">IFERROR(__xludf.DUMMYFUNCTION("IFERROR(ArrayFormula(SUM(VLOOKUP($C163,importrange(""1MwNMVzWE3QBVOyJjKr3eFX-Sq1Ng0Q1sghWJbgbE_8g"",""ORDER BOOKING REPORT 2024-25!C:CV""),{37,44,51},0))))"),"")</f>
        <v/>
      </c>
      <c r="BQ163" s="92" t="str">
        <f ca="1">IFERROR(__xludf.DUMMYFUNCTION("IFERROR(ArrayFormula(SUM(VLOOKUP($C163,importrange(""1MwNMVzWE3QBVOyJjKr3eFX-Sq1Ng0Q1sghWJbgbE_8g"",""ORDER BOOKING REPORT 2024-25!C:CV""),{58,65,72},0))))"),"")</f>
        <v/>
      </c>
      <c r="BR163" s="92" t="str">
        <f ca="1">IFERROR(__xludf.DUMMYFUNCTION("IFERROR(ArrayFormula(SUM(VLOOKUP($C163,importrange(""1MwNMVzWE3QBVOyJjKr3eFX-Sq1Ng0Q1sghWJbgbE_8g"",""ORDER BOOKING REPORT 2024-25!C:CV""),{79,86,93},0))))"),"")</f>
        <v/>
      </c>
      <c r="BS163" s="93" t="str">
        <f t="shared" si="12"/>
        <v/>
      </c>
      <c r="BT163" s="93" t="str">
        <f t="shared" si="13"/>
        <v/>
      </c>
      <c r="BU163" s="37">
        <f t="shared" si="14"/>
        <v>0</v>
      </c>
      <c r="BV163" s="94">
        <v>62500</v>
      </c>
      <c r="BW163" s="94" t="s">
        <v>434</v>
      </c>
      <c r="BX163" s="94">
        <v>1215</v>
      </c>
      <c r="BY163" s="37">
        <f t="shared" si="15"/>
        <v>0</v>
      </c>
      <c r="BZ163" s="37"/>
      <c r="CA163" s="37"/>
      <c r="CB163" s="37"/>
      <c r="CC163" s="37"/>
      <c r="CD163" s="37"/>
      <c r="CE163" s="37"/>
      <c r="CF163" s="37"/>
      <c r="CG163" s="37" t="str">
        <f t="shared" si="18"/>
        <v>Below 60</v>
      </c>
      <c r="CH163" s="37" t="str">
        <f t="shared" si="26"/>
        <v>Not 50%</v>
      </c>
      <c r="CI163" s="93">
        <f t="shared" si="19"/>
        <v>0.33333333333333331</v>
      </c>
      <c r="CJ163" s="105"/>
      <c r="CK163" s="105"/>
      <c r="CL163" s="105"/>
      <c r="CM163" s="96">
        <f t="shared" si="20"/>
        <v>102</v>
      </c>
      <c r="CN163" s="106"/>
      <c r="CO163" s="93"/>
      <c r="CP163" s="107"/>
      <c r="CQ163" s="110"/>
      <c r="CR163" s="93"/>
      <c r="CS163" s="93"/>
      <c r="CT163" s="93"/>
      <c r="CU163" s="93"/>
      <c r="CV163" s="93"/>
      <c r="CW163" s="93"/>
      <c r="CX163" s="51"/>
      <c r="CY163" s="93"/>
      <c r="CZ163" s="93"/>
    </row>
    <row r="164" spans="1:104" ht="15.6">
      <c r="A164" s="1" t="s">
        <v>118</v>
      </c>
      <c r="B164" s="1" t="s">
        <v>362</v>
      </c>
      <c r="C164" s="1" t="s">
        <v>281</v>
      </c>
      <c r="D164" s="1" t="s">
        <v>419</v>
      </c>
      <c r="E164" s="1" t="s">
        <v>635</v>
      </c>
      <c r="F164" s="48">
        <v>45670</v>
      </c>
      <c r="G164" s="76">
        <v>0</v>
      </c>
      <c r="H164" s="76">
        <v>18000000</v>
      </c>
      <c r="I164" s="77">
        <v>12918972.310000001</v>
      </c>
      <c r="J164" s="77">
        <v>0</v>
      </c>
      <c r="K164" s="4">
        <v>12</v>
      </c>
      <c r="L164" s="4">
        <v>41</v>
      </c>
      <c r="M164" s="4">
        <v>29</v>
      </c>
      <c r="N164" s="4">
        <v>41</v>
      </c>
      <c r="O164" s="4">
        <v>0</v>
      </c>
      <c r="P164" s="77">
        <v>1832598.6</v>
      </c>
      <c r="Q164" s="77">
        <v>11086373.710000001</v>
      </c>
      <c r="R164" s="4">
        <v>9</v>
      </c>
      <c r="S164" s="4">
        <v>28</v>
      </c>
      <c r="T164" s="4">
        <v>37</v>
      </c>
      <c r="U164" s="4">
        <v>0</v>
      </c>
      <c r="V164" s="4">
        <v>75</v>
      </c>
      <c r="W164" s="4">
        <v>122</v>
      </c>
      <c r="X164" s="4">
        <v>70</v>
      </c>
      <c r="Y164" s="4">
        <v>1</v>
      </c>
      <c r="Z164" s="4">
        <v>149</v>
      </c>
      <c r="AA164" s="4">
        <v>0</v>
      </c>
      <c r="AB164" s="4">
        <v>0</v>
      </c>
      <c r="AC164" s="4">
        <v>0</v>
      </c>
      <c r="AD164" s="4">
        <v>0</v>
      </c>
      <c r="AE164" s="4">
        <v>602</v>
      </c>
      <c r="AF164" s="4">
        <v>873</v>
      </c>
      <c r="AG164" s="4">
        <v>270</v>
      </c>
      <c r="AH164" s="76">
        <f t="shared" si="1"/>
        <v>47848.045592592593</v>
      </c>
      <c r="AI164" s="76">
        <f t="shared" si="2"/>
        <v>3.2333333333333334</v>
      </c>
      <c r="AJ164" s="112">
        <v>29375</v>
      </c>
      <c r="AK164" s="76">
        <f t="shared" si="62"/>
        <v>352500</v>
      </c>
      <c r="AL164" s="79">
        <v>82277</v>
      </c>
      <c r="AM164" s="80">
        <f t="shared" si="4"/>
        <v>3.3654147525609177E-2</v>
      </c>
      <c r="AN164" s="76">
        <f t="shared" si="5"/>
        <v>349161.41378378379</v>
      </c>
      <c r="AO164" s="102">
        <f t="shared" ref="AO164:AO171" si="106">IFERROR(SUM(I164:J164)/SUM(G164:H164),"")</f>
        <v>0.71772068388888888</v>
      </c>
      <c r="AP164" s="82">
        <v>0</v>
      </c>
      <c r="AQ164" s="4">
        <v>180</v>
      </c>
      <c r="AR164" s="4">
        <v>3091</v>
      </c>
      <c r="AS164" s="4">
        <v>913.66</v>
      </c>
      <c r="AT164" s="4">
        <v>28</v>
      </c>
      <c r="AU164" s="4">
        <v>22</v>
      </c>
      <c r="AV164" s="1">
        <v>37</v>
      </c>
      <c r="AW164" s="1">
        <v>4</v>
      </c>
      <c r="AX164" s="1">
        <v>0</v>
      </c>
      <c r="AY164" s="86" t="str">
        <f>IFERROR(VLOOKUP(C164,#REF!,13,0),"")</f>
        <v/>
      </c>
      <c r="AZ164" s="87"/>
      <c r="BA164" s="1" t="str">
        <f t="shared" si="6"/>
        <v>Active</v>
      </c>
      <c r="BB164" s="1" t="e">
        <f t="shared" ca="1" si="7"/>
        <v>#NAME?</v>
      </c>
      <c r="BC164" s="1" t="e">
        <f t="shared" ref="BC164:BC171" ca="1" si="107">_xludf.ifs(AO164&lt;50%,"Below 50%",AO164&lt;70%,"50%-70%",AO164&lt;90%,"70%-90%",AO164&lt;100%,"90%-100%",AO164&gt;100%,"Above 100%")</f>
        <v>#NAME?</v>
      </c>
      <c r="BD164" s="33">
        <f t="shared" si="105"/>
        <v>12</v>
      </c>
      <c r="BE164" s="88" t="str">
        <v/>
      </c>
      <c r="BF164" s="1">
        <f t="shared" si="9"/>
        <v>1</v>
      </c>
      <c r="BG164" s="1" t="s">
        <v>428</v>
      </c>
      <c r="BH164" s="89">
        <f ca="1">IFERROR(__xludf.DUMMYFUNCTION("""COMPUTED_VALUE"""),1327099.74)</f>
        <v>1327099.74</v>
      </c>
      <c r="BI164" s="89">
        <f ca="1">IFERROR(__xludf.DUMMYFUNCTION("""COMPUTED_VALUE"""),1493711.9)</f>
        <v>1493711.9</v>
      </c>
      <c r="BJ164" s="90"/>
      <c r="BK164" s="91"/>
      <c r="BL164" s="91">
        <f t="shared" si="47"/>
        <v>0</v>
      </c>
      <c r="BM164" s="91">
        <f t="shared" si="11"/>
        <v>18000000</v>
      </c>
      <c r="BN164" s="91"/>
      <c r="BO164" s="92">
        <f ca="1">IFERROR(__xludf.DUMMYFUNCTION("IFERROR(ArrayFormula(SUM(VLOOKUP($C164,importrange(""1MwNMVzWE3QBVOyJjKr3eFX-Sq1Ng0Q1sghWJbgbE_8g"",""ORDER BOOKING REPORT 2024-25!C:CV""),{16,23,30},0))))"),0)</f>
        <v>0</v>
      </c>
      <c r="BP164" s="92">
        <f ca="1">IFERROR(__xludf.DUMMYFUNCTION("IFERROR(ArrayFormula(SUM(VLOOKUP($C164,importrange(""1MwNMVzWE3QBVOyJjKr3eFX-Sq1Ng0Q1sghWJbgbE_8g"",""ORDER BOOKING REPORT 2024-25!C:CV""),{37,44,51},0))))"),0)</f>
        <v>0</v>
      </c>
      <c r="BQ164" s="92">
        <f ca="1">IFERROR(__xludf.DUMMYFUNCTION("IFERROR(ArrayFormula(SUM(VLOOKUP($C164,importrange(""1MwNMVzWE3QBVOyJjKr3eFX-Sq1Ng0Q1sghWJbgbE_8g"",""ORDER BOOKING REPORT 2024-25!C:CV""),{58,65,72},0))))"),0)</f>
        <v>0</v>
      </c>
      <c r="BR164" s="92">
        <f ca="1">IFERROR(__xludf.DUMMYFUNCTION("IFERROR(ArrayFormula(SUM(VLOOKUP($C164,importrange(""1MwNMVzWE3QBVOyJjKr3eFX-Sq1Ng0Q1sghWJbgbE_8g"",""ORDER BOOKING REPORT 2024-25!C:CV""),{79,86,93},0))))"),1493711.9)</f>
        <v>1493711.9</v>
      </c>
      <c r="BS164" s="93" t="str">
        <f t="shared" si="12"/>
        <v/>
      </c>
      <c r="BT164" s="93" t="str">
        <f t="shared" si="13"/>
        <v/>
      </c>
      <c r="BU164" s="37">
        <f t="shared" si="14"/>
        <v>0</v>
      </c>
      <c r="BV164" s="94">
        <v>29375</v>
      </c>
      <c r="BW164" s="94" t="s">
        <v>476</v>
      </c>
      <c r="BX164" s="94">
        <v>1217</v>
      </c>
      <c r="BY164" s="37">
        <f t="shared" si="15"/>
        <v>0</v>
      </c>
      <c r="BZ164" s="37"/>
      <c r="CA164" s="37"/>
      <c r="CB164" s="37"/>
      <c r="CC164" s="37"/>
      <c r="CD164" s="37"/>
      <c r="CE164" s="37"/>
      <c r="CF164" s="37"/>
      <c r="CG164" s="37" t="str">
        <f t="shared" si="18"/>
        <v>Below 60</v>
      </c>
      <c r="CH164" s="37" t="str">
        <f t="shared" si="26"/>
        <v>Business Achieved 50%</v>
      </c>
      <c r="CI164" s="93">
        <f t="shared" si="19"/>
        <v>0.90243902439024393</v>
      </c>
      <c r="CJ164" s="95">
        <f ca="1">IFERROR(__xludf.DUMMYFUNCTION("""COMPUTED_VALUE"""),589)</f>
        <v>589</v>
      </c>
      <c r="CK164" s="95">
        <f ca="1">IFERROR(__xludf.DUMMYFUNCTION("""COMPUTED_VALUE"""),13)</f>
        <v>13</v>
      </c>
      <c r="CL164" s="95">
        <f ca="1">IFERROR(__xludf.DUMMYFUNCTION("""COMPUTED_VALUE"""),0)</f>
        <v>0</v>
      </c>
      <c r="CM164" s="96">
        <f t="shared" ca="1" si="20"/>
        <v>0</v>
      </c>
      <c r="CN164" s="103"/>
      <c r="CO164" s="4"/>
      <c r="CP164" s="100"/>
      <c r="CQ164" s="101"/>
      <c r="CR164" s="4"/>
      <c r="CS164" s="4"/>
      <c r="CT164" s="4"/>
      <c r="CU164" s="4"/>
      <c r="CV164" s="4"/>
      <c r="CW164" s="101"/>
      <c r="CX164" s="51"/>
      <c r="CY164" s="4"/>
      <c r="CZ164" s="4"/>
    </row>
    <row r="165" spans="1:104" ht="15.6">
      <c r="A165" s="1" t="s">
        <v>108</v>
      </c>
      <c r="B165" s="1" t="s">
        <v>465</v>
      </c>
      <c r="C165" s="1" t="s">
        <v>282</v>
      </c>
      <c r="D165" s="1" t="s">
        <v>506</v>
      </c>
      <c r="E165" s="1" t="s">
        <v>475</v>
      </c>
      <c r="F165" s="104">
        <v>45694</v>
      </c>
      <c r="G165" s="76">
        <v>0</v>
      </c>
      <c r="H165" s="76">
        <v>5952000</v>
      </c>
      <c r="I165" s="77">
        <v>3321347.12</v>
      </c>
      <c r="J165" s="77">
        <v>0</v>
      </c>
      <c r="K165" s="4">
        <v>61</v>
      </c>
      <c r="L165" s="4">
        <v>70</v>
      </c>
      <c r="M165" s="4">
        <v>14</v>
      </c>
      <c r="N165" s="4">
        <v>75</v>
      </c>
      <c r="O165" s="4">
        <v>5</v>
      </c>
      <c r="P165" s="77">
        <v>2869328.12</v>
      </c>
      <c r="Q165" s="77">
        <v>452019</v>
      </c>
      <c r="R165" s="4">
        <v>38</v>
      </c>
      <c r="S165" s="4">
        <v>12</v>
      </c>
      <c r="T165" s="4">
        <v>50</v>
      </c>
      <c r="U165" s="4">
        <v>0</v>
      </c>
      <c r="V165" s="4">
        <v>10</v>
      </c>
      <c r="W165" s="4">
        <v>26</v>
      </c>
      <c r="X165" s="4">
        <v>6</v>
      </c>
      <c r="Y165" s="4">
        <v>1</v>
      </c>
      <c r="Z165" s="4">
        <v>54</v>
      </c>
      <c r="AA165" s="4">
        <v>0</v>
      </c>
      <c r="AB165" s="4">
        <v>0</v>
      </c>
      <c r="AC165" s="4">
        <v>0</v>
      </c>
      <c r="AD165" s="4">
        <v>0</v>
      </c>
      <c r="AE165" s="4">
        <v>618</v>
      </c>
      <c r="AF165" s="4">
        <v>698</v>
      </c>
      <c r="AG165" s="4">
        <v>107</v>
      </c>
      <c r="AH165" s="76">
        <f t="shared" si="1"/>
        <v>31040.627289719629</v>
      </c>
      <c r="AI165" s="76">
        <f t="shared" si="2"/>
        <v>6.5233644859813085</v>
      </c>
      <c r="AJ165" s="112">
        <v>23000</v>
      </c>
      <c r="AK165" s="76">
        <f t="shared" si="62"/>
        <v>115000</v>
      </c>
      <c r="AL165" s="49">
        <v>43036</v>
      </c>
      <c r="AM165" s="80">
        <f t="shared" si="4"/>
        <v>4.7581898034192827E-2</v>
      </c>
      <c r="AN165" s="76">
        <f t="shared" si="5"/>
        <v>66426.9424</v>
      </c>
      <c r="AO165" s="102">
        <f t="shared" si="106"/>
        <v>0.55802202956989244</v>
      </c>
      <c r="AP165" s="82">
        <v>0</v>
      </c>
      <c r="AQ165" s="4">
        <v>245</v>
      </c>
      <c r="AR165" s="4">
        <v>1023</v>
      </c>
      <c r="AS165" s="4">
        <v>0</v>
      </c>
      <c r="AT165" s="4">
        <v>12</v>
      </c>
      <c r="AU165" s="4">
        <v>0</v>
      </c>
      <c r="AV165" s="1">
        <v>50</v>
      </c>
      <c r="AW165" s="1">
        <v>20</v>
      </c>
      <c r="AX165" s="1">
        <v>5</v>
      </c>
      <c r="AY165" s="86" t="str">
        <f>IFERROR(VLOOKUP(C165,#REF!,13,0),"")</f>
        <v/>
      </c>
      <c r="AZ165" s="87">
        <v>45899</v>
      </c>
      <c r="BA165" s="1" t="str">
        <f t="shared" si="6"/>
        <v>LEFT</v>
      </c>
      <c r="BB165" s="1" t="e">
        <f t="shared" ca="1" si="7"/>
        <v>#NAME?</v>
      </c>
      <c r="BC165" s="1" t="e">
        <f t="shared" ca="1" si="107"/>
        <v>#NAME?</v>
      </c>
      <c r="BD165" s="33">
        <v>5</v>
      </c>
      <c r="BE165" s="91" t="str">
        <v/>
      </c>
      <c r="BF165" s="1">
        <f t="shared" si="9"/>
        <v>2</v>
      </c>
      <c r="BG165" s="1" t="s">
        <v>428</v>
      </c>
      <c r="BH165" s="89">
        <f ca="1">IFERROR(__xludf.DUMMYFUNCTION("""COMPUTED_VALUE"""),0)</f>
        <v>0</v>
      </c>
      <c r="BI165" s="89">
        <f ca="1">IFERROR(__xludf.DUMMYFUNCTION("""COMPUTED_VALUE"""),703433.64)</f>
        <v>703433.64</v>
      </c>
      <c r="BJ165" s="109"/>
      <c r="BK165" s="91"/>
      <c r="BL165" s="91">
        <f t="shared" si="47"/>
        <v>0</v>
      </c>
      <c r="BM165" s="91">
        <f t="shared" si="11"/>
        <v>5952000</v>
      </c>
      <c r="BN165" s="91"/>
      <c r="BO165" s="92">
        <f ca="1">IFERROR(__xludf.DUMMYFUNCTION("IFERROR(ArrayFormula(SUM(VLOOKUP($C165,importrange(""1MwNMVzWE3QBVOyJjKr3eFX-Sq1Ng0Q1sghWJbgbE_8g"",""ORDER BOOKING REPORT 2024-25!C:CV""),{16,23,30},0))))"),0)</f>
        <v>0</v>
      </c>
      <c r="BP165" s="92">
        <f ca="1">IFERROR(__xludf.DUMMYFUNCTION("IFERROR(ArrayFormula(SUM(VLOOKUP($C165,importrange(""1MwNMVzWE3QBVOyJjKr3eFX-Sq1Ng0Q1sghWJbgbE_8g"",""ORDER BOOKING REPORT 2024-25!C:CV""),{37,44,51},0))))"),0)</f>
        <v>0</v>
      </c>
      <c r="BQ165" s="92">
        <f ca="1">IFERROR(__xludf.DUMMYFUNCTION("IFERROR(ArrayFormula(SUM(VLOOKUP($C165,importrange(""1MwNMVzWE3QBVOyJjKr3eFX-Sq1Ng0Q1sghWJbgbE_8g"",""ORDER BOOKING REPORT 2024-25!C:CV""),{58,65,72},0))))"),0)</f>
        <v>0</v>
      </c>
      <c r="BR165" s="92">
        <f ca="1">IFERROR(__xludf.DUMMYFUNCTION("IFERROR(ArrayFormula(SUM(VLOOKUP($C165,importrange(""1MwNMVzWE3QBVOyJjKr3eFX-Sq1Ng0Q1sghWJbgbE_8g"",""ORDER BOOKING REPORT 2024-25!C:CV""),{79,86,93},0))))"),703433.64)</f>
        <v>703433.64</v>
      </c>
      <c r="BS165" s="93" t="str">
        <f t="shared" si="12"/>
        <v/>
      </c>
      <c r="BT165" s="93" t="str">
        <f t="shared" si="13"/>
        <v/>
      </c>
      <c r="BU165" s="37">
        <f t="shared" si="14"/>
        <v>0</v>
      </c>
      <c r="BV165" s="94"/>
      <c r="BW165" s="94"/>
      <c r="BX165" s="94"/>
      <c r="BY165" s="37">
        <f t="shared" si="15"/>
        <v>-23000</v>
      </c>
      <c r="BZ165" s="37"/>
      <c r="CA165" s="37" t="e">
        <f>BE165*5</f>
        <v>#VALUE!</v>
      </c>
      <c r="CB165" s="37"/>
      <c r="CC165" s="37" t="e">
        <f>CA165-H165</f>
        <v>#VALUE!</v>
      </c>
      <c r="CD165" s="37"/>
      <c r="CE165" s="37"/>
      <c r="CF165" s="37"/>
      <c r="CG165" s="37" t="str">
        <f t="shared" si="18"/>
        <v xml:space="preserve"> </v>
      </c>
      <c r="CH165" s="37" t="str">
        <f t="shared" si="26"/>
        <v>Business Achieved 50%</v>
      </c>
      <c r="CI165" s="93">
        <f t="shared" si="19"/>
        <v>0.66666666666666663</v>
      </c>
      <c r="CJ165" s="105">
        <f ca="1">IFERROR(__xludf.DUMMYFUNCTION("""COMPUTED_VALUE"""),541)</f>
        <v>541</v>
      </c>
      <c r="CK165" s="105">
        <f ca="1">IFERROR(__xludf.DUMMYFUNCTION("""COMPUTED_VALUE"""),77)</f>
        <v>77</v>
      </c>
      <c r="CL165" s="105">
        <f ca="1">IFERROR(__xludf.DUMMYFUNCTION("""COMPUTED_VALUE"""),0)</f>
        <v>0</v>
      </c>
      <c r="CM165" s="96">
        <f t="shared" ca="1" si="20"/>
        <v>0</v>
      </c>
      <c r="CN165" s="106"/>
      <c r="CO165" s="93"/>
      <c r="CP165" s="107"/>
      <c r="CQ165" s="110"/>
      <c r="CR165" s="93"/>
      <c r="CS165" s="93"/>
      <c r="CT165" s="93"/>
      <c r="CU165" s="93"/>
      <c r="CV165" s="93"/>
      <c r="CW165" s="93"/>
      <c r="CX165" s="51"/>
      <c r="CY165" s="93"/>
      <c r="CZ165" s="93"/>
    </row>
    <row r="166" spans="1:104" ht="15.6">
      <c r="A166" s="1" t="s">
        <v>108</v>
      </c>
      <c r="B166" s="1" t="s">
        <v>465</v>
      </c>
      <c r="C166" s="1" t="s">
        <v>283</v>
      </c>
      <c r="D166" s="1" t="s">
        <v>506</v>
      </c>
      <c r="E166" s="1" t="s">
        <v>475</v>
      </c>
      <c r="F166" s="104">
        <v>45719</v>
      </c>
      <c r="G166" s="76">
        <v>0</v>
      </c>
      <c r="H166" s="76">
        <v>15860000</v>
      </c>
      <c r="I166" s="77">
        <v>14154974.189999999</v>
      </c>
      <c r="J166" s="77">
        <v>0</v>
      </c>
      <c r="K166" s="4">
        <v>92</v>
      </c>
      <c r="L166" s="4">
        <v>75</v>
      </c>
      <c r="M166" s="4">
        <v>25</v>
      </c>
      <c r="N166" s="4">
        <v>117</v>
      </c>
      <c r="O166" s="4">
        <v>42</v>
      </c>
      <c r="P166" s="77">
        <v>12058215.4</v>
      </c>
      <c r="Q166" s="77">
        <v>2096758.79</v>
      </c>
      <c r="R166" s="4">
        <v>38</v>
      </c>
      <c r="S166" s="4">
        <v>24</v>
      </c>
      <c r="T166" s="4">
        <v>62</v>
      </c>
      <c r="U166" s="4">
        <v>0</v>
      </c>
      <c r="V166" s="4">
        <v>8</v>
      </c>
      <c r="W166" s="4">
        <v>29</v>
      </c>
      <c r="X166" s="4">
        <v>1</v>
      </c>
      <c r="Y166" s="4">
        <v>1</v>
      </c>
      <c r="Z166" s="4">
        <v>37</v>
      </c>
      <c r="AA166" s="4">
        <v>0</v>
      </c>
      <c r="AB166" s="4">
        <v>0</v>
      </c>
      <c r="AC166" s="4">
        <v>0</v>
      </c>
      <c r="AD166" s="4">
        <v>0</v>
      </c>
      <c r="AE166" s="4">
        <v>1801</v>
      </c>
      <c r="AF166" s="4">
        <v>1867</v>
      </c>
      <c r="AG166" s="4">
        <v>290</v>
      </c>
      <c r="AH166" s="76">
        <f t="shared" si="1"/>
        <v>48810.255827586203</v>
      </c>
      <c r="AI166" s="76">
        <f t="shared" si="2"/>
        <v>6.4379310344827587</v>
      </c>
      <c r="AJ166" s="112">
        <v>23000</v>
      </c>
      <c r="AK166" s="76">
        <f t="shared" si="62"/>
        <v>276000</v>
      </c>
      <c r="AL166" s="49">
        <v>137518</v>
      </c>
      <c r="AM166" s="80">
        <f t="shared" si="4"/>
        <v>2.9213617379262775E-2</v>
      </c>
      <c r="AN166" s="76">
        <f t="shared" si="5"/>
        <v>228306.03532258063</v>
      </c>
      <c r="AO166" s="102">
        <f t="shared" si="106"/>
        <v>0.89249522005044135</v>
      </c>
      <c r="AP166" s="82">
        <v>0</v>
      </c>
      <c r="AQ166" s="4">
        <v>400</v>
      </c>
      <c r="AR166" s="4">
        <v>2795</v>
      </c>
      <c r="AS166" s="4">
        <v>2623.96</v>
      </c>
      <c r="AT166" s="4">
        <v>24</v>
      </c>
      <c r="AU166" s="4">
        <v>35</v>
      </c>
      <c r="AV166" s="1">
        <v>62</v>
      </c>
      <c r="AW166" s="1">
        <v>14</v>
      </c>
      <c r="AX166" s="1">
        <v>41</v>
      </c>
      <c r="AY166" s="86" t="str">
        <f>IFERROR(VLOOKUP(C166,#REF!,13,0),"")</f>
        <v/>
      </c>
      <c r="AZ166" s="87"/>
      <c r="BA166" s="1" t="str">
        <f t="shared" si="6"/>
        <v>Active</v>
      </c>
      <c r="BB166" s="1" t="e">
        <f t="shared" ca="1" si="7"/>
        <v>#NAME?</v>
      </c>
      <c r="BC166" s="1" t="e">
        <f t="shared" ca="1" si="107"/>
        <v>#NAME?</v>
      </c>
      <c r="BD166" s="33">
        <f t="array" ref="BD166">MATCH($BD$2,{"Apr","May","Jun","Jul","Aug","Sep","Oct","Nov","Dec","Jan","Feb","Mar"},0)</f>
        <v>12</v>
      </c>
      <c r="BE166" s="91" t="str">
        <v/>
      </c>
      <c r="BF166" s="1">
        <f t="shared" si="9"/>
        <v>1</v>
      </c>
      <c r="BG166" s="1" t="s">
        <v>428</v>
      </c>
      <c r="BH166" s="89">
        <f ca="1">IFERROR(__xludf.DUMMYFUNCTION("""COMPUTED_VALUE"""),0)</f>
        <v>0</v>
      </c>
      <c r="BI166" s="89">
        <f ca="1">IFERROR(__xludf.DUMMYFUNCTION("""COMPUTED_VALUE"""),853184.439999999)</f>
        <v>853184.43999999901</v>
      </c>
      <c r="BJ166" s="90"/>
      <c r="BK166" s="91"/>
      <c r="BL166" s="91">
        <f t="shared" si="47"/>
        <v>0</v>
      </c>
      <c r="BM166" s="91">
        <f t="shared" si="11"/>
        <v>15860000</v>
      </c>
      <c r="BN166" s="91"/>
      <c r="BO166" s="92">
        <f ca="1">IFERROR(__xludf.DUMMYFUNCTION("IFERROR(ArrayFormula(SUM(VLOOKUP($C166,importrange(""1MwNMVzWE3QBVOyJjKr3eFX-Sq1Ng0Q1sghWJbgbE_8g"",""ORDER BOOKING REPORT 2024-25!C:CV""),{16,23,30},0))))"),0)</f>
        <v>0</v>
      </c>
      <c r="BP166" s="92">
        <f ca="1">IFERROR(__xludf.DUMMYFUNCTION("IFERROR(ArrayFormula(SUM(VLOOKUP($C166,importrange(""1MwNMVzWE3QBVOyJjKr3eFX-Sq1Ng0Q1sghWJbgbE_8g"",""ORDER BOOKING REPORT 2024-25!C:CV""),{37,44,51},0))))"),0)</f>
        <v>0</v>
      </c>
      <c r="BQ166" s="92">
        <f ca="1">IFERROR(__xludf.DUMMYFUNCTION("IFERROR(ArrayFormula(SUM(VLOOKUP($C166,importrange(""1MwNMVzWE3QBVOyJjKr3eFX-Sq1Ng0Q1sghWJbgbE_8g"",""ORDER BOOKING REPORT 2024-25!C:CV""),{58,65,72},0))))"),0)</f>
        <v>0</v>
      </c>
      <c r="BR166" s="92">
        <f ca="1">IFERROR(__xludf.DUMMYFUNCTION("IFERROR(ArrayFormula(SUM(VLOOKUP($C166,importrange(""1MwNMVzWE3QBVOyJjKr3eFX-Sq1Ng0Q1sghWJbgbE_8g"",""ORDER BOOKING REPORT 2024-25!C:CV""),{79,86,93},0))))"),853184.439999999)</f>
        <v>853184.43999999901</v>
      </c>
      <c r="BS166" s="93" t="str">
        <f t="shared" si="12"/>
        <v/>
      </c>
      <c r="BT166" s="93" t="str">
        <f t="shared" si="13"/>
        <v/>
      </c>
      <c r="BU166" s="37">
        <f t="shared" si="14"/>
        <v>0</v>
      </c>
      <c r="BV166" s="94"/>
      <c r="BW166" s="94"/>
      <c r="BX166" s="94"/>
      <c r="BY166" s="37">
        <f t="shared" si="15"/>
        <v>-23000</v>
      </c>
      <c r="BZ166" s="37"/>
      <c r="CA166" s="37"/>
      <c r="CB166" s="37"/>
      <c r="CC166" s="37"/>
      <c r="CD166" s="37"/>
      <c r="CE166" s="37"/>
      <c r="CF166" s="37"/>
      <c r="CG166" s="37" t="str">
        <f t="shared" si="18"/>
        <v xml:space="preserve"> </v>
      </c>
      <c r="CH166" s="37" t="str">
        <f t="shared" si="26"/>
        <v>Business Achieved 50%</v>
      </c>
      <c r="CI166" s="93">
        <f t="shared" si="19"/>
        <v>0.52991452991452992</v>
      </c>
      <c r="CJ166" s="105">
        <f ca="1">IFERROR(__xludf.DUMMYFUNCTION("""COMPUTED_VALUE"""),1644)</f>
        <v>1644</v>
      </c>
      <c r="CK166" s="105">
        <f ca="1">IFERROR(__xludf.DUMMYFUNCTION("""COMPUTED_VALUE"""),157)</f>
        <v>157</v>
      </c>
      <c r="CL166" s="105">
        <f ca="1">IFERROR(__xludf.DUMMYFUNCTION("""COMPUTED_VALUE"""),0)</f>
        <v>0</v>
      </c>
      <c r="CM166" s="96">
        <f t="shared" ca="1" si="20"/>
        <v>0</v>
      </c>
      <c r="CN166" s="106"/>
      <c r="CO166" s="93"/>
      <c r="CP166" s="107"/>
      <c r="CQ166" s="110"/>
      <c r="CR166" s="93"/>
      <c r="CS166" s="93"/>
      <c r="CT166" s="93"/>
      <c r="CU166" s="93"/>
      <c r="CV166" s="93"/>
      <c r="CW166" s="93"/>
      <c r="CX166" s="51"/>
      <c r="CY166" s="93"/>
      <c r="CZ166" s="93"/>
    </row>
    <row r="167" spans="1:104" ht="15.6">
      <c r="A167" s="1" t="s">
        <v>120</v>
      </c>
      <c r="B167" s="1" t="s">
        <v>206</v>
      </c>
      <c r="C167" s="1" t="s">
        <v>284</v>
      </c>
      <c r="D167" s="1" t="s">
        <v>206</v>
      </c>
      <c r="E167" s="1" t="s">
        <v>358</v>
      </c>
      <c r="F167" s="104">
        <v>45722</v>
      </c>
      <c r="G167" s="76">
        <v>0</v>
      </c>
      <c r="H167" s="76">
        <v>14400000</v>
      </c>
      <c r="I167" s="77">
        <v>3758218.79</v>
      </c>
      <c r="J167" s="77">
        <v>0</v>
      </c>
      <c r="K167" s="4">
        <v>62</v>
      </c>
      <c r="L167" s="4">
        <v>86</v>
      </c>
      <c r="M167" s="4">
        <v>26</v>
      </c>
      <c r="N167" s="4">
        <v>88</v>
      </c>
      <c r="O167" s="4">
        <v>2</v>
      </c>
      <c r="P167" s="77">
        <v>2989305.48</v>
      </c>
      <c r="Q167" s="77">
        <v>768913.31</v>
      </c>
      <c r="R167" s="4">
        <v>32</v>
      </c>
      <c r="S167" s="4">
        <v>19</v>
      </c>
      <c r="T167" s="4">
        <v>51</v>
      </c>
      <c r="U167" s="4">
        <v>0</v>
      </c>
      <c r="V167" s="4">
        <v>269</v>
      </c>
      <c r="W167" s="4">
        <v>625</v>
      </c>
      <c r="X167" s="4">
        <v>21</v>
      </c>
      <c r="Y167" s="4">
        <v>4</v>
      </c>
      <c r="Z167" s="4">
        <v>104</v>
      </c>
      <c r="AA167" s="4">
        <v>2</v>
      </c>
      <c r="AB167" s="4">
        <v>2</v>
      </c>
      <c r="AC167" s="4">
        <v>5</v>
      </c>
      <c r="AD167" s="4">
        <v>5</v>
      </c>
      <c r="AE167" s="4">
        <v>691</v>
      </c>
      <c r="AF167" s="4">
        <v>1427</v>
      </c>
      <c r="AG167" s="4">
        <v>169</v>
      </c>
      <c r="AH167" s="76">
        <f t="shared" si="1"/>
        <v>22237.981005917161</v>
      </c>
      <c r="AI167" s="76">
        <f t="shared" si="2"/>
        <v>8.4437869822485201</v>
      </c>
      <c r="AJ167" s="78">
        <f>BV167</f>
        <v>27260</v>
      </c>
      <c r="AK167" s="76">
        <f t="shared" si="62"/>
        <v>190820</v>
      </c>
      <c r="AL167" s="49">
        <v>83225</v>
      </c>
      <c r="AM167" s="80">
        <f t="shared" si="4"/>
        <v>7.2918852071409065E-2</v>
      </c>
      <c r="AN167" s="76">
        <f t="shared" si="5"/>
        <v>73690.564509803924</v>
      </c>
      <c r="AO167" s="102">
        <f t="shared" si="106"/>
        <v>0.26098741597222225</v>
      </c>
      <c r="AP167" s="82">
        <v>0</v>
      </c>
      <c r="AQ167" s="4">
        <v>193</v>
      </c>
      <c r="AR167" s="4">
        <v>1673</v>
      </c>
      <c r="AS167" s="4">
        <v>0</v>
      </c>
      <c r="AT167" s="4">
        <v>19</v>
      </c>
      <c r="AU167" s="4">
        <v>0</v>
      </c>
      <c r="AV167" s="1">
        <v>51</v>
      </c>
      <c r="AW167" s="1">
        <v>35</v>
      </c>
      <c r="AX167" s="1">
        <v>2</v>
      </c>
      <c r="AY167" s="86" t="str">
        <f>IFERROR(VLOOKUP(C167,#REF!,13,0),"")</f>
        <v/>
      </c>
      <c r="AZ167" s="87">
        <v>45961</v>
      </c>
      <c r="BA167" s="1" t="str">
        <f t="shared" si="6"/>
        <v>LEFT</v>
      </c>
      <c r="BB167" s="1" t="e">
        <f t="shared" ca="1" si="7"/>
        <v>#NAME?</v>
      </c>
      <c r="BC167" s="1" t="e">
        <f t="shared" ca="1" si="107"/>
        <v>#NAME?</v>
      </c>
      <c r="BD167" s="33">
        <v>7</v>
      </c>
      <c r="BE167" s="88" t="str">
        <v/>
      </c>
      <c r="BF167" s="1">
        <f t="shared" si="9"/>
        <v>7</v>
      </c>
      <c r="BG167" s="1" t="s">
        <v>428</v>
      </c>
      <c r="BH167" s="89">
        <f ca="1">IFERROR(__xludf.DUMMYFUNCTION("""COMPUTED_VALUE"""),327344)</f>
        <v>327344</v>
      </c>
      <c r="BI167" s="89">
        <f ca="1">IFERROR(__xludf.DUMMYFUNCTION("""COMPUTED_VALUE"""),327346.29)</f>
        <v>327346.28999999998</v>
      </c>
      <c r="BJ167" s="90"/>
      <c r="BK167" s="91"/>
      <c r="BL167" s="91">
        <f t="shared" si="47"/>
        <v>0</v>
      </c>
      <c r="BM167" s="91">
        <f t="shared" si="11"/>
        <v>14400000</v>
      </c>
      <c r="BN167" s="91"/>
      <c r="BO167" s="92">
        <f ca="1">IFERROR(__xludf.DUMMYFUNCTION("IFERROR(ArrayFormula(SUM(VLOOKUP($C167,importrange(""1MwNMVzWE3QBVOyJjKr3eFX-Sq1Ng0Q1sghWJbgbE_8g"",""ORDER BOOKING REPORT 2024-25!C:CV""),{16,23,30},0))))"),0)</f>
        <v>0</v>
      </c>
      <c r="BP167" s="92">
        <f ca="1">IFERROR(__xludf.DUMMYFUNCTION("IFERROR(ArrayFormula(SUM(VLOOKUP($C167,importrange(""1MwNMVzWE3QBVOyJjKr3eFX-Sq1Ng0Q1sghWJbgbE_8g"",""ORDER BOOKING REPORT 2024-25!C:CV""),{37,44,51},0))))"),0)</f>
        <v>0</v>
      </c>
      <c r="BQ167" s="92">
        <f ca="1">IFERROR(__xludf.DUMMYFUNCTION("IFERROR(ArrayFormula(SUM(VLOOKUP($C167,importrange(""1MwNMVzWE3QBVOyJjKr3eFX-Sq1Ng0Q1sghWJbgbE_8g"",""ORDER BOOKING REPORT 2024-25!C:CV""),{58,65,72},0))))"),0)</f>
        <v>0</v>
      </c>
      <c r="BR167" s="92">
        <f ca="1">IFERROR(__xludf.DUMMYFUNCTION("IFERROR(ArrayFormula(SUM(VLOOKUP($C167,importrange(""1MwNMVzWE3QBVOyJjKr3eFX-Sq1Ng0Q1sghWJbgbE_8g"",""ORDER BOOKING REPORT 2024-25!C:CV""),{79,86,93},0))))"),327346.29)</f>
        <v>327346.28999999998</v>
      </c>
      <c r="BS167" s="93" t="str">
        <f t="shared" si="12"/>
        <v/>
      </c>
      <c r="BT167" s="93" t="str">
        <f t="shared" si="13"/>
        <v/>
      </c>
      <c r="BU167" s="37">
        <f t="shared" si="14"/>
        <v>0</v>
      </c>
      <c r="BV167" s="94">
        <v>27260</v>
      </c>
      <c r="BW167" s="94" t="s">
        <v>476</v>
      </c>
      <c r="BX167" s="94">
        <v>1226</v>
      </c>
      <c r="BY167" s="37">
        <f t="shared" si="15"/>
        <v>0</v>
      </c>
      <c r="BZ167" s="37"/>
      <c r="CA167" s="37"/>
      <c r="CB167" s="37"/>
      <c r="CC167" s="37"/>
      <c r="CD167" s="37"/>
      <c r="CE167" s="37"/>
      <c r="CF167" s="37"/>
      <c r="CG167" s="37" t="str">
        <f t="shared" si="18"/>
        <v xml:space="preserve"> </v>
      </c>
      <c r="CH167" s="37" t="str">
        <f t="shared" si="26"/>
        <v>Business Achieved 50%</v>
      </c>
      <c r="CI167" s="93">
        <f t="shared" si="19"/>
        <v>0.57954545454545459</v>
      </c>
      <c r="CJ167" s="105">
        <f ca="1">IFERROR(__xludf.DUMMYFUNCTION("""COMPUTED_VALUE"""),559)</f>
        <v>559</v>
      </c>
      <c r="CK167" s="105">
        <f ca="1">IFERROR(__xludf.DUMMYFUNCTION("""COMPUTED_VALUE"""),134)</f>
        <v>134</v>
      </c>
      <c r="CL167" s="105">
        <f ca="1">IFERROR(__xludf.DUMMYFUNCTION("""COMPUTED_VALUE"""),0)</f>
        <v>0</v>
      </c>
      <c r="CM167" s="96">
        <f t="shared" ca="1" si="20"/>
        <v>-2</v>
      </c>
      <c r="CN167" s="106"/>
      <c r="CO167" s="93"/>
      <c r="CP167" s="107"/>
      <c r="CQ167" s="110"/>
      <c r="CR167" s="93"/>
      <c r="CS167" s="93"/>
      <c r="CT167" s="93"/>
      <c r="CU167" s="93"/>
      <c r="CV167" s="93"/>
      <c r="CW167" s="93"/>
      <c r="CX167" s="51"/>
      <c r="CY167" s="93"/>
      <c r="CZ167" s="93"/>
    </row>
    <row r="168" spans="1:104" ht="15.6">
      <c r="A168" s="114" t="s">
        <v>154</v>
      </c>
      <c r="B168" s="114" t="s">
        <v>367</v>
      </c>
      <c r="C168" s="114" t="s">
        <v>287</v>
      </c>
      <c r="D168" s="1" t="s">
        <v>577</v>
      </c>
      <c r="E168" s="1" t="s">
        <v>371</v>
      </c>
      <c r="F168" s="48">
        <v>45733</v>
      </c>
      <c r="G168" s="76">
        <v>0</v>
      </c>
      <c r="H168" s="76">
        <v>17500000</v>
      </c>
      <c r="I168" s="77">
        <v>8305428.7599999998</v>
      </c>
      <c r="J168" s="77">
        <v>0</v>
      </c>
      <c r="K168" s="4">
        <v>56</v>
      </c>
      <c r="L168" s="4">
        <v>92</v>
      </c>
      <c r="M168" s="4">
        <v>36</v>
      </c>
      <c r="N168" s="4">
        <v>92</v>
      </c>
      <c r="O168" s="4">
        <v>0</v>
      </c>
      <c r="P168" s="77">
        <v>3229622.76</v>
      </c>
      <c r="Q168" s="77">
        <v>5075806</v>
      </c>
      <c r="R168" s="4">
        <v>22</v>
      </c>
      <c r="S168" s="4">
        <v>36</v>
      </c>
      <c r="T168" s="4">
        <v>58</v>
      </c>
      <c r="U168" s="4">
        <v>0</v>
      </c>
      <c r="V168" s="4">
        <v>226</v>
      </c>
      <c r="W168" s="4">
        <v>642</v>
      </c>
      <c r="X168" s="4">
        <v>1</v>
      </c>
      <c r="Y168" s="4">
        <v>7</v>
      </c>
      <c r="Z168" s="4">
        <v>142</v>
      </c>
      <c r="AA168" s="4">
        <v>1</v>
      </c>
      <c r="AB168" s="4">
        <v>4</v>
      </c>
      <c r="AC168" s="4">
        <v>18</v>
      </c>
      <c r="AD168" s="4">
        <v>130</v>
      </c>
      <c r="AE168" s="4">
        <v>1166</v>
      </c>
      <c r="AF168" s="4">
        <v>2084</v>
      </c>
      <c r="AG168" s="4">
        <v>294</v>
      </c>
      <c r="AH168" s="76">
        <f t="shared" si="1"/>
        <v>28249.757687074831</v>
      </c>
      <c r="AI168" s="76">
        <f t="shared" si="2"/>
        <v>7.0884353741496602</v>
      </c>
      <c r="AJ168" s="112">
        <v>33550</v>
      </c>
      <c r="AK168" s="76">
        <f t="shared" si="62"/>
        <v>402600</v>
      </c>
      <c r="AL168" s="79">
        <v>333495</v>
      </c>
      <c r="AM168" s="80">
        <f t="shared" si="4"/>
        <v>8.8628175771626266E-2</v>
      </c>
      <c r="AN168" s="76">
        <f t="shared" si="5"/>
        <v>143197.0475862069</v>
      </c>
      <c r="AO168" s="102">
        <f t="shared" si="106"/>
        <v>0.47459592914285714</v>
      </c>
      <c r="AP168" s="82">
        <v>0</v>
      </c>
      <c r="AQ168" s="4">
        <v>261</v>
      </c>
      <c r="AR168" s="4">
        <v>2799</v>
      </c>
      <c r="AS168" s="4">
        <v>5073.6899999999996</v>
      </c>
      <c r="AT168" s="4">
        <v>36</v>
      </c>
      <c r="AU168" s="4">
        <v>55</v>
      </c>
      <c r="AV168" s="1">
        <v>58</v>
      </c>
      <c r="AW168" s="1">
        <v>34</v>
      </c>
      <c r="AX168" s="1">
        <v>0</v>
      </c>
      <c r="AY168" s="86" t="str">
        <f>IFERROR(VLOOKUP(C168,#REF!,13,0),"")</f>
        <v/>
      </c>
      <c r="AZ168" s="87"/>
      <c r="BA168" s="1" t="str">
        <f t="shared" si="6"/>
        <v>Active</v>
      </c>
      <c r="BB168" s="1" t="e">
        <f t="shared" ca="1" si="7"/>
        <v>#NAME?</v>
      </c>
      <c r="BC168" s="1" t="e">
        <f t="shared" ca="1" si="107"/>
        <v>#NAME?</v>
      </c>
      <c r="BD168" s="33">
        <f t="array" ref="BD168">MATCH($BD$2,{"Apr","May","Jun","Jul","Aug","Sep","Oct","Nov","Dec","Jan","Feb","Mar"},0)</f>
        <v>12</v>
      </c>
      <c r="BE168" s="91" t="str">
        <v/>
      </c>
      <c r="BF168" s="1">
        <f t="shared" si="9"/>
        <v>0</v>
      </c>
      <c r="BG168" s="1" t="s">
        <v>428</v>
      </c>
      <c r="BH168" s="89"/>
      <c r="BI168" s="89"/>
      <c r="BJ168" s="90"/>
      <c r="BK168" s="91"/>
      <c r="BL168" s="91">
        <f t="shared" si="47"/>
        <v>0</v>
      </c>
      <c r="BM168" s="91">
        <f t="shared" si="11"/>
        <v>17500000</v>
      </c>
      <c r="BN168" s="91"/>
      <c r="BO168" s="92" t="str">
        <f ca="1">IFERROR(__xludf.DUMMYFUNCTION("IFERROR(ArrayFormula(SUM(VLOOKUP($C168,importrange(""1MwNMVzWE3QBVOyJjKr3eFX-Sq1Ng0Q1sghWJbgbE_8g"",""ORDER BOOKING REPORT 2024-25!C:CV""),{16,23,30},0))))"),"")</f>
        <v/>
      </c>
      <c r="BP168" s="92" t="str">
        <f ca="1">IFERROR(__xludf.DUMMYFUNCTION("IFERROR(ArrayFormula(SUM(VLOOKUP($C168,importrange(""1MwNMVzWE3QBVOyJjKr3eFX-Sq1Ng0Q1sghWJbgbE_8g"",""ORDER BOOKING REPORT 2024-25!C:CV""),{37,44,51},0))))"),"")</f>
        <v/>
      </c>
      <c r="BQ168" s="92" t="str">
        <f ca="1">IFERROR(__xludf.DUMMYFUNCTION("IFERROR(ArrayFormula(SUM(VLOOKUP($C168,importrange(""1MwNMVzWE3QBVOyJjKr3eFX-Sq1Ng0Q1sghWJbgbE_8g"",""ORDER BOOKING REPORT 2024-25!C:CV""),{58,65,72},0))))"),"")</f>
        <v/>
      </c>
      <c r="BR168" s="92" t="str">
        <f ca="1">IFERROR(__xludf.DUMMYFUNCTION("IFERROR(ArrayFormula(SUM(VLOOKUP($C168,importrange(""1MwNMVzWE3QBVOyJjKr3eFX-Sq1Ng0Q1sghWJbgbE_8g"",""ORDER BOOKING REPORT 2024-25!C:CV""),{79,86,93},0))))"),"")</f>
        <v/>
      </c>
      <c r="BS168" s="93" t="str">
        <f t="shared" si="12"/>
        <v/>
      </c>
      <c r="BT168" s="93" t="str">
        <f t="shared" si="13"/>
        <v/>
      </c>
      <c r="BU168" s="37">
        <f t="shared" si="14"/>
        <v>0</v>
      </c>
      <c r="BV168" s="94"/>
      <c r="BW168" s="94"/>
      <c r="BX168" s="94"/>
      <c r="BY168" s="37">
        <f t="shared" si="15"/>
        <v>-33550</v>
      </c>
      <c r="BZ168" s="37"/>
      <c r="CA168" s="37"/>
      <c r="CB168" s="37"/>
      <c r="CC168" s="37"/>
      <c r="CD168" s="37"/>
      <c r="CE168" s="37"/>
      <c r="CF168" s="37"/>
      <c r="CG168" s="37" t="str">
        <f t="shared" si="18"/>
        <v xml:space="preserve"> </v>
      </c>
      <c r="CH168" s="37" t="str">
        <f t="shared" si="26"/>
        <v>Business Achieved 50%</v>
      </c>
      <c r="CI168" s="93">
        <f t="shared" si="19"/>
        <v>0.63043478260869568</v>
      </c>
      <c r="CJ168" s="95">
        <f ca="1">IFERROR(__xludf.DUMMYFUNCTION("""COMPUTED_VALUE"""),951)</f>
        <v>951</v>
      </c>
      <c r="CK168" s="95">
        <f ca="1">IFERROR(__xludf.DUMMYFUNCTION("""COMPUTED_VALUE"""),215)</f>
        <v>215</v>
      </c>
      <c r="CL168" s="95">
        <f ca="1">IFERROR(__xludf.DUMMYFUNCTION("""COMPUTED_VALUE"""),0)</f>
        <v>0</v>
      </c>
      <c r="CM168" s="96">
        <f t="shared" ca="1" si="20"/>
        <v>0</v>
      </c>
      <c r="CN168" s="103"/>
      <c r="CO168" s="4"/>
      <c r="CP168" s="100"/>
      <c r="CQ168" s="101"/>
      <c r="CR168" s="4"/>
      <c r="CS168" s="4"/>
      <c r="CT168" s="4"/>
      <c r="CU168" s="4"/>
      <c r="CV168" s="4"/>
      <c r="CW168" s="101"/>
      <c r="CX168" s="51"/>
      <c r="CY168" s="4"/>
      <c r="CZ168" s="4"/>
    </row>
    <row r="169" spans="1:104" ht="15.6">
      <c r="A169" s="1" t="s">
        <v>154</v>
      </c>
      <c r="B169" s="1" t="s">
        <v>367</v>
      </c>
      <c r="C169" s="1" t="s">
        <v>172</v>
      </c>
      <c r="D169" s="1" t="s">
        <v>577</v>
      </c>
      <c r="E169" s="1" t="s">
        <v>636</v>
      </c>
      <c r="F169" s="48">
        <v>45735</v>
      </c>
      <c r="G169" s="76">
        <v>0</v>
      </c>
      <c r="H169" s="76">
        <v>2800000</v>
      </c>
      <c r="I169" s="77">
        <v>19908</v>
      </c>
      <c r="J169" s="77">
        <v>0</v>
      </c>
      <c r="K169" s="4">
        <v>33</v>
      </c>
      <c r="L169" s="4">
        <v>28</v>
      </c>
      <c r="M169" s="4">
        <v>4</v>
      </c>
      <c r="N169" s="4">
        <v>37</v>
      </c>
      <c r="O169" s="4">
        <v>9</v>
      </c>
      <c r="P169" s="77">
        <v>19908</v>
      </c>
      <c r="Q169" s="77">
        <v>0</v>
      </c>
      <c r="R169" s="4">
        <v>1</v>
      </c>
      <c r="S169" s="4">
        <v>0</v>
      </c>
      <c r="T169" s="4">
        <v>1</v>
      </c>
      <c r="U169" s="4">
        <v>0</v>
      </c>
      <c r="V169" s="4">
        <v>148</v>
      </c>
      <c r="W169" s="4">
        <v>358</v>
      </c>
      <c r="X169" s="4">
        <v>105</v>
      </c>
      <c r="Y169" s="4">
        <v>2</v>
      </c>
      <c r="Z169" s="4">
        <v>3</v>
      </c>
      <c r="AA169" s="4">
        <v>0</v>
      </c>
      <c r="AB169" s="4">
        <v>0</v>
      </c>
      <c r="AC169" s="4">
        <v>4</v>
      </c>
      <c r="AD169" s="4">
        <v>7</v>
      </c>
      <c r="AE169" s="4">
        <v>109</v>
      </c>
      <c r="AF169" s="4">
        <v>477</v>
      </c>
      <c r="AG169" s="4">
        <v>83</v>
      </c>
      <c r="AH169" s="76">
        <f t="shared" si="1"/>
        <v>239.85542168674698</v>
      </c>
      <c r="AI169" s="76">
        <f t="shared" si="2"/>
        <v>5.7469879518072293</v>
      </c>
      <c r="AJ169" s="112">
        <v>25165</v>
      </c>
      <c r="AK169" s="76">
        <f t="shared" si="62"/>
        <v>88077.5</v>
      </c>
      <c r="AL169" s="79">
        <v>26514</v>
      </c>
      <c r="AM169" s="80">
        <f t="shared" si="4"/>
        <v>5.7560528430781597</v>
      </c>
      <c r="AN169" s="76">
        <f t="shared" si="5"/>
        <v>19908</v>
      </c>
      <c r="AO169" s="102">
        <f t="shared" si="106"/>
        <v>7.11E-3</v>
      </c>
      <c r="AP169" s="82">
        <v>0</v>
      </c>
      <c r="AQ169" s="4">
        <v>1</v>
      </c>
      <c r="AR169" s="4">
        <v>679</v>
      </c>
      <c r="AS169" s="4">
        <v>0</v>
      </c>
      <c r="AT169" s="4">
        <v>0</v>
      </c>
      <c r="AU169" s="4">
        <v>0</v>
      </c>
      <c r="AV169" s="1">
        <v>1</v>
      </c>
      <c r="AW169" s="1">
        <v>27</v>
      </c>
      <c r="AX169" s="1">
        <v>9</v>
      </c>
      <c r="AY169" s="86" t="str">
        <f>IFERROR(VLOOKUP(C169,#REF!,13,0),"")</f>
        <v/>
      </c>
      <c r="AZ169" s="87">
        <v>45853</v>
      </c>
      <c r="BA169" s="1" t="str">
        <f t="shared" si="6"/>
        <v>LEFT</v>
      </c>
      <c r="BB169" s="1" t="e">
        <f t="shared" ca="1" si="7"/>
        <v>#NAME?</v>
      </c>
      <c r="BC169" s="1" t="e">
        <f t="shared" ca="1" si="107"/>
        <v>#NAME?</v>
      </c>
      <c r="BD169" s="33">
        <v>3.5</v>
      </c>
      <c r="BE169" s="91" t="str">
        <v/>
      </c>
      <c r="BF169" s="1">
        <f t="shared" si="9"/>
        <v>4</v>
      </c>
      <c r="BG169" s="1" t="s">
        <v>428</v>
      </c>
      <c r="BH169" s="89"/>
      <c r="BI169" s="89"/>
      <c r="BJ169" s="109"/>
      <c r="BK169" s="91"/>
      <c r="BL169" s="91">
        <f t="shared" si="47"/>
        <v>0</v>
      </c>
      <c r="BM169" s="91">
        <f t="shared" si="11"/>
        <v>2800000</v>
      </c>
      <c r="BN169" s="91"/>
      <c r="BO169" s="92" t="str">
        <f ca="1">IFERROR(__xludf.DUMMYFUNCTION("IFERROR(ArrayFormula(SUM(VLOOKUP($C169,importrange(""1MwNMVzWE3QBVOyJjKr3eFX-Sq1Ng0Q1sghWJbgbE_8g"",""ORDER BOOKING REPORT 2024-25!C:CV""),{16,23,30},0))))"),"")</f>
        <v/>
      </c>
      <c r="BP169" s="92" t="str">
        <f ca="1">IFERROR(__xludf.DUMMYFUNCTION("IFERROR(ArrayFormula(SUM(VLOOKUP($C169,importrange(""1MwNMVzWE3QBVOyJjKr3eFX-Sq1Ng0Q1sghWJbgbE_8g"",""ORDER BOOKING REPORT 2024-25!C:CV""),{37,44,51},0))))"),"")</f>
        <v/>
      </c>
      <c r="BQ169" s="92" t="str">
        <f ca="1">IFERROR(__xludf.DUMMYFUNCTION("IFERROR(ArrayFormula(SUM(VLOOKUP($C169,importrange(""1MwNMVzWE3QBVOyJjKr3eFX-Sq1Ng0Q1sghWJbgbE_8g"",""ORDER BOOKING REPORT 2024-25!C:CV""),{58,65,72},0))))"),"")</f>
        <v/>
      </c>
      <c r="BR169" s="92" t="str">
        <f ca="1">IFERROR(__xludf.DUMMYFUNCTION("IFERROR(ArrayFormula(SUM(VLOOKUP($C169,importrange(""1MwNMVzWE3QBVOyJjKr3eFX-Sq1Ng0Q1sghWJbgbE_8g"",""ORDER BOOKING REPORT 2024-25!C:CV""),{79,86,93},0))))"),"")</f>
        <v/>
      </c>
      <c r="BS169" s="93" t="str">
        <f t="shared" si="12"/>
        <v/>
      </c>
      <c r="BT169" s="93" t="str">
        <f t="shared" si="13"/>
        <v/>
      </c>
      <c r="BU169" s="37">
        <f t="shared" si="14"/>
        <v>0</v>
      </c>
      <c r="BV169" s="94">
        <v>25165</v>
      </c>
      <c r="BW169" s="94" t="s">
        <v>476</v>
      </c>
      <c r="BX169" s="94">
        <v>1228</v>
      </c>
      <c r="BY169" s="37">
        <f t="shared" si="15"/>
        <v>0</v>
      </c>
      <c r="BZ169" s="37"/>
      <c r="CA169" s="37"/>
      <c r="CB169" s="37"/>
      <c r="CC169" s="37"/>
      <c r="CD169" s="37"/>
      <c r="CE169" s="37"/>
      <c r="CF169" s="37"/>
      <c r="CG169" s="37" t="str">
        <f t="shared" si="18"/>
        <v>Below 60</v>
      </c>
      <c r="CH169" s="37" t="str">
        <f t="shared" si="26"/>
        <v>Not 50%</v>
      </c>
      <c r="CI169" s="93">
        <f t="shared" si="19"/>
        <v>2.7027027027027029E-2</v>
      </c>
      <c r="CJ169" s="95">
        <f ca="1">IFERROR(__xludf.DUMMYFUNCTION("""COMPUTED_VALUE"""),8)</f>
        <v>8</v>
      </c>
      <c r="CK169" s="95">
        <f ca="1">IFERROR(__xludf.DUMMYFUNCTION("""COMPUTED_VALUE"""),101)</f>
        <v>101</v>
      </c>
      <c r="CL169" s="95">
        <f ca="1">IFERROR(__xludf.DUMMYFUNCTION("""COMPUTED_VALUE"""),0)</f>
        <v>0</v>
      </c>
      <c r="CM169" s="96">
        <f t="shared" ca="1" si="20"/>
        <v>0</v>
      </c>
      <c r="CN169" s="103"/>
      <c r="CO169" s="4"/>
      <c r="CP169" s="100"/>
      <c r="CQ169" s="101"/>
      <c r="CR169" s="4"/>
      <c r="CS169" s="4"/>
      <c r="CT169" s="4"/>
      <c r="CU169" s="4"/>
      <c r="CV169" s="4"/>
      <c r="CW169" s="101"/>
      <c r="CX169" s="51"/>
      <c r="CY169" s="4"/>
      <c r="CZ169" s="4"/>
    </row>
    <row r="170" spans="1:104" ht="15.6">
      <c r="A170" s="1" t="s">
        <v>154</v>
      </c>
      <c r="B170" s="1" t="s">
        <v>367</v>
      </c>
      <c r="C170" s="1" t="s">
        <v>288</v>
      </c>
      <c r="D170" s="1" t="s">
        <v>577</v>
      </c>
      <c r="E170" s="1" t="s">
        <v>637</v>
      </c>
      <c r="F170" s="48">
        <v>45735</v>
      </c>
      <c r="G170" s="76">
        <v>0</v>
      </c>
      <c r="H170" s="76">
        <v>4900000</v>
      </c>
      <c r="I170" s="77">
        <v>967341.44</v>
      </c>
      <c r="J170" s="77">
        <v>0</v>
      </c>
      <c r="K170" s="4">
        <v>48</v>
      </c>
      <c r="L170" s="4">
        <v>74</v>
      </c>
      <c r="M170" s="4">
        <v>27</v>
      </c>
      <c r="N170" s="4">
        <v>75</v>
      </c>
      <c r="O170" s="4">
        <v>1</v>
      </c>
      <c r="P170" s="77">
        <v>149111.20000000001</v>
      </c>
      <c r="Q170" s="77">
        <v>818230.24</v>
      </c>
      <c r="R170" s="4">
        <v>4</v>
      </c>
      <c r="S170" s="4">
        <v>27</v>
      </c>
      <c r="T170" s="4">
        <v>31</v>
      </c>
      <c r="U170" s="4">
        <v>0</v>
      </c>
      <c r="V170" s="4">
        <v>197</v>
      </c>
      <c r="W170" s="4">
        <v>612</v>
      </c>
      <c r="X170" s="4">
        <v>4</v>
      </c>
      <c r="Y170" s="4">
        <v>4</v>
      </c>
      <c r="Z170" s="4">
        <v>75</v>
      </c>
      <c r="AA170" s="4">
        <v>0</v>
      </c>
      <c r="AB170" s="4">
        <v>0</v>
      </c>
      <c r="AC170" s="4">
        <v>11</v>
      </c>
      <c r="AD170" s="4">
        <v>70</v>
      </c>
      <c r="AE170" s="4">
        <v>434</v>
      </c>
      <c r="AF170" s="4">
        <v>1191</v>
      </c>
      <c r="AG170" s="4">
        <v>153</v>
      </c>
      <c r="AH170" s="76">
        <f t="shared" si="1"/>
        <v>6322.4930718954247</v>
      </c>
      <c r="AI170" s="76">
        <f t="shared" si="2"/>
        <v>7.784313725490196</v>
      </c>
      <c r="AJ170" s="112">
        <v>25165</v>
      </c>
      <c r="AK170" s="76">
        <f t="shared" si="62"/>
        <v>157484.19354838709</v>
      </c>
      <c r="AL170" s="79">
        <v>80854</v>
      </c>
      <c r="AM170" s="80">
        <f t="shared" si="4"/>
        <v>0.24638476518527636</v>
      </c>
      <c r="AN170" s="76">
        <f t="shared" si="5"/>
        <v>31204.562580645161</v>
      </c>
      <c r="AO170" s="102">
        <f t="shared" si="106"/>
        <v>0.19741662040816324</v>
      </c>
      <c r="AP170" s="82">
        <v>0</v>
      </c>
      <c r="AQ170" s="4">
        <v>58</v>
      </c>
      <c r="AR170" s="4">
        <v>1801</v>
      </c>
      <c r="AS170" s="4">
        <v>0</v>
      </c>
      <c r="AT170" s="4">
        <v>27</v>
      </c>
      <c r="AU170" s="4">
        <v>0</v>
      </c>
      <c r="AV170" s="1">
        <v>31</v>
      </c>
      <c r="AW170" s="1">
        <v>43</v>
      </c>
      <c r="AX170" s="1">
        <v>1</v>
      </c>
      <c r="AY170" s="86" t="str">
        <f>IFERROR(VLOOKUP(C170,#REF!,13,0),"")</f>
        <v/>
      </c>
      <c r="AZ170" s="87">
        <v>45938</v>
      </c>
      <c r="BA170" s="1" t="str">
        <f t="shared" si="6"/>
        <v>LEFT</v>
      </c>
      <c r="BB170" s="1" t="e">
        <f t="shared" ca="1" si="7"/>
        <v>#NAME?</v>
      </c>
      <c r="BC170" s="1" t="e">
        <f t="shared" ca="1" si="107"/>
        <v>#NAME?</v>
      </c>
      <c r="BD170" s="118">
        <f>8/31+6</f>
        <v>6.258064516129032</v>
      </c>
      <c r="BE170" s="88" t="str">
        <v/>
      </c>
      <c r="BF170" s="1">
        <f t="shared" si="9"/>
        <v>0</v>
      </c>
      <c r="BG170" s="1" t="s">
        <v>428</v>
      </c>
      <c r="BH170" s="89"/>
      <c r="BI170" s="89"/>
      <c r="BJ170" s="90"/>
      <c r="BK170" s="91"/>
      <c r="BL170" s="91">
        <f t="shared" si="47"/>
        <v>0</v>
      </c>
      <c r="BM170" s="91">
        <f t="shared" si="11"/>
        <v>4900000</v>
      </c>
      <c r="BN170" s="91"/>
      <c r="BO170" s="92" t="str">
        <f ca="1">IFERROR(__xludf.DUMMYFUNCTION("IFERROR(ArrayFormula(SUM(VLOOKUP($C170,importrange(""1MwNMVzWE3QBVOyJjKr3eFX-Sq1Ng0Q1sghWJbgbE_8g"",""ORDER BOOKING REPORT 2024-25!C:CV""),{16,23,30},0))))"),"")</f>
        <v/>
      </c>
      <c r="BP170" s="92" t="str">
        <f ca="1">IFERROR(__xludf.DUMMYFUNCTION("IFERROR(ArrayFormula(SUM(VLOOKUP($C170,importrange(""1MwNMVzWE3QBVOyJjKr3eFX-Sq1Ng0Q1sghWJbgbE_8g"",""ORDER BOOKING REPORT 2024-25!C:CV""),{37,44,51},0))))"),"")</f>
        <v/>
      </c>
      <c r="BQ170" s="92" t="str">
        <f ca="1">IFERROR(__xludf.DUMMYFUNCTION("IFERROR(ArrayFormula(SUM(VLOOKUP($C170,importrange(""1MwNMVzWE3QBVOyJjKr3eFX-Sq1Ng0Q1sghWJbgbE_8g"",""ORDER BOOKING REPORT 2024-25!C:CV""),{58,65,72},0))))"),"")</f>
        <v/>
      </c>
      <c r="BR170" s="92" t="str">
        <f ca="1">IFERROR(__xludf.DUMMYFUNCTION("IFERROR(ArrayFormula(SUM(VLOOKUP($C170,importrange(""1MwNMVzWE3QBVOyJjKr3eFX-Sq1Ng0Q1sghWJbgbE_8g"",""ORDER BOOKING REPORT 2024-25!C:CV""),{79,86,93},0))))"),"")</f>
        <v/>
      </c>
      <c r="BS170" s="93" t="str">
        <f t="shared" si="12"/>
        <v/>
      </c>
      <c r="BT170" s="93" t="str">
        <f t="shared" si="13"/>
        <v/>
      </c>
      <c r="BU170" s="37">
        <f t="shared" si="14"/>
        <v>0</v>
      </c>
      <c r="BV170" s="94">
        <v>25165</v>
      </c>
      <c r="BW170" s="94" t="s">
        <v>476</v>
      </c>
      <c r="BX170" s="94">
        <v>1229</v>
      </c>
      <c r="BY170" s="37">
        <f t="shared" si="15"/>
        <v>0</v>
      </c>
      <c r="BZ170" s="37"/>
      <c r="CA170" s="37"/>
      <c r="CB170" s="37"/>
      <c r="CC170" s="37"/>
      <c r="CD170" s="37"/>
      <c r="CE170" s="37"/>
      <c r="CF170" s="37"/>
      <c r="CG170" s="37" t="str">
        <f t="shared" si="18"/>
        <v xml:space="preserve"> </v>
      </c>
      <c r="CH170" s="37" t="str">
        <f t="shared" si="26"/>
        <v>Not 50%</v>
      </c>
      <c r="CI170" s="93">
        <f t="shared" si="19"/>
        <v>0.41333333333333333</v>
      </c>
      <c r="CJ170" s="95">
        <f ca="1">IFERROR(__xludf.DUMMYFUNCTION("""COMPUTED_VALUE"""),268)</f>
        <v>268</v>
      </c>
      <c r="CK170" s="95">
        <f ca="1">IFERROR(__xludf.DUMMYFUNCTION("""COMPUTED_VALUE"""),166)</f>
        <v>166</v>
      </c>
      <c r="CL170" s="95">
        <f ca="1">IFERROR(__xludf.DUMMYFUNCTION("""COMPUTED_VALUE"""),0)</f>
        <v>0</v>
      </c>
      <c r="CM170" s="96">
        <f t="shared" ca="1" si="20"/>
        <v>0</v>
      </c>
      <c r="CN170" s="103"/>
      <c r="CO170" s="4"/>
      <c r="CP170" s="100"/>
      <c r="CQ170" s="101"/>
      <c r="CR170" s="4"/>
      <c r="CS170" s="4"/>
      <c r="CT170" s="4"/>
      <c r="CU170" s="4"/>
      <c r="CV170" s="4"/>
      <c r="CW170" s="101"/>
      <c r="CX170" s="51"/>
      <c r="CY170" s="4"/>
      <c r="CZ170" s="4"/>
    </row>
    <row r="171" spans="1:104" ht="15.6">
      <c r="A171" s="114" t="s">
        <v>120</v>
      </c>
      <c r="B171" s="114" t="s">
        <v>356</v>
      </c>
      <c r="C171" s="114" t="s">
        <v>285</v>
      </c>
      <c r="D171" s="1" t="s">
        <v>356</v>
      </c>
      <c r="E171" s="1" t="s">
        <v>291</v>
      </c>
      <c r="F171" s="48">
        <v>45736</v>
      </c>
      <c r="G171" s="76">
        <v>600000</v>
      </c>
      <c r="H171" s="76">
        <v>14400000</v>
      </c>
      <c r="I171" s="77">
        <v>4368641.58</v>
      </c>
      <c r="J171" s="77">
        <v>708570.13</v>
      </c>
      <c r="K171" s="4">
        <v>28</v>
      </c>
      <c r="L171" s="4">
        <v>43</v>
      </c>
      <c r="M171" s="4">
        <v>16</v>
      </c>
      <c r="N171" s="4">
        <v>44</v>
      </c>
      <c r="O171" s="4">
        <v>1</v>
      </c>
      <c r="P171" s="77">
        <v>823955.15</v>
      </c>
      <c r="Q171" s="77">
        <v>3544686.43</v>
      </c>
      <c r="R171" s="4">
        <v>6</v>
      </c>
      <c r="S171" s="4">
        <v>16</v>
      </c>
      <c r="T171" s="4">
        <v>22</v>
      </c>
      <c r="U171" s="4">
        <v>3</v>
      </c>
      <c r="V171" s="4">
        <v>316</v>
      </c>
      <c r="W171" s="4">
        <v>1031</v>
      </c>
      <c r="X171" s="4">
        <v>6</v>
      </c>
      <c r="Y171" s="4">
        <v>4</v>
      </c>
      <c r="Z171" s="4">
        <v>35</v>
      </c>
      <c r="AA171" s="4">
        <v>5</v>
      </c>
      <c r="AB171" s="4">
        <v>60</v>
      </c>
      <c r="AC171" s="4">
        <v>4</v>
      </c>
      <c r="AD171" s="4">
        <v>22</v>
      </c>
      <c r="AE171" s="4">
        <v>556</v>
      </c>
      <c r="AF171" s="4">
        <v>1704</v>
      </c>
      <c r="AG171" s="4">
        <v>284</v>
      </c>
      <c r="AH171" s="76">
        <f t="shared" si="1"/>
        <v>17877.506021126759</v>
      </c>
      <c r="AI171" s="76">
        <f t="shared" si="2"/>
        <v>6</v>
      </c>
      <c r="AJ171" s="78">
        <f>BV171</f>
        <v>27260</v>
      </c>
      <c r="AK171" s="76">
        <f t="shared" si="62"/>
        <v>327120</v>
      </c>
      <c r="AL171" s="49">
        <v>101232</v>
      </c>
      <c r="AM171" s="80">
        <f t="shared" si="4"/>
        <v>8.4367567173991256E-2</v>
      </c>
      <c r="AN171" s="76">
        <f t="shared" si="5"/>
        <v>198574.61727272728</v>
      </c>
      <c r="AO171" s="102">
        <f t="shared" si="106"/>
        <v>0.33848078066666665</v>
      </c>
      <c r="AP171" s="82">
        <v>1.18</v>
      </c>
      <c r="AQ171" s="4">
        <v>110</v>
      </c>
      <c r="AR171" s="4">
        <v>2496</v>
      </c>
      <c r="AS171" s="4">
        <v>1343.04</v>
      </c>
      <c r="AT171" s="4">
        <v>16</v>
      </c>
      <c r="AU171" s="4">
        <v>31</v>
      </c>
      <c r="AV171" s="1">
        <v>22</v>
      </c>
      <c r="AW171" s="1">
        <v>21</v>
      </c>
      <c r="AX171" s="1">
        <v>1</v>
      </c>
      <c r="AY171" s="86" t="str">
        <f>IFERROR(VLOOKUP(C171,#REF!,13,0),"")</f>
        <v/>
      </c>
      <c r="AZ171" s="87"/>
      <c r="BA171" s="1" t="str">
        <f t="shared" si="6"/>
        <v>Active</v>
      </c>
      <c r="BB171" s="1" t="e">
        <f t="shared" ca="1" si="7"/>
        <v>#NAME?</v>
      </c>
      <c r="BC171" s="1" t="e">
        <f t="shared" ca="1" si="107"/>
        <v>#NAME?</v>
      </c>
      <c r="BD171" s="33">
        <f t="array" ref="BD171">MATCH($BD$2,{"Apr","May","Jun","Jul","Aug","Sep","Oct","Nov","Dec","Jan","Feb","Mar"},0)</f>
        <v>12</v>
      </c>
      <c r="BE171" s="88" t="str">
        <v/>
      </c>
      <c r="BF171" s="1">
        <f t="shared" si="9"/>
        <v>0</v>
      </c>
      <c r="BG171" s="1" t="s">
        <v>428</v>
      </c>
      <c r="BH171" s="89">
        <f ca="1">IFERROR(__xludf.DUMMYFUNCTION("""COMPUTED_VALUE"""),0)</f>
        <v>0</v>
      </c>
      <c r="BI171" s="89">
        <f ca="1">IFERROR(__xludf.DUMMYFUNCTION("""COMPUTED_VALUE"""),0)</f>
        <v>0</v>
      </c>
      <c r="BJ171" s="90"/>
      <c r="BK171" s="91">
        <v>50000</v>
      </c>
      <c r="BL171" s="91">
        <f t="shared" si="47"/>
        <v>600000</v>
      </c>
      <c r="BM171" s="91">
        <f t="shared" si="11"/>
        <v>15000000</v>
      </c>
      <c r="BN171" s="91"/>
      <c r="BO171" s="92">
        <f ca="1">IFERROR(__xludf.DUMMYFUNCTION("IFERROR(ArrayFormula(SUM(VLOOKUP($C171,importrange(""1MwNMVzWE3QBVOyJjKr3eFX-Sq1Ng0Q1sghWJbgbE_8g"",""ORDER BOOKING REPORT 2024-25!C:CV""),{16,23,30},0))))"),0)</f>
        <v>0</v>
      </c>
      <c r="BP171" s="92">
        <f ca="1">IFERROR(__xludf.DUMMYFUNCTION("IFERROR(ArrayFormula(SUM(VLOOKUP($C171,importrange(""1MwNMVzWE3QBVOyJjKr3eFX-Sq1Ng0Q1sghWJbgbE_8g"",""ORDER BOOKING REPORT 2024-25!C:CV""),{37,44,51},0))))"),0)</f>
        <v>0</v>
      </c>
      <c r="BQ171" s="92">
        <f ca="1">IFERROR(__xludf.DUMMYFUNCTION("IFERROR(ArrayFormula(SUM(VLOOKUP($C171,importrange(""1MwNMVzWE3QBVOyJjKr3eFX-Sq1Ng0Q1sghWJbgbE_8g"",""ORDER BOOKING REPORT 2024-25!C:CV""),{58,65,72},0))))"),0)</f>
        <v>0</v>
      </c>
      <c r="BR171" s="92">
        <f ca="1">IFERROR(__xludf.DUMMYFUNCTION("IFERROR(ArrayFormula(SUM(VLOOKUP($C171,importrange(""1MwNMVzWE3QBVOyJjKr3eFX-Sq1Ng0Q1sghWJbgbE_8g"",""ORDER BOOKING REPORT 2024-25!C:CV""),{79,86,93},0))))"),0)</f>
        <v>0</v>
      </c>
      <c r="BS171" s="93" t="str">
        <f t="shared" si="12"/>
        <v/>
      </c>
      <c r="BT171" s="93" t="str">
        <f t="shared" si="13"/>
        <v/>
      </c>
      <c r="BU171" s="37">
        <f t="shared" si="14"/>
        <v>0</v>
      </c>
      <c r="BV171" s="94">
        <v>27260</v>
      </c>
      <c r="BW171" s="94" t="s">
        <v>476</v>
      </c>
      <c r="BX171" s="94">
        <v>1231</v>
      </c>
      <c r="BY171" s="37">
        <f t="shared" si="15"/>
        <v>0</v>
      </c>
      <c r="BZ171" s="37"/>
      <c r="CA171" s="37"/>
      <c r="CB171" s="37"/>
      <c r="CC171" s="37"/>
      <c r="CD171" s="37"/>
      <c r="CE171" s="37"/>
      <c r="CF171" s="37"/>
      <c r="CG171" s="37" t="str">
        <f t="shared" si="18"/>
        <v>Below 60</v>
      </c>
      <c r="CH171" s="37" t="str">
        <f t="shared" si="26"/>
        <v>Business Achieved 50%</v>
      </c>
      <c r="CI171" s="93">
        <f t="shared" si="19"/>
        <v>0.5</v>
      </c>
      <c r="CJ171" s="105">
        <f ca="1">IFERROR(__xludf.DUMMYFUNCTION("""COMPUTED_VALUE"""),471)</f>
        <v>471</v>
      </c>
      <c r="CK171" s="105">
        <f ca="1">IFERROR(__xludf.DUMMYFUNCTION("""COMPUTED_VALUE"""),85)</f>
        <v>85</v>
      </c>
      <c r="CL171" s="105">
        <f ca="1">IFERROR(__xludf.DUMMYFUNCTION("""COMPUTED_VALUE"""),0)</f>
        <v>0</v>
      </c>
      <c r="CM171" s="96">
        <f t="shared" ca="1" si="20"/>
        <v>0</v>
      </c>
      <c r="CN171" s="106"/>
      <c r="CO171" s="93"/>
      <c r="CP171" s="107"/>
      <c r="CQ171" s="110"/>
      <c r="CR171" s="93"/>
      <c r="CS171" s="93"/>
      <c r="CT171" s="93"/>
      <c r="CU171" s="93"/>
      <c r="CV171" s="93"/>
      <c r="CW171" s="93"/>
      <c r="CX171" s="51"/>
      <c r="CY171" s="93"/>
      <c r="CZ171" s="93"/>
    </row>
    <row r="172" spans="1:104" ht="15.6">
      <c r="A172" s="1" t="s">
        <v>154</v>
      </c>
      <c r="B172" s="1" t="s">
        <v>367</v>
      </c>
      <c r="C172" s="1" t="s">
        <v>289</v>
      </c>
      <c r="D172" s="1" t="s">
        <v>638</v>
      </c>
      <c r="E172" s="1" t="s">
        <v>578</v>
      </c>
      <c r="F172" s="48">
        <v>45736</v>
      </c>
      <c r="G172" s="76">
        <v>0</v>
      </c>
      <c r="H172" s="76">
        <v>0</v>
      </c>
      <c r="I172" s="77">
        <v>0</v>
      </c>
      <c r="J172" s="77">
        <v>0</v>
      </c>
      <c r="K172" s="4">
        <v>29</v>
      </c>
      <c r="L172" s="4">
        <v>45</v>
      </c>
      <c r="M172" s="4">
        <v>16</v>
      </c>
      <c r="N172" s="4">
        <v>45</v>
      </c>
      <c r="O172" s="4">
        <v>0</v>
      </c>
      <c r="P172" s="77">
        <v>0</v>
      </c>
      <c r="Q172" s="77">
        <v>0</v>
      </c>
      <c r="R172" s="4">
        <v>0</v>
      </c>
      <c r="S172" s="4">
        <v>0</v>
      </c>
      <c r="T172" s="4">
        <v>0</v>
      </c>
      <c r="U172" s="4">
        <v>0</v>
      </c>
      <c r="V172" s="4">
        <v>119</v>
      </c>
      <c r="W172" s="4">
        <v>321</v>
      </c>
      <c r="X172" s="4">
        <v>1</v>
      </c>
      <c r="Y172" s="4">
        <v>5</v>
      </c>
      <c r="Z172" s="4">
        <v>36</v>
      </c>
      <c r="AA172" s="4">
        <v>0</v>
      </c>
      <c r="AB172" s="4">
        <v>0</v>
      </c>
      <c r="AC172" s="4">
        <v>19</v>
      </c>
      <c r="AD172" s="4">
        <v>57</v>
      </c>
      <c r="AE172" s="4">
        <v>117</v>
      </c>
      <c r="AF172" s="4">
        <v>531</v>
      </c>
      <c r="AG172" s="4">
        <v>132</v>
      </c>
      <c r="AH172" s="76">
        <f t="shared" si="1"/>
        <v>0</v>
      </c>
      <c r="AI172" s="76">
        <f t="shared" si="2"/>
        <v>4.0227272727272725</v>
      </c>
      <c r="AJ172" s="112">
        <v>37740</v>
      </c>
      <c r="AK172" s="76">
        <f t="shared" si="62"/>
        <v>212601.99999999997</v>
      </c>
      <c r="AL172" s="79">
        <v>89487</v>
      </c>
      <c r="AM172" s="80" t="str">
        <f t="shared" si="4"/>
        <v/>
      </c>
      <c r="AN172" s="76" t="str">
        <f t="shared" si="5"/>
        <v/>
      </c>
      <c r="AO172" s="49" t="s">
        <v>161</v>
      </c>
      <c r="AP172" s="82">
        <v>0</v>
      </c>
      <c r="AQ172" s="4">
        <v>0</v>
      </c>
      <c r="AR172" s="4">
        <v>1326</v>
      </c>
      <c r="AS172" s="4">
        <v>0</v>
      </c>
      <c r="AT172" s="4">
        <v>0</v>
      </c>
      <c r="AU172" s="4">
        <v>0</v>
      </c>
      <c r="AV172" s="1">
        <v>0</v>
      </c>
      <c r="AW172" s="1">
        <v>45</v>
      </c>
      <c r="AX172" s="1">
        <v>0</v>
      </c>
      <c r="AY172" s="86" t="str">
        <f>IFERROR(VLOOKUP(C172,#REF!,13,0),"")</f>
        <v/>
      </c>
      <c r="AZ172" s="87">
        <v>45919</v>
      </c>
      <c r="BA172" s="1" t="str">
        <f t="shared" si="6"/>
        <v>LEFT</v>
      </c>
      <c r="BB172" s="1" t="e">
        <f t="shared" ca="1" si="7"/>
        <v>#NAME?</v>
      </c>
      <c r="BC172" s="4" t="s">
        <v>161</v>
      </c>
      <c r="BD172" s="118">
        <f>19/30+5</f>
        <v>5.6333333333333329</v>
      </c>
      <c r="BE172" s="88" t="str">
        <v/>
      </c>
      <c r="BF172" s="1">
        <f t="shared" si="9"/>
        <v>16</v>
      </c>
      <c r="BG172" s="37" t="s">
        <v>423</v>
      </c>
      <c r="BH172" s="89"/>
      <c r="BI172" s="89"/>
      <c r="BJ172" s="90"/>
      <c r="BK172" s="91"/>
      <c r="BL172" s="91">
        <f t="shared" si="47"/>
        <v>0</v>
      </c>
      <c r="BM172" s="91">
        <f t="shared" si="11"/>
        <v>0</v>
      </c>
      <c r="BN172" s="91"/>
      <c r="BO172" s="92" t="str">
        <f ca="1">IFERROR(__xludf.DUMMYFUNCTION("IFERROR(ArrayFormula(SUM(VLOOKUP($C172,importrange(""1MwNMVzWE3QBVOyJjKr3eFX-Sq1Ng0Q1sghWJbgbE_8g"",""ORDER BOOKING REPORT 2024-25!C:CV""),{16,23,30},0))))"),"")</f>
        <v/>
      </c>
      <c r="BP172" s="92" t="str">
        <f ca="1">IFERROR(__xludf.DUMMYFUNCTION("IFERROR(ArrayFormula(SUM(VLOOKUP($C172,importrange(""1MwNMVzWE3QBVOyJjKr3eFX-Sq1Ng0Q1sghWJbgbE_8g"",""ORDER BOOKING REPORT 2024-25!C:CV""),{37,44,51},0))))"),"")</f>
        <v/>
      </c>
      <c r="BQ172" s="92" t="str">
        <f ca="1">IFERROR(__xludf.DUMMYFUNCTION("IFERROR(ArrayFormula(SUM(VLOOKUP($C172,importrange(""1MwNMVzWE3QBVOyJjKr3eFX-Sq1Ng0Q1sghWJbgbE_8g"",""ORDER BOOKING REPORT 2024-25!C:CV""),{58,65,72},0))))"),"")</f>
        <v/>
      </c>
      <c r="BR172" s="92" t="str">
        <f ca="1">IFERROR(__xludf.DUMMYFUNCTION("IFERROR(ArrayFormula(SUM(VLOOKUP($C172,importrange(""1MwNMVzWE3QBVOyJjKr3eFX-Sq1Ng0Q1sghWJbgbE_8g"",""ORDER BOOKING REPORT 2024-25!C:CV""),{79,86,93},0))))"),"")</f>
        <v/>
      </c>
      <c r="BS172" s="93" t="str">
        <f t="shared" si="12"/>
        <v/>
      </c>
      <c r="BT172" s="93" t="str">
        <f t="shared" si="13"/>
        <v/>
      </c>
      <c r="BU172" s="37">
        <f t="shared" si="14"/>
        <v>0</v>
      </c>
      <c r="BV172" s="94">
        <v>37740</v>
      </c>
      <c r="BW172" s="94" t="s">
        <v>429</v>
      </c>
      <c r="BX172" s="94">
        <v>1230</v>
      </c>
      <c r="BY172" s="37">
        <f t="shared" si="15"/>
        <v>0</v>
      </c>
      <c r="BZ172" s="37"/>
      <c r="CA172" s="37"/>
      <c r="CB172" s="37"/>
      <c r="CC172" s="37"/>
      <c r="CD172" s="37"/>
      <c r="CE172" s="37"/>
      <c r="CF172" s="37"/>
      <c r="CG172" s="37" t="str">
        <f t="shared" si="18"/>
        <v>Below 60</v>
      </c>
      <c r="CH172" s="37" t="str">
        <f t="shared" si="26"/>
        <v>Not 50%</v>
      </c>
      <c r="CI172" s="93">
        <f t="shared" si="19"/>
        <v>0</v>
      </c>
      <c r="CJ172" s="95"/>
      <c r="CK172" s="95"/>
      <c r="CL172" s="95"/>
      <c r="CM172" s="96">
        <f t="shared" si="20"/>
        <v>117</v>
      </c>
      <c r="CN172" s="103"/>
      <c r="CO172" s="4"/>
      <c r="CP172" s="100"/>
      <c r="CQ172" s="101"/>
      <c r="CR172" s="4"/>
      <c r="CS172" s="4"/>
      <c r="CT172" s="4"/>
      <c r="CU172" s="4"/>
      <c r="CV172" s="4"/>
      <c r="CW172" s="101"/>
      <c r="CX172" s="51"/>
      <c r="CY172" s="4"/>
      <c r="CZ172" s="4"/>
    </row>
    <row r="173" spans="1:104" ht="15.6">
      <c r="A173" s="1" t="s">
        <v>108</v>
      </c>
      <c r="B173" s="1" t="s">
        <v>465</v>
      </c>
      <c r="C173" s="1" t="s">
        <v>290</v>
      </c>
      <c r="D173" s="1" t="s">
        <v>506</v>
      </c>
      <c r="E173" s="1" t="s">
        <v>639</v>
      </c>
      <c r="F173" s="104">
        <v>45751</v>
      </c>
      <c r="G173" s="76">
        <v>0</v>
      </c>
      <c r="H173" s="76">
        <v>8397900</v>
      </c>
      <c r="I173" s="77">
        <v>2797611.01</v>
      </c>
      <c r="J173" s="77">
        <v>0</v>
      </c>
      <c r="K173" s="4">
        <v>203</v>
      </c>
      <c r="L173" s="4">
        <v>99</v>
      </c>
      <c r="M173" s="4">
        <v>28</v>
      </c>
      <c r="N173" s="4">
        <v>231</v>
      </c>
      <c r="O173" s="4">
        <v>132</v>
      </c>
      <c r="P173" s="77">
        <v>1759309.11</v>
      </c>
      <c r="Q173" s="77">
        <v>1038301.9</v>
      </c>
      <c r="R173" s="4">
        <v>29</v>
      </c>
      <c r="S173" s="4">
        <v>27</v>
      </c>
      <c r="T173" s="4">
        <v>56</v>
      </c>
      <c r="U173" s="4">
        <v>0</v>
      </c>
      <c r="V173" s="4">
        <v>72</v>
      </c>
      <c r="W173" s="4">
        <v>175</v>
      </c>
      <c r="X173" s="4">
        <v>0</v>
      </c>
      <c r="Y173" s="4">
        <v>2</v>
      </c>
      <c r="Z173" s="4">
        <v>68</v>
      </c>
      <c r="AA173" s="4">
        <v>0</v>
      </c>
      <c r="AB173" s="4">
        <v>0</v>
      </c>
      <c r="AC173" s="4">
        <v>0</v>
      </c>
      <c r="AD173" s="4">
        <v>0</v>
      </c>
      <c r="AE173" s="4">
        <v>490</v>
      </c>
      <c r="AF173" s="4">
        <v>733</v>
      </c>
      <c r="AG173" s="4">
        <v>95</v>
      </c>
      <c r="AH173" s="76">
        <f t="shared" si="1"/>
        <v>29448.536947368419</v>
      </c>
      <c r="AI173" s="76">
        <f t="shared" si="2"/>
        <v>7.7157894736842101</v>
      </c>
      <c r="AJ173" s="78">
        <f>BV173</f>
        <v>37760</v>
      </c>
      <c r="AK173" s="76">
        <f t="shared" si="62"/>
        <v>165388.79999999999</v>
      </c>
      <c r="AL173" s="49">
        <v>56084</v>
      </c>
      <c r="AM173" s="80">
        <f t="shared" si="4"/>
        <v>7.9164972974566608E-2</v>
      </c>
      <c r="AN173" s="76">
        <f t="shared" si="5"/>
        <v>49957.339464285709</v>
      </c>
      <c r="AO173" s="102">
        <f>IFERROR(SUM(I173:J173)/SUM(G173:H173),"")</f>
        <v>0.33313221281510852</v>
      </c>
      <c r="AP173" s="82">
        <v>0</v>
      </c>
      <c r="AQ173" s="4">
        <v>151</v>
      </c>
      <c r="AR173" s="4">
        <v>938</v>
      </c>
      <c r="AS173" s="4">
        <v>0</v>
      </c>
      <c r="AT173" s="4">
        <v>27</v>
      </c>
      <c r="AU173" s="4">
        <v>0</v>
      </c>
      <c r="AV173" s="1">
        <v>56</v>
      </c>
      <c r="AW173" s="1">
        <v>45</v>
      </c>
      <c r="AX173" s="1">
        <v>130</v>
      </c>
      <c r="AY173" s="86" t="str">
        <f>IFERROR(VLOOKUP(C173,#REF!,13,0),"")</f>
        <v/>
      </c>
      <c r="AZ173" s="87">
        <v>45881</v>
      </c>
      <c r="BA173" s="1" t="str">
        <f t="shared" si="6"/>
        <v>LEFT</v>
      </c>
      <c r="BB173" s="1" t="e">
        <f t="shared" ca="1" si="7"/>
        <v>#NAME?</v>
      </c>
      <c r="BC173" s="1" t="e">
        <f ca="1">_xludf.ifs(AO173&lt;50%,"Below 50%",AO173&lt;70%,"50%-70%",AO173&lt;90%,"70%-90%",AO173&lt;100%,"90%-100%",AO173&gt;100%,"Above 100%")</f>
        <v>#NAME?</v>
      </c>
      <c r="BD173" s="33">
        <v>4.38</v>
      </c>
      <c r="BE173" s="91" t="str">
        <v/>
      </c>
      <c r="BF173" s="1">
        <f t="shared" si="9"/>
        <v>1</v>
      </c>
      <c r="BG173" s="1" t="s">
        <v>428</v>
      </c>
      <c r="BH173" s="89"/>
      <c r="BI173" s="89"/>
      <c r="BJ173" s="109"/>
      <c r="BK173" s="91"/>
      <c r="BL173" s="91">
        <f t="shared" si="47"/>
        <v>0</v>
      </c>
      <c r="BM173" s="91">
        <f t="shared" si="11"/>
        <v>8397900</v>
      </c>
      <c r="BN173" s="91"/>
      <c r="BO173" s="92" t="str">
        <f ca="1">IFERROR(__xludf.DUMMYFUNCTION("IFERROR(ArrayFormula(SUM(VLOOKUP($C173,importrange(""1MwNMVzWE3QBVOyJjKr3eFX-Sq1Ng0Q1sghWJbgbE_8g"",""ORDER BOOKING REPORT 2024-25!C:CV""),{16,23,30},0))))"),"")</f>
        <v/>
      </c>
      <c r="BP173" s="92" t="str">
        <f ca="1">IFERROR(__xludf.DUMMYFUNCTION("IFERROR(ArrayFormula(SUM(VLOOKUP($C173,importrange(""1MwNMVzWE3QBVOyJjKr3eFX-Sq1Ng0Q1sghWJbgbE_8g"",""ORDER BOOKING REPORT 2024-25!C:CV""),{37,44,51},0))))"),"")</f>
        <v/>
      </c>
      <c r="BQ173" s="92" t="str">
        <f ca="1">IFERROR(__xludf.DUMMYFUNCTION("IFERROR(ArrayFormula(SUM(VLOOKUP($C173,importrange(""1MwNMVzWE3QBVOyJjKr3eFX-Sq1Ng0Q1sghWJbgbE_8g"",""ORDER BOOKING REPORT 2024-25!C:CV""),{58,65,72},0))))"),"")</f>
        <v/>
      </c>
      <c r="BR173" s="92" t="str">
        <f ca="1">IFERROR(__xludf.DUMMYFUNCTION("IFERROR(ArrayFormula(SUM(VLOOKUP($C173,importrange(""1MwNMVzWE3QBVOyJjKr3eFX-Sq1Ng0Q1sghWJbgbE_8g"",""ORDER BOOKING REPORT 2024-25!C:CV""),{79,86,93},0))))"),"")</f>
        <v/>
      </c>
      <c r="BS173" s="93" t="str">
        <f t="shared" si="12"/>
        <v/>
      </c>
      <c r="BT173" s="93" t="str">
        <f t="shared" si="13"/>
        <v/>
      </c>
      <c r="BU173" s="37">
        <f t="shared" si="14"/>
        <v>0</v>
      </c>
      <c r="BV173" s="94">
        <v>37760</v>
      </c>
      <c r="BW173" s="94" t="s">
        <v>476</v>
      </c>
      <c r="BX173" s="94">
        <v>1237</v>
      </c>
      <c r="BY173" s="37">
        <f t="shared" si="15"/>
        <v>0</v>
      </c>
      <c r="BZ173" s="37"/>
      <c r="CA173" s="37" t="e">
        <f>BE173*BD173</f>
        <v>#VALUE!</v>
      </c>
      <c r="CB173" s="37"/>
      <c r="CC173" s="37" t="e">
        <f>CA173-H173</f>
        <v>#VALUE!</v>
      </c>
      <c r="CD173" s="37"/>
      <c r="CE173" s="37"/>
      <c r="CF173" s="37"/>
      <c r="CG173" s="37" t="str">
        <f t="shared" si="18"/>
        <v xml:space="preserve"> </v>
      </c>
      <c r="CH173" s="37" t="str">
        <f t="shared" si="26"/>
        <v>Not 50%</v>
      </c>
      <c r="CI173" s="93">
        <f t="shared" si="19"/>
        <v>0.24242424242424243</v>
      </c>
      <c r="CJ173" s="105">
        <f ca="1">IFERROR(__xludf.DUMMYFUNCTION("""COMPUTED_VALUE"""),368)</f>
        <v>368</v>
      </c>
      <c r="CK173" s="105">
        <f ca="1">IFERROR(__xludf.DUMMYFUNCTION("""COMPUTED_VALUE"""),122)</f>
        <v>122</v>
      </c>
      <c r="CL173" s="105">
        <f ca="1">IFERROR(__xludf.DUMMYFUNCTION("""COMPUTED_VALUE"""),0)</f>
        <v>0</v>
      </c>
      <c r="CM173" s="96">
        <f t="shared" ca="1" si="20"/>
        <v>0</v>
      </c>
      <c r="CN173" s="106"/>
      <c r="CO173" s="93"/>
      <c r="CP173" s="107"/>
      <c r="CQ173" s="110"/>
      <c r="CR173" s="93"/>
      <c r="CS173" s="93"/>
      <c r="CT173" s="93"/>
      <c r="CU173" s="93"/>
      <c r="CV173" s="93"/>
      <c r="CW173" s="93"/>
      <c r="CX173" s="51"/>
      <c r="CY173" s="93"/>
      <c r="CZ173" s="93"/>
    </row>
    <row r="174" spans="1:104" ht="15.6">
      <c r="A174" s="1" t="s">
        <v>154</v>
      </c>
      <c r="B174" s="1" t="s">
        <v>367</v>
      </c>
      <c r="C174" s="1" t="s">
        <v>292</v>
      </c>
      <c r="D174" s="1" t="s">
        <v>577</v>
      </c>
      <c r="E174" s="1" t="s">
        <v>377</v>
      </c>
      <c r="F174" s="48">
        <v>45761</v>
      </c>
      <c r="G174" s="76">
        <v>0</v>
      </c>
      <c r="H174" s="76">
        <v>0</v>
      </c>
      <c r="I174" s="77">
        <v>0</v>
      </c>
      <c r="J174" s="77">
        <v>0</v>
      </c>
      <c r="K174" s="4">
        <v>7</v>
      </c>
      <c r="L174" s="4">
        <v>10</v>
      </c>
      <c r="M174" s="4">
        <v>3</v>
      </c>
      <c r="N174" s="4">
        <v>10</v>
      </c>
      <c r="O174" s="4">
        <v>0</v>
      </c>
      <c r="P174" s="77">
        <v>0</v>
      </c>
      <c r="Q174" s="77">
        <v>0</v>
      </c>
      <c r="R174" s="4">
        <v>0</v>
      </c>
      <c r="S174" s="4">
        <v>0</v>
      </c>
      <c r="T174" s="4">
        <v>0</v>
      </c>
      <c r="U174" s="4">
        <v>0</v>
      </c>
      <c r="V174" s="4">
        <v>7</v>
      </c>
      <c r="W174" s="4">
        <v>9</v>
      </c>
      <c r="X174" s="4">
        <v>0</v>
      </c>
      <c r="Y174" s="4">
        <v>2</v>
      </c>
      <c r="Z174" s="4">
        <v>3</v>
      </c>
      <c r="AA174" s="4">
        <v>0</v>
      </c>
      <c r="AB174" s="4">
        <v>0</v>
      </c>
      <c r="AC174" s="4">
        <v>4</v>
      </c>
      <c r="AD174" s="4">
        <v>6</v>
      </c>
      <c r="AE174" s="4">
        <v>11</v>
      </c>
      <c r="AF174" s="4">
        <v>29</v>
      </c>
      <c r="AG174" s="4">
        <v>9</v>
      </c>
      <c r="AH174" s="76">
        <f t="shared" si="1"/>
        <v>0</v>
      </c>
      <c r="AI174" s="76">
        <f t="shared" si="2"/>
        <v>3.2222222222222223</v>
      </c>
      <c r="AJ174" s="112">
        <v>65000</v>
      </c>
      <c r="AK174" s="76">
        <f t="shared" si="62"/>
        <v>21450</v>
      </c>
      <c r="AL174" s="49">
        <v>2872</v>
      </c>
      <c r="AM174" s="80" t="str">
        <f t="shared" si="4"/>
        <v/>
      </c>
      <c r="AN174" s="76" t="str">
        <f t="shared" si="5"/>
        <v/>
      </c>
      <c r="AO174" s="49" t="s">
        <v>161</v>
      </c>
      <c r="AP174" s="82">
        <v>0</v>
      </c>
      <c r="AQ174" s="4">
        <v>0</v>
      </c>
      <c r="AR174" s="4">
        <v>89</v>
      </c>
      <c r="AS174" s="4">
        <v>0</v>
      </c>
      <c r="AT174" s="4">
        <v>0</v>
      </c>
      <c r="AU174" s="4">
        <v>0</v>
      </c>
      <c r="AV174" s="1">
        <v>0</v>
      </c>
      <c r="AW174" s="1">
        <v>10</v>
      </c>
      <c r="AX174" s="1">
        <v>0</v>
      </c>
      <c r="AY174" s="86" t="str">
        <f>IFERROR(VLOOKUP(C174,#REF!,13,0),"")</f>
        <v/>
      </c>
      <c r="AZ174" s="111">
        <v>45771</v>
      </c>
      <c r="BA174" s="1" t="str">
        <f t="shared" si="6"/>
        <v>LEFT</v>
      </c>
      <c r="BB174" s="1" t="e">
        <f t="shared" ca="1" si="7"/>
        <v>#NAME?</v>
      </c>
      <c r="BC174" s="4" t="s">
        <v>161</v>
      </c>
      <c r="BD174" s="33">
        <v>0.33</v>
      </c>
      <c r="BE174" s="88" t="str">
        <v/>
      </c>
      <c r="BF174" s="1">
        <f t="shared" si="9"/>
        <v>3</v>
      </c>
      <c r="BG174" s="37" t="s">
        <v>423</v>
      </c>
      <c r="BH174" s="89"/>
      <c r="BI174" s="89"/>
      <c r="BJ174" s="109">
        <f>10/30</f>
        <v>0.33333333333333331</v>
      </c>
      <c r="BK174" s="113"/>
      <c r="BL174" s="91">
        <f t="shared" si="47"/>
        <v>0</v>
      </c>
      <c r="BM174" s="91">
        <f t="shared" si="11"/>
        <v>0</v>
      </c>
      <c r="BN174" s="91"/>
      <c r="BO174" s="92" t="str">
        <f ca="1">IFERROR(__xludf.DUMMYFUNCTION("IFERROR(ArrayFormula(SUM(VLOOKUP($C174,importrange(""1MwNMVzWE3QBVOyJjKr3eFX-Sq1Ng0Q1sghWJbgbE_8g"",""ORDER BOOKING REPORT 2024-25!C:CV""),{16,23,30},0))))"),"")</f>
        <v/>
      </c>
      <c r="BP174" s="92" t="str">
        <f ca="1">IFERROR(__xludf.DUMMYFUNCTION("IFERROR(ArrayFormula(SUM(VLOOKUP($C174,importrange(""1MwNMVzWE3QBVOyJjKr3eFX-Sq1Ng0Q1sghWJbgbE_8g"",""ORDER BOOKING REPORT 2024-25!C:CV""),{37,44,51},0))))"),"")</f>
        <v/>
      </c>
      <c r="BQ174" s="92" t="str">
        <f ca="1">IFERROR(__xludf.DUMMYFUNCTION("IFERROR(ArrayFormula(SUM(VLOOKUP($C174,importrange(""1MwNMVzWE3QBVOyJjKr3eFX-Sq1Ng0Q1sghWJbgbE_8g"",""ORDER BOOKING REPORT 2024-25!C:CV""),{58,65,72},0))))"),"")</f>
        <v/>
      </c>
      <c r="BR174" s="92" t="str">
        <f ca="1">IFERROR(__xludf.DUMMYFUNCTION("IFERROR(ArrayFormula(SUM(VLOOKUP($C174,importrange(""1MwNMVzWE3QBVOyJjKr3eFX-Sq1Ng0Q1sghWJbgbE_8g"",""ORDER BOOKING REPORT 2024-25!C:CV""),{79,86,93},0))))"),"")</f>
        <v/>
      </c>
      <c r="BS174" s="93" t="str">
        <f t="shared" si="12"/>
        <v/>
      </c>
      <c r="BT174" s="93" t="str">
        <f t="shared" si="13"/>
        <v/>
      </c>
      <c r="BU174" s="37">
        <f t="shared" si="14"/>
        <v>0</v>
      </c>
      <c r="BV174" s="94"/>
      <c r="BW174" s="94"/>
      <c r="BX174" s="94"/>
      <c r="BY174" s="37">
        <f t="shared" si="15"/>
        <v>-65000</v>
      </c>
      <c r="BZ174" s="37"/>
      <c r="CA174" s="37"/>
      <c r="CB174" s="37"/>
      <c r="CC174" s="37"/>
      <c r="CD174" s="37"/>
      <c r="CE174" s="37"/>
      <c r="CF174" s="37"/>
      <c r="CG174" s="37" t="str">
        <f t="shared" si="18"/>
        <v>Below 60</v>
      </c>
      <c r="CH174" s="37" t="str">
        <f t="shared" si="26"/>
        <v>Not 50%</v>
      </c>
      <c r="CI174" s="93">
        <f t="shared" si="19"/>
        <v>0</v>
      </c>
      <c r="CJ174" s="95"/>
      <c r="CK174" s="95"/>
      <c r="CL174" s="95"/>
      <c r="CM174" s="96">
        <f t="shared" si="20"/>
        <v>11</v>
      </c>
      <c r="CN174" s="103"/>
      <c r="CO174" s="4"/>
      <c r="CP174" s="100"/>
      <c r="CQ174" s="101"/>
      <c r="CR174" s="4"/>
      <c r="CS174" s="4"/>
      <c r="CT174" s="4"/>
      <c r="CU174" s="4"/>
      <c r="CV174" s="4"/>
      <c r="CW174" s="4"/>
      <c r="CX174" s="51"/>
      <c r="CY174" s="4"/>
      <c r="CZ174" s="4"/>
    </row>
    <row r="175" spans="1:104" ht="15.6">
      <c r="A175" s="114" t="s">
        <v>177</v>
      </c>
      <c r="B175" s="114" t="s">
        <v>458</v>
      </c>
      <c r="C175" s="114" t="s">
        <v>293</v>
      </c>
      <c r="D175" s="1" t="s">
        <v>581</v>
      </c>
      <c r="E175" s="1" t="s">
        <v>582</v>
      </c>
      <c r="F175" s="48">
        <v>45761</v>
      </c>
      <c r="G175" s="76">
        <v>0</v>
      </c>
      <c r="H175" s="76">
        <v>4000002</v>
      </c>
      <c r="I175" s="77">
        <v>2034331.4</v>
      </c>
      <c r="J175" s="77">
        <v>0</v>
      </c>
      <c r="K175" s="4">
        <v>15</v>
      </c>
      <c r="L175" s="4">
        <v>62</v>
      </c>
      <c r="M175" s="4">
        <v>47</v>
      </c>
      <c r="N175" s="4">
        <v>62</v>
      </c>
      <c r="O175" s="4">
        <v>0</v>
      </c>
      <c r="P175" s="77">
        <v>113798.22</v>
      </c>
      <c r="Q175" s="77">
        <v>1920533.18</v>
      </c>
      <c r="R175" s="4">
        <v>3</v>
      </c>
      <c r="S175" s="4">
        <v>45</v>
      </c>
      <c r="T175" s="4">
        <v>48</v>
      </c>
      <c r="U175" s="4">
        <v>0</v>
      </c>
      <c r="V175" s="4">
        <v>257</v>
      </c>
      <c r="W175" s="4">
        <v>655</v>
      </c>
      <c r="X175" s="4">
        <v>0</v>
      </c>
      <c r="Y175" s="4">
        <v>1</v>
      </c>
      <c r="Z175" s="4">
        <v>63</v>
      </c>
      <c r="AA175" s="4">
        <v>0</v>
      </c>
      <c r="AB175" s="4">
        <v>0</v>
      </c>
      <c r="AC175" s="4">
        <v>13</v>
      </c>
      <c r="AD175" s="4">
        <v>19</v>
      </c>
      <c r="AE175" s="4">
        <v>223</v>
      </c>
      <c r="AF175" s="4">
        <v>960</v>
      </c>
      <c r="AG175" s="4">
        <v>134</v>
      </c>
      <c r="AH175" s="76">
        <f t="shared" si="1"/>
        <v>15181.577611940298</v>
      </c>
      <c r="AI175" s="76">
        <f t="shared" si="2"/>
        <v>7.1641791044776122</v>
      </c>
      <c r="AJ175" s="78">
        <f t="shared" ref="AJ175:AJ176" si="108">BV175</f>
        <v>24116</v>
      </c>
      <c r="AK175" s="76">
        <f t="shared" si="62"/>
        <v>138057.61720430106</v>
      </c>
      <c r="AL175" s="49">
        <v>50458</v>
      </c>
      <c r="AM175" s="80">
        <f t="shared" si="4"/>
        <v>9.2667112744905314E-2</v>
      </c>
      <c r="AN175" s="76">
        <f t="shared" si="5"/>
        <v>42381.904166666667</v>
      </c>
      <c r="AO175" s="102">
        <f t="shared" ref="AO175:AO177" si="109">IFERROR(SUM(I175:J175)/SUM(G175:H175),"")</f>
        <v>0.50858259570870212</v>
      </c>
      <c r="AP175" s="82">
        <v>0</v>
      </c>
      <c r="AQ175" s="4">
        <v>95</v>
      </c>
      <c r="AR175" s="4">
        <v>1337</v>
      </c>
      <c r="AS175" s="4">
        <v>0</v>
      </c>
      <c r="AT175" s="4">
        <v>45</v>
      </c>
      <c r="AU175" s="4">
        <v>0</v>
      </c>
      <c r="AV175" s="1">
        <v>48</v>
      </c>
      <c r="AW175" s="1">
        <v>14</v>
      </c>
      <c r="AX175" s="1">
        <v>0</v>
      </c>
      <c r="AY175" s="86" t="str">
        <f>IFERROR(VLOOKUP(C175,#REF!,13,0),"")</f>
        <v/>
      </c>
      <c r="AZ175" s="87">
        <v>45938</v>
      </c>
      <c r="BA175" s="1" t="str">
        <f t="shared" si="6"/>
        <v>LEFT</v>
      </c>
      <c r="BB175" s="1" t="e">
        <f t="shared" ca="1" si="7"/>
        <v>#NAME?</v>
      </c>
      <c r="BC175" s="1" t="e">
        <f t="shared" ref="BC175:BC177" ca="1" si="110">_xludf.ifs(AO175&lt;50%,"Below 50%",AO175&lt;70%,"50%-70%",AO175&lt;90%,"70%-90%",AO175&lt;100%,"90%-100%",AO175&gt;100%,"Above 100%")</f>
        <v>#NAME?</v>
      </c>
      <c r="BD175" s="118">
        <v>5.7247311827956988</v>
      </c>
      <c r="BE175" s="88" t="str">
        <v/>
      </c>
      <c r="BF175" s="1">
        <f t="shared" si="9"/>
        <v>2</v>
      </c>
      <c r="BG175" s="1" t="s">
        <v>428</v>
      </c>
      <c r="BH175" s="89"/>
      <c r="BI175" s="89"/>
      <c r="BJ175" s="109">
        <f>17/30</f>
        <v>0.56666666666666665</v>
      </c>
      <c r="BK175" s="91"/>
      <c r="BL175" s="91">
        <f t="shared" si="47"/>
        <v>0</v>
      </c>
      <c r="BM175" s="91">
        <f t="shared" si="11"/>
        <v>4000002</v>
      </c>
      <c r="BN175" s="91"/>
      <c r="BO175" s="92" t="str">
        <f ca="1">IFERROR(__xludf.DUMMYFUNCTION("IFERROR(ArrayFormula(SUM(VLOOKUP($C175,importrange(""1MwNMVzWE3QBVOyJjKr3eFX-Sq1Ng0Q1sghWJbgbE_8g"",""ORDER BOOKING REPORT 2024-25!C:CV""),{16,23,30},0))))"),"")</f>
        <v/>
      </c>
      <c r="BP175" s="92" t="str">
        <f ca="1">IFERROR(__xludf.DUMMYFUNCTION("IFERROR(ArrayFormula(SUM(VLOOKUP($C175,importrange(""1MwNMVzWE3QBVOyJjKr3eFX-Sq1Ng0Q1sghWJbgbE_8g"",""ORDER BOOKING REPORT 2024-25!C:CV""),{37,44,51},0))))"),"")</f>
        <v/>
      </c>
      <c r="BQ175" s="92" t="str">
        <f ca="1">IFERROR(__xludf.DUMMYFUNCTION("IFERROR(ArrayFormula(SUM(VLOOKUP($C175,importrange(""1MwNMVzWE3QBVOyJjKr3eFX-Sq1Ng0Q1sghWJbgbE_8g"",""ORDER BOOKING REPORT 2024-25!C:CV""),{58,65,72},0))))"),"")</f>
        <v/>
      </c>
      <c r="BR175" s="92" t="str">
        <f ca="1">IFERROR(__xludf.DUMMYFUNCTION("IFERROR(ArrayFormula(SUM(VLOOKUP($C175,importrange(""1MwNMVzWE3QBVOyJjKr3eFX-Sq1Ng0Q1sghWJbgbE_8g"",""ORDER BOOKING REPORT 2024-25!C:CV""),{79,86,93},0))))"),"")</f>
        <v/>
      </c>
      <c r="BS175" s="93" t="str">
        <f t="shared" si="12"/>
        <v/>
      </c>
      <c r="BT175" s="93" t="str">
        <f t="shared" si="13"/>
        <v/>
      </c>
      <c r="BU175" s="37">
        <f t="shared" si="14"/>
        <v>0</v>
      </c>
      <c r="BV175" s="94">
        <v>24116</v>
      </c>
      <c r="BW175" s="94" t="s">
        <v>476</v>
      </c>
      <c r="BX175" s="94">
        <v>1238</v>
      </c>
      <c r="BY175" s="37">
        <f t="shared" si="15"/>
        <v>0</v>
      </c>
      <c r="BZ175" s="37"/>
      <c r="CA175" s="37"/>
      <c r="CB175" s="37"/>
      <c r="CC175" s="37"/>
      <c r="CD175" s="37"/>
      <c r="CE175" s="37"/>
      <c r="CF175" s="37"/>
      <c r="CG175" s="37" t="str">
        <f t="shared" si="18"/>
        <v xml:space="preserve"> </v>
      </c>
      <c r="CH175" s="37" t="str">
        <f t="shared" si="26"/>
        <v>Business Achieved 50%</v>
      </c>
      <c r="CI175" s="93">
        <f t="shared" si="19"/>
        <v>0.77419354838709675</v>
      </c>
      <c r="CJ175" s="105">
        <f ca="1">IFERROR(__xludf.DUMMYFUNCTION("""COMPUTED_VALUE"""),187)</f>
        <v>187</v>
      </c>
      <c r="CK175" s="105">
        <f ca="1">IFERROR(__xludf.DUMMYFUNCTION("""COMPUTED_VALUE"""),36)</f>
        <v>36</v>
      </c>
      <c r="CL175" s="105">
        <f ca="1">IFERROR(__xludf.DUMMYFUNCTION("""COMPUTED_VALUE"""),0)</f>
        <v>0</v>
      </c>
      <c r="CM175" s="96">
        <f t="shared" ca="1" si="20"/>
        <v>0</v>
      </c>
      <c r="CN175" s="106"/>
      <c r="CO175" s="93"/>
      <c r="CP175" s="107"/>
      <c r="CQ175" s="110"/>
      <c r="CR175" s="93"/>
      <c r="CS175" s="93"/>
      <c r="CT175" s="93"/>
      <c r="CU175" s="93"/>
      <c r="CV175" s="93"/>
      <c r="CW175" s="93"/>
      <c r="CX175" s="51"/>
      <c r="CY175" s="93"/>
      <c r="CZ175" s="93"/>
    </row>
    <row r="176" spans="1:104" ht="15.6">
      <c r="A176" s="114" t="s">
        <v>136</v>
      </c>
      <c r="B176" s="114" t="s">
        <v>421</v>
      </c>
      <c r="C176" s="114" t="s">
        <v>294</v>
      </c>
      <c r="D176" s="1" t="s">
        <v>421</v>
      </c>
      <c r="E176" s="1" t="s">
        <v>427</v>
      </c>
      <c r="F176" s="48">
        <v>45765</v>
      </c>
      <c r="G176" s="79">
        <v>1066669</v>
      </c>
      <c r="H176" s="76">
        <v>6400000</v>
      </c>
      <c r="I176" s="77">
        <v>2278492.4500000002</v>
      </c>
      <c r="J176" s="77">
        <v>464935.15</v>
      </c>
      <c r="K176" s="4">
        <v>9</v>
      </c>
      <c r="L176" s="4">
        <v>21</v>
      </c>
      <c r="M176" s="4">
        <v>12</v>
      </c>
      <c r="N176" s="4">
        <v>21</v>
      </c>
      <c r="O176" s="4">
        <v>0</v>
      </c>
      <c r="P176" s="77">
        <v>1216855.95</v>
      </c>
      <c r="Q176" s="77">
        <v>1061636.5</v>
      </c>
      <c r="R176" s="4">
        <v>8</v>
      </c>
      <c r="S176" s="4">
        <v>11</v>
      </c>
      <c r="T176" s="4">
        <v>19</v>
      </c>
      <c r="U176" s="4">
        <v>3</v>
      </c>
      <c r="V176" s="4">
        <v>115</v>
      </c>
      <c r="W176" s="4">
        <v>340</v>
      </c>
      <c r="X176" s="4">
        <v>1</v>
      </c>
      <c r="Y176" s="4">
        <v>4</v>
      </c>
      <c r="Z176" s="4">
        <v>134</v>
      </c>
      <c r="AA176" s="4">
        <v>4</v>
      </c>
      <c r="AB176" s="4">
        <v>25</v>
      </c>
      <c r="AC176" s="4">
        <v>4</v>
      </c>
      <c r="AD176" s="4">
        <v>12</v>
      </c>
      <c r="AE176" s="4">
        <v>101</v>
      </c>
      <c r="AF176" s="4">
        <v>612</v>
      </c>
      <c r="AG176" s="4">
        <v>141</v>
      </c>
      <c r="AH176" s="76">
        <f t="shared" si="1"/>
        <v>19456.933333333334</v>
      </c>
      <c r="AI176" s="76">
        <f t="shared" si="2"/>
        <v>4.3404255319148932</v>
      </c>
      <c r="AJ176" s="78">
        <f t="shared" si="108"/>
        <v>25690</v>
      </c>
      <c r="AK176" s="76">
        <f t="shared" si="62"/>
        <v>164416</v>
      </c>
      <c r="AL176" s="49">
        <v>38290</v>
      </c>
      <c r="AM176" s="80">
        <f t="shared" si="4"/>
        <v>7.3887862030694737E-2</v>
      </c>
      <c r="AN176" s="76">
        <f t="shared" si="5"/>
        <v>119920.65526315791</v>
      </c>
      <c r="AO176" s="102">
        <f t="shared" si="109"/>
        <v>0.36742322446595665</v>
      </c>
      <c r="AP176" s="82">
        <v>0.44</v>
      </c>
      <c r="AQ176" s="4">
        <v>92</v>
      </c>
      <c r="AR176" s="4">
        <v>1240</v>
      </c>
      <c r="AS176" s="4">
        <v>0</v>
      </c>
      <c r="AT176" s="4">
        <v>11</v>
      </c>
      <c r="AU176" s="4">
        <v>0</v>
      </c>
      <c r="AV176" s="1">
        <v>19</v>
      </c>
      <c r="AW176" s="1">
        <v>2</v>
      </c>
      <c r="AX176" s="1">
        <v>0</v>
      </c>
      <c r="AY176" s="86" t="str">
        <f>IFERROR(VLOOKUP(C176,#REF!,13,0),"")</f>
        <v/>
      </c>
      <c r="AZ176" s="87">
        <v>45944</v>
      </c>
      <c r="BA176" s="1" t="str">
        <f t="shared" si="6"/>
        <v>LEFT</v>
      </c>
      <c r="BB176" s="1" t="e">
        <f t="shared" ca="1" si="7"/>
        <v>#NAME?</v>
      </c>
      <c r="BC176" s="1" t="e">
        <f t="shared" ca="1" si="110"/>
        <v>#NAME?</v>
      </c>
      <c r="BD176" s="118">
        <f>(30-18)/30+6</f>
        <v>6.4</v>
      </c>
      <c r="BE176" s="91" t="str">
        <v/>
      </c>
      <c r="BF176" s="1">
        <f t="shared" si="9"/>
        <v>1</v>
      </c>
      <c r="BG176" s="1" t="s">
        <v>428</v>
      </c>
      <c r="BH176" s="89"/>
      <c r="BI176" s="89"/>
      <c r="BJ176" s="109">
        <f>12/30</f>
        <v>0.4</v>
      </c>
      <c r="BK176" s="91">
        <v>166667</v>
      </c>
      <c r="BL176" s="91">
        <f t="shared" si="47"/>
        <v>1066668.8</v>
      </c>
      <c r="BM176" s="91">
        <f t="shared" si="11"/>
        <v>7466668.7999999998</v>
      </c>
      <c r="BN176" s="91"/>
      <c r="BO176" s="92" t="str">
        <f ca="1">IFERROR(__xludf.DUMMYFUNCTION("IFERROR(ArrayFormula(SUM(VLOOKUP($C176,importrange(""1MwNMVzWE3QBVOyJjKr3eFX-Sq1Ng0Q1sghWJbgbE_8g"",""ORDER BOOKING REPORT 2024-25!C:CV""),{16,23,30},0))))"),"")</f>
        <v/>
      </c>
      <c r="BP176" s="92" t="str">
        <f ca="1">IFERROR(__xludf.DUMMYFUNCTION("IFERROR(ArrayFormula(SUM(VLOOKUP($C176,importrange(""1MwNMVzWE3QBVOyJjKr3eFX-Sq1Ng0Q1sghWJbgbE_8g"",""ORDER BOOKING REPORT 2024-25!C:CV""),{37,44,51},0))))"),"")</f>
        <v/>
      </c>
      <c r="BQ176" s="92" t="str">
        <f ca="1">IFERROR(__xludf.DUMMYFUNCTION("IFERROR(ArrayFormula(SUM(VLOOKUP($C176,importrange(""1MwNMVzWE3QBVOyJjKr3eFX-Sq1Ng0Q1sghWJbgbE_8g"",""ORDER BOOKING REPORT 2024-25!C:CV""),{58,65,72},0))))"),"")</f>
        <v/>
      </c>
      <c r="BR176" s="92" t="str">
        <f ca="1">IFERROR(__xludf.DUMMYFUNCTION("IFERROR(ArrayFormula(SUM(VLOOKUP($C176,importrange(""1MwNMVzWE3QBVOyJjKr3eFX-Sq1Ng0Q1sghWJbgbE_8g"",""ORDER BOOKING REPORT 2024-25!C:CV""),{79,86,93},0))))"),"")</f>
        <v/>
      </c>
      <c r="BS176" s="93" t="str">
        <f t="shared" si="12"/>
        <v/>
      </c>
      <c r="BT176" s="93" t="str">
        <f t="shared" si="13"/>
        <v/>
      </c>
      <c r="BU176" s="37">
        <f t="shared" si="14"/>
        <v>-0.19999999995343387</v>
      </c>
      <c r="BV176" s="94">
        <v>25690</v>
      </c>
      <c r="BW176" s="94" t="s">
        <v>476</v>
      </c>
      <c r="BX176" s="94">
        <v>1239</v>
      </c>
      <c r="BY176" s="37">
        <f t="shared" si="15"/>
        <v>0</v>
      </c>
      <c r="BZ176" s="37"/>
      <c r="CA176" s="37"/>
      <c r="CB176" s="37"/>
      <c r="CC176" s="37"/>
      <c r="CD176" s="37"/>
      <c r="CE176" s="37"/>
      <c r="CF176" s="37"/>
      <c r="CG176" s="37" t="str">
        <f t="shared" si="18"/>
        <v>Below 60</v>
      </c>
      <c r="CH176" s="37" t="str">
        <f t="shared" si="26"/>
        <v>Business Achieved 50%</v>
      </c>
      <c r="CI176" s="93">
        <f t="shared" si="19"/>
        <v>0.90476190476190477</v>
      </c>
      <c r="CJ176" s="105">
        <f ca="1">IFERROR(__xludf.DUMMYFUNCTION("""COMPUTED_VALUE"""),97)</f>
        <v>97</v>
      </c>
      <c r="CK176" s="105">
        <f ca="1">IFERROR(__xludf.DUMMYFUNCTION("""COMPUTED_VALUE"""),4)</f>
        <v>4</v>
      </c>
      <c r="CL176" s="105">
        <f ca="1">IFERROR(__xludf.DUMMYFUNCTION("""COMPUTED_VALUE"""),0)</f>
        <v>0</v>
      </c>
      <c r="CM176" s="96">
        <f t="shared" ca="1" si="20"/>
        <v>0</v>
      </c>
      <c r="CN176" s="106"/>
      <c r="CO176" s="93"/>
      <c r="CP176" s="107"/>
      <c r="CQ176" s="110"/>
      <c r="CR176" s="93"/>
      <c r="CS176" s="93"/>
      <c r="CT176" s="93"/>
      <c r="CU176" s="93"/>
      <c r="CV176" s="93"/>
      <c r="CW176" s="93"/>
      <c r="CX176" s="51"/>
      <c r="CY176" s="93"/>
      <c r="CZ176" s="93"/>
    </row>
    <row r="177" spans="1:104" ht="15.6">
      <c r="A177" s="1" t="s">
        <v>124</v>
      </c>
      <c r="B177" s="1" t="s">
        <v>443</v>
      </c>
      <c r="C177" s="1" t="s">
        <v>148</v>
      </c>
      <c r="D177" s="1" t="s">
        <v>517</v>
      </c>
      <c r="E177" s="1" t="s">
        <v>537</v>
      </c>
      <c r="F177" s="108">
        <v>45778</v>
      </c>
      <c r="G177" s="76">
        <v>0</v>
      </c>
      <c r="H177" s="76">
        <v>13200000</v>
      </c>
      <c r="I177" s="77">
        <v>10664561</v>
      </c>
      <c r="J177" s="77">
        <v>0</v>
      </c>
      <c r="K177" s="4">
        <v>69</v>
      </c>
      <c r="L177" s="4">
        <v>94</v>
      </c>
      <c r="M177" s="4">
        <v>38</v>
      </c>
      <c r="N177" s="4">
        <v>107</v>
      </c>
      <c r="O177" s="4">
        <v>13</v>
      </c>
      <c r="P177" s="77">
        <v>4989012.9000000004</v>
      </c>
      <c r="Q177" s="77">
        <v>5675548.0999999996</v>
      </c>
      <c r="R177" s="4">
        <v>40</v>
      </c>
      <c r="S177" s="4">
        <v>30</v>
      </c>
      <c r="T177" s="4">
        <v>70</v>
      </c>
      <c r="U177" s="4">
        <v>0</v>
      </c>
      <c r="V177" s="4">
        <v>138</v>
      </c>
      <c r="W177" s="4">
        <v>357</v>
      </c>
      <c r="X177" s="4">
        <v>43</v>
      </c>
      <c r="Y177" s="4">
        <v>8</v>
      </c>
      <c r="Z177" s="4">
        <v>86</v>
      </c>
      <c r="AA177" s="4">
        <v>2</v>
      </c>
      <c r="AB177" s="4">
        <v>28</v>
      </c>
      <c r="AC177" s="4">
        <v>2</v>
      </c>
      <c r="AD177" s="4">
        <v>3</v>
      </c>
      <c r="AE177" s="4">
        <v>655</v>
      </c>
      <c r="AF177" s="4">
        <v>1129</v>
      </c>
      <c r="AG177" s="4">
        <v>248</v>
      </c>
      <c r="AH177" s="76">
        <f t="shared" si="1"/>
        <v>43002.262096774197</v>
      </c>
      <c r="AI177" s="76">
        <f t="shared" si="2"/>
        <v>4.55241935483871</v>
      </c>
      <c r="AJ177" s="78">
        <v>47173</v>
      </c>
      <c r="AK177" s="76">
        <f t="shared" si="62"/>
        <v>518903</v>
      </c>
      <c r="AL177" s="79">
        <v>94185</v>
      </c>
      <c r="AM177" s="80">
        <f t="shared" si="4"/>
        <v>5.7488348559307789E-2</v>
      </c>
      <c r="AN177" s="76">
        <f t="shared" si="5"/>
        <v>152350.87142857144</v>
      </c>
      <c r="AO177" s="102">
        <f t="shared" si="109"/>
        <v>0.80792128787878792</v>
      </c>
      <c r="AP177" s="82">
        <v>0</v>
      </c>
      <c r="AQ177" s="4">
        <v>247</v>
      </c>
      <c r="AR177" s="4">
        <v>2016</v>
      </c>
      <c r="AS177" s="4">
        <v>1700.97</v>
      </c>
      <c r="AT177" s="4">
        <v>30</v>
      </c>
      <c r="AU177" s="4">
        <v>18</v>
      </c>
      <c r="AV177" s="1">
        <v>70</v>
      </c>
      <c r="AW177" s="1">
        <v>32</v>
      </c>
      <c r="AX177" s="1">
        <v>5</v>
      </c>
      <c r="AY177" s="86" t="str">
        <f>IFERROR(VLOOKUP(C177,#REF!,13,0),"")</f>
        <v/>
      </c>
      <c r="AZ177" s="87"/>
      <c r="BA177" s="1" t="str">
        <f t="shared" si="6"/>
        <v>Active</v>
      </c>
      <c r="BB177" s="1" t="e">
        <f t="shared" ca="1" si="7"/>
        <v>#NAME?</v>
      </c>
      <c r="BC177" s="1" t="e">
        <f t="shared" ca="1" si="110"/>
        <v>#NAME?</v>
      </c>
      <c r="BD177" s="33">
        <v>11</v>
      </c>
      <c r="BE177" s="88" t="str">
        <v/>
      </c>
      <c r="BF177" s="1">
        <f t="shared" si="9"/>
        <v>8</v>
      </c>
      <c r="BG177" s="1" t="s">
        <v>428</v>
      </c>
      <c r="BH177" s="89"/>
      <c r="BI177" s="89"/>
      <c r="BJ177" s="90"/>
      <c r="BK177" s="91"/>
      <c r="BL177" s="91">
        <f t="shared" si="47"/>
        <v>0</v>
      </c>
      <c r="BM177" s="91">
        <f t="shared" si="11"/>
        <v>13200000</v>
      </c>
      <c r="BN177" s="91"/>
      <c r="BO177" s="92" t="str">
        <f ca="1">IFERROR(__xludf.DUMMYFUNCTION("IFERROR(ArrayFormula(SUM(VLOOKUP($C177,importrange(""1MwNMVzWE3QBVOyJjKr3eFX-Sq1Ng0Q1sghWJbgbE_8g"",""ORDER BOOKING REPORT 2024-25!C:CV""),{16,23,30},0))))"),"")</f>
        <v/>
      </c>
      <c r="BP177" s="92" t="str">
        <f ca="1">IFERROR(__xludf.DUMMYFUNCTION("IFERROR(ArrayFormula(SUM(VLOOKUP($C177,importrange(""1MwNMVzWE3QBVOyJjKr3eFX-Sq1Ng0Q1sghWJbgbE_8g"",""ORDER BOOKING REPORT 2024-25!C:CV""),{37,44,51},0))))"),"")</f>
        <v/>
      </c>
      <c r="BQ177" s="92" t="str">
        <f ca="1">IFERROR(__xludf.DUMMYFUNCTION("IFERROR(ArrayFormula(SUM(VLOOKUP($C177,importrange(""1MwNMVzWE3QBVOyJjKr3eFX-Sq1Ng0Q1sghWJbgbE_8g"",""ORDER BOOKING REPORT 2024-25!C:CV""),{58,65,72},0))))"),"")</f>
        <v/>
      </c>
      <c r="BR177" s="92" t="str">
        <f ca="1">IFERROR(__xludf.DUMMYFUNCTION("IFERROR(ArrayFormula(SUM(VLOOKUP($C177,importrange(""1MwNMVzWE3QBVOyJjKr3eFX-Sq1Ng0Q1sghWJbgbE_8g"",""ORDER BOOKING REPORT 2024-25!C:CV""),{79,86,93},0))))"),"")</f>
        <v/>
      </c>
      <c r="BS177" s="93" t="str">
        <f t="shared" si="12"/>
        <v/>
      </c>
      <c r="BT177" s="93" t="str">
        <f t="shared" si="13"/>
        <v/>
      </c>
      <c r="BU177" s="37">
        <f t="shared" si="14"/>
        <v>0</v>
      </c>
      <c r="BV177" s="94">
        <v>47173</v>
      </c>
      <c r="BW177" s="94" t="s">
        <v>445</v>
      </c>
      <c r="BX177" s="94">
        <v>1242</v>
      </c>
      <c r="BY177" s="37">
        <f t="shared" si="15"/>
        <v>0</v>
      </c>
      <c r="BZ177" s="37"/>
      <c r="CA177" s="37"/>
      <c r="CB177" s="37"/>
      <c r="CC177" s="37"/>
      <c r="CD177" s="37"/>
      <c r="CE177" s="37"/>
      <c r="CF177" s="37"/>
      <c r="CG177" s="37" t="str">
        <f t="shared" si="18"/>
        <v xml:space="preserve"> </v>
      </c>
      <c r="CH177" s="37" t="str">
        <f t="shared" si="26"/>
        <v>Business Achieved 50%</v>
      </c>
      <c r="CI177" s="93">
        <f t="shared" si="19"/>
        <v>0.65420560747663548</v>
      </c>
      <c r="CJ177" s="95">
        <f ca="1">IFERROR(__xludf.DUMMYFUNCTION("""COMPUTED_VALUE"""),548)</f>
        <v>548</v>
      </c>
      <c r="CK177" s="95">
        <f ca="1">IFERROR(__xludf.DUMMYFUNCTION("""COMPUTED_VALUE"""),107)</f>
        <v>107</v>
      </c>
      <c r="CL177" s="95">
        <f ca="1">IFERROR(__xludf.DUMMYFUNCTION("""COMPUTED_VALUE"""),0)</f>
        <v>0</v>
      </c>
      <c r="CM177" s="96">
        <f t="shared" ca="1" si="20"/>
        <v>0</v>
      </c>
      <c r="CN177" s="103"/>
      <c r="CO177" s="4"/>
      <c r="CP177" s="100"/>
      <c r="CQ177" s="101"/>
      <c r="CR177" s="4"/>
      <c r="CS177" s="4"/>
      <c r="CT177" s="4"/>
      <c r="CU177" s="4"/>
      <c r="CV177" s="4"/>
      <c r="CW177" s="101"/>
      <c r="CX177" s="51"/>
      <c r="CY177" s="4"/>
      <c r="CZ177" s="4"/>
    </row>
    <row r="178" spans="1:104" ht="15.6">
      <c r="A178" s="1" t="s">
        <v>154</v>
      </c>
      <c r="B178" s="1" t="s">
        <v>370</v>
      </c>
      <c r="C178" s="1" t="s">
        <v>151</v>
      </c>
      <c r="D178" s="1" t="s">
        <v>542</v>
      </c>
      <c r="E178" s="1" t="s">
        <v>640</v>
      </c>
      <c r="F178" s="108">
        <v>45778</v>
      </c>
      <c r="G178" s="76">
        <v>0</v>
      </c>
      <c r="H178" s="76">
        <v>0</v>
      </c>
      <c r="I178" s="77">
        <v>0</v>
      </c>
      <c r="J178" s="77">
        <v>0</v>
      </c>
      <c r="K178" s="4">
        <v>58</v>
      </c>
      <c r="L178" s="4">
        <v>18</v>
      </c>
      <c r="M178" s="4">
        <v>0</v>
      </c>
      <c r="N178" s="4">
        <v>58</v>
      </c>
      <c r="O178" s="4">
        <v>40</v>
      </c>
      <c r="P178" s="77">
        <v>0</v>
      </c>
      <c r="Q178" s="77">
        <v>0</v>
      </c>
      <c r="R178" s="4">
        <v>0</v>
      </c>
      <c r="S178" s="4">
        <v>0</v>
      </c>
      <c r="T178" s="4">
        <v>0</v>
      </c>
      <c r="U178" s="4">
        <v>0</v>
      </c>
      <c r="V178" s="4">
        <v>22</v>
      </c>
      <c r="W178" s="4">
        <v>38</v>
      </c>
      <c r="X178" s="4">
        <v>77</v>
      </c>
      <c r="Y178" s="4">
        <v>10</v>
      </c>
      <c r="Z178" s="4">
        <v>51</v>
      </c>
      <c r="AA178" s="4">
        <v>0</v>
      </c>
      <c r="AB178" s="4">
        <v>0</v>
      </c>
      <c r="AC178" s="4">
        <v>11</v>
      </c>
      <c r="AD178" s="4">
        <v>25</v>
      </c>
      <c r="AE178" s="4">
        <v>52</v>
      </c>
      <c r="AF178" s="4">
        <v>166</v>
      </c>
      <c r="AG178" s="4">
        <v>78</v>
      </c>
      <c r="AH178" s="76">
        <f t="shared" si="1"/>
        <v>0</v>
      </c>
      <c r="AI178" s="76">
        <f t="shared" si="2"/>
        <v>2.1282051282051282</v>
      </c>
      <c r="AJ178" s="78">
        <f t="shared" ref="AJ178:AJ179" si="111">BV178</f>
        <v>50860</v>
      </c>
      <c r="AK178" s="76">
        <f t="shared" si="62"/>
        <v>203440</v>
      </c>
      <c r="AL178" s="49">
        <v>170387</v>
      </c>
      <c r="AM178" s="80" t="str">
        <f t="shared" si="4"/>
        <v/>
      </c>
      <c r="AN178" s="76" t="str">
        <f t="shared" si="5"/>
        <v/>
      </c>
      <c r="AO178" s="49" t="s">
        <v>161</v>
      </c>
      <c r="AP178" s="82">
        <v>0</v>
      </c>
      <c r="AQ178" s="4">
        <v>0</v>
      </c>
      <c r="AR178" s="4">
        <v>819</v>
      </c>
      <c r="AS178" s="4">
        <v>0</v>
      </c>
      <c r="AT178" s="4">
        <v>0</v>
      </c>
      <c r="AU178" s="4">
        <v>0</v>
      </c>
      <c r="AV178" s="1">
        <v>0</v>
      </c>
      <c r="AW178" s="1">
        <v>18</v>
      </c>
      <c r="AX178" s="1">
        <v>40</v>
      </c>
      <c r="AY178" s="86" t="str">
        <f>IFERROR(VLOOKUP(C178,#REF!,13,0),"")</f>
        <v/>
      </c>
      <c r="AZ178" s="87">
        <v>45899</v>
      </c>
      <c r="BA178" s="1" t="str">
        <f t="shared" si="6"/>
        <v>LEFT</v>
      </c>
      <c r="BB178" s="1" t="e">
        <f t="shared" ca="1" si="7"/>
        <v>#NAME?</v>
      </c>
      <c r="BC178" s="4" t="s">
        <v>161</v>
      </c>
      <c r="BD178" s="33">
        <v>4</v>
      </c>
      <c r="BE178" s="88" t="str">
        <v/>
      </c>
      <c r="BF178" s="1">
        <f t="shared" si="9"/>
        <v>0</v>
      </c>
      <c r="BG178" s="37" t="s">
        <v>423</v>
      </c>
      <c r="BH178" s="89"/>
      <c r="BI178" s="89"/>
      <c r="BJ178" s="109"/>
      <c r="BK178" s="91"/>
      <c r="BL178" s="91">
        <f t="shared" si="47"/>
        <v>0</v>
      </c>
      <c r="BM178" s="91">
        <f t="shared" si="11"/>
        <v>0</v>
      </c>
      <c r="BN178" s="91"/>
      <c r="BO178" s="92" t="str">
        <f ca="1">IFERROR(__xludf.DUMMYFUNCTION("IFERROR(ArrayFormula(SUM(VLOOKUP($C178,importrange(""1MwNMVzWE3QBVOyJjKr3eFX-Sq1Ng0Q1sghWJbgbE_8g"",""ORDER BOOKING REPORT 2024-25!C:CV""),{16,23,30},0))))"),"")</f>
        <v/>
      </c>
      <c r="BP178" s="92" t="str">
        <f ca="1">IFERROR(__xludf.DUMMYFUNCTION("IFERROR(ArrayFormula(SUM(VLOOKUP($C178,importrange(""1MwNMVzWE3QBVOyJjKr3eFX-Sq1Ng0Q1sghWJbgbE_8g"",""ORDER BOOKING REPORT 2024-25!C:CV""),{37,44,51},0))))"),"")</f>
        <v/>
      </c>
      <c r="BQ178" s="92" t="str">
        <f ca="1">IFERROR(__xludf.DUMMYFUNCTION("IFERROR(ArrayFormula(SUM(VLOOKUP($C178,importrange(""1MwNMVzWE3QBVOyJjKr3eFX-Sq1Ng0Q1sghWJbgbE_8g"",""ORDER BOOKING REPORT 2024-25!C:CV""),{58,65,72},0))))"),"")</f>
        <v/>
      </c>
      <c r="BR178" s="92" t="str">
        <f ca="1">IFERROR(__xludf.DUMMYFUNCTION("IFERROR(ArrayFormula(SUM(VLOOKUP($C178,importrange(""1MwNMVzWE3QBVOyJjKr3eFX-Sq1Ng0Q1sghWJbgbE_8g"",""ORDER BOOKING REPORT 2024-25!C:CV""),{79,86,93},0))))"),"")</f>
        <v/>
      </c>
      <c r="BS178" s="93" t="str">
        <f t="shared" si="12"/>
        <v/>
      </c>
      <c r="BT178" s="93" t="str">
        <f t="shared" si="13"/>
        <v/>
      </c>
      <c r="BU178" s="37">
        <f t="shared" si="14"/>
        <v>0</v>
      </c>
      <c r="BV178" s="94">
        <v>50860</v>
      </c>
      <c r="BW178" s="94" t="s">
        <v>425</v>
      </c>
      <c r="BX178" s="94">
        <v>1241</v>
      </c>
      <c r="BY178" s="37">
        <f t="shared" si="15"/>
        <v>0</v>
      </c>
      <c r="BZ178" s="37"/>
      <c r="CA178" s="37"/>
      <c r="CB178" s="37"/>
      <c r="CC178" s="37"/>
      <c r="CD178" s="37"/>
      <c r="CE178" s="37"/>
      <c r="CF178" s="37"/>
      <c r="CG178" s="37" t="str">
        <f t="shared" si="18"/>
        <v>Below 60</v>
      </c>
      <c r="CH178" s="37" t="str">
        <f t="shared" si="26"/>
        <v>Not 50%</v>
      </c>
      <c r="CI178" s="93">
        <f t="shared" si="19"/>
        <v>0</v>
      </c>
      <c r="CJ178" s="105"/>
      <c r="CK178" s="105"/>
      <c r="CL178" s="105"/>
      <c r="CM178" s="96">
        <f t="shared" si="20"/>
        <v>52</v>
      </c>
      <c r="CN178" s="106"/>
      <c r="CO178" s="93"/>
      <c r="CP178" s="107"/>
      <c r="CQ178" s="110"/>
      <c r="CR178" s="93"/>
      <c r="CS178" s="93"/>
      <c r="CT178" s="93"/>
      <c r="CU178" s="93"/>
      <c r="CV178" s="93"/>
      <c r="CW178" s="93"/>
      <c r="CX178" s="51"/>
      <c r="CY178" s="93"/>
      <c r="CZ178" s="93"/>
    </row>
    <row r="179" spans="1:104" ht="15.6">
      <c r="A179" s="1" t="s">
        <v>177</v>
      </c>
      <c r="B179" s="1" t="s">
        <v>364</v>
      </c>
      <c r="C179" s="1" t="s">
        <v>296</v>
      </c>
      <c r="D179" s="1" t="s">
        <v>576</v>
      </c>
      <c r="E179" s="1" t="s">
        <v>641</v>
      </c>
      <c r="F179" s="108">
        <v>45782</v>
      </c>
      <c r="G179" s="76">
        <v>0</v>
      </c>
      <c r="H179" s="76">
        <v>0</v>
      </c>
      <c r="I179" s="77">
        <v>0</v>
      </c>
      <c r="J179" s="77">
        <v>0</v>
      </c>
      <c r="K179" s="4">
        <v>4</v>
      </c>
      <c r="L179" s="4">
        <v>5</v>
      </c>
      <c r="M179" s="4">
        <v>1</v>
      </c>
      <c r="N179" s="4">
        <v>5</v>
      </c>
      <c r="O179" s="4">
        <v>0</v>
      </c>
      <c r="P179" s="77">
        <v>0</v>
      </c>
      <c r="Q179" s="77">
        <v>0</v>
      </c>
      <c r="R179" s="4">
        <v>0</v>
      </c>
      <c r="S179" s="4">
        <v>0</v>
      </c>
      <c r="T179" s="4">
        <v>0</v>
      </c>
      <c r="U179" s="4">
        <v>0</v>
      </c>
      <c r="V179" s="4">
        <v>13</v>
      </c>
      <c r="W179" s="4">
        <v>31</v>
      </c>
      <c r="X179" s="4">
        <v>0</v>
      </c>
      <c r="Y179" s="4">
        <v>4</v>
      </c>
      <c r="Z179" s="4">
        <v>70</v>
      </c>
      <c r="AA179" s="4">
        <v>0</v>
      </c>
      <c r="AB179" s="4">
        <v>0</v>
      </c>
      <c r="AC179" s="4">
        <v>188</v>
      </c>
      <c r="AD179" s="4">
        <v>1008</v>
      </c>
      <c r="AE179" s="4">
        <v>10</v>
      </c>
      <c r="AF179" s="4">
        <v>1119</v>
      </c>
      <c r="AG179" s="4">
        <v>253</v>
      </c>
      <c r="AH179" s="76">
        <f t="shared" si="1"/>
        <v>0</v>
      </c>
      <c r="AI179" s="76">
        <f t="shared" si="2"/>
        <v>4.4229249011857705</v>
      </c>
      <c r="AJ179" s="78">
        <f t="shared" si="111"/>
        <v>64580</v>
      </c>
      <c r="AK179" s="76">
        <f t="shared" si="62"/>
        <v>710380</v>
      </c>
      <c r="AL179" s="49">
        <v>511859</v>
      </c>
      <c r="AM179" s="80" t="str">
        <f t="shared" si="4"/>
        <v/>
      </c>
      <c r="AN179" s="76" t="str">
        <f t="shared" si="5"/>
        <v/>
      </c>
      <c r="AO179" s="49" t="s">
        <v>161</v>
      </c>
      <c r="AP179" s="82">
        <v>0</v>
      </c>
      <c r="AQ179" s="4">
        <v>0</v>
      </c>
      <c r="AR179" s="4">
        <v>2838</v>
      </c>
      <c r="AS179" s="4">
        <v>5449.72</v>
      </c>
      <c r="AT179" s="4">
        <v>0</v>
      </c>
      <c r="AU179" s="4">
        <v>1090</v>
      </c>
      <c r="AV179" s="1">
        <v>0</v>
      </c>
      <c r="AW179" s="1">
        <v>5</v>
      </c>
      <c r="AX179" s="1">
        <v>0</v>
      </c>
      <c r="AY179" s="86" t="str">
        <f>IFERROR(VLOOKUP(C179,#REF!,13,0),"")</f>
        <v/>
      </c>
      <c r="AZ179" s="87"/>
      <c r="BA179" s="1" t="str">
        <f t="shared" si="6"/>
        <v>Active</v>
      </c>
      <c r="BB179" s="1" t="e">
        <f t="shared" ca="1" si="7"/>
        <v>#NAME?</v>
      </c>
      <c r="BC179" s="4" t="s">
        <v>161</v>
      </c>
      <c r="BD179" s="33">
        <v>11</v>
      </c>
      <c r="BE179" s="88" t="str">
        <v/>
      </c>
      <c r="BF179" s="1">
        <f t="shared" si="9"/>
        <v>1</v>
      </c>
      <c r="BG179" s="37" t="s">
        <v>423</v>
      </c>
      <c r="BH179" s="89"/>
      <c r="BI179" s="89"/>
      <c r="BJ179" s="90"/>
      <c r="BK179" s="91"/>
      <c r="BL179" s="91">
        <f t="shared" si="47"/>
        <v>0</v>
      </c>
      <c r="BM179" s="91">
        <f t="shared" si="11"/>
        <v>0</v>
      </c>
      <c r="BN179" s="91"/>
      <c r="BO179" s="92" t="str">
        <f ca="1">IFERROR(__xludf.DUMMYFUNCTION("IFERROR(ArrayFormula(SUM(VLOOKUP($C179,importrange(""1MwNMVzWE3QBVOyJjKr3eFX-Sq1Ng0Q1sghWJbgbE_8g"",""ORDER BOOKING REPORT 2024-25!C:CV""),{16,23,30},0))))"),"")</f>
        <v/>
      </c>
      <c r="BP179" s="92" t="str">
        <f ca="1">IFERROR(__xludf.DUMMYFUNCTION("IFERROR(ArrayFormula(SUM(VLOOKUP($C179,importrange(""1MwNMVzWE3QBVOyJjKr3eFX-Sq1Ng0Q1sghWJbgbE_8g"",""ORDER BOOKING REPORT 2024-25!C:CV""),{37,44,51},0))))"),"")</f>
        <v/>
      </c>
      <c r="BQ179" s="92" t="str">
        <f ca="1">IFERROR(__xludf.DUMMYFUNCTION("IFERROR(ArrayFormula(SUM(VLOOKUP($C179,importrange(""1MwNMVzWE3QBVOyJjKr3eFX-Sq1Ng0Q1sghWJbgbE_8g"",""ORDER BOOKING REPORT 2024-25!C:CV""),{58,65,72},0))))"),"")</f>
        <v/>
      </c>
      <c r="BR179" s="92" t="str">
        <f ca="1">IFERROR(__xludf.DUMMYFUNCTION("IFERROR(ArrayFormula(SUM(VLOOKUP($C179,importrange(""1MwNMVzWE3QBVOyJjKr3eFX-Sq1Ng0Q1sghWJbgbE_8g"",""ORDER BOOKING REPORT 2024-25!C:CV""),{79,86,93},0))))"),"")</f>
        <v/>
      </c>
      <c r="BS179" s="93" t="str">
        <f t="shared" si="12"/>
        <v/>
      </c>
      <c r="BT179" s="93" t="str">
        <f t="shared" si="13"/>
        <v/>
      </c>
      <c r="BU179" s="37">
        <f t="shared" si="14"/>
        <v>0</v>
      </c>
      <c r="BV179" s="94">
        <v>64580</v>
      </c>
      <c r="BW179" s="94" t="s">
        <v>642</v>
      </c>
      <c r="BX179" s="94">
        <v>1243</v>
      </c>
      <c r="BY179" s="37">
        <f t="shared" si="15"/>
        <v>0</v>
      </c>
      <c r="BZ179" s="37"/>
      <c r="CA179" s="37"/>
      <c r="CB179" s="37"/>
      <c r="CC179" s="37"/>
      <c r="CD179" s="37"/>
      <c r="CE179" s="37"/>
      <c r="CF179" s="37"/>
      <c r="CG179" s="37" t="str">
        <f t="shared" si="18"/>
        <v>Below 60</v>
      </c>
      <c r="CH179" s="37" t="str">
        <f t="shared" si="26"/>
        <v>Not 50%</v>
      </c>
      <c r="CI179" s="93">
        <f t="shared" si="19"/>
        <v>0</v>
      </c>
      <c r="CJ179" s="105"/>
      <c r="CK179" s="105"/>
      <c r="CL179" s="105"/>
      <c r="CM179" s="96">
        <f t="shared" si="20"/>
        <v>10</v>
      </c>
      <c r="CN179" s="106"/>
      <c r="CO179" s="93"/>
      <c r="CP179" s="107"/>
      <c r="CQ179" s="110"/>
      <c r="CR179" s="93"/>
      <c r="CS179" s="93"/>
      <c r="CT179" s="93"/>
      <c r="CU179" s="93"/>
      <c r="CV179" s="93"/>
      <c r="CW179" s="93"/>
      <c r="CX179" s="51"/>
      <c r="CY179" s="93"/>
      <c r="CZ179" s="93"/>
    </row>
    <row r="180" spans="1:104" ht="15.6">
      <c r="A180" s="1" t="s">
        <v>118</v>
      </c>
      <c r="B180" s="1" t="s">
        <v>362</v>
      </c>
      <c r="C180" s="1" t="s">
        <v>295</v>
      </c>
      <c r="D180" s="1" t="s">
        <v>419</v>
      </c>
      <c r="E180" s="1" t="s">
        <v>643</v>
      </c>
      <c r="F180" s="108">
        <v>45784</v>
      </c>
      <c r="G180" s="76">
        <v>0</v>
      </c>
      <c r="H180" s="76">
        <v>27500000</v>
      </c>
      <c r="I180" s="77">
        <v>27266099.73</v>
      </c>
      <c r="J180" s="77">
        <v>0</v>
      </c>
      <c r="K180" s="4">
        <v>30</v>
      </c>
      <c r="L180" s="4">
        <v>51</v>
      </c>
      <c r="M180" s="4">
        <v>21</v>
      </c>
      <c r="N180" s="4">
        <v>51</v>
      </c>
      <c r="O180" s="4">
        <v>0</v>
      </c>
      <c r="P180" s="77">
        <v>19664765.300000001</v>
      </c>
      <c r="Q180" s="77">
        <v>7601334.4299999997</v>
      </c>
      <c r="R180" s="4">
        <v>21</v>
      </c>
      <c r="S180" s="4">
        <v>21</v>
      </c>
      <c r="T180" s="4">
        <v>42</v>
      </c>
      <c r="U180" s="4">
        <v>0</v>
      </c>
      <c r="V180" s="4">
        <v>30</v>
      </c>
      <c r="W180" s="4">
        <v>122</v>
      </c>
      <c r="X180" s="4">
        <v>0</v>
      </c>
      <c r="Y180" s="4">
        <v>2</v>
      </c>
      <c r="Z180" s="4">
        <v>16</v>
      </c>
      <c r="AA180" s="4">
        <v>0</v>
      </c>
      <c r="AB180" s="4">
        <v>0</v>
      </c>
      <c r="AC180" s="4">
        <v>0</v>
      </c>
      <c r="AD180" s="4">
        <v>0</v>
      </c>
      <c r="AE180" s="4">
        <v>1340</v>
      </c>
      <c r="AF180" s="4">
        <v>1478</v>
      </c>
      <c r="AG180" s="4">
        <v>259</v>
      </c>
      <c r="AH180" s="76">
        <f t="shared" si="1"/>
        <v>105274.51633204633</v>
      </c>
      <c r="AI180" s="76">
        <f t="shared" si="2"/>
        <v>5.7065637065637063</v>
      </c>
      <c r="AJ180" s="78">
        <v>25985</v>
      </c>
      <c r="AK180" s="76">
        <f t="shared" si="62"/>
        <v>285835</v>
      </c>
      <c r="AL180" s="79">
        <v>97883</v>
      </c>
      <c r="AM180" s="80">
        <f t="shared" si="4"/>
        <v>1.4073079897738641E-2</v>
      </c>
      <c r="AN180" s="76">
        <f t="shared" si="5"/>
        <v>649192.85071428574</v>
      </c>
      <c r="AO180" s="102">
        <f t="shared" ref="AO180:AO182" si="112">IFERROR(SUM(I180:J180)/SUM(G180:H180),"")</f>
        <v>0.99149453563636369</v>
      </c>
      <c r="AP180" s="82">
        <v>0</v>
      </c>
      <c r="AQ180" s="4">
        <v>429</v>
      </c>
      <c r="AR180" s="4">
        <v>2661</v>
      </c>
      <c r="AS180" s="4">
        <v>3253.13</v>
      </c>
      <c r="AT180" s="4">
        <v>21</v>
      </c>
      <c r="AU180" s="4">
        <v>64</v>
      </c>
      <c r="AV180" s="1">
        <v>42</v>
      </c>
      <c r="AW180" s="1">
        <v>9</v>
      </c>
      <c r="AX180" s="1">
        <v>0</v>
      </c>
      <c r="AY180" s="86" t="str">
        <f>IFERROR(VLOOKUP(C180,#REF!,13,0),"")</f>
        <v/>
      </c>
      <c r="AZ180" s="87"/>
      <c r="BA180" s="1" t="str">
        <f t="shared" si="6"/>
        <v>Active</v>
      </c>
      <c r="BB180" s="1" t="e">
        <f t="shared" ca="1" si="7"/>
        <v>#NAME?</v>
      </c>
      <c r="BC180" s="1" t="e">
        <f t="shared" ref="BC180:BC181" ca="1" si="113">_xludf.ifs(AO180&lt;50%,"Below 50%",AO180&lt;70%,"50%-70%",AO180&lt;90%,"70%-90%",AO180&lt;100%,"90%-100%",AO180&gt;100%,"Above 100%")</f>
        <v>#NAME?</v>
      </c>
      <c r="BD180" s="33">
        <v>11</v>
      </c>
      <c r="BE180" s="88" t="str">
        <v/>
      </c>
      <c r="BF180" s="1">
        <f t="shared" si="9"/>
        <v>0</v>
      </c>
      <c r="BG180" s="1" t="s">
        <v>428</v>
      </c>
      <c r="BH180" s="89"/>
      <c r="BI180" s="89"/>
      <c r="BJ180" s="90"/>
      <c r="BK180" s="91"/>
      <c r="BL180" s="91">
        <f t="shared" si="47"/>
        <v>0</v>
      </c>
      <c r="BM180" s="91">
        <f t="shared" si="11"/>
        <v>27500000</v>
      </c>
      <c r="BN180" s="91"/>
      <c r="BO180" s="92" t="str">
        <f ca="1">IFERROR(__xludf.DUMMYFUNCTION("IFERROR(ArrayFormula(SUM(VLOOKUP($C180,importrange(""1MwNMVzWE3QBVOyJjKr3eFX-Sq1Ng0Q1sghWJbgbE_8g"",""ORDER BOOKING REPORT 2024-25!C:CV""),{16,23,30},0))))"),"")</f>
        <v/>
      </c>
      <c r="BP180" s="92" t="str">
        <f ca="1">IFERROR(__xludf.DUMMYFUNCTION("IFERROR(ArrayFormula(SUM(VLOOKUP($C180,importrange(""1MwNMVzWE3QBVOyJjKr3eFX-Sq1Ng0Q1sghWJbgbE_8g"",""ORDER BOOKING REPORT 2024-25!C:CV""),{37,44,51},0))))"),"")</f>
        <v/>
      </c>
      <c r="BQ180" s="92" t="str">
        <f ca="1">IFERROR(__xludf.DUMMYFUNCTION("IFERROR(ArrayFormula(SUM(VLOOKUP($C180,importrange(""1MwNMVzWE3QBVOyJjKr3eFX-Sq1Ng0Q1sghWJbgbE_8g"",""ORDER BOOKING REPORT 2024-25!C:CV""),{58,65,72},0))))"),"")</f>
        <v/>
      </c>
      <c r="BR180" s="92" t="str">
        <f ca="1">IFERROR(__xludf.DUMMYFUNCTION("IFERROR(ArrayFormula(SUM(VLOOKUP($C180,importrange(""1MwNMVzWE3QBVOyJjKr3eFX-Sq1Ng0Q1sghWJbgbE_8g"",""ORDER BOOKING REPORT 2024-25!C:CV""),{79,86,93},0))))"),"")</f>
        <v/>
      </c>
      <c r="BS180" s="93" t="str">
        <f t="shared" si="12"/>
        <v/>
      </c>
      <c r="BT180" s="93" t="str">
        <f t="shared" si="13"/>
        <v/>
      </c>
      <c r="BU180" s="37">
        <f t="shared" si="14"/>
        <v>0</v>
      </c>
      <c r="BV180" s="94">
        <v>25985</v>
      </c>
      <c r="BW180" s="94" t="s">
        <v>476</v>
      </c>
      <c r="BX180" s="94">
        <v>1244</v>
      </c>
      <c r="BY180" s="37">
        <f t="shared" si="15"/>
        <v>0</v>
      </c>
      <c r="BZ180" s="37"/>
      <c r="CA180" s="37"/>
      <c r="CB180" s="37"/>
      <c r="CC180" s="37"/>
      <c r="CD180" s="37"/>
      <c r="CE180" s="37"/>
      <c r="CF180" s="37"/>
      <c r="CG180" s="37" t="str">
        <f t="shared" si="18"/>
        <v>Below 60</v>
      </c>
      <c r="CH180" s="37" t="str">
        <f t="shared" si="26"/>
        <v>Business Achieved 50%</v>
      </c>
      <c r="CI180" s="93">
        <f t="shared" si="19"/>
        <v>0.82352941176470584</v>
      </c>
      <c r="CJ180" s="95">
        <f ca="1">IFERROR(__xludf.DUMMYFUNCTION("""COMPUTED_VALUE"""),1182)</f>
        <v>1182</v>
      </c>
      <c r="CK180" s="95">
        <f ca="1">IFERROR(__xludf.DUMMYFUNCTION("""COMPUTED_VALUE"""),158)</f>
        <v>158</v>
      </c>
      <c r="CL180" s="95">
        <f ca="1">IFERROR(__xludf.DUMMYFUNCTION("""COMPUTED_VALUE"""),0)</f>
        <v>0</v>
      </c>
      <c r="CM180" s="96">
        <f t="shared" ca="1" si="20"/>
        <v>0</v>
      </c>
      <c r="CN180" s="103"/>
      <c r="CO180" s="4"/>
      <c r="CP180" s="100"/>
      <c r="CQ180" s="101"/>
      <c r="CR180" s="4"/>
      <c r="CS180" s="4"/>
      <c r="CT180" s="4"/>
      <c r="CU180" s="4"/>
      <c r="CV180" s="4"/>
      <c r="CW180" s="101"/>
      <c r="CX180" s="51"/>
      <c r="CY180" s="4"/>
      <c r="CZ180" s="4"/>
    </row>
    <row r="181" spans="1:104" ht="15.6">
      <c r="A181" s="1" t="s">
        <v>154</v>
      </c>
      <c r="B181" s="1" t="s">
        <v>370</v>
      </c>
      <c r="C181" s="1" t="s">
        <v>169</v>
      </c>
      <c r="D181" s="1" t="s">
        <v>542</v>
      </c>
      <c r="E181" s="1" t="s">
        <v>644</v>
      </c>
      <c r="F181" s="115">
        <v>45789</v>
      </c>
      <c r="G181" s="76">
        <v>0</v>
      </c>
      <c r="H181" s="76">
        <v>2700000</v>
      </c>
      <c r="I181" s="77">
        <v>1043511.67</v>
      </c>
      <c r="J181" s="77">
        <v>0</v>
      </c>
      <c r="K181" s="4">
        <v>91</v>
      </c>
      <c r="L181" s="4">
        <v>70</v>
      </c>
      <c r="M181" s="4">
        <v>7</v>
      </c>
      <c r="N181" s="4">
        <v>98</v>
      </c>
      <c r="O181" s="4">
        <v>28</v>
      </c>
      <c r="P181" s="77">
        <v>747318.26</v>
      </c>
      <c r="Q181" s="77">
        <v>296193.40999999997</v>
      </c>
      <c r="R181" s="4">
        <v>13</v>
      </c>
      <c r="S181" s="4">
        <v>4</v>
      </c>
      <c r="T181" s="4">
        <v>17</v>
      </c>
      <c r="U181" s="4">
        <v>0</v>
      </c>
      <c r="V181" s="4">
        <v>67</v>
      </c>
      <c r="W181" s="4">
        <v>129</v>
      </c>
      <c r="X181" s="4">
        <v>236</v>
      </c>
      <c r="Y181" s="4">
        <v>3</v>
      </c>
      <c r="Z181" s="4">
        <v>26</v>
      </c>
      <c r="AA181" s="4">
        <v>0</v>
      </c>
      <c r="AB181" s="4">
        <v>0</v>
      </c>
      <c r="AC181" s="4">
        <v>3</v>
      </c>
      <c r="AD181" s="4">
        <v>9</v>
      </c>
      <c r="AE181" s="4">
        <v>332</v>
      </c>
      <c r="AF181" s="4">
        <v>496</v>
      </c>
      <c r="AG181" s="4">
        <v>99</v>
      </c>
      <c r="AH181" s="76">
        <f t="shared" si="1"/>
        <v>10540.52191919192</v>
      </c>
      <c r="AI181" s="76">
        <f t="shared" si="2"/>
        <v>5.0101010101010104</v>
      </c>
      <c r="AJ181" s="78">
        <f>BV181</f>
        <v>30400</v>
      </c>
      <c r="AK181" s="76">
        <f t="shared" si="62"/>
        <v>140232.25806451615</v>
      </c>
      <c r="AL181" s="49">
        <v>41724</v>
      </c>
      <c r="AM181" s="80">
        <f t="shared" si="4"/>
        <v>0.17436916451975679</v>
      </c>
      <c r="AN181" s="76">
        <f t="shared" si="5"/>
        <v>61383.039411764708</v>
      </c>
      <c r="AO181" s="102">
        <f t="shared" si="112"/>
        <v>0.38648580370370372</v>
      </c>
      <c r="AP181" s="82">
        <v>0</v>
      </c>
      <c r="AQ181" s="4">
        <v>38</v>
      </c>
      <c r="AR181" s="4">
        <v>898</v>
      </c>
      <c r="AS181" s="4">
        <v>0</v>
      </c>
      <c r="AT181" s="4">
        <v>4</v>
      </c>
      <c r="AU181" s="4">
        <v>0</v>
      </c>
      <c r="AV181" s="1">
        <v>17</v>
      </c>
      <c r="AW181" s="1">
        <v>53</v>
      </c>
      <c r="AX181" s="1">
        <v>28</v>
      </c>
      <c r="AY181" s="86" t="str">
        <f>IFERROR(VLOOKUP(C181,#REF!,13,0),"")</f>
        <v/>
      </c>
      <c r="AZ181" s="87">
        <v>45930</v>
      </c>
      <c r="BA181" s="1" t="str">
        <f t="shared" si="6"/>
        <v>LEFT</v>
      </c>
      <c r="BB181" s="1" t="e">
        <f t="shared" ca="1" si="7"/>
        <v>#NAME?</v>
      </c>
      <c r="BC181" s="1" t="e">
        <f t="shared" ca="1" si="113"/>
        <v>#NAME?</v>
      </c>
      <c r="BD181" s="134">
        <v>4.612903225806452</v>
      </c>
      <c r="BE181" s="91" t="str">
        <v/>
      </c>
      <c r="BF181" s="1">
        <f t="shared" si="9"/>
        <v>3</v>
      </c>
      <c r="BG181" s="1" t="s">
        <v>428</v>
      </c>
      <c r="BH181" s="89">
        <f ca="1">IFERROR(__xludf.DUMMYFUNCTION("""COMPUTED_VALUE"""),1273352)</f>
        <v>1273352</v>
      </c>
      <c r="BI181" s="89">
        <f ca="1">IFERROR(__xludf.DUMMYFUNCTION("""COMPUTED_VALUE"""),1880165.10999999)</f>
        <v>1880165.1099999901</v>
      </c>
      <c r="BJ181" s="109">
        <f>19/31</f>
        <v>0.61290322580645162</v>
      </c>
      <c r="BK181" s="91"/>
      <c r="BL181" s="91">
        <f t="shared" si="47"/>
        <v>0</v>
      </c>
      <c r="BM181" s="91">
        <f t="shared" si="11"/>
        <v>2700000</v>
      </c>
      <c r="BN181" s="91"/>
      <c r="BO181" s="92">
        <f ca="1">IFERROR(__xludf.DUMMYFUNCTION("IFERROR(ArrayFormula(SUM(VLOOKUP($C181,importrange(""1MwNMVzWE3QBVOyJjKr3eFX-Sq1Ng0Q1sghWJbgbE_8g"",""ORDER BOOKING REPORT 2024-25!C:CV""),{16,23,30},0))))"),1500086.15)</f>
        <v>1500086.15</v>
      </c>
      <c r="BP181" s="92">
        <f ca="1">IFERROR(__xludf.DUMMYFUNCTION("IFERROR(ArrayFormula(SUM(VLOOKUP($C181,importrange(""1MwNMVzWE3QBVOyJjKr3eFX-Sq1Ng0Q1sghWJbgbE_8g"",""ORDER BOOKING REPORT 2024-25!C:CV""),{37,44,51},0))))"),380078.96)</f>
        <v>380078.96</v>
      </c>
      <c r="BQ181" s="92">
        <f ca="1">IFERROR(__xludf.DUMMYFUNCTION("IFERROR(ArrayFormula(SUM(VLOOKUP($C181,importrange(""1MwNMVzWE3QBVOyJjKr3eFX-Sq1Ng0Q1sghWJbgbE_8g"",""ORDER BOOKING REPORT 2024-25!C:CV""),{58,65,72},0))))"),0)</f>
        <v>0</v>
      </c>
      <c r="BR181" s="92">
        <f ca="1">IFERROR(__xludf.DUMMYFUNCTION("IFERROR(ArrayFormula(SUM(VLOOKUP($C181,importrange(""1MwNMVzWE3QBVOyJjKr3eFX-Sq1Ng0Q1sghWJbgbE_8g"",""ORDER BOOKING REPORT 2024-25!C:CV""),{79,86,93},0))))"),0)</f>
        <v>0</v>
      </c>
      <c r="BS181" s="93" t="str">
        <f t="shared" si="12"/>
        <v/>
      </c>
      <c r="BT181" s="93" t="str">
        <f t="shared" si="13"/>
        <v/>
      </c>
      <c r="BU181" s="37">
        <f t="shared" si="14"/>
        <v>0</v>
      </c>
      <c r="BV181" s="94">
        <v>30400</v>
      </c>
      <c r="BW181" s="94" t="s">
        <v>445</v>
      </c>
      <c r="BX181" s="94">
        <v>1247</v>
      </c>
      <c r="BY181" s="37">
        <f t="shared" si="15"/>
        <v>0</v>
      </c>
      <c r="BZ181" s="37"/>
      <c r="CA181" s="37" t="e">
        <f>BE181*4</f>
        <v>#VALUE!</v>
      </c>
      <c r="CB181" s="37"/>
      <c r="CC181" s="37" t="e">
        <f>CA181-H181</f>
        <v>#VALUE!</v>
      </c>
      <c r="CD181" s="37"/>
      <c r="CE181" s="37"/>
      <c r="CF181" s="37"/>
      <c r="CG181" s="37" t="str">
        <f t="shared" si="18"/>
        <v xml:space="preserve"> </v>
      </c>
      <c r="CH181" s="37" t="str">
        <f t="shared" si="26"/>
        <v>Not 50%</v>
      </c>
      <c r="CI181" s="93">
        <f t="shared" si="19"/>
        <v>0.17346938775510204</v>
      </c>
      <c r="CJ181" s="105">
        <f ca="1">IFERROR(__xludf.DUMMYFUNCTION("""COMPUTED_VALUE"""),162)</f>
        <v>162</v>
      </c>
      <c r="CK181" s="105">
        <f ca="1">IFERROR(__xludf.DUMMYFUNCTION("""COMPUTED_VALUE"""),170)</f>
        <v>170</v>
      </c>
      <c r="CL181" s="105">
        <f ca="1">IFERROR(__xludf.DUMMYFUNCTION("""COMPUTED_VALUE"""),0)</f>
        <v>0</v>
      </c>
      <c r="CM181" s="96">
        <f t="shared" ca="1" si="20"/>
        <v>0</v>
      </c>
      <c r="CN181" s="106"/>
      <c r="CO181" s="93"/>
      <c r="CP181" s="107"/>
      <c r="CQ181" s="110"/>
      <c r="CR181" s="93"/>
      <c r="CS181" s="93"/>
      <c r="CT181" s="93"/>
      <c r="CU181" s="93"/>
      <c r="CV181" s="93"/>
      <c r="CW181" s="93"/>
      <c r="CX181" s="51"/>
      <c r="CY181" s="93"/>
      <c r="CZ181" s="93"/>
    </row>
    <row r="182" spans="1:104" ht="15.6">
      <c r="A182" s="1" t="s">
        <v>108</v>
      </c>
      <c r="B182" s="1" t="s">
        <v>465</v>
      </c>
      <c r="C182" s="1" t="s">
        <v>297</v>
      </c>
      <c r="D182" s="1" t="s">
        <v>506</v>
      </c>
      <c r="E182" s="1" t="s">
        <v>478</v>
      </c>
      <c r="F182" s="115">
        <v>45793</v>
      </c>
      <c r="G182" s="76">
        <v>0</v>
      </c>
      <c r="H182" s="76">
        <v>14324000</v>
      </c>
      <c r="I182" s="77">
        <v>10690030.199999999</v>
      </c>
      <c r="J182" s="77">
        <v>0</v>
      </c>
      <c r="K182" s="4">
        <v>41</v>
      </c>
      <c r="L182" s="4">
        <v>85</v>
      </c>
      <c r="M182" s="4">
        <v>44</v>
      </c>
      <c r="N182" s="4">
        <v>85</v>
      </c>
      <c r="O182" s="4">
        <v>0</v>
      </c>
      <c r="P182" s="77">
        <v>6784471.2000000002</v>
      </c>
      <c r="Q182" s="77">
        <v>3905559</v>
      </c>
      <c r="R182" s="4">
        <v>27</v>
      </c>
      <c r="S182" s="4">
        <v>44</v>
      </c>
      <c r="T182" s="4">
        <v>71</v>
      </c>
      <c r="U182" s="4">
        <v>0</v>
      </c>
      <c r="V182" s="4">
        <v>5</v>
      </c>
      <c r="W182" s="4">
        <v>16</v>
      </c>
      <c r="X182" s="4">
        <v>0</v>
      </c>
      <c r="Y182" s="4">
        <v>1</v>
      </c>
      <c r="Z182" s="4">
        <v>27</v>
      </c>
      <c r="AA182" s="4">
        <v>0</v>
      </c>
      <c r="AB182" s="4">
        <v>0</v>
      </c>
      <c r="AC182" s="4">
        <v>0</v>
      </c>
      <c r="AD182" s="4">
        <v>0</v>
      </c>
      <c r="AE182" s="4">
        <v>1410</v>
      </c>
      <c r="AF182" s="4">
        <v>1453</v>
      </c>
      <c r="AG182" s="4">
        <v>251</v>
      </c>
      <c r="AH182" s="76">
        <f t="shared" si="1"/>
        <v>42589.761752988044</v>
      </c>
      <c r="AI182" s="76">
        <f t="shared" si="2"/>
        <v>5.7888446215139444</v>
      </c>
      <c r="AJ182" s="112">
        <v>27000</v>
      </c>
      <c r="AK182" s="76">
        <f t="shared" si="62"/>
        <v>283064.51612903224</v>
      </c>
      <c r="AL182" s="49">
        <v>117490</v>
      </c>
      <c r="AM182" s="80">
        <f t="shared" si="4"/>
        <v>3.746991436273326E-2</v>
      </c>
      <c r="AN182" s="76">
        <f t="shared" si="5"/>
        <v>150563.80563380281</v>
      </c>
      <c r="AO182" s="102">
        <f t="shared" si="112"/>
        <v>0.7463020245741413</v>
      </c>
      <c r="AP182" s="82">
        <v>0</v>
      </c>
      <c r="AQ182" s="4">
        <v>383</v>
      </c>
      <c r="AR182" s="4">
        <v>2464</v>
      </c>
      <c r="AS182" s="4">
        <v>1927.13</v>
      </c>
      <c r="AT182" s="4">
        <v>44</v>
      </c>
      <c r="AU182" s="4">
        <v>23</v>
      </c>
      <c r="AV182" s="1">
        <v>71</v>
      </c>
      <c r="AW182" s="1">
        <v>14</v>
      </c>
      <c r="AX182" s="1">
        <v>0</v>
      </c>
      <c r="AY182" s="86" t="str">
        <f>IFERROR(VLOOKUP(C182,#REF!,13,0),"")</f>
        <v/>
      </c>
      <c r="AZ182" s="87"/>
      <c r="BA182" s="1" t="str">
        <f t="shared" si="6"/>
        <v>Active</v>
      </c>
      <c r="BB182" s="1" t="e">
        <f t="shared" ca="1" si="7"/>
        <v>#NAME?</v>
      </c>
      <c r="BC182" s="4" t="s">
        <v>161</v>
      </c>
      <c r="BD182" s="134">
        <f>(31-16)/31+3+1+1+1+1+1+1+1</f>
        <v>10.483870967741936</v>
      </c>
      <c r="BE182" s="91" t="str">
        <v/>
      </c>
      <c r="BF182" s="1">
        <f t="shared" si="9"/>
        <v>0</v>
      </c>
      <c r="BG182" s="1" t="s">
        <v>428</v>
      </c>
      <c r="BH182" s="89"/>
      <c r="BI182" s="89"/>
      <c r="BJ182" s="109">
        <f>15/31</f>
        <v>0.4838709677419355</v>
      </c>
      <c r="BK182" s="91"/>
      <c r="BL182" s="91">
        <f t="shared" si="47"/>
        <v>0</v>
      </c>
      <c r="BM182" s="91">
        <f t="shared" si="11"/>
        <v>14324000</v>
      </c>
      <c r="BN182" s="91"/>
      <c r="BO182" s="92" t="str">
        <f ca="1">IFERROR(__xludf.DUMMYFUNCTION("IFERROR(ArrayFormula(SUM(VLOOKUP($C182,importrange(""1MwNMVzWE3QBVOyJjKr3eFX-Sq1Ng0Q1sghWJbgbE_8g"",""ORDER BOOKING REPORT 2024-25!C:CV""),{16,23,30},0))))"),"")</f>
        <v/>
      </c>
      <c r="BP182" s="92" t="str">
        <f ca="1">IFERROR(__xludf.DUMMYFUNCTION("IFERROR(ArrayFormula(SUM(VLOOKUP($C182,importrange(""1MwNMVzWE3QBVOyJjKr3eFX-Sq1Ng0Q1sghWJbgbE_8g"",""ORDER BOOKING REPORT 2024-25!C:CV""),{37,44,51},0))))"),"")</f>
        <v/>
      </c>
      <c r="BQ182" s="92" t="str">
        <f ca="1">IFERROR(__xludf.DUMMYFUNCTION("IFERROR(ArrayFormula(SUM(VLOOKUP($C182,importrange(""1MwNMVzWE3QBVOyJjKr3eFX-Sq1Ng0Q1sghWJbgbE_8g"",""ORDER BOOKING REPORT 2024-25!C:CV""),{58,65,72},0))))"),"")</f>
        <v/>
      </c>
      <c r="BR182" s="92" t="str">
        <f ca="1">IFERROR(__xludf.DUMMYFUNCTION("IFERROR(ArrayFormula(SUM(VLOOKUP($C182,importrange(""1MwNMVzWE3QBVOyJjKr3eFX-Sq1Ng0Q1sghWJbgbE_8g"",""ORDER BOOKING REPORT 2024-25!C:CV""),{79,86,93},0))))"),"")</f>
        <v/>
      </c>
      <c r="BS182" s="93" t="str">
        <f t="shared" si="12"/>
        <v/>
      </c>
      <c r="BT182" s="93" t="str">
        <f t="shared" si="13"/>
        <v/>
      </c>
      <c r="BU182" s="37">
        <f t="shared" si="14"/>
        <v>0</v>
      </c>
      <c r="BV182" s="94"/>
      <c r="BW182" s="94"/>
      <c r="BX182" s="94"/>
      <c r="BY182" s="37">
        <f t="shared" si="15"/>
        <v>-27000</v>
      </c>
      <c r="BZ182" s="37"/>
      <c r="CA182" s="37"/>
      <c r="CB182" s="37"/>
      <c r="CC182" s="37"/>
      <c r="CD182" s="37"/>
      <c r="CE182" s="37"/>
      <c r="CF182" s="37"/>
      <c r="CG182" s="37" t="str">
        <f t="shared" si="18"/>
        <v xml:space="preserve"> </v>
      </c>
      <c r="CH182" s="37" t="str">
        <f t="shared" si="26"/>
        <v>Business Achieved 50%</v>
      </c>
      <c r="CI182" s="93">
        <f t="shared" si="19"/>
        <v>0.83529411764705885</v>
      </c>
      <c r="CJ182" s="105">
        <f ca="1">IFERROR(__xludf.DUMMYFUNCTION("""COMPUTED_VALUE"""),1393)</f>
        <v>1393</v>
      </c>
      <c r="CK182" s="105">
        <f ca="1">IFERROR(__xludf.DUMMYFUNCTION("""COMPUTED_VALUE"""),17)</f>
        <v>17</v>
      </c>
      <c r="CL182" s="105">
        <f ca="1">IFERROR(__xludf.DUMMYFUNCTION("""COMPUTED_VALUE"""),0)</f>
        <v>0</v>
      </c>
      <c r="CM182" s="96">
        <f t="shared" ca="1" si="20"/>
        <v>0</v>
      </c>
      <c r="CN182" s="106"/>
      <c r="CO182" s="93"/>
      <c r="CP182" s="107"/>
      <c r="CQ182" s="110"/>
      <c r="CR182" s="93"/>
      <c r="CS182" s="93"/>
      <c r="CT182" s="93"/>
      <c r="CU182" s="93"/>
      <c r="CV182" s="93"/>
      <c r="CW182" s="93"/>
      <c r="CX182" s="51"/>
      <c r="CY182" s="93"/>
      <c r="CZ182" s="93"/>
    </row>
    <row r="183" spans="1:104" ht="15.6">
      <c r="A183" s="1" t="s">
        <v>118</v>
      </c>
      <c r="B183" s="1" t="s">
        <v>362</v>
      </c>
      <c r="C183" s="1" t="s">
        <v>299</v>
      </c>
      <c r="D183" s="1" t="s">
        <v>419</v>
      </c>
      <c r="E183" s="1" t="s">
        <v>645</v>
      </c>
      <c r="F183" s="115">
        <v>45796</v>
      </c>
      <c r="G183" s="76">
        <v>0</v>
      </c>
      <c r="H183" s="76">
        <v>0</v>
      </c>
      <c r="I183" s="77">
        <v>0</v>
      </c>
      <c r="J183" s="77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77">
        <v>0</v>
      </c>
      <c r="Q183" s="77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1</v>
      </c>
      <c r="AD183" s="4">
        <v>1</v>
      </c>
      <c r="AE183" s="4">
        <v>0</v>
      </c>
      <c r="AF183" s="4">
        <v>1</v>
      </c>
      <c r="AG183" s="4">
        <v>1</v>
      </c>
      <c r="AH183" s="76">
        <f t="shared" si="1"/>
        <v>0</v>
      </c>
      <c r="AI183" s="76">
        <f t="shared" si="2"/>
        <v>1</v>
      </c>
      <c r="AJ183" s="112">
        <v>22000</v>
      </c>
      <c r="AK183" s="76">
        <f t="shared" si="62"/>
        <v>5720</v>
      </c>
      <c r="AL183" s="79"/>
      <c r="AM183" s="80" t="str">
        <f t="shared" si="4"/>
        <v/>
      </c>
      <c r="AN183" s="76" t="str">
        <f t="shared" si="5"/>
        <v/>
      </c>
      <c r="AO183" s="49" t="s">
        <v>161</v>
      </c>
      <c r="AP183" s="82">
        <v>0</v>
      </c>
      <c r="AQ183" s="4">
        <v>0</v>
      </c>
      <c r="AR183" s="4">
        <v>18</v>
      </c>
      <c r="AS183" s="4">
        <v>0</v>
      </c>
      <c r="AT183" s="4">
        <v>0</v>
      </c>
      <c r="AU183" s="4">
        <v>0</v>
      </c>
      <c r="AV183" s="1">
        <v>0</v>
      </c>
      <c r="AW183" s="1">
        <v>0</v>
      </c>
      <c r="AX183" s="1">
        <v>0</v>
      </c>
      <c r="AY183" s="86" t="str">
        <f>IFERROR(VLOOKUP(C183,#REF!,13,0),"")</f>
        <v/>
      </c>
      <c r="AZ183" s="111">
        <v>45804</v>
      </c>
      <c r="BA183" s="1" t="str">
        <f t="shared" si="6"/>
        <v>LEFT</v>
      </c>
      <c r="BB183" s="1" t="e">
        <f t="shared" ca="1" si="7"/>
        <v>#NAME?</v>
      </c>
      <c r="BC183" s="4" t="s">
        <v>161</v>
      </c>
      <c r="BD183" s="33">
        <v>0.26</v>
      </c>
      <c r="BE183" s="88" t="str">
        <v/>
      </c>
      <c r="BF183" s="1">
        <f t="shared" si="9"/>
        <v>0</v>
      </c>
      <c r="BG183" s="1" t="s">
        <v>428</v>
      </c>
      <c r="BH183" s="89"/>
      <c r="BI183" s="89"/>
      <c r="BJ183" s="109">
        <f>8/31</f>
        <v>0.25806451612903225</v>
      </c>
      <c r="BK183" s="113"/>
      <c r="BL183" s="91">
        <f t="shared" si="47"/>
        <v>0</v>
      </c>
      <c r="BM183" s="91">
        <f t="shared" si="11"/>
        <v>0</v>
      </c>
      <c r="BN183" s="91"/>
      <c r="BO183" s="92" t="str">
        <f ca="1">IFERROR(__xludf.DUMMYFUNCTION("IFERROR(ArrayFormula(SUM(VLOOKUP($C183,importrange(""1MwNMVzWE3QBVOyJjKr3eFX-Sq1Ng0Q1sghWJbgbE_8g"",""ORDER BOOKING REPORT 2024-25!C:CV""),{16,23,30},0))))"),"")</f>
        <v/>
      </c>
      <c r="BP183" s="92" t="str">
        <f ca="1">IFERROR(__xludf.DUMMYFUNCTION("IFERROR(ArrayFormula(SUM(VLOOKUP($C183,importrange(""1MwNMVzWE3QBVOyJjKr3eFX-Sq1Ng0Q1sghWJbgbE_8g"",""ORDER BOOKING REPORT 2024-25!C:CV""),{37,44,51},0))))"),"")</f>
        <v/>
      </c>
      <c r="BQ183" s="92" t="str">
        <f ca="1">IFERROR(__xludf.DUMMYFUNCTION("IFERROR(ArrayFormula(SUM(VLOOKUP($C183,importrange(""1MwNMVzWE3QBVOyJjKr3eFX-Sq1Ng0Q1sghWJbgbE_8g"",""ORDER BOOKING REPORT 2024-25!C:CV""),{58,65,72},0))))"),"")</f>
        <v/>
      </c>
      <c r="BR183" s="92" t="str">
        <f ca="1">IFERROR(__xludf.DUMMYFUNCTION("IFERROR(ArrayFormula(SUM(VLOOKUP($C183,importrange(""1MwNMVzWE3QBVOyJjKr3eFX-Sq1Ng0Q1sghWJbgbE_8g"",""ORDER BOOKING REPORT 2024-25!C:CV""),{79,86,93},0))))"),"")</f>
        <v/>
      </c>
      <c r="BS183" s="93" t="str">
        <f t="shared" si="12"/>
        <v/>
      </c>
      <c r="BT183" s="93" t="str">
        <f t="shared" si="13"/>
        <v/>
      </c>
      <c r="BU183" s="37">
        <f t="shared" si="14"/>
        <v>0</v>
      </c>
      <c r="BV183" s="94"/>
      <c r="BW183" s="94"/>
      <c r="BX183" s="94"/>
      <c r="BY183" s="37">
        <f t="shared" si="15"/>
        <v>-22000</v>
      </c>
      <c r="BZ183" s="37"/>
      <c r="CA183" s="37"/>
      <c r="CB183" s="37"/>
      <c r="CC183" s="37"/>
      <c r="CD183" s="37"/>
      <c r="CE183" s="37"/>
      <c r="CF183" s="37"/>
      <c r="CG183" s="37" t="str">
        <f t="shared" si="18"/>
        <v>Below 60</v>
      </c>
      <c r="CH183" s="37" t="str">
        <f t="shared" si="26"/>
        <v>Not 50%</v>
      </c>
      <c r="CI183" s="93">
        <f t="shared" si="19"/>
        <v>0</v>
      </c>
      <c r="CJ183" s="95"/>
      <c r="CK183" s="95"/>
      <c r="CL183" s="95"/>
      <c r="CM183" s="96">
        <f t="shared" si="20"/>
        <v>0</v>
      </c>
      <c r="CN183" s="103"/>
      <c r="CO183" s="4"/>
      <c r="CP183" s="100"/>
      <c r="CQ183" s="101"/>
      <c r="CR183" s="4"/>
      <c r="CS183" s="4"/>
      <c r="CT183" s="4"/>
      <c r="CU183" s="4"/>
      <c r="CV183" s="4"/>
      <c r="CW183" s="101"/>
      <c r="CX183" s="51"/>
      <c r="CY183" s="4"/>
      <c r="CZ183" s="4"/>
    </row>
    <row r="184" spans="1:104" ht="15.6">
      <c r="A184" s="1" t="s">
        <v>118</v>
      </c>
      <c r="B184" s="1" t="s">
        <v>372</v>
      </c>
      <c r="C184" s="1" t="s">
        <v>298</v>
      </c>
      <c r="D184" s="1" t="s">
        <v>447</v>
      </c>
      <c r="E184" s="1" t="s">
        <v>514</v>
      </c>
      <c r="F184" s="115">
        <v>45797</v>
      </c>
      <c r="G184" s="76">
        <v>0</v>
      </c>
      <c r="H184" s="76">
        <v>0</v>
      </c>
      <c r="I184" s="77">
        <v>0</v>
      </c>
      <c r="J184" s="77">
        <v>0</v>
      </c>
      <c r="K184" s="4">
        <v>52</v>
      </c>
      <c r="L184" s="4">
        <v>58</v>
      </c>
      <c r="M184" s="4">
        <v>6</v>
      </c>
      <c r="N184" s="4">
        <v>58</v>
      </c>
      <c r="O184" s="4">
        <v>0</v>
      </c>
      <c r="P184" s="77">
        <v>0</v>
      </c>
      <c r="Q184" s="77">
        <v>0</v>
      </c>
      <c r="R184" s="4">
        <v>0</v>
      </c>
      <c r="S184" s="4">
        <v>0</v>
      </c>
      <c r="T184" s="4">
        <v>0</v>
      </c>
      <c r="U184" s="4">
        <v>0</v>
      </c>
      <c r="V184" s="4">
        <v>18</v>
      </c>
      <c r="W184" s="4">
        <v>40</v>
      </c>
      <c r="X184" s="4">
        <v>0</v>
      </c>
      <c r="Y184" s="4">
        <v>13</v>
      </c>
      <c r="Z184" s="4">
        <v>48</v>
      </c>
      <c r="AA184" s="4">
        <v>1</v>
      </c>
      <c r="AB184" s="4">
        <v>1</v>
      </c>
      <c r="AC184" s="4">
        <v>14</v>
      </c>
      <c r="AD184" s="4">
        <v>16</v>
      </c>
      <c r="AE184" s="4">
        <v>68</v>
      </c>
      <c r="AF184" s="4">
        <v>173</v>
      </c>
      <c r="AG184" s="4">
        <v>57</v>
      </c>
      <c r="AH184" s="76">
        <f t="shared" si="1"/>
        <v>0</v>
      </c>
      <c r="AI184" s="76">
        <f t="shared" si="2"/>
        <v>3.0350877192982457</v>
      </c>
      <c r="AJ184" s="78">
        <v>119308</v>
      </c>
      <c r="AK184" s="76">
        <f t="shared" si="62"/>
        <v>280373.8</v>
      </c>
      <c r="AL184" s="79">
        <v>106425</v>
      </c>
      <c r="AM184" s="80" t="str">
        <f t="shared" si="4"/>
        <v/>
      </c>
      <c r="AN184" s="76" t="str">
        <f t="shared" si="5"/>
        <v/>
      </c>
      <c r="AO184" s="49" t="s">
        <v>161</v>
      </c>
      <c r="AP184" s="82">
        <v>0</v>
      </c>
      <c r="AQ184" s="4">
        <v>0</v>
      </c>
      <c r="AR184" s="4">
        <v>555</v>
      </c>
      <c r="AS184" s="4">
        <v>0</v>
      </c>
      <c r="AT184" s="4">
        <v>0</v>
      </c>
      <c r="AU184" s="4">
        <v>0</v>
      </c>
      <c r="AV184" s="1">
        <v>0</v>
      </c>
      <c r="AW184" s="1">
        <v>58</v>
      </c>
      <c r="AX184" s="1">
        <v>0</v>
      </c>
      <c r="AY184" s="86" t="str">
        <f>IFERROR(VLOOKUP(C184,#REF!,13,0),"")</f>
        <v/>
      </c>
      <c r="AZ184" s="87">
        <v>45899</v>
      </c>
      <c r="BA184" s="1" t="str">
        <f t="shared" si="6"/>
        <v>LEFT</v>
      </c>
      <c r="BB184" s="1" t="e">
        <f t="shared" ca="1" si="7"/>
        <v>#NAME?</v>
      </c>
      <c r="BC184" s="4" t="s">
        <v>161</v>
      </c>
      <c r="BD184" s="33">
        <v>2.35</v>
      </c>
      <c r="BE184" s="88" t="str">
        <v/>
      </c>
      <c r="BF184" s="1">
        <f t="shared" si="9"/>
        <v>6</v>
      </c>
      <c r="BG184" s="37" t="s">
        <v>423</v>
      </c>
      <c r="BH184" s="89"/>
      <c r="BI184" s="89"/>
      <c r="BJ184" s="109">
        <f t="shared" ref="BJ184:BJ185" si="114">11/31</f>
        <v>0.35483870967741937</v>
      </c>
      <c r="BK184" s="91"/>
      <c r="BL184" s="91">
        <f t="shared" si="47"/>
        <v>0</v>
      </c>
      <c r="BM184" s="91">
        <f t="shared" si="11"/>
        <v>0</v>
      </c>
      <c r="BN184" s="91"/>
      <c r="BO184" s="92" t="str">
        <f ca="1">IFERROR(__xludf.DUMMYFUNCTION("IFERROR(ArrayFormula(SUM(VLOOKUP($C184,importrange(""1MwNMVzWE3QBVOyJjKr3eFX-Sq1Ng0Q1sghWJbgbE_8g"",""ORDER BOOKING REPORT 2024-25!C:CV""),{16,23,30},0))))"),"")</f>
        <v/>
      </c>
      <c r="BP184" s="92" t="str">
        <f ca="1">IFERROR(__xludf.DUMMYFUNCTION("IFERROR(ArrayFormula(SUM(VLOOKUP($C184,importrange(""1MwNMVzWE3QBVOyJjKr3eFX-Sq1Ng0Q1sghWJbgbE_8g"",""ORDER BOOKING REPORT 2024-25!C:CV""),{37,44,51},0))))"),"")</f>
        <v/>
      </c>
      <c r="BQ184" s="92" t="str">
        <f ca="1">IFERROR(__xludf.DUMMYFUNCTION("IFERROR(ArrayFormula(SUM(VLOOKUP($C184,importrange(""1MwNMVzWE3QBVOyJjKr3eFX-Sq1Ng0Q1sghWJbgbE_8g"",""ORDER BOOKING REPORT 2024-25!C:CV""),{58,65,72},0))))"),"")</f>
        <v/>
      </c>
      <c r="BR184" s="92" t="str">
        <f ca="1">IFERROR(__xludf.DUMMYFUNCTION("IFERROR(ArrayFormula(SUM(VLOOKUP($C184,importrange(""1MwNMVzWE3QBVOyJjKr3eFX-Sq1Ng0Q1sghWJbgbE_8g"",""ORDER BOOKING REPORT 2024-25!C:CV""),{79,86,93},0))))"),"")</f>
        <v/>
      </c>
      <c r="BS184" s="93" t="str">
        <f t="shared" si="12"/>
        <v/>
      </c>
      <c r="BT184" s="93" t="str">
        <f t="shared" si="13"/>
        <v/>
      </c>
      <c r="BU184" s="37">
        <f t="shared" si="14"/>
        <v>0</v>
      </c>
      <c r="BV184" s="94">
        <v>119308</v>
      </c>
      <c r="BW184" s="94" t="s">
        <v>434</v>
      </c>
      <c r="BX184" s="94">
        <v>1248</v>
      </c>
      <c r="BY184" s="37">
        <f t="shared" si="15"/>
        <v>0</v>
      </c>
      <c r="BZ184" s="37"/>
      <c r="CA184" s="37"/>
      <c r="CB184" s="37"/>
      <c r="CC184" s="37"/>
      <c r="CD184" s="37"/>
      <c r="CE184" s="37"/>
      <c r="CF184" s="37"/>
      <c r="CG184" s="37" t="str">
        <f t="shared" si="18"/>
        <v>Below 60</v>
      </c>
      <c r="CH184" s="37" t="str">
        <f t="shared" si="26"/>
        <v>Not 50%</v>
      </c>
      <c r="CI184" s="93">
        <f t="shared" si="19"/>
        <v>0</v>
      </c>
      <c r="CJ184" s="95"/>
      <c r="CK184" s="95"/>
      <c r="CL184" s="95"/>
      <c r="CM184" s="96">
        <f t="shared" si="20"/>
        <v>68</v>
      </c>
      <c r="CN184" s="103"/>
      <c r="CO184" s="4"/>
      <c r="CP184" s="100"/>
      <c r="CQ184" s="101"/>
      <c r="CR184" s="4"/>
      <c r="CS184" s="4"/>
      <c r="CT184" s="4"/>
      <c r="CU184" s="4"/>
      <c r="CV184" s="4"/>
      <c r="CW184" s="101"/>
      <c r="CX184" s="51"/>
      <c r="CY184" s="4"/>
      <c r="CZ184" s="4"/>
    </row>
    <row r="185" spans="1:104" ht="15.6">
      <c r="A185" s="114" t="s">
        <v>201</v>
      </c>
      <c r="B185" s="114" t="s">
        <v>431</v>
      </c>
      <c r="C185" s="114" t="s">
        <v>300</v>
      </c>
      <c r="D185" s="1" t="s">
        <v>431</v>
      </c>
      <c r="E185" s="1" t="s">
        <v>646</v>
      </c>
      <c r="F185" s="115">
        <v>45797</v>
      </c>
      <c r="G185" s="76">
        <v>0</v>
      </c>
      <c r="H185" s="76">
        <v>8400000</v>
      </c>
      <c r="I185" s="77">
        <v>2029047.22</v>
      </c>
      <c r="J185" s="77">
        <v>0</v>
      </c>
      <c r="K185" s="4">
        <v>29</v>
      </c>
      <c r="L185" s="4">
        <v>54</v>
      </c>
      <c r="M185" s="4">
        <v>25</v>
      </c>
      <c r="N185" s="4">
        <v>54</v>
      </c>
      <c r="O185" s="4">
        <v>0</v>
      </c>
      <c r="P185" s="77">
        <v>163525.32999999999</v>
      </c>
      <c r="Q185" s="77">
        <v>1865521.89</v>
      </c>
      <c r="R185" s="4">
        <v>1</v>
      </c>
      <c r="S185" s="4">
        <v>25</v>
      </c>
      <c r="T185" s="4">
        <v>26</v>
      </c>
      <c r="U185" s="4">
        <v>0</v>
      </c>
      <c r="V185" s="4">
        <v>226</v>
      </c>
      <c r="W185" s="4">
        <v>743</v>
      </c>
      <c r="X185" s="4">
        <v>0</v>
      </c>
      <c r="Y185" s="4">
        <v>1</v>
      </c>
      <c r="Z185" s="4">
        <v>28</v>
      </c>
      <c r="AA185" s="4">
        <v>0</v>
      </c>
      <c r="AB185" s="4">
        <v>0</v>
      </c>
      <c r="AC185" s="4">
        <v>0</v>
      </c>
      <c r="AD185" s="4">
        <v>0</v>
      </c>
      <c r="AE185" s="4">
        <v>451</v>
      </c>
      <c r="AF185" s="4">
        <v>1222</v>
      </c>
      <c r="AG185" s="4">
        <v>179</v>
      </c>
      <c r="AH185" s="76">
        <f t="shared" si="1"/>
        <v>11335.459329608939</v>
      </c>
      <c r="AI185" s="76">
        <f t="shared" si="2"/>
        <v>6.8268156424581008</v>
      </c>
      <c r="AJ185" s="78">
        <f>BV185</f>
        <v>33050</v>
      </c>
      <c r="AK185" s="76">
        <f t="shared" si="62"/>
        <v>243077.41935483873</v>
      </c>
      <c r="AL185" s="49">
        <v>83391</v>
      </c>
      <c r="AM185" s="80">
        <f t="shared" si="4"/>
        <v>0.16089739860999328</v>
      </c>
      <c r="AN185" s="76">
        <f t="shared" si="5"/>
        <v>78040.277692307689</v>
      </c>
      <c r="AO185" s="102">
        <f t="shared" ref="AO185:AO231" si="115">IFERROR(SUM(I185:J185)/SUM(G185:H185),"")</f>
        <v>0.24155324047619048</v>
      </c>
      <c r="AP185" s="82">
        <v>0</v>
      </c>
      <c r="AQ185" s="4">
        <v>48</v>
      </c>
      <c r="AR185" s="4">
        <v>1776</v>
      </c>
      <c r="AS185" s="4">
        <v>0</v>
      </c>
      <c r="AT185" s="4">
        <v>25</v>
      </c>
      <c r="AU185" s="4">
        <v>0</v>
      </c>
      <c r="AV185" s="1">
        <v>26</v>
      </c>
      <c r="AW185" s="1">
        <v>28</v>
      </c>
      <c r="AX185" s="1">
        <v>0</v>
      </c>
      <c r="AY185" s="86" t="str">
        <f>IFERROR(VLOOKUP(C185,#REF!,13,0),"")</f>
        <v/>
      </c>
      <c r="AZ185" s="87">
        <v>46022</v>
      </c>
      <c r="BA185" s="1" t="str">
        <f t="shared" si="6"/>
        <v>LEFT</v>
      </c>
      <c r="BB185" s="1" t="e">
        <f t="shared" ca="1" si="7"/>
        <v>#NAME?</v>
      </c>
      <c r="BC185" s="1" t="e">
        <f t="shared" ref="BC185:BC189" ca="1" si="116">_xludf.ifs(AO185&lt;50%,"Below 50%",AO185&lt;70%,"50%-70%",AO185&lt;90%,"70%-90%",AO185&lt;100%,"90%-100%",AO185&gt;100%,"Above 100%")</f>
        <v>#NAME?</v>
      </c>
      <c r="BD185" s="134">
        <f>(31-20)/31+3+1+1+1+1</f>
        <v>7.3548387096774199</v>
      </c>
      <c r="BE185" s="88" t="str">
        <v/>
      </c>
      <c r="BF185" s="1">
        <f t="shared" si="9"/>
        <v>0</v>
      </c>
      <c r="BG185" s="1" t="s">
        <v>428</v>
      </c>
      <c r="BH185" s="89"/>
      <c r="BI185" s="89"/>
      <c r="BJ185" s="109">
        <f t="shared" si="114"/>
        <v>0.35483870967741937</v>
      </c>
      <c r="BK185" s="91"/>
      <c r="BL185" s="91">
        <f t="shared" si="47"/>
        <v>0</v>
      </c>
      <c r="BM185" s="91">
        <f t="shared" si="11"/>
        <v>8400000</v>
      </c>
      <c r="BN185" s="91"/>
      <c r="BO185" s="92" t="str">
        <f ca="1">IFERROR(__xludf.DUMMYFUNCTION("IFERROR(ArrayFormula(SUM(VLOOKUP($C185,importrange(""1MwNMVzWE3QBVOyJjKr3eFX-Sq1Ng0Q1sghWJbgbE_8g"",""ORDER BOOKING REPORT 2024-25!C:CV""),{16,23,30},0))))"),"")</f>
        <v/>
      </c>
      <c r="BP185" s="92" t="str">
        <f ca="1">IFERROR(__xludf.DUMMYFUNCTION("IFERROR(ArrayFormula(SUM(VLOOKUP($C185,importrange(""1MwNMVzWE3QBVOyJjKr3eFX-Sq1Ng0Q1sghWJbgbE_8g"",""ORDER BOOKING REPORT 2024-25!C:CV""),{37,44,51},0))))"),"")</f>
        <v/>
      </c>
      <c r="BQ185" s="92" t="str">
        <f ca="1">IFERROR(__xludf.DUMMYFUNCTION("IFERROR(ArrayFormula(SUM(VLOOKUP($C185,importrange(""1MwNMVzWE3QBVOyJjKr3eFX-Sq1Ng0Q1sghWJbgbE_8g"",""ORDER BOOKING REPORT 2024-25!C:CV""),{58,65,72},0))))"),"")</f>
        <v/>
      </c>
      <c r="BR185" s="92" t="str">
        <f ca="1">IFERROR(__xludf.DUMMYFUNCTION("IFERROR(ArrayFormula(SUM(VLOOKUP($C185,importrange(""1MwNMVzWE3QBVOyJjKr3eFX-Sq1Ng0Q1sghWJbgbE_8g"",""ORDER BOOKING REPORT 2024-25!C:CV""),{79,86,93},0))))"),"")</f>
        <v/>
      </c>
      <c r="BS185" s="93" t="str">
        <f t="shared" si="12"/>
        <v/>
      </c>
      <c r="BT185" s="93" t="str">
        <f t="shared" si="13"/>
        <v/>
      </c>
      <c r="BU185" s="37">
        <f t="shared" si="14"/>
        <v>0</v>
      </c>
      <c r="BV185" s="94">
        <v>33050</v>
      </c>
      <c r="BW185" s="94" t="s">
        <v>476</v>
      </c>
      <c r="BX185" s="94">
        <v>1246</v>
      </c>
      <c r="BY185" s="37">
        <f t="shared" si="15"/>
        <v>0</v>
      </c>
      <c r="BZ185" s="37"/>
      <c r="CA185" s="37"/>
      <c r="CB185" s="37"/>
      <c r="CC185" s="37"/>
      <c r="CD185" s="37"/>
      <c r="CE185" s="37"/>
      <c r="CF185" s="37"/>
      <c r="CG185" s="37" t="str">
        <f t="shared" si="18"/>
        <v>Below 60</v>
      </c>
      <c r="CH185" s="37" t="str">
        <f t="shared" si="26"/>
        <v>Not 50%</v>
      </c>
      <c r="CI185" s="93">
        <f t="shared" si="19"/>
        <v>0.48148148148148145</v>
      </c>
      <c r="CJ185" s="105">
        <f ca="1">IFERROR(__xludf.DUMMYFUNCTION("""COMPUTED_VALUE"""),281)</f>
        <v>281</v>
      </c>
      <c r="CK185" s="105">
        <f ca="1">IFERROR(__xludf.DUMMYFUNCTION("""COMPUTED_VALUE"""),170)</f>
        <v>170</v>
      </c>
      <c r="CL185" s="105">
        <f ca="1">IFERROR(__xludf.DUMMYFUNCTION("""COMPUTED_VALUE"""),0)</f>
        <v>0</v>
      </c>
      <c r="CM185" s="96">
        <f t="shared" ca="1" si="20"/>
        <v>0</v>
      </c>
      <c r="CN185" s="106"/>
      <c r="CO185" s="93"/>
      <c r="CP185" s="107"/>
      <c r="CQ185" s="110"/>
      <c r="CR185" s="93"/>
      <c r="CS185" s="93"/>
      <c r="CT185" s="93"/>
      <c r="CU185" s="93"/>
      <c r="CV185" s="93"/>
      <c r="CW185" s="93"/>
      <c r="CX185" s="51"/>
      <c r="CY185" s="93"/>
      <c r="CZ185" s="93"/>
    </row>
    <row r="186" spans="1:104" ht="15.6">
      <c r="A186" s="1" t="s">
        <v>117</v>
      </c>
      <c r="B186" s="1" t="s">
        <v>450</v>
      </c>
      <c r="C186" s="1" t="s">
        <v>303</v>
      </c>
      <c r="D186" s="1" t="s">
        <v>482</v>
      </c>
      <c r="E186" s="1" t="s">
        <v>647</v>
      </c>
      <c r="F186" s="104">
        <v>45810</v>
      </c>
      <c r="G186" s="76">
        <v>0</v>
      </c>
      <c r="H186" s="76">
        <v>8000000</v>
      </c>
      <c r="I186" s="77">
        <v>2939713.64</v>
      </c>
      <c r="J186" s="77">
        <v>0</v>
      </c>
      <c r="K186" s="4">
        <v>21</v>
      </c>
      <c r="L186" s="4">
        <v>44</v>
      </c>
      <c r="M186" s="4">
        <v>23</v>
      </c>
      <c r="N186" s="4">
        <v>44</v>
      </c>
      <c r="O186" s="4">
        <v>0</v>
      </c>
      <c r="P186" s="77">
        <v>925658.96</v>
      </c>
      <c r="Q186" s="77">
        <v>2014054.68</v>
      </c>
      <c r="R186" s="4">
        <v>14</v>
      </c>
      <c r="S186" s="4">
        <v>23</v>
      </c>
      <c r="T186" s="4">
        <v>37</v>
      </c>
      <c r="U186" s="4">
        <v>0</v>
      </c>
      <c r="V186" s="4">
        <v>124</v>
      </c>
      <c r="W186" s="4">
        <v>366</v>
      </c>
      <c r="X186" s="4">
        <v>2</v>
      </c>
      <c r="Y186" s="4">
        <v>1</v>
      </c>
      <c r="Z186" s="4">
        <v>93</v>
      </c>
      <c r="AA186" s="4">
        <v>0</v>
      </c>
      <c r="AB186" s="4">
        <v>0</v>
      </c>
      <c r="AC186" s="4">
        <v>1</v>
      </c>
      <c r="AD186" s="4">
        <v>2</v>
      </c>
      <c r="AE186" s="4">
        <v>461</v>
      </c>
      <c r="AF186" s="4">
        <v>922</v>
      </c>
      <c r="AG186" s="4">
        <v>229</v>
      </c>
      <c r="AH186" s="76">
        <f t="shared" si="1"/>
        <v>12837.177467248908</v>
      </c>
      <c r="AI186" s="76">
        <f t="shared" si="2"/>
        <v>4.0262008733624457</v>
      </c>
      <c r="AJ186" s="112">
        <v>38285</v>
      </c>
      <c r="AK186" s="76">
        <f t="shared" si="62"/>
        <v>382850</v>
      </c>
      <c r="AL186" s="79">
        <v>97509</v>
      </c>
      <c r="AM186" s="80">
        <f t="shared" si="4"/>
        <v>0.16340333067271137</v>
      </c>
      <c r="AN186" s="76">
        <f t="shared" si="5"/>
        <v>79451.72</v>
      </c>
      <c r="AO186" s="102">
        <f t="shared" si="115"/>
        <v>0.36746420500000004</v>
      </c>
      <c r="AP186" s="82">
        <v>0</v>
      </c>
      <c r="AQ186" s="4">
        <v>190</v>
      </c>
      <c r="AR186" s="4">
        <v>1800</v>
      </c>
      <c r="AS186" s="4">
        <v>1355.17</v>
      </c>
      <c r="AT186" s="4">
        <v>23</v>
      </c>
      <c r="AU186" s="4">
        <v>31</v>
      </c>
      <c r="AV186" s="1">
        <v>37</v>
      </c>
      <c r="AW186" s="1">
        <v>7</v>
      </c>
      <c r="AX186" s="1">
        <v>0</v>
      </c>
      <c r="AY186" s="86" t="str">
        <f>IFERROR(VLOOKUP(C186,#REF!,13,0),"")</f>
        <v/>
      </c>
      <c r="AZ186" s="87"/>
      <c r="BA186" s="1" t="str">
        <f t="shared" si="6"/>
        <v>Active</v>
      </c>
      <c r="BB186" s="1" t="e">
        <f t="shared" ca="1" si="7"/>
        <v>#NAME?</v>
      </c>
      <c r="BC186" s="1" t="e">
        <f t="shared" ca="1" si="116"/>
        <v>#NAME?</v>
      </c>
      <c r="BD186" s="33">
        <v>10</v>
      </c>
      <c r="BE186" s="88" t="str">
        <v/>
      </c>
      <c r="BF186" s="1">
        <f t="shared" si="9"/>
        <v>0</v>
      </c>
      <c r="BG186" s="1" t="s">
        <v>428</v>
      </c>
      <c r="BH186" s="89"/>
      <c r="BI186" s="89"/>
      <c r="BJ186" s="109"/>
      <c r="BK186" s="91"/>
      <c r="BL186" s="91">
        <f t="shared" si="47"/>
        <v>0</v>
      </c>
      <c r="BM186" s="91">
        <f t="shared" si="11"/>
        <v>8000000</v>
      </c>
      <c r="BN186" s="91"/>
      <c r="BO186" s="92" t="str">
        <f ca="1">IFERROR(__xludf.DUMMYFUNCTION("IFERROR(ArrayFormula(SUM(VLOOKUP($C186,importrange(""1MwNMVzWE3QBVOyJjKr3eFX-Sq1Ng0Q1sghWJbgbE_8g"",""ORDER BOOKING REPORT 2024-25!C:CV""),{16,23,30},0))))"),"")</f>
        <v/>
      </c>
      <c r="BP186" s="92" t="str">
        <f ca="1">IFERROR(__xludf.DUMMYFUNCTION("IFERROR(ArrayFormula(SUM(VLOOKUP($C186,importrange(""1MwNMVzWE3QBVOyJjKr3eFX-Sq1Ng0Q1sghWJbgbE_8g"",""ORDER BOOKING REPORT 2024-25!C:CV""),{37,44,51},0))))"),"")</f>
        <v/>
      </c>
      <c r="BQ186" s="92" t="str">
        <f ca="1">IFERROR(__xludf.DUMMYFUNCTION("IFERROR(ArrayFormula(SUM(VLOOKUP($C186,importrange(""1MwNMVzWE3QBVOyJjKr3eFX-Sq1Ng0Q1sghWJbgbE_8g"",""ORDER BOOKING REPORT 2024-25!C:CV""),{58,65,72},0))))"),"")</f>
        <v/>
      </c>
      <c r="BR186" s="92" t="str">
        <f ca="1">IFERROR(__xludf.DUMMYFUNCTION("IFERROR(ArrayFormula(SUM(VLOOKUP($C186,importrange(""1MwNMVzWE3QBVOyJjKr3eFX-Sq1Ng0Q1sghWJbgbE_8g"",""ORDER BOOKING REPORT 2024-25!C:CV""),{79,86,93},0))))"),"")</f>
        <v/>
      </c>
      <c r="BS186" s="93" t="str">
        <f t="shared" si="12"/>
        <v/>
      </c>
      <c r="BT186" s="93" t="str">
        <f t="shared" si="13"/>
        <v/>
      </c>
      <c r="BU186" s="37">
        <f t="shared" si="14"/>
        <v>0</v>
      </c>
      <c r="BV186" s="94">
        <v>38285</v>
      </c>
      <c r="BW186" s="94" t="s">
        <v>429</v>
      </c>
      <c r="BX186" s="94">
        <v>1261</v>
      </c>
      <c r="BY186" s="37">
        <f t="shared" si="15"/>
        <v>0</v>
      </c>
      <c r="BZ186" s="37"/>
      <c r="CA186" s="37"/>
      <c r="CB186" s="37"/>
      <c r="CC186" s="37"/>
      <c r="CD186" s="37"/>
      <c r="CE186" s="37"/>
      <c r="CF186" s="37"/>
      <c r="CG186" s="37" t="str">
        <f t="shared" si="18"/>
        <v>Below 60</v>
      </c>
      <c r="CH186" s="37" t="str">
        <f t="shared" si="26"/>
        <v>Business Achieved 50%</v>
      </c>
      <c r="CI186" s="93">
        <f t="shared" si="19"/>
        <v>0.84090909090909094</v>
      </c>
      <c r="CJ186" s="95">
        <f ca="1">IFERROR(__xludf.DUMMYFUNCTION("""COMPUTED_VALUE"""),446)</f>
        <v>446</v>
      </c>
      <c r="CK186" s="95">
        <f ca="1">IFERROR(__xludf.DUMMYFUNCTION("""COMPUTED_VALUE"""),15)</f>
        <v>15</v>
      </c>
      <c r="CL186" s="95">
        <f ca="1">IFERROR(__xludf.DUMMYFUNCTION("""COMPUTED_VALUE"""),0)</f>
        <v>0</v>
      </c>
      <c r="CM186" s="96">
        <f t="shared" ca="1" si="20"/>
        <v>0</v>
      </c>
      <c r="CN186" s="103"/>
      <c r="CO186" s="4"/>
      <c r="CP186" s="100"/>
      <c r="CQ186" s="101"/>
      <c r="CR186" s="4"/>
      <c r="CS186" s="4"/>
      <c r="CT186" s="4"/>
      <c r="CU186" s="4"/>
      <c r="CV186" s="4"/>
      <c r="CW186" s="101"/>
      <c r="CX186" s="51"/>
      <c r="CY186" s="4"/>
      <c r="CZ186" s="4"/>
    </row>
    <row r="187" spans="1:104" ht="15.6">
      <c r="A187" s="1" t="s">
        <v>154</v>
      </c>
      <c r="B187" s="1" t="s">
        <v>367</v>
      </c>
      <c r="C187" s="1" t="s">
        <v>302</v>
      </c>
      <c r="D187" s="1" t="s">
        <v>577</v>
      </c>
      <c r="E187" s="1" t="s">
        <v>377</v>
      </c>
      <c r="F187" s="104">
        <v>45812</v>
      </c>
      <c r="G187" s="76">
        <v>0</v>
      </c>
      <c r="H187" s="76">
        <v>500000</v>
      </c>
      <c r="I187" s="77">
        <v>50738.2</v>
      </c>
      <c r="J187" s="77">
        <v>0</v>
      </c>
      <c r="K187" s="4">
        <v>10</v>
      </c>
      <c r="L187" s="4">
        <v>12</v>
      </c>
      <c r="M187" s="4">
        <v>2</v>
      </c>
      <c r="N187" s="4">
        <v>12</v>
      </c>
      <c r="O187" s="4">
        <v>0</v>
      </c>
      <c r="P187" s="77">
        <v>28709.200000000001</v>
      </c>
      <c r="Q187" s="77">
        <v>22029</v>
      </c>
      <c r="R187" s="4">
        <v>2</v>
      </c>
      <c r="S187" s="4">
        <v>2</v>
      </c>
      <c r="T187" s="4">
        <v>4</v>
      </c>
      <c r="U187" s="4">
        <v>0</v>
      </c>
      <c r="V187" s="4">
        <v>0</v>
      </c>
      <c r="W187" s="4">
        <v>0</v>
      </c>
      <c r="X187" s="4">
        <v>77</v>
      </c>
      <c r="Y187" s="4">
        <v>1</v>
      </c>
      <c r="Z187" s="4">
        <v>4</v>
      </c>
      <c r="AA187" s="4">
        <v>0</v>
      </c>
      <c r="AB187" s="4">
        <v>0</v>
      </c>
      <c r="AC187" s="4">
        <v>3</v>
      </c>
      <c r="AD187" s="4">
        <v>3</v>
      </c>
      <c r="AE187" s="4">
        <v>25</v>
      </c>
      <c r="AF187" s="4">
        <v>32</v>
      </c>
      <c r="AG187" s="4">
        <v>19</v>
      </c>
      <c r="AH187" s="76">
        <f t="shared" si="1"/>
        <v>2670.4315789473681</v>
      </c>
      <c r="AI187" s="76">
        <f t="shared" si="2"/>
        <v>1.6842105263157894</v>
      </c>
      <c r="AJ187" s="112">
        <v>24120</v>
      </c>
      <c r="AK187" s="76">
        <f t="shared" si="62"/>
        <v>24120</v>
      </c>
      <c r="AL187" s="79"/>
      <c r="AM187" s="80">
        <f t="shared" si="4"/>
        <v>0.47538146800635422</v>
      </c>
      <c r="AN187" s="76">
        <f t="shared" si="5"/>
        <v>12684.55</v>
      </c>
      <c r="AO187" s="102">
        <f t="shared" si="115"/>
        <v>0.10147639999999999</v>
      </c>
      <c r="AP187" s="82">
        <v>0</v>
      </c>
      <c r="AQ187" s="4">
        <v>4</v>
      </c>
      <c r="AR187" s="4">
        <v>214</v>
      </c>
      <c r="AS187" s="4">
        <v>0</v>
      </c>
      <c r="AT187" s="4">
        <v>2</v>
      </c>
      <c r="AU187" s="4">
        <v>0</v>
      </c>
      <c r="AV187" s="1">
        <v>4</v>
      </c>
      <c r="AW187" s="1">
        <v>8</v>
      </c>
      <c r="AX187" s="1">
        <v>0</v>
      </c>
      <c r="AY187" s="86" t="str">
        <f>IFERROR(VLOOKUP(C187,#REF!,13,0),"")</f>
        <v/>
      </c>
      <c r="AZ187" s="87">
        <v>45849</v>
      </c>
      <c r="BA187" s="1" t="str">
        <f t="shared" si="6"/>
        <v>LEFT</v>
      </c>
      <c r="BB187" s="1" t="e">
        <f t="shared" ca="1" si="7"/>
        <v>#NAME?</v>
      </c>
      <c r="BC187" s="1" t="e">
        <f t="shared" ca="1" si="116"/>
        <v>#NAME?</v>
      </c>
      <c r="BD187" s="33">
        <v>1</v>
      </c>
      <c r="BE187" s="91" t="str">
        <v/>
      </c>
      <c r="BF187" s="1">
        <f t="shared" si="9"/>
        <v>0</v>
      </c>
      <c r="BG187" s="1" t="s">
        <v>428</v>
      </c>
      <c r="BH187" s="89"/>
      <c r="BI187" s="89"/>
      <c r="BJ187" s="109"/>
      <c r="BK187" s="91"/>
      <c r="BL187" s="91">
        <f t="shared" si="47"/>
        <v>0</v>
      </c>
      <c r="BM187" s="91">
        <f t="shared" si="11"/>
        <v>500000</v>
      </c>
      <c r="BN187" s="91"/>
      <c r="BO187" s="92" t="str">
        <f ca="1">IFERROR(__xludf.DUMMYFUNCTION("IFERROR(ArrayFormula(SUM(VLOOKUP($C187,importrange(""1MwNMVzWE3QBVOyJjKr3eFX-Sq1Ng0Q1sghWJbgbE_8g"",""ORDER BOOKING REPORT 2024-25!C:CV""),{16,23,30},0))))"),"")</f>
        <v/>
      </c>
      <c r="BP187" s="92" t="str">
        <f ca="1">IFERROR(__xludf.DUMMYFUNCTION("IFERROR(ArrayFormula(SUM(VLOOKUP($C187,importrange(""1MwNMVzWE3QBVOyJjKr3eFX-Sq1Ng0Q1sghWJbgbE_8g"",""ORDER BOOKING REPORT 2024-25!C:CV""),{37,44,51},0))))"),"")</f>
        <v/>
      </c>
      <c r="BQ187" s="92" t="str">
        <f ca="1">IFERROR(__xludf.DUMMYFUNCTION("IFERROR(ArrayFormula(SUM(VLOOKUP($C187,importrange(""1MwNMVzWE3QBVOyJjKr3eFX-Sq1Ng0Q1sghWJbgbE_8g"",""ORDER BOOKING REPORT 2024-25!C:CV""),{58,65,72},0))))"),"")</f>
        <v/>
      </c>
      <c r="BR187" s="92" t="str">
        <f ca="1">IFERROR(__xludf.DUMMYFUNCTION("IFERROR(ArrayFormula(SUM(VLOOKUP($C187,importrange(""1MwNMVzWE3QBVOyJjKr3eFX-Sq1Ng0Q1sghWJbgbE_8g"",""ORDER BOOKING REPORT 2024-25!C:CV""),{79,86,93},0))))"),"")</f>
        <v/>
      </c>
      <c r="BS187" s="93" t="str">
        <f t="shared" si="12"/>
        <v/>
      </c>
      <c r="BT187" s="93" t="str">
        <f t="shared" si="13"/>
        <v/>
      </c>
      <c r="BU187" s="37">
        <f t="shared" si="14"/>
        <v>0</v>
      </c>
      <c r="BV187" s="94"/>
      <c r="BW187" s="94"/>
      <c r="BX187" s="94"/>
      <c r="BY187" s="37">
        <f t="shared" si="15"/>
        <v>-24120</v>
      </c>
      <c r="BZ187" s="37"/>
      <c r="CA187" s="37"/>
      <c r="CB187" s="37"/>
      <c r="CC187" s="37"/>
      <c r="CD187" s="37"/>
      <c r="CE187" s="37"/>
      <c r="CF187" s="37"/>
      <c r="CG187" s="37" t="str">
        <f t="shared" si="18"/>
        <v>Below 60</v>
      </c>
      <c r="CH187" s="37" t="str">
        <f t="shared" si="26"/>
        <v>Not 50%</v>
      </c>
      <c r="CI187" s="93">
        <f t="shared" si="19"/>
        <v>0.33333333333333331</v>
      </c>
      <c r="CJ187" s="95">
        <f ca="1">IFERROR(__xludf.DUMMYFUNCTION("""COMPUTED_VALUE"""),11)</f>
        <v>11</v>
      </c>
      <c r="CK187" s="95">
        <f ca="1">IFERROR(__xludf.DUMMYFUNCTION("""COMPUTED_VALUE"""),14)</f>
        <v>14</v>
      </c>
      <c r="CL187" s="95">
        <f ca="1">IFERROR(__xludf.DUMMYFUNCTION("""COMPUTED_VALUE"""),0)</f>
        <v>0</v>
      </c>
      <c r="CM187" s="96">
        <f t="shared" ca="1" si="20"/>
        <v>0</v>
      </c>
      <c r="CN187" s="103"/>
      <c r="CO187" s="4"/>
      <c r="CP187" s="100"/>
      <c r="CQ187" s="101"/>
      <c r="CR187" s="4"/>
      <c r="CS187" s="4"/>
      <c r="CT187" s="4"/>
      <c r="CU187" s="4"/>
      <c r="CV187" s="4"/>
      <c r="CW187" s="101"/>
      <c r="CX187" s="51"/>
      <c r="CY187" s="4"/>
      <c r="CZ187" s="4"/>
    </row>
    <row r="188" spans="1:104" ht="15.6">
      <c r="A188" s="1" t="s">
        <v>118</v>
      </c>
      <c r="B188" s="1" t="s">
        <v>436</v>
      </c>
      <c r="C188" s="1" t="s">
        <v>301</v>
      </c>
      <c r="D188" s="1" t="s">
        <v>499</v>
      </c>
      <c r="E188" s="1" t="s">
        <v>648</v>
      </c>
      <c r="F188" s="104">
        <v>45817</v>
      </c>
      <c r="G188" s="76">
        <v>0</v>
      </c>
      <c r="H188" s="76">
        <v>10500000</v>
      </c>
      <c r="I188" s="77">
        <v>463452.7</v>
      </c>
      <c r="J188" s="77">
        <v>0</v>
      </c>
      <c r="K188" s="4">
        <v>19</v>
      </c>
      <c r="L188" s="4">
        <v>28</v>
      </c>
      <c r="M188" s="4">
        <v>9</v>
      </c>
      <c r="N188" s="4">
        <v>28</v>
      </c>
      <c r="O188" s="4">
        <v>0</v>
      </c>
      <c r="P188" s="77">
        <v>58806</v>
      </c>
      <c r="Q188" s="77">
        <v>404646.7</v>
      </c>
      <c r="R188" s="4">
        <v>2</v>
      </c>
      <c r="S188" s="4">
        <v>5</v>
      </c>
      <c r="T188" s="4">
        <v>7</v>
      </c>
      <c r="U188" s="4">
        <v>0</v>
      </c>
      <c r="V188" s="4">
        <v>17</v>
      </c>
      <c r="W188" s="4">
        <v>68</v>
      </c>
      <c r="X188" s="4">
        <v>0</v>
      </c>
      <c r="Y188" s="4">
        <v>1</v>
      </c>
      <c r="Z188" s="4">
        <v>3</v>
      </c>
      <c r="AA188" s="4">
        <v>0</v>
      </c>
      <c r="AB188" s="4">
        <v>0</v>
      </c>
      <c r="AC188" s="4">
        <v>0</v>
      </c>
      <c r="AD188" s="4">
        <v>0</v>
      </c>
      <c r="AE188" s="4">
        <v>387</v>
      </c>
      <c r="AF188" s="4">
        <v>458</v>
      </c>
      <c r="AG188" s="4">
        <v>126</v>
      </c>
      <c r="AH188" s="76">
        <f t="shared" si="1"/>
        <v>3678.1960317460316</v>
      </c>
      <c r="AI188" s="76">
        <f t="shared" si="2"/>
        <v>3.6349206349206349</v>
      </c>
      <c r="AJ188" s="78">
        <f>BV188</f>
        <v>24116</v>
      </c>
      <c r="AK188" s="76">
        <f t="shared" si="62"/>
        <v>179664.2</v>
      </c>
      <c r="AL188" s="49">
        <v>72880</v>
      </c>
      <c r="AM188" s="80">
        <f t="shared" si="4"/>
        <v>0.54491903920292195</v>
      </c>
      <c r="AN188" s="76">
        <f t="shared" si="5"/>
        <v>66207.528571428571</v>
      </c>
      <c r="AO188" s="102">
        <f t="shared" si="115"/>
        <v>4.413835238095238E-2</v>
      </c>
      <c r="AP188" s="82">
        <v>0</v>
      </c>
      <c r="AQ188" s="4">
        <v>20</v>
      </c>
      <c r="AR188" s="4">
        <v>1367</v>
      </c>
      <c r="AS188" s="4">
        <v>0</v>
      </c>
      <c r="AT188" s="4">
        <v>5</v>
      </c>
      <c r="AU188" s="4">
        <v>0</v>
      </c>
      <c r="AV188" s="1">
        <v>7</v>
      </c>
      <c r="AW188" s="1">
        <v>21</v>
      </c>
      <c r="AX188" s="1">
        <v>0</v>
      </c>
      <c r="AY188" s="86" t="str">
        <f>IFERROR(VLOOKUP(C188,#REF!,13,0),"")</f>
        <v/>
      </c>
      <c r="AZ188" s="87">
        <v>46008</v>
      </c>
      <c r="BA188" s="1" t="str">
        <f t="shared" si="6"/>
        <v>LEFT</v>
      </c>
      <c r="BB188" s="1" t="e">
        <f t="shared" ca="1" si="7"/>
        <v>#NAME?</v>
      </c>
      <c r="BC188" s="1" t="e">
        <f t="shared" ca="1" si="116"/>
        <v>#NAME?</v>
      </c>
      <c r="BD188" s="33">
        <v>7.45</v>
      </c>
      <c r="BE188" s="88" t="str">
        <v/>
      </c>
      <c r="BF188" s="1">
        <f t="shared" si="9"/>
        <v>4</v>
      </c>
      <c r="BG188" s="1" t="s">
        <v>428</v>
      </c>
      <c r="BH188" s="89"/>
      <c r="BI188" s="89"/>
      <c r="BJ188" s="109">
        <f>14/31</f>
        <v>0.45161290322580644</v>
      </c>
      <c r="BK188" s="91"/>
      <c r="BL188" s="91">
        <f t="shared" si="47"/>
        <v>0</v>
      </c>
      <c r="BM188" s="91">
        <f t="shared" si="11"/>
        <v>10500000</v>
      </c>
      <c r="BN188" s="91"/>
      <c r="BO188" s="92" t="str">
        <f ca="1">IFERROR(__xludf.DUMMYFUNCTION("IFERROR(ArrayFormula(SUM(VLOOKUP($C188,importrange(""1MwNMVzWE3QBVOyJjKr3eFX-Sq1Ng0Q1sghWJbgbE_8g"",""ORDER BOOKING REPORT 2024-25!C:CV""),{16,23,30},0))))"),"")</f>
        <v/>
      </c>
      <c r="BP188" s="92" t="str">
        <f ca="1">IFERROR(__xludf.DUMMYFUNCTION("IFERROR(ArrayFormula(SUM(VLOOKUP($C188,importrange(""1MwNMVzWE3QBVOyJjKr3eFX-Sq1Ng0Q1sghWJbgbE_8g"",""ORDER BOOKING REPORT 2024-25!C:CV""),{37,44,51},0))))"),"")</f>
        <v/>
      </c>
      <c r="BQ188" s="92" t="str">
        <f ca="1">IFERROR(__xludf.DUMMYFUNCTION("IFERROR(ArrayFormula(SUM(VLOOKUP($C188,importrange(""1MwNMVzWE3QBVOyJjKr3eFX-Sq1Ng0Q1sghWJbgbE_8g"",""ORDER BOOKING REPORT 2024-25!C:CV""),{58,65,72},0))))"),"")</f>
        <v/>
      </c>
      <c r="BR188" s="92" t="str">
        <f ca="1">IFERROR(__xludf.DUMMYFUNCTION("IFERROR(ArrayFormula(SUM(VLOOKUP($C188,importrange(""1MwNMVzWE3QBVOyJjKr3eFX-Sq1Ng0Q1sghWJbgbE_8g"",""ORDER BOOKING REPORT 2024-25!C:CV""),{79,86,93},0))))"),"")</f>
        <v/>
      </c>
      <c r="BS188" s="93" t="str">
        <f t="shared" si="12"/>
        <v/>
      </c>
      <c r="BT188" s="93" t="str">
        <f t="shared" si="13"/>
        <v/>
      </c>
      <c r="BU188" s="37">
        <f t="shared" si="14"/>
        <v>0</v>
      </c>
      <c r="BV188" s="94">
        <v>24116</v>
      </c>
      <c r="BW188" s="94" t="s">
        <v>476</v>
      </c>
      <c r="BX188" s="94">
        <v>1252</v>
      </c>
      <c r="BY188" s="37">
        <f t="shared" si="15"/>
        <v>0</v>
      </c>
      <c r="BZ188" s="37"/>
      <c r="CA188" s="37"/>
      <c r="CB188" s="37"/>
      <c r="CC188" s="37"/>
      <c r="CD188" s="37"/>
      <c r="CE188" s="37"/>
      <c r="CF188" s="37"/>
      <c r="CG188" s="37" t="str">
        <f t="shared" si="18"/>
        <v>Below 60</v>
      </c>
      <c r="CH188" s="37" t="str">
        <f t="shared" si="26"/>
        <v>Not 50%</v>
      </c>
      <c r="CI188" s="93">
        <f t="shared" si="19"/>
        <v>0.25</v>
      </c>
      <c r="CJ188" s="105">
        <f ca="1">IFERROR(__xludf.DUMMYFUNCTION("""COMPUTED_VALUE"""),223)</f>
        <v>223</v>
      </c>
      <c r="CK188" s="105">
        <f ca="1">IFERROR(__xludf.DUMMYFUNCTION("""COMPUTED_VALUE"""),164)</f>
        <v>164</v>
      </c>
      <c r="CL188" s="105">
        <f ca="1">IFERROR(__xludf.DUMMYFUNCTION("""COMPUTED_VALUE"""),0)</f>
        <v>0</v>
      </c>
      <c r="CM188" s="96">
        <f t="shared" ca="1" si="20"/>
        <v>0</v>
      </c>
      <c r="CN188" s="106"/>
      <c r="CO188" s="93"/>
      <c r="CP188" s="107"/>
      <c r="CQ188" s="110"/>
      <c r="CR188" s="93"/>
      <c r="CS188" s="93"/>
      <c r="CT188" s="93"/>
      <c r="CU188" s="93"/>
      <c r="CV188" s="93"/>
      <c r="CW188" s="93"/>
      <c r="CX188" s="51"/>
      <c r="CY188" s="93"/>
      <c r="CZ188" s="93"/>
    </row>
    <row r="189" spans="1:104" ht="15.6">
      <c r="A189" s="1" t="s">
        <v>118</v>
      </c>
      <c r="B189" s="1" t="s">
        <v>362</v>
      </c>
      <c r="C189" s="1" t="s">
        <v>304</v>
      </c>
      <c r="D189" s="1" t="s">
        <v>419</v>
      </c>
      <c r="E189" s="1" t="s">
        <v>539</v>
      </c>
      <c r="F189" s="104">
        <v>45817</v>
      </c>
      <c r="G189" s="76">
        <v>0</v>
      </c>
      <c r="H189" s="76">
        <v>15000000</v>
      </c>
      <c r="I189" s="77">
        <v>4564361.21</v>
      </c>
      <c r="J189" s="77">
        <v>0</v>
      </c>
      <c r="K189" s="4">
        <v>49</v>
      </c>
      <c r="L189" s="4">
        <v>83</v>
      </c>
      <c r="M189" s="4">
        <v>34</v>
      </c>
      <c r="N189" s="4">
        <v>83</v>
      </c>
      <c r="O189" s="4">
        <v>0</v>
      </c>
      <c r="P189" s="77">
        <v>1313378.6399999999</v>
      </c>
      <c r="Q189" s="77">
        <v>3250982.57</v>
      </c>
      <c r="R189" s="4">
        <v>10</v>
      </c>
      <c r="S189" s="4">
        <v>28</v>
      </c>
      <c r="T189" s="4">
        <v>38</v>
      </c>
      <c r="U189" s="4">
        <v>0</v>
      </c>
      <c r="V189" s="4">
        <v>216</v>
      </c>
      <c r="W189" s="4">
        <v>523</v>
      </c>
      <c r="X189" s="4">
        <v>0</v>
      </c>
      <c r="Y189" s="4">
        <v>2</v>
      </c>
      <c r="Z189" s="4">
        <v>23</v>
      </c>
      <c r="AA189" s="4">
        <v>0</v>
      </c>
      <c r="AB189" s="4">
        <v>0</v>
      </c>
      <c r="AC189" s="4">
        <v>0</v>
      </c>
      <c r="AD189" s="4">
        <v>0</v>
      </c>
      <c r="AE189" s="4">
        <v>642</v>
      </c>
      <c r="AF189" s="4">
        <v>1188</v>
      </c>
      <c r="AG189" s="4">
        <v>226</v>
      </c>
      <c r="AH189" s="76">
        <f t="shared" si="1"/>
        <v>20196.28853982301</v>
      </c>
      <c r="AI189" s="76">
        <f t="shared" si="2"/>
        <v>5.2566371681415927</v>
      </c>
      <c r="AJ189" s="112">
        <v>32500</v>
      </c>
      <c r="AK189" s="76">
        <f t="shared" si="62"/>
        <v>325000</v>
      </c>
      <c r="AL189" s="79">
        <v>83867</v>
      </c>
      <c r="AM189" s="80">
        <f t="shared" si="4"/>
        <v>8.9578142743001715E-2</v>
      </c>
      <c r="AN189" s="76">
        <f t="shared" si="5"/>
        <v>120114.76868421053</v>
      </c>
      <c r="AO189" s="102">
        <f t="shared" si="115"/>
        <v>0.30429074733333333</v>
      </c>
      <c r="AP189" s="82">
        <v>0</v>
      </c>
      <c r="AQ189" s="4">
        <v>120</v>
      </c>
      <c r="AR189" s="4">
        <v>2262</v>
      </c>
      <c r="AS189" s="4">
        <v>2463.6</v>
      </c>
      <c r="AT189" s="4">
        <v>28</v>
      </c>
      <c r="AU189" s="4">
        <v>30</v>
      </c>
      <c r="AV189" s="1">
        <v>38</v>
      </c>
      <c r="AW189" s="1">
        <v>45</v>
      </c>
      <c r="AX189" s="1">
        <v>0</v>
      </c>
      <c r="AY189" s="86" t="str">
        <f>IFERROR(VLOOKUP(C189,#REF!,13,0),"")</f>
        <v/>
      </c>
      <c r="AZ189" s="87"/>
      <c r="BA189" s="1" t="str">
        <f t="shared" si="6"/>
        <v>Active</v>
      </c>
      <c r="BB189" s="1" t="e">
        <f t="shared" ca="1" si="7"/>
        <v>#NAME?</v>
      </c>
      <c r="BC189" s="1" t="e">
        <f t="shared" ca="1" si="116"/>
        <v>#NAME?</v>
      </c>
      <c r="BD189" s="33">
        <v>10</v>
      </c>
      <c r="BE189" s="88" t="str">
        <v/>
      </c>
      <c r="BF189" s="1">
        <f t="shared" si="9"/>
        <v>6</v>
      </c>
      <c r="BG189" s="1" t="s">
        <v>428</v>
      </c>
      <c r="BH189" s="89"/>
      <c r="BI189" s="89"/>
      <c r="BJ189" s="90"/>
      <c r="BK189" s="91"/>
      <c r="BL189" s="91">
        <f t="shared" si="47"/>
        <v>0</v>
      </c>
      <c r="BM189" s="91">
        <f t="shared" si="11"/>
        <v>15000000</v>
      </c>
      <c r="BN189" s="91"/>
      <c r="BO189" s="92" t="str">
        <f ca="1">IFERROR(__xludf.DUMMYFUNCTION("IFERROR(ArrayFormula(SUM(VLOOKUP($C189,importrange(""1MwNMVzWE3QBVOyJjKr3eFX-Sq1Ng0Q1sghWJbgbE_8g"",""ORDER BOOKING REPORT 2024-25!C:CV""),{16,23,30},0))))"),"")</f>
        <v/>
      </c>
      <c r="BP189" s="92" t="str">
        <f ca="1">IFERROR(__xludf.DUMMYFUNCTION("IFERROR(ArrayFormula(SUM(VLOOKUP($C189,importrange(""1MwNMVzWE3QBVOyJjKr3eFX-Sq1Ng0Q1sghWJbgbE_8g"",""ORDER BOOKING REPORT 2024-25!C:CV""),{37,44,51},0))))"),"")</f>
        <v/>
      </c>
      <c r="BQ189" s="92" t="str">
        <f ca="1">IFERROR(__xludf.DUMMYFUNCTION("IFERROR(ArrayFormula(SUM(VLOOKUP($C189,importrange(""1MwNMVzWE3QBVOyJjKr3eFX-Sq1Ng0Q1sghWJbgbE_8g"",""ORDER BOOKING REPORT 2024-25!C:CV""),{58,65,72},0))))"),"")</f>
        <v/>
      </c>
      <c r="BR189" s="92" t="str">
        <f ca="1">IFERROR(__xludf.DUMMYFUNCTION("IFERROR(ArrayFormula(SUM(VLOOKUP($C189,importrange(""1MwNMVzWE3QBVOyJjKr3eFX-Sq1Ng0Q1sghWJbgbE_8g"",""ORDER BOOKING REPORT 2024-25!C:CV""),{79,86,93},0))))"),"")</f>
        <v/>
      </c>
      <c r="BS189" s="93" t="str">
        <f t="shared" si="12"/>
        <v/>
      </c>
      <c r="BT189" s="93" t="str">
        <f t="shared" si="13"/>
        <v/>
      </c>
      <c r="BU189" s="37">
        <f t="shared" si="14"/>
        <v>0</v>
      </c>
      <c r="BV189" s="94">
        <v>32500</v>
      </c>
      <c r="BW189" s="94" t="s">
        <v>445</v>
      </c>
      <c r="BX189" s="94">
        <v>1253</v>
      </c>
      <c r="BY189" s="37">
        <f t="shared" si="15"/>
        <v>0</v>
      </c>
      <c r="BZ189" s="37"/>
      <c r="CA189" s="37"/>
      <c r="CB189" s="37"/>
      <c r="CC189" s="37"/>
      <c r="CD189" s="37"/>
      <c r="CE189" s="37"/>
      <c r="CF189" s="37"/>
      <c r="CG189" s="37" t="str">
        <f t="shared" si="18"/>
        <v xml:space="preserve"> </v>
      </c>
      <c r="CH189" s="37" t="str">
        <f t="shared" si="26"/>
        <v>Not 50%</v>
      </c>
      <c r="CI189" s="93">
        <f t="shared" si="19"/>
        <v>0.45783132530120479</v>
      </c>
      <c r="CJ189" s="95">
        <f ca="1">IFERROR(__xludf.DUMMYFUNCTION("""COMPUTED_VALUE"""),528)</f>
        <v>528</v>
      </c>
      <c r="CK189" s="95">
        <f ca="1">IFERROR(__xludf.DUMMYFUNCTION("""COMPUTED_VALUE"""),114)</f>
        <v>114</v>
      </c>
      <c r="CL189" s="95">
        <f ca="1">IFERROR(__xludf.DUMMYFUNCTION("""COMPUTED_VALUE"""),0)</f>
        <v>0</v>
      </c>
      <c r="CM189" s="96">
        <f t="shared" ca="1" si="20"/>
        <v>0</v>
      </c>
      <c r="CN189" s="103"/>
      <c r="CO189" s="4"/>
      <c r="CP189" s="100"/>
      <c r="CQ189" s="101"/>
      <c r="CR189" s="4"/>
      <c r="CS189" s="4"/>
      <c r="CT189" s="4"/>
      <c r="CU189" s="4"/>
      <c r="CV189" s="4"/>
      <c r="CW189" s="101"/>
      <c r="CX189" s="51"/>
      <c r="CY189" s="4"/>
      <c r="CZ189" s="4"/>
    </row>
    <row r="190" spans="1:104" ht="15.6">
      <c r="A190" s="1" t="s">
        <v>118</v>
      </c>
      <c r="B190" s="1" t="s">
        <v>362</v>
      </c>
      <c r="C190" s="1" t="s">
        <v>305</v>
      </c>
      <c r="D190" s="1" t="s">
        <v>419</v>
      </c>
      <c r="E190" s="1" t="s">
        <v>650</v>
      </c>
      <c r="F190" s="104">
        <v>45824</v>
      </c>
      <c r="G190" s="76">
        <v>0</v>
      </c>
      <c r="H190" s="76">
        <v>0</v>
      </c>
      <c r="I190" s="77">
        <v>1333155.7</v>
      </c>
      <c r="J190" s="77">
        <v>0</v>
      </c>
      <c r="K190" s="4">
        <v>12</v>
      </c>
      <c r="L190" s="4">
        <v>12</v>
      </c>
      <c r="M190" s="4">
        <v>0</v>
      </c>
      <c r="N190" s="4">
        <v>12</v>
      </c>
      <c r="O190" s="4">
        <v>0</v>
      </c>
      <c r="P190" s="77">
        <v>1333155.7</v>
      </c>
      <c r="Q190" s="77">
        <v>0</v>
      </c>
      <c r="R190" s="4">
        <v>7</v>
      </c>
      <c r="S190" s="4">
        <v>0</v>
      </c>
      <c r="T190" s="4">
        <v>7</v>
      </c>
      <c r="U190" s="4">
        <v>0</v>
      </c>
      <c r="V190" s="4">
        <v>2</v>
      </c>
      <c r="W190" s="4">
        <v>2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13</v>
      </c>
      <c r="AF190" s="4">
        <v>15</v>
      </c>
      <c r="AG190" s="4">
        <v>13</v>
      </c>
      <c r="AH190" s="76">
        <f t="shared" si="1"/>
        <v>102550.43846153846</v>
      </c>
      <c r="AI190" s="76">
        <f t="shared" si="2"/>
        <v>1.1538461538461537</v>
      </c>
      <c r="AJ190" s="112">
        <v>28850</v>
      </c>
      <c r="AK190" s="76">
        <f t="shared" si="62"/>
        <v>28273</v>
      </c>
      <c r="AL190" s="79"/>
      <c r="AM190" s="80">
        <f t="shared" si="4"/>
        <v>2.12075753792299E-2</v>
      </c>
      <c r="AN190" s="76">
        <f t="shared" si="5"/>
        <v>190450.81428571427</v>
      </c>
      <c r="AO190" s="102" t="str">
        <f t="shared" si="115"/>
        <v/>
      </c>
      <c r="AP190" s="82">
        <v>0</v>
      </c>
      <c r="AQ190" s="4">
        <v>11</v>
      </c>
      <c r="AR190" s="4">
        <v>125</v>
      </c>
      <c r="AS190" s="4">
        <v>0</v>
      </c>
      <c r="AT190" s="4">
        <v>0</v>
      </c>
      <c r="AU190" s="4">
        <v>0</v>
      </c>
      <c r="AV190" s="1">
        <v>7</v>
      </c>
      <c r="AW190" s="1">
        <v>5</v>
      </c>
      <c r="AX190" s="1">
        <v>0</v>
      </c>
      <c r="AY190" s="86" t="str">
        <f>IFERROR(VLOOKUP(C190,#REF!,13,0),"")</f>
        <v/>
      </c>
      <c r="AZ190" s="87">
        <v>45852</v>
      </c>
      <c r="BA190" s="1" t="str">
        <f t="shared" si="6"/>
        <v>LEFT</v>
      </c>
      <c r="BB190" s="1" t="e">
        <f t="shared" ca="1" si="7"/>
        <v>#NAME?</v>
      </c>
      <c r="BC190" s="4" t="s">
        <v>161</v>
      </c>
      <c r="BD190" s="33">
        <v>0.98</v>
      </c>
      <c r="BE190" s="88" t="str">
        <v/>
      </c>
      <c r="BF190" s="1">
        <f t="shared" si="9"/>
        <v>0</v>
      </c>
      <c r="BG190" s="1" t="s">
        <v>428</v>
      </c>
      <c r="BH190" s="89"/>
      <c r="BI190" s="89"/>
      <c r="BJ190" s="109">
        <f>(16/30)+(14/31)</f>
        <v>0.98494623655913971</v>
      </c>
      <c r="BK190" s="91"/>
      <c r="BL190" s="91">
        <f t="shared" si="47"/>
        <v>0</v>
      </c>
      <c r="BM190" s="91">
        <f t="shared" si="11"/>
        <v>0</v>
      </c>
      <c r="BN190" s="91"/>
      <c r="BO190" s="92" t="str">
        <f ca="1">IFERROR(__xludf.DUMMYFUNCTION("IFERROR(ArrayFormula(SUM(VLOOKUP($C190,importrange(""1MwNMVzWE3QBVOyJjKr3eFX-Sq1Ng0Q1sghWJbgbE_8g"",""ORDER BOOKING REPORT 2024-25!C:CV""),{16,23,30},0))))"),"")</f>
        <v/>
      </c>
      <c r="BP190" s="92" t="str">
        <f ca="1">IFERROR(__xludf.DUMMYFUNCTION("IFERROR(ArrayFormula(SUM(VLOOKUP($C190,importrange(""1MwNMVzWE3QBVOyJjKr3eFX-Sq1Ng0Q1sghWJbgbE_8g"",""ORDER BOOKING REPORT 2024-25!C:CV""),{37,44,51},0))))"),"")</f>
        <v/>
      </c>
      <c r="BQ190" s="92" t="str">
        <f ca="1">IFERROR(__xludf.DUMMYFUNCTION("IFERROR(ArrayFormula(SUM(VLOOKUP($C190,importrange(""1MwNMVzWE3QBVOyJjKr3eFX-Sq1Ng0Q1sghWJbgbE_8g"",""ORDER BOOKING REPORT 2024-25!C:CV""),{58,65,72},0))))"),"")</f>
        <v/>
      </c>
      <c r="BR190" s="92" t="str">
        <f ca="1">IFERROR(__xludf.DUMMYFUNCTION("IFERROR(ArrayFormula(SUM(VLOOKUP($C190,importrange(""1MwNMVzWE3QBVOyJjKr3eFX-Sq1Ng0Q1sghWJbgbE_8g"",""ORDER BOOKING REPORT 2024-25!C:CV""),{79,86,93},0))))"),"")</f>
        <v/>
      </c>
      <c r="BS190" s="93" t="str">
        <f t="shared" si="12"/>
        <v/>
      </c>
      <c r="BT190" s="93" t="str">
        <f t="shared" si="13"/>
        <v/>
      </c>
      <c r="BU190" s="37">
        <f t="shared" si="14"/>
        <v>0</v>
      </c>
      <c r="BV190" s="94">
        <v>28850</v>
      </c>
      <c r="BW190" s="94" t="s">
        <v>445</v>
      </c>
      <c r="BX190" s="94">
        <v>1255</v>
      </c>
      <c r="BY190" s="37">
        <f t="shared" si="15"/>
        <v>0</v>
      </c>
      <c r="BZ190" s="37"/>
      <c r="CA190" s="37"/>
      <c r="CB190" s="37"/>
      <c r="CC190" s="37"/>
      <c r="CD190" s="37"/>
      <c r="CE190" s="37"/>
      <c r="CF190" s="37"/>
      <c r="CG190" s="37" t="str">
        <f t="shared" si="18"/>
        <v>Below 60</v>
      </c>
      <c r="CH190" s="37" t="str">
        <f t="shared" si="26"/>
        <v>Business Achieved 50%</v>
      </c>
      <c r="CI190" s="93">
        <f t="shared" si="19"/>
        <v>0.58333333333333337</v>
      </c>
      <c r="CJ190" s="95">
        <f ca="1">IFERROR(__xludf.DUMMYFUNCTION("""COMPUTED_VALUE"""),8)</f>
        <v>8</v>
      </c>
      <c r="CK190" s="95">
        <f ca="1">IFERROR(__xludf.DUMMYFUNCTION("""COMPUTED_VALUE"""),5)</f>
        <v>5</v>
      </c>
      <c r="CL190" s="95">
        <f ca="1">IFERROR(__xludf.DUMMYFUNCTION("""COMPUTED_VALUE"""),0)</f>
        <v>0</v>
      </c>
      <c r="CM190" s="96">
        <f t="shared" ca="1" si="20"/>
        <v>0</v>
      </c>
      <c r="CN190" s="103"/>
      <c r="CO190" s="4"/>
      <c r="CP190" s="100"/>
      <c r="CQ190" s="101"/>
      <c r="CR190" s="4"/>
      <c r="CS190" s="4"/>
      <c r="CT190" s="4"/>
      <c r="CU190" s="4"/>
      <c r="CV190" s="4"/>
      <c r="CW190" s="101"/>
      <c r="CX190" s="51"/>
      <c r="CY190" s="4"/>
      <c r="CZ190" s="4"/>
    </row>
    <row r="191" spans="1:104" ht="15.6">
      <c r="A191" s="114" t="s">
        <v>118</v>
      </c>
      <c r="B191" s="114" t="s">
        <v>436</v>
      </c>
      <c r="C191" s="114" t="s">
        <v>306</v>
      </c>
      <c r="D191" s="1" t="s">
        <v>499</v>
      </c>
      <c r="E191" s="1" t="s">
        <v>651</v>
      </c>
      <c r="F191" s="104">
        <v>45824</v>
      </c>
      <c r="G191" s="76">
        <v>0</v>
      </c>
      <c r="H191" s="76">
        <v>9000000</v>
      </c>
      <c r="I191" s="77">
        <v>523145.87</v>
      </c>
      <c r="J191" s="77">
        <v>0</v>
      </c>
      <c r="K191" s="4">
        <v>23</v>
      </c>
      <c r="L191" s="4">
        <v>36</v>
      </c>
      <c r="M191" s="4">
        <v>13</v>
      </c>
      <c r="N191" s="4">
        <v>36</v>
      </c>
      <c r="O191" s="4">
        <v>0</v>
      </c>
      <c r="P191" s="77">
        <v>134606.42000000001</v>
      </c>
      <c r="Q191" s="77">
        <v>388539.45</v>
      </c>
      <c r="R191" s="4">
        <v>5</v>
      </c>
      <c r="S191" s="4">
        <v>13</v>
      </c>
      <c r="T191" s="4">
        <v>18</v>
      </c>
      <c r="U191" s="4">
        <v>0</v>
      </c>
      <c r="V191" s="4">
        <v>117</v>
      </c>
      <c r="W191" s="4">
        <v>399</v>
      </c>
      <c r="X191" s="4">
        <v>0</v>
      </c>
      <c r="Y191" s="4">
        <v>2</v>
      </c>
      <c r="Z191" s="4">
        <v>5</v>
      </c>
      <c r="AA191" s="4">
        <v>0</v>
      </c>
      <c r="AB191" s="4">
        <v>0</v>
      </c>
      <c r="AC191" s="4">
        <v>8</v>
      </c>
      <c r="AD191" s="4">
        <v>34</v>
      </c>
      <c r="AE191" s="4">
        <v>253</v>
      </c>
      <c r="AF191" s="4">
        <v>691</v>
      </c>
      <c r="AG191" s="4">
        <v>137</v>
      </c>
      <c r="AH191" s="76">
        <f t="shared" si="1"/>
        <v>3818.5829927007298</v>
      </c>
      <c r="AI191" s="76">
        <f t="shared" si="2"/>
        <v>5.0437956204379564</v>
      </c>
      <c r="AJ191" s="78">
        <f>BV191</f>
        <v>32500</v>
      </c>
      <c r="AK191" s="76">
        <f t="shared" si="62"/>
        <v>193916.66666666666</v>
      </c>
      <c r="AL191" s="49">
        <v>53947</v>
      </c>
      <c r="AM191" s="80">
        <f t="shared" si="4"/>
        <v>0.4737945588037743</v>
      </c>
      <c r="AN191" s="76">
        <f t="shared" si="5"/>
        <v>29063.659444444445</v>
      </c>
      <c r="AO191" s="102">
        <f t="shared" si="115"/>
        <v>5.812731888888889E-2</v>
      </c>
      <c r="AP191" s="82">
        <v>0</v>
      </c>
      <c r="AQ191" s="4">
        <v>36</v>
      </c>
      <c r="AR191" s="4">
        <v>1198</v>
      </c>
      <c r="AS191" s="4">
        <v>0</v>
      </c>
      <c r="AT191" s="4">
        <v>13</v>
      </c>
      <c r="AU191" s="4">
        <v>0</v>
      </c>
      <c r="AV191" s="1">
        <v>18</v>
      </c>
      <c r="AW191" s="1">
        <v>18</v>
      </c>
      <c r="AX191" s="1">
        <v>0</v>
      </c>
      <c r="AY191" s="86" t="str">
        <f>IFERROR(VLOOKUP(C191,#REF!,13,0),"")</f>
        <v/>
      </c>
      <c r="AZ191" s="87">
        <v>46009</v>
      </c>
      <c r="BA191" s="1" t="str">
        <f t="shared" si="6"/>
        <v>LEFT</v>
      </c>
      <c r="BB191" s="1" t="e">
        <f t="shared" ca="1" si="7"/>
        <v>#NAME?</v>
      </c>
      <c r="BC191" s="1" t="e">
        <f ca="1">_xludf.ifs(AO191&lt;50%,"Below 50%",AO191&lt;70%,"50%-70%",AO191&lt;90%,"70%-90%",AO191&lt;100%,"90%-100%",AO191&gt;100%,"Above 100%")</f>
        <v>#NAME?</v>
      </c>
      <c r="BD191" s="134">
        <f>(30-16)/30+2+1+1+1+0.5</f>
        <v>5.9666666666666668</v>
      </c>
      <c r="BE191" s="88" t="str">
        <v/>
      </c>
      <c r="BF191" s="1">
        <f t="shared" si="9"/>
        <v>0</v>
      </c>
      <c r="BG191" s="1" t="s">
        <v>428</v>
      </c>
      <c r="BH191" s="89"/>
      <c r="BI191" s="89"/>
      <c r="BJ191" s="109">
        <f>(14/30)+(18/31)</f>
        <v>1.0473118279569893</v>
      </c>
      <c r="BK191" s="91"/>
      <c r="BL191" s="91">
        <f t="shared" si="47"/>
        <v>0</v>
      </c>
      <c r="BM191" s="91">
        <f t="shared" si="11"/>
        <v>9000000</v>
      </c>
      <c r="BN191" s="91"/>
      <c r="BO191" s="92" t="str">
        <f ca="1">IFERROR(__xludf.DUMMYFUNCTION("IFERROR(ArrayFormula(SUM(VLOOKUP($C191,importrange(""1MwNMVzWE3QBVOyJjKr3eFX-Sq1Ng0Q1sghWJbgbE_8g"",""ORDER BOOKING REPORT 2024-25!C:CV""),{16,23,30},0))))"),"")</f>
        <v/>
      </c>
      <c r="BP191" s="92" t="str">
        <f ca="1">IFERROR(__xludf.DUMMYFUNCTION("IFERROR(ArrayFormula(SUM(VLOOKUP($C191,importrange(""1MwNMVzWE3QBVOyJjKr3eFX-Sq1Ng0Q1sghWJbgbE_8g"",""ORDER BOOKING REPORT 2024-25!C:CV""),{37,44,51},0))))"),"")</f>
        <v/>
      </c>
      <c r="BQ191" s="92" t="str">
        <f ca="1">IFERROR(__xludf.DUMMYFUNCTION("IFERROR(ArrayFormula(SUM(VLOOKUP($C191,importrange(""1MwNMVzWE3QBVOyJjKr3eFX-Sq1Ng0Q1sghWJbgbE_8g"",""ORDER BOOKING REPORT 2024-25!C:CV""),{58,65,72},0))))"),"")</f>
        <v/>
      </c>
      <c r="BR191" s="92" t="str">
        <f ca="1">IFERROR(__xludf.DUMMYFUNCTION("IFERROR(ArrayFormula(SUM(VLOOKUP($C191,importrange(""1MwNMVzWE3QBVOyJjKr3eFX-Sq1Ng0Q1sghWJbgbE_8g"",""ORDER BOOKING REPORT 2024-25!C:CV""),{79,86,93},0))))"),"")</f>
        <v/>
      </c>
      <c r="BS191" s="93" t="str">
        <f t="shared" si="12"/>
        <v/>
      </c>
      <c r="BT191" s="93" t="str">
        <f t="shared" si="13"/>
        <v/>
      </c>
      <c r="BU191" s="37">
        <f t="shared" si="14"/>
        <v>0</v>
      </c>
      <c r="BV191" s="94">
        <v>32500</v>
      </c>
      <c r="BW191" s="94" t="s">
        <v>476</v>
      </c>
      <c r="BX191" s="94">
        <v>1256</v>
      </c>
      <c r="BY191" s="37">
        <f t="shared" si="15"/>
        <v>0</v>
      </c>
      <c r="BZ191" s="37"/>
      <c r="CA191" s="37"/>
      <c r="CB191" s="37"/>
      <c r="CC191" s="37"/>
      <c r="CD191" s="37"/>
      <c r="CE191" s="37"/>
      <c r="CF191" s="37"/>
      <c r="CG191" s="37" t="str">
        <f t="shared" si="18"/>
        <v>Below 60</v>
      </c>
      <c r="CH191" s="37" t="str">
        <f t="shared" si="26"/>
        <v>Business Achieved 50%</v>
      </c>
      <c r="CI191" s="93">
        <f t="shared" si="19"/>
        <v>0.5</v>
      </c>
      <c r="CJ191" s="105">
        <f ca="1">IFERROR(__xludf.DUMMYFUNCTION("""COMPUTED_VALUE"""),159)</f>
        <v>159</v>
      </c>
      <c r="CK191" s="105">
        <f ca="1">IFERROR(__xludf.DUMMYFUNCTION("""COMPUTED_VALUE"""),94)</f>
        <v>94</v>
      </c>
      <c r="CL191" s="105">
        <f ca="1">IFERROR(__xludf.DUMMYFUNCTION("""COMPUTED_VALUE"""),0)</f>
        <v>0</v>
      </c>
      <c r="CM191" s="96">
        <f t="shared" ca="1" si="20"/>
        <v>0</v>
      </c>
      <c r="CN191" s="106"/>
      <c r="CO191" s="93"/>
      <c r="CP191" s="107"/>
      <c r="CQ191" s="110"/>
      <c r="CR191" s="93"/>
      <c r="CS191" s="93"/>
      <c r="CT191" s="93"/>
      <c r="CU191" s="93"/>
      <c r="CV191" s="93"/>
      <c r="CW191" s="93"/>
      <c r="CX191" s="51"/>
      <c r="CY191" s="93"/>
      <c r="CZ191" s="93"/>
    </row>
    <row r="192" spans="1:104" ht="15.6">
      <c r="A192" s="1" t="s">
        <v>120</v>
      </c>
      <c r="B192" s="1" t="s">
        <v>286</v>
      </c>
      <c r="C192" s="1" t="s">
        <v>307</v>
      </c>
      <c r="D192" s="1" t="s">
        <v>631</v>
      </c>
      <c r="E192" s="1" t="s">
        <v>357</v>
      </c>
      <c r="F192" s="104">
        <v>45828</v>
      </c>
      <c r="G192" s="76">
        <v>0</v>
      </c>
      <c r="H192" s="76">
        <v>0</v>
      </c>
      <c r="I192" s="77">
        <v>0</v>
      </c>
      <c r="J192" s="77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77">
        <v>0</v>
      </c>
      <c r="Q192" s="77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76">
        <f t="shared" si="1"/>
        <v>0</v>
      </c>
      <c r="AI192" s="76">
        <f t="shared" si="2"/>
        <v>1</v>
      </c>
      <c r="AJ192" s="112">
        <v>24120</v>
      </c>
      <c r="AK192" s="76">
        <f t="shared" si="62"/>
        <v>0</v>
      </c>
      <c r="AL192" s="49"/>
      <c r="AM192" s="80" t="str">
        <f t="shared" si="4"/>
        <v/>
      </c>
      <c r="AN192" s="76" t="str">
        <f t="shared" si="5"/>
        <v/>
      </c>
      <c r="AO192" s="102" t="str">
        <f t="shared" si="115"/>
        <v/>
      </c>
      <c r="AP192" s="82">
        <v>0</v>
      </c>
      <c r="AQ192" s="4">
        <v>0</v>
      </c>
      <c r="AR192" s="4">
        <v>4</v>
      </c>
      <c r="AS192" s="4">
        <v>0</v>
      </c>
      <c r="AT192" s="4">
        <v>0</v>
      </c>
      <c r="AU192" s="4">
        <v>0</v>
      </c>
      <c r="AV192" s="1">
        <v>0</v>
      </c>
      <c r="AW192" s="1">
        <v>0</v>
      </c>
      <c r="AX192" s="1">
        <v>0</v>
      </c>
      <c r="AY192" s="86" t="str">
        <f>IFERROR(VLOOKUP(C192,#REF!,13,0),"")</f>
        <v/>
      </c>
      <c r="AZ192" s="87">
        <v>45831</v>
      </c>
      <c r="BA192" s="1" t="str">
        <f t="shared" si="6"/>
        <v>LEFT</v>
      </c>
      <c r="BB192" s="1" t="e">
        <f t="shared" ca="1" si="7"/>
        <v>#NAME?</v>
      </c>
      <c r="BC192" s="4" t="s">
        <v>161</v>
      </c>
      <c r="BD192" s="33">
        <v>0</v>
      </c>
      <c r="BE192" s="88" t="str">
        <v/>
      </c>
      <c r="BF192" s="1">
        <f t="shared" si="9"/>
        <v>0</v>
      </c>
      <c r="BG192" s="1" t="s">
        <v>428</v>
      </c>
      <c r="BH192" s="89"/>
      <c r="BI192" s="89"/>
      <c r="BJ192" s="109"/>
      <c r="BK192" s="91"/>
      <c r="BL192" s="91">
        <f t="shared" si="47"/>
        <v>0</v>
      </c>
      <c r="BM192" s="91">
        <f t="shared" si="11"/>
        <v>0</v>
      </c>
      <c r="BN192" s="91"/>
      <c r="BO192" s="92" t="str">
        <f ca="1">IFERROR(__xludf.DUMMYFUNCTION("IFERROR(ArrayFormula(SUM(VLOOKUP($C192,importrange(""1MwNMVzWE3QBVOyJjKr3eFX-Sq1Ng0Q1sghWJbgbE_8g"",""ORDER BOOKING REPORT 2024-25!C:CV""),{16,23,30},0))))"),"")</f>
        <v/>
      </c>
      <c r="BP192" s="92" t="str">
        <f ca="1">IFERROR(__xludf.DUMMYFUNCTION("IFERROR(ArrayFormula(SUM(VLOOKUP($C192,importrange(""1MwNMVzWE3QBVOyJjKr3eFX-Sq1Ng0Q1sghWJbgbE_8g"",""ORDER BOOKING REPORT 2024-25!C:CV""),{37,44,51},0))))"),"")</f>
        <v/>
      </c>
      <c r="BQ192" s="92" t="str">
        <f ca="1">IFERROR(__xludf.DUMMYFUNCTION("IFERROR(ArrayFormula(SUM(VLOOKUP($C192,importrange(""1MwNMVzWE3QBVOyJjKr3eFX-Sq1Ng0Q1sghWJbgbE_8g"",""ORDER BOOKING REPORT 2024-25!C:CV""),{58,65,72},0))))"),"")</f>
        <v/>
      </c>
      <c r="BR192" s="92" t="str">
        <f ca="1">IFERROR(__xludf.DUMMYFUNCTION("IFERROR(ArrayFormula(SUM(VLOOKUP($C192,importrange(""1MwNMVzWE3QBVOyJjKr3eFX-Sq1Ng0Q1sghWJbgbE_8g"",""ORDER BOOKING REPORT 2024-25!C:CV""),{79,86,93},0))))"),"")</f>
        <v/>
      </c>
      <c r="BS192" s="93" t="str">
        <f t="shared" si="12"/>
        <v/>
      </c>
      <c r="BT192" s="93" t="str">
        <f t="shared" si="13"/>
        <v/>
      </c>
      <c r="BU192" s="37">
        <f t="shared" si="14"/>
        <v>0</v>
      </c>
      <c r="BV192" s="94"/>
      <c r="BW192" s="94"/>
      <c r="BX192" s="94"/>
      <c r="BY192" s="37">
        <f t="shared" si="15"/>
        <v>-24120</v>
      </c>
      <c r="BZ192" s="37"/>
      <c r="CA192" s="37"/>
      <c r="CB192" s="37"/>
      <c r="CC192" s="37"/>
      <c r="CD192" s="37"/>
      <c r="CE192" s="37"/>
      <c r="CF192" s="37"/>
      <c r="CG192" s="37" t="str">
        <f t="shared" si="18"/>
        <v>Below 60</v>
      </c>
      <c r="CH192" s="37" t="str">
        <f t="shared" si="26"/>
        <v>Not 50%</v>
      </c>
      <c r="CI192" s="93">
        <f t="shared" si="19"/>
        <v>0</v>
      </c>
      <c r="CJ192" s="105"/>
      <c r="CK192" s="105"/>
      <c r="CL192" s="105"/>
      <c r="CM192" s="96">
        <f t="shared" si="20"/>
        <v>0</v>
      </c>
      <c r="CN192" s="106"/>
      <c r="CO192" s="93"/>
      <c r="CP192" s="107"/>
      <c r="CQ192" s="110"/>
      <c r="CR192" s="93"/>
      <c r="CS192" s="93"/>
      <c r="CT192" s="93"/>
      <c r="CU192" s="93"/>
      <c r="CV192" s="93"/>
      <c r="CW192" s="93"/>
      <c r="CX192" s="51"/>
      <c r="CY192" s="93"/>
      <c r="CZ192" s="93"/>
    </row>
    <row r="193" spans="1:104" ht="15.6">
      <c r="A193" s="1" t="s">
        <v>120</v>
      </c>
      <c r="B193" s="1" t="s">
        <v>163</v>
      </c>
      <c r="C193" s="1" t="s">
        <v>308</v>
      </c>
      <c r="D193" s="1" t="s">
        <v>534</v>
      </c>
      <c r="E193" s="1" t="s">
        <v>652</v>
      </c>
      <c r="F193" s="104">
        <v>45831</v>
      </c>
      <c r="G193" s="76">
        <v>150000</v>
      </c>
      <c r="H193" s="76">
        <v>3000000</v>
      </c>
      <c r="I193" s="77">
        <v>225872.96</v>
      </c>
      <c r="J193" s="77">
        <v>80988.160000000003</v>
      </c>
      <c r="K193" s="4">
        <v>14</v>
      </c>
      <c r="L193" s="4">
        <v>23</v>
      </c>
      <c r="M193" s="4">
        <v>9</v>
      </c>
      <c r="N193" s="4">
        <v>23</v>
      </c>
      <c r="O193" s="4">
        <v>0</v>
      </c>
      <c r="P193" s="77">
        <v>6968.5</v>
      </c>
      <c r="Q193" s="77">
        <v>218904.46</v>
      </c>
      <c r="R193" s="4">
        <v>1</v>
      </c>
      <c r="S193" s="4">
        <v>9</v>
      </c>
      <c r="T193" s="4">
        <v>10</v>
      </c>
      <c r="U193" s="4">
        <v>1</v>
      </c>
      <c r="V193" s="4">
        <v>265</v>
      </c>
      <c r="W193" s="4">
        <v>517</v>
      </c>
      <c r="X193" s="4">
        <v>5</v>
      </c>
      <c r="Y193" s="4">
        <v>3</v>
      </c>
      <c r="Z193" s="4">
        <v>21</v>
      </c>
      <c r="AA193" s="4">
        <v>1</v>
      </c>
      <c r="AB193" s="4">
        <v>3</v>
      </c>
      <c r="AC193" s="4">
        <v>7</v>
      </c>
      <c r="AD193" s="4">
        <v>15</v>
      </c>
      <c r="AE193" s="4">
        <v>61</v>
      </c>
      <c r="AF193" s="4">
        <v>617</v>
      </c>
      <c r="AG193" s="4">
        <v>83</v>
      </c>
      <c r="AH193" s="76">
        <f t="shared" si="1"/>
        <v>3697.1219277108435</v>
      </c>
      <c r="AI193" s="76">
        <f t="shared" si="2"/>
        <v>7.4337349397590362</v>
      </c>
      <c r="AJ193" s="78">
        <f t="shared" ref="AJ193:AJ194" si="117">BV193</f>
        <v>24116</v>
      </c>
      <c r="AK193" s="76">
        <f t="shared" si="62"/>
        <v>90836.933333333334</v>
      </c>
      <c r="AL193" s="49">
        <v>13080</v>
      </c>
      <c r="AM193" s="80">
        <f t="shared" si="4"/>
        <v>0.33864483494465947</v>
      </c>
      <c r="AN193" s="76">
        <f t="shared" si="5"/>
        <v>22587.295999999998</v>
      </c>
      <c r="AO193" s="102">
        <f t="shared" si="115"/>
        <v>9.7416228571428565E-2</v>
      </c>
      <c r="AP193" s="82">
        <v>0.18</v>
      </c>
      <c r="AQ193" s="4">
        <v>19</v>
      </c>
      <c r="AR193" s="4">
        <v>657</v>
      </c>
      <c r="AS193" s="4">
        <v>0</v>
      </c>
      <c r="AT193" s="4">
        <v>9</v>
      </c>
      <c r="AU193" s="4">
        <v>0</v>
      </c>
      <c r="AV193" s="1">
        <v>10</v>
      </c>
      <c r="AW193" s="1">
        <v>13</v>
      </c>
      <c r="AX193" s="1">
        <v>0</v>
      </c>
      <c r="AY193" s="86" t="str">
        <f>IFERROR(VLOOKUP(C193,#REF!,13,0),"")</f>
        <v/>
      </c>
      <c r="AZ193" s="87">
        <v>45930</v>
      </c>
      <c r="BA193" s="1" t="str">
        <f t="shared" si="6"/>
        <v>LEFT</v>
      </c>
      <c r="BB193" s="1" t="e">
        <f t="shared" ca="1" si="7"/>
        <v>#NAME?</v>
      </c>
      <c r="BC193" s="1" t="e">
        <f t="shared" ref="BC193:BC198" ca="1" si="118">_xludf.ifs(AO193&lt;50%,"Below 50%",AO193&lt;70%,"50%-70%",AO193&lt;90%,"70%-90%",AO193&lt;100%,"90%-100%",AO193&gt;100%,"Above 100%")</f>
        <v>#NAME?</v>
      </c>
      <c r="BD193" s="134">
        <f>(23/30)+3</f>
        <v>3.7666666666666666</v>
      </c>
      <c r="BE193" s="91" t="str">
        <v/>
      </c>
      <c r="BF193" s="1">
        <f t="shared" si="9"/>
        <v>0</v>
      </c>
      <c r="BG193" s="1" t="s">
        <v>428</v>
      </c>
      <c r="BH193" s="89"/>
      <c r="BI193" s="89"/>
      <c r="BJ193" s="109">
        <f t="shared" ref="BJ193:BJ194" si="119">7/30</f>
        <v>0.23333333333333334</v>
      </c>
      <c r="BK193" s="91">
        <v>50000</v>
      </c>
      <c r="BL193" s="91">
        <f>BK193*3</f>
        <v>150000</v>
      </c>
      <c r="BM193" s="91">
        <f t="shared" si="11"/>
        <v>3150000</v>
      </c>
      <c r="BN193" s="91"/>
      <c r="BO193" s="92" t="str">
        <f ca="1">IFERROR(__xludf.DUMMYFUNCTION("IFERROR(ArrayFormula(SUM(VLOOKUP($C193,importrange(""1MwNMVzWE3QBVOyJjKr3eFX-Sq1Ng0Q1sghWJbgbE_8g"",""ORDER BOOKING REPORT 2024-25!C:CV""),{16,23,30},0))))"),"")</f>
        <v/>
      </c>
      <c r="BP193" s="92" t="str">
        <f ca="1">IFERROR(__xludf.DUMMYFUNCTION("IFERROR(ArrayFormula(SUM(VLOOKUP($C193,importrange(""1MwNMVzWE3QBVOyJjKr3eFX-Sq1Ng0Q1sghWJbgbE_8g"",""ORDER BOOKING REPORT 2024-25!C:CV""),{37,44,51},0))))"),"")</f>
        <v/>
      </c>
      <c r="BQ193" s="92" t="str">
        <f ca="1">IFERROR(__xludf.DUMMYFUNCTION("IFERROR(ArrayFormula(SUM(VLOOKUP($C193,importrange(""1MwNMVzWE3QBVOyJjKr3eFX-Sq1Ng0Q1sghWJbgbE_8g"",""ORDER BOOKING REPORT 2024-25!C:CV""),{58,65,72},0))))"),"")</f>
        <v/>
      </c>
      <c r="BR193" s="92" t="str">
        <f ca="1">IFERROR(__xludf.DUMMYFUNCTION("IFERROR(ArrayFormula(SUM(VLOOKUP($C193,importrange(""1MwNMVzWE3QBVOyJjKr3eFX-Sq1Ng0Q1sghWJbgbE_8g"",""ORDER BOOKING REPORT 2024-25!C:CV""),{79,86,93},0))))"),"")</f>
        <v/>
      </c>
      <c r="BS193" s="93" t="str">
        <f t="shared" si="12"/>
        <v/>
      </c>
      <c r="BT193" s="93" t="str">
        <f t="shared" si="13"/>
        <v/>
      </c>
      <c r="BU193" s="37">
        <f t="shared" si="14"/>
        <v>0</v>
      </c>
      <c r="BV193" s="94">
        <v>24116</v>
      </c>
      <c r="BW193" s="94" t="s">
        <v>476</v>
      </c>
      <c r="BX193" s="94">
        <v>1259</v>
      </c>
      <c r="BY193" s="37">
        <f t="shared" si="15"/>
        <v>0</v>
      </c>
      <c r="BZ193" s="37"/>
      <c r="CA193" s="37" t="e">
        <f>BE193*BD193</f>
        <v>#VALUE!</v>
      </c>
      <c r="CB193" s="37"/>
      <c r="CC193" s="37" t="e">
        <f>CA193-H193</f>
        <v>#VALUE!</v>
      </c>
      <c r="CD193" s="37"/>
      <c r="CE193" s="37"/>
      <c r="CF193" s="37"/>
      <c r="CG193" s="37" t="str">
        <f t="shared" si="18"/>
        <v>Below 60</v>
      </c>
      <c r="CH193" s="37" t="str">
        <f t="shared" si="26"/>
        <v>Not 50%</v>
      </c>
      <c r="CI193" s="93">
        <f t="shared" si="19"/>
        <v>0.43478260869565216</v>
      </c>
      <c r="CJ193" s="105">
        <f ca="1">IFERROR(__xludf.DUMMYFUNCTION("""COMPUTED_VALUE"""),42)</f>
        <v>42</v>
      </c>
      <c r="CK193" s="105">
        <f ca="1">IFERROR(__xludf.DUMMYFUNCTION("""COMPUTED_VALUE"""),19)</f>
        <v>19</v>
      </c>
      <c r="CL193" s="105">
        <f ca="1">IFERROR(__xludf.DUMMYFUNCTION("""COMPUTED_VALUE"""),0)</f>
        <v>0</v>
      </c>
      <c r="CM193" s="96">
        <f t="shared" ca="1" si="20"/>
        <v>0</v>
      </c>
      <c r="CN193" s="106"/>
      <c r="CO193" s="93"/>
      <c r="CP193" s="107"/>
      <c r="CQ193" s="110"/>
      <c r="CR193" s="93"/>
      <c r="CS193" s="93"/>
      <c r="CT193" s="93"/>
      <c r="CU193" s="93"/>
      <c r="CV193" s="93"/>
      <c r="CW193" s="93"/>
      <c r="CX193" s="51"/>
      <c r="CY193" s="93"/>
      <c r="CZ193" s="93"/>
    </row>
    <row r="194" spans="1:104" ht="15.6">
      <c r="A194" s="114" t="s">
        <v>118</v>
      </c>
      <c r="B194" s="114" t="s">
        <v>436</v>
      </c>
      <c r="C194" s="114" t="s">
        <v>309</v>
      </c>
      <c r="D194" s="1" t="s">
        <v>499</v>
      </c>
      <c r="E194" s="1" t="s">
        <v>437</v>
      </c>
      <c r="F194" s="104">
        <v>45831</v>
      </c>
      <c r="G194" s="76">
        <v>0</v>
      </c>
      <c r="H194" s="76">
        <v>10500000</v>
      </c>
      <c r="I194" s="77">
        <v>1405374.08</v>
      </c>
      <c r="J194" s="77">
        <v>0</v>
      </c>
      <c r="K194" s="4">
        <v>103</v>
      </c>
      <c r="L194" s="4">
        <v>121</v>
      </c>
      <c r="M194" s="4">
        <v>20</v>
      </c>
      <c r="N194" s="4">
        <v>123</v>
      </c>
      <c r="O194" s="4">
        <v>2</v>
      </c>
      <c r="P194" s="77">
        <v>1115169.58</v>
      </c>
      <c r="Q194" s="77">
        <v>290204.5</v>
      </c>
      <c r="R194" s="4">
        <v>45</v>
      </c>
      <c r="S194" s="4">
        <v>17</v>
      </c>
      <c r="T194" s="4">
        <v>62</v>
      </c>
      <c r="U194" s="4">
        <v>0</v>
      </c>
      <c r="V194" s="4">
        <v>201</v>
      </c>
      <c r="W194" s="4">
        <v>624</v>
      </c>
      <c r="X194" s="4">
        <v>0</v>
      </c>
      <c r="Y194" s="4">
        <v>2</v>
      </c>
      <c r="Z194" s="4">
        <v>22</v>
      </c>
      <c r="AA194" s="4">
        <v>0</v>
      </c>
      <c r="AB194" s="4">
        <v>0</v>
      </c>
      <c r="AC194" s="4">
        <v>0</v>
      </c>
      <c r="AD194" s="4">
        <v>0</v>
      </c>
      <c r="AE194" s="4">
        <v>558</v>
      </c>
      <c r="AF194" s="4">
        <v>1204</v>
      </c>
      <c r="AG194" s="4">
        <v>159</v>
      </c>
      <c r="AH194" s="76">
        <f t="shared" si="1"/>
        <v>8838.8306918238995</v>
      </c>
      <c r="AI194" s="76">
        <f t="shared" si="2"/>
        <v>7.5723270440251573</v>
      </c>
      <c r="AJ194" s="78">
        <f t="shared" si="117"/>
        <v>27785</v>
      </c>
      <c r="AK194" s="76">
        <f t="shared" si="62"/>
        <v>184862.86666666667</v>
      </c>
      <c r="AL194" s="49">
        <v>96230</v>
      </c>
      <c r="AM194" s="80">
        <f t="shared" si="4"/>
        <v>0.20001284402987329</v>
      </c>
      <c r="AN194" s="76">
        <f t="shared" si="5"/>
        <v>22667.323870967743</v>
      </c>
      <c r="AO194" s="102">
        <f t="shared" si="115"/>
        <v>0.13384515047619047</v>
      </c>
      <c r="AP194" s="82">
        <v>0</v>
      </c>
      <c r="AQ194" s="4">
        <v>378</v>
      </c>
      <c r="AR194" s="4">
        <v>1762</v>
      </c>
      <c r="AS194" s="4">
        <v>0</v>
      </c>
      <c r="AT194" s="4">
        <v>17</v>
      </c>
      <c r="AU194" s="4">
        <v>0</v>
      </c>
      <c r="AV194" s="1">
        <v>62</v>
      </c>
      <c r="AW194" s="1">
        <v>61</v>
      </c>
      <c r="AX194" s="1">
        <v>0</v>
      </c>
      <c r="AY194" s="86" t="str">
        <f>IFERROR(VLOOKUP(C194,#REF!,13,0),"")</f>
        <v/>
      </c>
      <c r="AZ194" s="87">
        <v>46035</v>
      </c>
      <c r="BA194" s="1" t="str">
        <f t="shared" si="6"/>
        <v>LEFT</v>
      </c>
      <c r="BB194" s="1" t="e">
        <f t="shared" ca="1" si="7"/>
        <v>#NAME?</v>
      </c>
      <c r="BC194" s="1" t="e">
        <f t="shared" ca="1" si="118"/>
        <v>#NAME?</v>
      </c>
      <c r="BD194" s="134">
        <f>(30-23)/30+2+1+1+1+1+0.42</f>
        <v>6.6533333333333333</v>
      </c>
      <c r="BE194" s="88" t="str">
        <v/>
      </c>
      <c r="BF194" s="1">
        <f t="shared" si="9"/>
        <v>3</v>
      </c>
      <c r="BG194" s="1" t="s">
        <v>428</v>
      </c>
      <c r="BH194" s="89"/>
      <c r="BI194" s="89"/>
      <c r="BJ194" s="109">
        <f t="shared" si="119"/>
        <v>0.23333333333333334</v>
      </c>
      <c r="BK194" s="91"/>
      <c r="BL194" s="91">
        <f>BK194*BD194</f>
        <v>0</v>
      </c>
      <c r="BM194" s="91">
        <f t="shared" si="11"/>
        <v>10500000</v>
      </c>
      <c r="BN194" s="91"/>
      <c r="BO194" s="92" t="str">
        <f ca="1">IFERROR(__xludf.DUMMYFUNCTION("IFERROR(ArrayFormula(SUM(VLOOKUP($C194,importrange(""1MwNMVzWE3QBVOyJjKr3eFX-Sq1Ng0Q1sghWJbgbE_8g"",""ORDER BOOKING REPORT 2024-25!C:CV""),{16,23,30},0))))"),"")</f>
        <v/>
      </c>
      <c r="BP194" s="92" t="str">
        <f ca="1">IFERROR(__xludf.DUMMYFUNCTION("IFERROR(ArrayFormula(SUM(VLOOKUP($C194,importrange(""1MwNMVzWE3QBVOyJjKr3eFX-Sq1Ng0Q1sghWJbgbE_8g"",""ORDER BOOKING REPORT 2024-25!C:CV""),{37,44,51},0))))"),"")</f>
        <v/>
      </c>
      <c r="BQ194" s="92" t="str">
        <f ca="1">IFERROR(__xludf.DUMMYFUNCTION("IFERROR(ArrayFormula(SUM(VLOOKUP($C194,importrange(""1MwNMVzWE3QBVOyJjKr3eFX-Sq1Ng0Q1sghWJbgbE_8g"",""ORDER BOOKING REPORT 2024-25!C:CV""),{58,65,72},0))))"),"")</f>
        <v/>
      </c>
      <c r="BR194" s="92" t="str">
        <f ca="1">IFERROR(__xludf.DUMMYFUNCTION("IFERROR(ArrayFormula(SUM(VLOOKUP($C194,importrange(""1MwNMVzWE3QBVOyJjKr3eFX-Sq1Ng0Q1sghWJbgbE_8g"",""ORDER BOOKING REPORT 2024-25!C:CV""),{79,86,93},0))))"),"")</f>
        <v/>
      </c>
      <c r="BS194" s="93" t="str">
        <f t="shared" si="12"/>
        <v/>
      </c>
      <c r="BT194" s="93" t="str">
        <f t="shared" si="13"/>
        <v/>
      </c>
      <c r="BU194" s="37">
        <f t="shared" si="14"/>
        <v>0</v>
      </c>
      <c r="BV194" s="94">
        <v>27785</v>
      </c>
      <c r="BW194" s="94" t="s">
        <v>593</v>
      </c>
      <c r="BX194" s="94">
        <v>1257</v>
      </c>
      <c r="BY194" s="37">
        <f t="shared" si="15"/>
        <v>0</v>
      </c>
      <c r="BZ194" s="37"/>
      <c r="CA194" s="37"/>
      <c r="CB194" s="37"/>
      <c r="CC194" s="37"/>
      <c r="CD194" s="37"/>
      <c r="CE194" s="37"/>
      <c r="CF194" s="37"/>
      <c r="CG194" s="37" t="str">
        <f t="shared" si="18"/>
        <v xml:space="preserve"> </v>
      </c>
      <c r="CH194" s="37" t="str">
        <f t="shared" si="26"/>
        <v>Business Achieved 50%</v>
      </c>
      <c r="CI194" s="93">
        <f t="shared" si="19"/>
        <v>0.50406504065040647</v>
      </c>
      <c r="CJ194" s="105">
        <f ca="1">IFERROR(__xludf.DUMMYFUNCTION("""COMPUTED_VALUE"""),356)</f>
        <v>356</v>
      </c>
      <c r="CK194" s="105">
        <f ca="1">IFERROR(__xludf.DUMMYFUNCTION("""COMPUTED_VALUE"""),202)</f>
        <v>202</v>
      </c>
      <c r="CL194" s="105">
        <f ca="1">IFERROR(__xludf.DUMMYFUNCTION("""COMPUTED_VALUE"""),0)</f>
        <v>0</v>
      </c>
      <c r="CM194" s="96">
        <f t="shared" ca="1" si="20"/>
        <v>0</v>
      </c>
      <c r="CN194" s="106"/>
      <c r="CO194" s="93"/>
      <c r="CP194" s="107"/>
      <c r="CQ194" s="110"/>
      <c r="CR194" s="93"/>
      <c r="CS194" s="93"/>
      <c r="CT194" s="93"/>
      <c r="CU194" s="93"/>
      <c r="CV194" s="93"/>
      <c r="CW194" s="93"/>
      <c r="CX194" s="51"/>
      <c r="CY194" s="93"/>
      <c r="CZ194" s="93"/>
    </row>
    <row r="195" spans="1:104" ht="15.6">
      <c r="A195" s="1" t="s">
        <v>201</v>
      </c>
      <c r="B195" s="1" t="s">
        <v>431</v>
      </c>
      <c r="C195" s="1" t="s">
        <v>310</v>
      </c>
      <c r="D195" s="1" t="s">
        <v>431</v>
      </c>
      <c r="E195" s="1" t="s">
        <v>531</v>
      </c>
      <c r="F195" s="104">
        <v>45839</v>
      </c>
      <c r="G195" s="76">
        <v>7500000</v>
      </c>
      <c r="H195" s="76">
        <v>10000000</v>
      </c>
      <c r="I195" s="77">
        <v>256329.44</v>
      </c>
      <c r="J195" s="77">
        <v>0</v>
      </c>
      <c r="K195" s="4">
        <v>103</v>
      </c>
      <c r="L195" s="4">
        <v>137</v>
      </c>
      <c r="M195" s="4">
        <v>34</v>
      </c>
      <c r="N195" s="4">
        <v>137</v>
      </c>
      <c r="O195" s="4">
        <v>0</v>
      </c>
      <c r="P195" s="77">
        <v>232329.44</v>
      </c>
      <c r="Q195" s="77">
        <v>24000</v>
      </c>
      <c r="R195" s="4">
        <v>2</v>
      </c>
      <c r="S195" s="4">
        <v>1</v>
      </c>
      <c r="T195" s="4">
        <v>3</v>
      </c>
      <c r="U195" s="4">
        <v>0</v>
      </c>
      <c r="V195" s="4">
        <v>56</v>
      </c>
      <c r="W195" s="4">
        <v>78</v>
      </c>
      <c r="X195" s="4">
        <v>0</v>
      </c>
      <c r="Y195" s="4">
        <v>4</v>
      </c>
      <c r="Z195" s="4">
        <v>85</v>
      </c>
      <c r="AA195" s="4">
        <v>0</v>
      </c>
      <c r="AB195" s="4">
        <v>0</v>
      </c>
      <c r="AC195" s="4">
        <v>0</v>
      </c>
      <c r="AD195" s="4">
        <v>0</v>
      </c>
      <c r="AE195" s="4">
        <v>307</v>
      </c>
      <c r="AF195" s="4">
        <v>470</v>
      </c>
      <c r="AG195" s="4">
        <v>111</v>
      </c>
      <c r="AH195" s="76">
        <f t="shared" si="1"/>
        <v>2309.2742342342344</v>
      </c>
      <c r="AI195" s="76">
        <f t="shared" si="2"/>
        <v>4.2342342342342345</v>
      </c>
      <c r="AJ195" s="112">
        <v>99750</v>
      </c>
      <c r="AK195" s="76">
        <f t="shared" si="62"/>
        <v>478800</v>
      </c>
      <c r="AL195" s="49">
        <v>76262</v>
      </c>
      <c r="AM195" s="80">
        <f t="shared" si="4"/>
        <v>2.1654243070948072</v>
      </c>
      <c r="AN195" s="76">
        <f t="shared" si="5"/>
        <v>85443.146666666667</v>
      </c>
      <c r="AO195" s="102">
        <f t="shared" si="115"/>
        <v>1.4647396571428571E-2</v>
      </c>
      <c r="AP195" s="82">
        <v>0</v>
      </c>
      <c r="AQ195" s="4">
        <v>3</v>
      </c>
      <c r="AR195" s="4">
        <v>925</v>
      </c>
      <c r="AS195" s="4">
        <v>0</v>
      </c>
      <c r="AT195" s="4">
        <v>1</v>
      </c>
      <c r="AU195" s="4">
        <v>0</v>
      </c>
      <c r="AV195" s="1">
        <v>3</v>
      </c>
      <c r="AW195" s="1">
        <v>134</v>
      </c>
      <c r="AX195" s="1">
        <v>0</v>
      </c>
      <c r="AY195" s="86" t="str">
        <f>IFERROR(VLOOKUP(C195,#REF!,13,0),"")</f>
        <v/>
      </c>
      <c r="AZ195" s="87">
        <v>45985</v>
      </c>
      <c r="BA195" s="1" t="str">
        <f t="shared" si="6"/>
        <v>LEFT</v>
      </c>
      <c r="BB195" s="1" t="e">
        <f t="shared" ca="1" si="7"/>
        <v>#NAME?</v>
      </c>
      <c r="BC195" s="1" t="e">
        <f t="shared" ca="1" si="118"/>
        <v>#NAME?</v>
      </c>
      <c r="BD195" s="33">
        <v>4.8</v>
      </c>
      <c r="BE195" s="88" t="str">
        <v/>
      </c>
      <c r="BF195" s="1">
        <f t="shared" si="9"/>
        <v>33</v>
      </c>
      <c r="BG195" s="1" t="s">
        <v>428</v>
      </c>
      <c r="BH195" s="89"/>
      <c r="BI195" s="89"/>
      <c r="BJ195" s="109"/>
      <c r="BK195" s="91">
        <v>1500000</v>
      </c>
      <c r="BL195" s="91">
        <f>BK195*5</f>
        <v>7500000</v>
      </c>
      <c r="BM195" s="91">
        <f t="shared" si="11"/>
        <v>17500000</v>
      </c>
      <c r="BN195" s="91"/>
      <c r="BO195" s="92" t="str">
        <f ca="1">IFERROR(__xludf.DUMMYFUNCTION("IFERROR(ArrayFormula(SUM(VLOOKUP($C195,importrange(""1MwNMVzWE3QBVOyJjKr3eFX-Sq1Ng0Q1sghWJbgbE_8g"",""ORDER BOOKING REPORT 2024-25!C:CV""),{16,23,30},0))))"),"")</f>
        <v/>
      </c>
      <c r="BP195" s="92" t="str">
        <f ca="1">IFERROR(__xludf.DUMMYFUNCTION("IFERROR(ArrayFormula(SUM(VLOOKUP($C195,importrange(""1MwNMVzWE3QBVOyJjKr3eFX-Sq1Ng0Q1sghWJbgbE_8g"",""ORDER BOOKING REPORT 2024-25!C:CV""),{37,44,51},0))))"),"")</f>
        <v/>
      </c>
      <c r="BQ195" s="92" t="str">
        <f ca="1">IFERROR(__xludf.DUMMYFUNCTION("IFERROR(ArrayFormula(SUM(VLOOKUP($C195,importrange(""1MwNMVzWE3QBVOyJjKr3eFX-Sq1Ng0Q1sghWJbgbE_8g"",""ORDER BOOKING REPORT 2024-25!C:CV""),{58,65,72},0))))"),"")</f>
        <v/>
      </c>
      <c r="BR195" s="92" t="str">
        <f ca="1">IFERROR(__xludf.DUMMYFUNCTION("IFERROR(ArrayFormula(SUM(VLOOKUP($C195,importrange(""1MwNMVzWE3QBVOyJjKr3eFX-Sq1Ng0Q1sghWJbgbE_8g"",""ORDER BOOKING REPORT 2024-25!C:CV""),{79,86,93},0))))"),"")</f>
        <v/>
      </c>
      <c r="BS195" s="93" t="str">
        <f t="shared" si="12"/>
        <v/>
      </c>
      <c r="BT195" s="93" t="str">
        <f t="shared" si="13"/>
        <v/>
      </c>
      <c r="BU195" s="37">
        <f t="shared" si="14"/>
        <v>0</v>
      </c>
      <c r="BV195" s="94"/>
      <c r="BW195" s="94"/>
      <c r="BX195" s="94"/>
      <c r="BY195" s="37">
        <f t="shared" si="15"/>
        <v>-99750</v>
      </c>
      <c r="BZ195" s="37"/>
      <c r="CA195" s="37"/>
      <c r="CB195" s="37"/>
      <c r="CC195" s="37"/>
      <c r="CD195" s="37"/>
      <c r="CE195" s="37"/>
      <c r="CF195" s="37"/>
      <c r="CG195" s="37" t="str">
        <f t="shared" si="18"/>
        <v xml:space="preserve"> </v>
      </c>
      <c r="CH195" s="37" t="str">
        <f t="shared" si="26"/>
        <v>Not 50%</v>
      </c>
      <c r="CI195" s="93">
        <f t="shared" si="19"/>
        <v>2.1897810218978103E-2</v>
      </c>
      <c r="CJ195" s="105">
        <f ca="1">IFERROR(__xludf.DUMMYFUNCTION("""COMPUTED_VALUE"""),11)</f>
        <v>11</v>
      </c>
      <c r="CK195" s="105">
        <f ca="1">IFERROR(__xludf.DUMMYFUNCTION("""COMPUTED_VALUE"""),296)</f>
        <v>296</v>
      </c>
      <c r="CL195" s="105">
        <f ca="1">IFERROR(__xludf.DUMMYFUNCTION("""COMPUTED_VALUE"""),0)</f>
        <v>0</v>
      </c>
      <c r="CM195" s="96">
        <f t="shared" ca="1" si="20"/>
        <v>0</v>
      </c>
      <c r="CN195" s="106"/>
      <c r="CO195" s="93"/>
      <c r="CP195" s="107"/>
      <c r="CQ195" s="110"/>
      <c r="CR195" s="93"/>
      <c r="CS195" s="93"/>
      <c r="CT195" s="93"/>
      <c r="CU195" s="93"/>
      <c r="CV195" s="93"/>
      <c r="CW195" s="93"/>
      <c r="CX195" s="51"/>
      <c r="CY195" s="93"/>
      <c r="CZ195" s="93"/>
    </row>
    <row r="196" spans="1:104" ht="15.6">
      <c r="A196" s="1" t="s">
        <v>201</v>
      </c>
      <c r="B196" s="1" t="s">
        <v>438</v>
      </c>
      <c r="C196" s="1" t="s">
        <v>311</v>
      </c>
      <c r="D196" s="1" t="s">
        <v>504</v>
      </c>
      <c r="E196" s="1" t="s">
        <v>505</v>
      </c>
      <c r="F196" s="104">
        <v>45839</v>
      </c>
      <c r="G196" s="76">
        <v>0</v>
      </c>
      <c r="H196" s="76">
        <v>14850000</v>
      </c>
      <c r="I196" s="77">
        <v>6654740.5199999996</v>
      </c>
      <c r="J196" s="77">
        <v>0</v>
      </c>
      <c r="K196" s="4">
        <v>73</v>
      </c>
      <c r="L196" s="4">
        <v>88</v>
      </c>
      <c r="M196" s="4">
        <v>15</v>
      </c>
      <c r="N196" s="4">
        <v>88</v>
      </c>
      <c r="O196" s="4">
        <v>0</v>
      </c>
      <c r="P196" s="77">
        <v>5697489.1299999999</v>
      </c>
      <c r="Q196" s="77">
        <v>957251.39</v>
      </c>
      <c r="R196" s="4">
        <v>56</v>
      </c>
      <c r="S196" s="4">
        <v>15</v>
      </c>
      <c r="T196" s="4">
        <v>71</v>
      </c>
      <c r="U196" s="4">
        <v>0</v>
      </c>
      <c r="V196" s="4">
        <v>27</v>
      </c>
      <c r="W196" s="4">
        <v>119</v>
      </c>
      <c r="X196" s="4">
        <v>0</v>
      </c>
      <c r="Y196" s="4">
        <v>1</v>
      </c>
      <c r="Z196" s="4">
        <v>68</v>
      </c>
      <c r="AA196" s="4">
        <v>0</v>
      </c>
      <c r="AB196" s="4">
        <v>0</v>
      </c>
      <c r="AC196" s="4">
        <v>0</v>
      </c>
      <c r="AD196" s="4">
        <v>0</v>
      </c>
      <c r="AE196" s="4">
        <v>870</v>
      </c>
      <c r="AF196" s="4">
        <v>1057</v>
      </c>
      <c r="AG196" s="4">
        <v>213</v>
      </c>
      <c r="AH196" s="76">
        <f t="shared" si="1"/>
        <v>31242.913239436617</v>
      </c>
      <c r="AI196" s="76">
        <f t="shared" si="2"/>
        <v>4.962441314553991</v>
      </c>
      <c r="AJ196" s="112">
        <v>27800</v>
      </c>
      <c r="AK196" s="76">
        <f t="shared" si="62"/>
        <v>250200</v>
      </c>
      <c r="AL196" s="49">
        <v>106183</v>
      </c>
      <c r="AM196" s="80">
        <f t="shared" si="4"/>
        <v>5.3553252591732908E-2</v>
      </c>
      <c r="AN196" s="76">
        <f t="shared" si="5"/>
        <v>93728.739718309851</v>
      </c>
      <c r="AO196" s="102">
        <f t="shared" si="115"/>
        <v>0.4481306747474747</v>
      </c>
      <c r="AP196" s="82">
        <v>0</v>
      </c>
      <c r="AQ196" s="4">
        <v>325</v>
      </c>
      <c r="AR196" s="4">
        <v>1973</v>
      </c>
      <c r="AS196" s="4">
        <v>2671.09</v>
      </c>
      <c r="AT196" s="4">
        <v>15</v>
      </c>
      <c r="AU196" s="4">
        <v>30</v>
      </c>
      <c r="AV196" s="1">
        <v>71</v>
      </c>
      <c r="AW196" s="1">
        <v>17</v>
      </c>
      <c r="AX196" s="1">
        <v>0</v>
      </c>
      <c r="AY196" s="86" t="str">
        <f>IFERROR(VLOOKUP(C196,#REF!,13,0),"")</f>
        <v/>
      </c>
      <c r="AZ196" s="87"/>
      <c r="BA196" s="1" t="str">
        <f t="shared" si="6"/>
        <v>Active</v>
      </c>
      <c r="BB196" s="1" t="e">
        <f t="shared" ca="1" si="7"/>
        <v>#NAME?</v>
      </c>
      <c r="BC196" s="1" t="e">
        <f t="shared" ca="1" si="118"/>
        <v>#NAME?</v>
      </c>
      <c r="BD196" s="33">
        <v>9</v>
      </c>
      <c r="BE196" s="88" t="str">
        <v/>
      </c>
      <c r="BF196" s="1">
        <f t="shared" si="9"/>
        <v>0</v>
      </c>
      <c r="BG196" s="1" t="s">
        <v>428</v>
      </c>
      <c r="BH196" s="89"/>
      <c r="BI196" s="89"/>
      <c r="BJ196" s="90"/>
      <c r="BK196" s="91"/>
      <c r="BL196" s="91">
        <f t="shared" ref="BL196:BL223" si="120">BK196*BD196</f>
        <v>0</v>
      </c>
      <c r="BM196" s="91">
        <f t="shared" si="11"/>
        <v>14850000</v>
      </c>
      <c r="BN196" s="91"/>
      <c r="BO196" s="92" t="str">
        <f ca="1">IFERROR(__xludf.DUMMYFUNCTION("IFERROR(ArrayFormula(SUM(VLOOKUP($C196,importrange(""1MwNMVzWE3QBVOyJjKr3eFX-Sq1Ng0Q1sghWJbgbE_8g"",""ORDER BOOKING REPORT 2024-25!C:CV""),{16,23,30},0))))"),"")</f>
        <v/>
      </c>
      <c r="BP196" s="92" t="str">
        <f ca="1">IFERROR(__xludf.DUMMYFUNCTION("IFERROR(ArrayFormula(SUM(VLOOKUP($C196,importrange(""1MwNMVzWE3QBVOyJjKr3eFX-Sq1Ng0Q1sghWJbgbE_8g"",""ORDER BOOKING REPORT 2024-25!C:CV""),{37,44,51},0))))"),"")</f>
        <v/>
      </c>
      <c r="BQ196" s="92" t="str">
        <f ca="1">IFERROR(__xludf.DUMMYFUNCTION("IFERROR(ArrayFormula(SUM(VLOOKUP($C196,importrange(""1MwNMVzWE3QBVOyJjKr3eFX-Sq1Ng0Q1sghWJbgbE_8g"",""ORDER BOOKING REPORT 2024-25!C:CV""),{58,65,72},0))))"),"")</f>
        <v/>
      </c>
      <c r="BR196" s="92" t="str">
        <f ca="1">IFERROR(__xludf.DUMMYFUNCTION("IFERROR(ArrayFormula(SUM(VLOOKUP($C196,importrange(""1MwNMVzWE3QBVOyJjKr3eFX-Sq1Ng0Q1sghWJbgbE_8g"",""ORDER BOOKING REPORT 2024-25!C:CV""),{79,86,93},0))))"),"")</f>
        <v/>
      </c>
      <c r="BS196" s="93" t="str">
        <f t="shared" si="12"/>
        <v/>
      </c>
      <c r="BT196" s="93" t="str">
        <f t="shared" si="13"/>
        <v/>
      </c>
      <c r="BU196" s="37">
        <f t="shared" si="14"/>
        <v>0</v>
      </c>
      <c r="BV196" s="94"/>
      <c r="BW196" s="94"/>
      <c r="BX196" s="94"/>
      <c r="BY196" s="37">
        <f t="shared" si="15"/>
        <v>-27800</v>
      </c>
      <c r="BZ196" s="37"/>
      <c r="CA196" s="37"/>
      <c r="CB196" s="37"/>
      <c r="CC196" s="37"/>
      <c r="CD196" s="37"/>
      <c r="CE196" s="37"/>
      <c r="CF196" s="37"/>
      <c r="CG196" s="37" t="str">
        <f t="shared" si="18"/>
        <v xml:space="preserve"> </v>
      </c>
      <c r="CH196" s="37" t="str">
        <f t="shared" si="26"/>
        <v>Business Achieved 50%</v>
      </c>
      <c r="CI196" s="93">
        <f t="shared" si="19"/>
        <v>0.80681818181818177</v>
      </c>
      <c r="CJ196" s="105">
        <f ca="1">IFERROR(__xludf.DUMMYFUNCTION("""COMPUTED_VALUE"""),751)</f>
        <v>751</v>
      </c>
      <c r="CK196" s="105">
        <f ca="1">IFERROR(__xludf.DUMMYFUNCTION("""COMPUTED_VALUE"""),119)</f>
        <v>119</v>
      </c>
      <c r="CL196" s="105">
        <f ca="1">IFERROR(__xludf.DUMMYFUNCTION("""COMPUTED_VALUE"""),0)</f>
        <v>0</v>
      </c>
      <c r="CM196" s="96">
        <f t="shared" ca="1" si="20"/>
        <v>0</v>
      </c>
      <c r="CN196" s="106"/>
      <c r="CO196" s="93"/>
      <c r="CP196" s="107"/>
      <c r="CQ196" s="110"/>
      <c r="CR196" s="93"/>
      <c r="CS196" s="93"/>
      <c r="CT196" s="93"/>
      <c r="CU196" s="93"/>
      <c r="CV196" s="93"/>
      <c r="CW196" s="93"/>
      <c r="CX196" s="51"/>
      <c r="CY196" s="93"/>
      <c r="CZ196" s="93"/>
    </row>
    <row r="197" spans="1:104" ht="15.6">
      <c r="A197" s="1" t="s">
        <v>108</v>
      </c>
      <c r="B197" s="1" t="s">
        <v>465</v>
      </c>
      <c r="C197" s="1" t="s">
        <v>312</v>
      </c>
      <c r="D197" s="1" t="s">
        <v>506</v>
      </c>
      <c r="E197" s="1" t="s">
        <v>654</v>
      </c>
      <c r="F197" s="104">
        <v>45842</v>
      </c>
      <c r="G197" s="76">
        <v>0</v>
      </c>
      <c r="H197" s="76">
        <v>2860000</v>
      </c>
      <c r="I197" s="77">
        <v>0</v>
      </c>
      <c r="J197" s="77">
        <v>0</v>
      </c>
      <c r="K197" s="4">
        <v>22</v>
      </c>
      <c r="L197" s="4">
        <v>22</v>
      </c>
      <c r="M197" s="4">
        <v>0</v>
      </c>
      <c r="N197" s="4">
        <v>22</v>
      </c>
      <c r="O197" s="4">
        <v>0</v>
      </c>
      <c r="P197" s="77">
        <v>0</v>
      </c>
      <c r="Q197" s="77">
        <v>0</v>
      </c>
      <c r="R197" s="4">
        <v>0</v>
      </c>
      <c r="S197" s="4">
        <v>0</v>
      </c>
      <c r="T197" s="4">
        <v>0</v>
      </c>
      <c r="U197" s="4">
        <v>0</v>
      </c>
      <c r="V197" s="4">
        <v>10</v>
      </c>
      <c r="W197" s="4">
        <v>34</v>
      </c>
      <c r="X197" s="4">
        <v>0</v>
      </c>
      <c r="Y197" s="4">
        <v>3</v>
      </c>
      <c r="Z197" s="4">
        <v>7</v>
      </c>
      <c r="AA197" s="4">
        <v>0</v>
      </c>
      <c r="AB197" s="4">
        <v>0</v>
      </c>
      <c r="AC197" s="4">
        <v>0</v>
      </c>
      <c r="AD197" s="4">
        <v>0</v>
      </c>
      <c r="AE197" s="4">
        <v>97</v>
      </c>
      <c r="AF197" s="4">
        <v>138</v>
      </c>
      <c r="AG197" s="4">
        <v>47</v>
      </c>
      <c r="AH197" s="76">
        <f t="shared" si="1"/>
        <v>0</v>
      </c>
      <c r="AI197" s="76">
        <f t="shared" si="2"/>
        <v>2.9361702127659575</v>
      </c>
      <c r="AJ197" s="112">
        <v>36190</v>
      </c>
      <c r="AK197" s="76">
        <f t="shared" si="62"/>
        <v>95300.333333333328</v>
      </c>
      <c r="AL197" s="49">
        <v>27268</v>
      </c>
      <c r="AM197" s="80" t="str">
        <f t="shared" si="4"/>
        <v/>
      </c>
      <c r="AN197" s="76" t="str">
        <f t="shared" si="5"/>
        <v/>
      </c>
      <c r="AO197" s="102">
        <f t="shared" si="115"/>
        <v>0</v>
      </c>
      <c r="AP197" s="82">
        <v>0</v>
      </c>
      <c r="AQ197" s="4">
        <v>0</v>
      </c>
      <c r="AR197" s="4">
        <v>384</v>
      </c>
      <c r="AS197" s="4">
        <v>0</v>
      </c>
      <c r="AT197" s="4">
        <v>0</v>
      </c>
      <c r="AU197" s="4">
        <v>0</v>
      </c>
      <c r="AV197" s="1">
        <v>0</v>
      </c>
      <c r="AW197" s="1">
        <v>22</v>
      </c>
      <c r="AX197" s="1">
        <v>0</v>
      </c>
      <c r="AY197" s="86" t="str">
        <f>IFERROR(VLOOKUP(C197,#REF!,13,0),"")</f>
        <v/>
      </c>
      <c r="AZ197" s="87">
        <v>45911</v>
      </c>
      <c r="BA197" s="1" t="str">
        <f t="shared" si="6"/>
        <v>LEFT</v>
      </c>
      <c r="BB197" s="1" t="e">
        <f t="shared" ca="1" si="7"/>
        <v>#NAME?</v>
      </c>
      <c r="BC197" s="1" t="e">
        <f t="shared" ca="1" si="118"/>
        <v>#NAME?</v>
      </c>
      <c r="BD197" s="118">
        <f>(30-11)/30+2</f>
        <v>2.6333333333333333</v>
      </c>
      <c r="BE197" s="91" t="str">
        <v/>
      </c>
      <c r="BF197" s="1">
        <f t="shared" si="9"/>
        <v>0</v>
      </c>
      <c r="BG197" s="1" t="s">
        <v>428</v>
      </c>
      <c r="BH197" s="89"/>
      <c r="BI197" s="89"/>
      <c r="BJ197" s="90">
        <f>30-11</f>
        <v>19</v>
      </c>
      <c r="BK197" s="91"/>
      <c r="BL197" s="91">
        <f t="shared" si="120"/>
        <v>0</v>
      </c>
      <c r="BM197" s="91">
        <f t="shared" si="11"/>
        <v>2860000</v>
      </c>
      <c r="BN197" s="91"/>
      <c r="BO197" s="92" t="str">
        <f ca="1">IFERROR(__xludf.DUMMYFUNCTION("IFERROR(ArrayFormula(SUM(VLOOKUP($C197,importrange(""1MwNMVzWE3QBVOyJjKr3eFX-Sq1Ng0Q1sghWJbgbE_8g"",""ORDER BOOKING REPORT 2024-25!C:CV""),{16,23,30},0))))"),"")</f>
        <v/>
      </c>
      <c r="BP197" s="92" t="str">
        <f ca="1">IFERROR(__xludf.DUMMYFUNCTION("IFERROR(ArrayFormula(SUM(VLOOKUP($C197,importrange(""1MwNMVzWE3QBVOyJjKr3eFX-Sq1Ng0Q1sghWJbgbE_8g"",""ORDER BOOKING REPORT 2024-25!C:CV""),{37,44,51},0))))"),"")</f>
        <v/>
      </c>
      <c r="BQ197" s="92" t="str">
        <f ca="1">IFERROR(__xludf.DUMMYFUNCTION("IFERROR(ArrayFormula(SUM(VLOOKUP($C197,importrange(""1MwNMVzWE3QBVOyJjKr3eFX-Sq1Ng0Q1sghWJbgbE_8g"",""ORDER BOOKING REPORT 2024-25!C:CV""),{58,65,72},0))))"),"")</f>
        <v/>
      </c>
      <c r="BR197" s="92" t="str">
        <f ca="1">IFERROR(__xludf.DUMMYFUNCTION("IFERROR(ArrayFormula(SUM(VLOOKUP($C197,importrange(""1MwNMVzWE3QBVOyJjKr3eFX-Sq1Ng0Q1sghWJbgbE_8g"",""ORDER BOOKING REPORT 2024-25!C:CV""),{79,86,93},0))))"),"")</f>
        <v/>
      </c>
      <c r="BS197" s="93" t="str">
        <f t="shared" si="12"/>
        <v/>
      </c>
      <c r="BT197" s="93" t="str">
        <f t="shared" si="13"/>
        <v/>
      </c>
      <c r="BU197" s="37">
        <f t="shared" si="14"/>
        <v>0</v>
      </c>
      <c r="BV197" s="94"/>
      <c r="BW197" s="94"/>
      <c r="BX197" s="94"/>
      <c r="BY197" s="37">
        <f t="shared" si="15"/>
        <v>-36190</v>
      </c>
      <c r="BZ197" s="37"/>
      <c r="CA197" s="37" t="e">
        <f>BE197*BD197</f>
        <v>#VALUE!</v>
      </c>
      <c r="CB197" s="37"/>
      <c r="CC197" s="37" t="e">
        <f>CA197-H197</f>
        <v>#VALUE!</v>
      </c>
      <c r="CD197" s="37"/>
      <c r="CE197" s="37"/>
      <c r="CF197" s="37"/>
      <c r="CG197" s="37" t="str">
        <f t="shared" si="18"/>
        <v>Below 60</v>
      </c>
      <c r="CH197" s="37" t="str">
        <f t="shared" si="26"/>
        <v>Not 50%</v>
      </c>
      <c r="CI197" s="93">
        <f t="shared" si="19"/>
        <v>0</v>
      </c>
      <c r="CJ197" s="105">
        <f ca="1">IFERROR(__xludf.DUMMYFUNCTION("""COMPUTED_VALUE"""),0)</f>
        <v>0</v>
      </c>
      <c r="CK197" s="105">
        <f ca="1">IFERROR(__xludf.DUMMYFUNCTION("""COMPUTED_VALUE"""),97)</f>
        <v>97</v>
      </c>
      <c r="CL197" s="105">
        <f ca="1">IFERROR(__xludf.DUMMYFUNCTION("""COMPUTED_VALUE"""),0)</f>
        <v>0</v>
      </c>
      <c r="CM197" s="96">
        <f t="shared" ca="1" si="20"/>
        <v>0</v>
      </c>
      <c r="CN197" s="106"/>
      <c r="CO197" s="93"/>
      <c r="CP197" s="107"/>
      <c r="CQ197" s="110"/>
      <c r="CR197" s="93"/>
      <c r="CS197" s="93"/>
      <c r="CT197" s="93"/>
      <c r="CU197" s="93"/>
      <c r="CV197" s="93"/>
      <c r="CW197" s="93"/>
      <c r="CX197" s="51"/>
      <c r="CY197" s="93"/>
      <c r="CZ197" s="93"/>
    </row>
    <row r="198" spans="1:104" ht="15.6">
      <c r="A198" s="1" t="s">
        <v>108</v>
      </c>
      <c r="B198" s="1" t="s">
        <v>465</v>
      </c>
      <c r="C198" s="1" t="s">
        <v>313</v>
      </c>
      <c r="D198" s="1" t="s">
        <v>506</v>
      </c>
      <c r="E198" s="1" t="s">
        <v>475</v>
      </c>
      <c r="F198" s="138">
        <v>45842</v>
      </c>
      <c r="G198" s="76">
        <v>0</v>
      </c>
      <c r="H198" s="76">
        <v>15200000</v>
      </c>
      <c r="I198" s="77">
        <v>9683539.0999999996</v>
      </c>
      <c r="J198" s="77">
        <v>0</v>
      </c>
      <c r="K198" s="4">
        <v>103</v>
      </c>
      <c r="L198" s="4">
        <v>122</v>
      </c>
      <c r="M198" s="4">
        <v>20</v>
      </c>
      <c r="N198" s="4">
        <v>123</v>
      </c>
      <c r="O198" s="4">
        <v>1</v>
      </c>
      <c r="P198" s="77">
        <v>9625657.0999999996</v>
      </c>
      <c r="Q198" s="77">
        <v>57882</v>
      </c>
      <c r="R198" s="4">
        <v>17</v>
      </c>
      <c r="S198" s="4">
        <v>3</v>
      </c>
      <c r="T198" s="4">
        <v>20</v>
      </c>
      <c r="U198" s="4">
        <v>0</v>
      </c>
      <c r="V198" s="4">
        <v>147</v>
      </c>
      <c r="W198" s="4">
        <v>397</v>
      </c>
      <c r="X198" s="4">
        <v>0</v>
      </c>
      <c r="Y198" s="4">
        <v>3</v>
      </c>
      <c r="Z198" s="4">
        <v>34</v>
      </c>
      <c r="AA198" s="4">
        <v>0</v>
      </c>
      <c r="AB198" s="4">
        <v>0</v>
      </c>
      <c r="AC198" s="4">
        <v>0</v>
      </c>
      <c r="AD198" s="4">
        <v>0</v>
      </c>
      <c r="AE198" s="4">
        <v>861</v>
      </c>
      <c r="AF198" s="4">
        <v>1292</v>
      </c>
      <c r="AG198" s="4">
        <v>200</v>
      </c>
      <c r="AH198" s="76">
        <f t="shared" si="1"/>
        <v>48417.695500000002</v>
      </c>
      <c r="AI198" s="76">
        <f t="shared" si="2"/>
        <v>6.46</v>
      </c>
      <c r="AJ198" s="112">
        <v>48765</v>
      </c>
      <c r="AK198" s="76">
        <f t="shared" si="62"/>
        <v>438885</v>
      </c>
      <c r="AL198" s="49">
        <v>125514</v>
      </c>
      <c r="AM198" s="80">
        <f t="shared" si="4"/>
        <v>5.8284372497654294E-2</v>
      </c>
      <c r="AN198" s="76">
        <f t="shared" si="5"/>
        <v>484176.95499999996</v>
      </c>
      <c r="AO198" s="102">
        <f t="shared" si="115"/>
        <v>0.63707494078947369</v>
      </c>
      <c r="AP198" s="82">
        <v>0</v>
      </c>
      <c r="AQ198" s="4">
        <v>164</v>
      </c>
      <c r="AR198" s="4">
        <v>1841</v>
      </c>
      <c r="AS198" s="4">
        <v>3699.21</v>
      </c>
      <c r="AT198" s="4">
        <v>3</v>
      </c>
      <c r="AU198" s="4">
        <v>30</v>
      </c>
      <c r="AV198" s="1">
        <v>20</v>
      </c>
      <c r="AW198" s="1">
        <v>102</v>
      </c>
      <c r="AX198" s="1">
        <v>1</v>
      </c>
      <c r="AY198" s="86" t="str">
        <f>IFERROR(VLOOKUP(C198,#REF!,13,0),"")</f>
        <v/>
      </c>
      <c r="AZ198" s="87"/>
      <c r="BA198" s="1" t="str">
        <f t="shared" si="6"/>
        <v>Active</v>
      </c>
      <c r="BB198" s="1" t="e">
        <f t="shared" ca="1" si="7"/>
        <v>#NAME?</v>
      </c>
      <c r="BC198" s="1" t="e">
        <f t="shared" ca="1" si="118"/>
        <v>#NAME?</v>
      </c>
      <c r="BD198" s="33">
        <v>9</v>
      </c>
      <c r="BE198" s="91" t="str">
        <v/>
      </c>
      <c r="BF198" s="1">
        <f t="shared" si="9"/>
        <v>17</v>
      </c>
      <c r="BG198" s="1" t="s">
        <v>428</v>
      </c>
      <c r="BH198" s="89"/>
      <c r="BI198" s="89"/>
      <c r="BJ198" s="90"/>
      <c r="BK198" s="91"/>
      <c r="BL198" s="91">
        <f t="shared" si="120"/>
        <v>0</v>
      </c>
      <c r="BM198" s="91">
        <f t="shared" si="11"/>
        <v>15200000</v>
      </c>
      <c r="BN198" s="91"/>
      <c r="BO198" s="92" t="str">
        <f ca="1">IFERROR(__xludf.DUMMYFUNCTION("IFERROR(ArrayFormula(SUM(VLOOKUP($C198,importrange(""1MwNMVzWE3QBVOyJjKr3eFX-Sq1Ng0Q1sghWJbgbE_8g"",""ORDER BOOKING REPORT 2024-25!C:CV""),{16,23,30},0))))"),"")</f>
        <v/>
      </c>
      <c r="BP198" s="92" t="str">
        <f ca="1">IFERROR(__xludf.DUMMYFUNCTION("IFERROR(ArrayFormula(SUM(VLOOKUP($C198,importrange(""1MwNMVzWE3QBVOyJjKr3eFX-Sq1Ng0Q1sghWJbgbE_8g"",""ORDER BOOKING REPORT 2024-25!C:CV""),{37,44,51},0))))"),"")</f>
        <v/>
      </c>
      <c r="BQ198" s="92" t="str">
        <f ca="1">IFERROR(__xludf.DUMMYFUNCTION("IFERROR(ArrayFormula(SUM(VLOOKUP($C198,importrange(""1MwNMVzWE3QBVOyJjKr3eFX-Sq1Ng0Q1sghWJbgbE_8g"",""ORDER BOOKING REPORT 2024-25!C:CV""),{58,65,72},0))))"),"")</f>
        <v/>
      </c>
      <c r="BR198" s="92" t="str">
        <f ca="1">IFERROR(__xludf.DUMMYFUNCTION("IFERROR(ArrayFormula(SUM(VLOOKUP($C198,importrange(""1MwNMVzWE3QBVOyJjKr3eFX-Sq1Ng0Q1sghWJbgbE_8g"",""ORDER BOOKING REPORT 2024-25!C:CV""),{79,86,93},0))))"),"")</f>
        <v/>
      </c>
      <c r="BS198" s="93" t="str">
        <f t="shared" si="12"/>
        <v/>
      </c>
      <c r="BT198" s="93" t="str">
        <f t="shared" si="13"/>
        <v/>
      </c>
      <c r="BU198" s="37">
        <f t="shared" si="14"/>
        <v>0</v>
      </c>
      <c r="BV198" s="94"/>
      <c r="BW198" s="94"/>
      <c r="BX198" s="94"/>
      <c r="BY198" s="37">
        <f t="shared" si="15"/>
        <v>-48765</v>
      </c>
      <c r="BZ198" s="37"/>
      <c r="CA198" s="37"/>
      <c r="CB198" s="37"/>
      <c r="CC198" s="37"/>
      <c r="CD198" s="37"/>
      <c r="CE198" s="37"/>
      <c r="CF198" s="37"/>
      <c r="CG198" s="37" t="str">
        <f t="shared" si="18"/>
        <v xml:space="preserve"> </v>
      </c>
      <c r="CH198" s="37" t="str">
        <f t="shared" si="26"/>
        <v>Not 50%</v>
      </c>
      <c r="CI198" s="93">
        <f t="shared" si="19"/>
        <v>0.16260162601626016</v>
      </c>
      <c r="CJ198" s="105">
        <f ca="1">IFERROR(__xludf.DUMMYFUNCTION("""COMPUTED_VALUE"""),379)</f>
        <v>379</v>
      </c>
      <c r="CK198" s="105">
        <f ca="1">IFERROR(__xludf.DUMMYFUNCTION("""COMPUTED_VALUE"""),482)</f>
        <v>482</v>
      </c>
      <c r="CL198" s="105">
        <f ca="1">IFERROR(__xludf.DUMMYFUNCTION("""COMPUTED_VALUE"""),0)</f>
        <v>0</v>
      </c>
      <c r="CM198" s="96">
        <f t="shared" ca="1" si="20"/>
        <v>0</v>
      </c>
      <c r="CN198" s="106"/>
      <c r="CO198" s="93"/>
      <c r="CP198" s="107"/>
      <c r="CQ198" s="110"/>
      <c r="CR198" s="93"/>
      <c r="CS198" s="93"/>
      <c r="CT198" s="93"/>
      <c r="CU198" s="93"/>
      <c r="CV198" s="93"/>
      <c r="CW198" s="93"/>
      <c r="CX198" s="51"/>
      <c r="CY198" s="93"/>
      <c r="CZ198" s="93"/>
    </row>
    <row r="199" spans="1:104" ht="15.6">
      <c r="A199" s="1" t="s">
        <v>154</v>
      </c>
      <c r="B199" s="1" t="s">
        <v>370</v>
      </c>
      <c r="C199" s="1" t="s">
        <v>314</v>
      </c>
      <c r="D199" s="1" t="s">
        <v>542</v>
      </c>
      <c r="E199" s="1" t="s">
        <v>655</v>
      </c>
      <c r="F199" s="138">
        <v>45845</v>
      </c>
      <c r="G199" s="76">
        <v>0</v>
      </c>
      <c r="H199" s="76">
        <v>0</v>
      </c>
      <c r="I199" s="77">
        <v>0</v>
      </c>
      <c r="J199" s="77">
        <v>0</v>
      </c>
      <c r="K199" s="4">
        <v>4</v>
      </c>
      <c r="L199" s="4">
        <v>4</v>
      </c>
      <c r="M199" s="4">
        <v>0</v>
      </c>
      <c r="N199" s="4">
        <v>4</v>
      </c>
      <c r="O199" s="4">
        <v>0</v>
      </c>
      <c r="P199" s="77">
        <v>0</v>
      </c>
      <c r="Q199" s="77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29</v>
      </c>
      <c r="W199" s="4">
        <v>85</v>
      </c>
      <c r="X199" s="4">
        <v>0</v>
      </c>
      <c r="Y199" s="4">
        <v>1</v>
      </c>
      <c r="Z199" s="4">
        <v>1</v>
      </c>
      <c r="AA199" s="4">
        <v>0</v>
      </c>
      <c r="AB199" s="4">
        <v>0</v>
      </c>
      <c r="AC199" s="4">
        <v>5</v>
      </c>
      <c r="AD199" s="4">
        <v>8</v>
      </c>
      <c r="AE199" s="4">
        <v>14</v>
      </c>
      <c r="AF199" s="4">
        <v>108</v>
      </c>
      <c r="AG199" s="4">
        <v>20</v>
      </c>
      <c r="AH199" s="76">
        <f t="shared" si="1"/>
        <v>0</v>
      </c>
      <c r="AI199" s="76">
        <f t="shared" si="2"/>
        <v>5.4</v>
      </c>
      <c r="AJ199" s="112">
        <v>37760</v>
      </c>
      <c r="AK199" s="76">
        <f t="shared" si="62"/>
        <v>26432</v>
      </c>
      <c r="AL199" s="49"/>
      <c r="AM199" s="80" t="str">
        <f t="shared" si="4"/>
        <v/>
      </c>
      <c r="AN199" s="76" t="str">
        <f t="shared" si="5"/>
        <v/>
      </c>
      <c r="AO199" s="102" t="str">
        <f t="shared" si="115"/>
        <v/>
      </c>
      <c r="AP199" s="82">
        <v>0</v>
      </c>
      <c r="AQ199" s="4">
        <v>0</v>
      </c>
      <c r="AR199" s="4">
        <v>170</v>
      </c>
      <c r="AS199" s="4">
        <v>0</v>
      </c>
      <c r="AT199" s="4">
        <v>0</v>
      </c>
      <c r="AU199" s="4">
        <v>0</v>
      </c>
      <c r="AV199" s="1">
        <v>0</v>
      </c>
      <c r="AW199" s="1">
        <v>4</v>
      </c>
      <c r="AX199" s="1">
        <v>0</v>
      </c>
      <c r="AY199" s="86" t="str">
        <f>IFERROR(VLOOKUP(C199,#REF!,13,0),"")</f>
        <v/>
      </c>
      <c r="AZ199" s="87">
        <v>45869</v>
      </c>
      <c r="BA199" s="1" t="str">
        <f t="shared" si="6"/>
        <v>LEFT</v>
      </c>
      <c r="BB199" s="1" t="e">
        <f t="shared" ca="1" si="7"/>
        <v>#NAME?</v>
      </c>
      <c r="BC199" s="4" t="s">
        <v>161</v>
      </c>
      <c r="BD199" s="33">
        <v>0.7</v>
      </c>
      <c r="BE199" s="88" t="str">
        <v/>
      </c>
      <c r="BF199" s="1">
        <f t="shared" si="9"/>
        <v>0</v>
      </c>
      <c r="BG199" s="1" t="s">
        <v>428</v>
      </c>
      <c r="BH199" s="89"/>
      <c r="BI199" s="89"/>
      <c r="BJ199" s="109"/>
      <c r="BK199" s="91"/>
      <c r="BL199" s="91">
        <f t="shared" si="120"/>
        <v>0</v>
      </c>
      <c r="BM199" s="91">
        <f t="shared" si="11"/>
        <v>0</v>
      </c>
      <c r="BN199" s="91"/>
      <c r="BO199" s="92" t="str">
        <f ca="1">IFERROR(__xludf.DUMMYFUNCTION("IFERROR(ArrayFormula(SUM(VLOOKUP($C199,importrange(""1MwNMVzWE3QBVOyJjKr3eFX-Sq1Ng0Q1sghWJbgbE_8g"",""ORDER BOOKING REPORT 2024-25!C:CV""),{16,23,30},0))))"),"")</f>
        <v/>
      </c>
      <c r="BP199" s="92" t="str">
        <f ca="1">IFERROR(__xludf.DUMMYFUNCTION("IFERROR(ArrayFormula(SUM(VLOOKUP($C199,importrange(""1MwNMVzWE3QBVOyJjKr3eFX-Sq1Ng0Q1sghWJbgbE_8g"",""ORDER BOOKING REPORT 2024-25!C:CV""),{37,44,51},0))))"),"")</f>
        <v/>
      </c>
      <c r="BQ199" s="92" t="str">
        <f ca="1">IFERROR(__xludf.DUMMYFUNCTION("IFERROR(ArrayFormula(SUM(VLOOKUP($C199,importrange(""1MwNMVzWE3QBVOyJjKr3eFX-Sq1Ng0Q1sghWJbgbE_8g"",""ORDER BOOKING REPORT 2024-25!C:CV""),{58,65,72},0))))"),"")</f>
        <v/>
      </c>
      <c r="BR199" s="92" t="str">
        <f ca="1">IFERROR(__xludf.DUMMYFUNCTION("IFERROR(ArrayFormula(SUM(VLOOKUP($C199,importrange(""1MwNMVzWE3QBVOyJjKr3eFX-Sq1Ng0Q1sghWJbgbE_8g"",""ORDER BOOKING REPORT 2024-25!C:CV""),{79,86,93},0))))"),"")</f>
        <v/>
      </c>
      <c r="BS199" s="93" t="str">
        <f t="shared" si="12"/>
        <v/>
      </c>
      <c r="BT199" s="93" t="str">
        <f t="shared" si="13"/>
        <v/>
      </c>
      <c r="BU199" s="37">
        <f t="shared" si="14"/>
        <v>0</v>
      </c>
      <c r="BV199" s="94"/>
      <c r="BW199" s="94"/>
      <c r="BX199" s="94"/>
      <c r="BY199" s="37">
        <f t="shared" si="15"/>
        <v>-37760</v>
      </c>
      <c r="BZ199" s="37"/>
      <c r="CA199" s="37"/>
      <c r="CB199" s="37"/>
      <c r="CC199" s="37"/>
      <c r="CD199" s="37"/>
      <c r="CE199" s="37"/>
      <c r="CF199" s="37"/>
      <c r="CG199" s="37" t="str">
        <f t="shared" si="18"/>
        <v>Below 60</v>
      </c>
      <c r="CH199" s="37" t="str">
        <f t="shared" si="26"/>
        <v>Not 50%</v>
      </c>
      <c r="CI199" s="93">
        <f t="shared" si="19"/>
        <v>0</v>
      </c>
      <c r="CJ199" s="105">
        <f ca="1">IFERROR(__xludf.DUMMYFUNCTION("""COMPUTED_VALUE"""),0)</f>
        <v>0</v>
      </c>
      <c r="CK199" s="105">
        <f ca="1">IFERROR(__xludf.DUMMYFUNCTION("""COMPUTED_VALUE"""),14)</f>
        <v>14</v>
      </c>
      <c r="CL199" s="105">
        <f ca="1">IFERROR(__xludf.DUMMYFUNCTION("""COMPUTED_VALUE"""),0)</f>
        <v>0</v>
      </c>
      <c r="CM199" s="96">
        <f t="shared" ca="1" si="20"/>
        <v>0</v>
      </c>
      <c r="CN199" s="106"/>
      <c r="CO199" s="93"/>
      <c r="CP199" s="107"/>
      <c r="CQ199" s="110"/>
      <c r="CR199" s="93"/>
      <c r="CS199" s="93"/>
      <c r="CT199" s="93"/>
      <c r="CU199" s="93"/>
      <c r="CV199" s="93"/>
      <c r="CW199" s="93"/>
      <c r="CX199" s="51"/>
      <c r="CY199" s="93"/>
      <c r="CZ199" s="93"/>
    </row>
    <row r="200" spans="1:104" ht="15.6">
      <c r="A200" s="1" t="s">
        <v>118</v>
      </c>
      <c r="B200" s="1" t="s">
        <v>362</v>
      </c>
      <c r="C200" s="1" t="s">
        <v>315</v>
      </c>
      <c r="D200" s="1" t="s">
        <v>419</v>
      </c>
      <c r="E200" s="1" t="s">
        <v>656</v>
      </c>
      <c r="F200" s="138">
        <v>45845</v>
      </c>
      <c r="G200" s="76">
        <v>0</v>
      </c>
      <c r="H200" s="76">
        <v>18000000</v>
      </c>
      <c r="I200" s="77">
        <v>14689717.779999999</v>
      </c>
      <c r="J200" s="77">
        <v>0</v>
      </c>
      <c r="K200" s="4">
        <v>40</v>
      </c>
      <c r="L200" s="4">
        <v>64</v>
      </c>
      <c r="M200" s="4">
        <v>24</v>
      </c>
      <c r="N200" s="4">
        <v>64</v>
      </c>
      <c r="O200" s="4">
        <v>0</v>
      </c>
      <c r="P200" s="77">
        <v>11206484.73</v>
      </c>
      <c r="Q200" s="77">
        <v>3483233.05</v>
      </c>
      <c r="R200" s="4">
        <v>24</v>
      </c>
      <c r="S200" s="4">
        <v>24</v>
      </c>
      <c r="T200" s="4">
        <v>48</v>
      </c>
      <c r="U200" s="4">
        <v>0</v>
      </c>
      <c r="V200" s="4">
        <v>51</v>
      </c>
      <c r="W200" s="4">
        <v>138</v>
      </c>
      <c r="X200" s="4">
        <v>0</v>
      </c>
      <c r="Y200" s="4">
        <v>2</v>
      </c>
      <c r="Z200" s="4">
        <v>17</v>
      </c>
      <c r="AA200" s="4">
        <v>0</v>
      </c>
      <c r="AB200" s="4">
        <v>0</v>
      </c>
      <c r="AC200" s="4">
        <v>0</v>
      </c>
      <c r="AD200" s="4">
        <v>0</v>
      </c>
      <c r="AE200" s="4">
        <v>892</v>
      </c>
      <c r="AF200" s="4">
        <v>1047</v>
      </c>
      <c r="AG200" s="4">
        <v>213</v>
      </c>
      <c r="AH200" s="76">
        <f t="shared" si="1"/>
        <v>68965.81117370892</v>
      </c>
      <c r="AI200" s="76">
        <f t="shared" si="2"/>
        <v>4.915492957746479</v>
      </c>
      <c r="AJ200" s="112">
        <v>24120</v>
      </c>
      <c r="AK200" s="76">
        <f t="shared" si="62"/>
        <v>217080</v>
      </c>
      <c r="AL200" s="79">
        <v>98112</v>
      </c>
      <c r="AM200" s="80">
        <f t="shared" si="4"/>
        <v>2.1456640945759546E-2</v>
      </c>
      <c r="AN200" s="76">
        <f t="shared" si="5"/>
        <v>306035.7870833333</v>
      </c>
      <c r="AO200" s="102">
        <f t="shared" si="115"/>
        <v>0.81609543222222214</v>
      </c>
      <c r="AP200" s="82">
        <v>0</v>
      </c>
      <c r="AQ200" s="4">
        <v>168</v>
      </c>
      <c r="AR200" s="4">
        <v>2452</v>
      </c>
      <c r="AS200" s="4">
        <v>3945.54</v>
      </c>
      <c r="AT200" s="4">
        <v>24</v>
      </c>
      <c r="AU200" s="4">
        <v>62</v>
      </c>
      <c r="AV200" s="1">
        <v>48</v>
      </c>
      <c r="AW200" s="1">
        <v>16</v>
      </c>
      <c r="AX200" s="1">
        <v>0</v>
      </c>
      <c r="AY200" s="86" t="str">
        <f>IFERROR(VLOOKUP(C200,#REF!,13,0),"")</f>
        <v/>
      </c>
      <c r="AZ200" s="87"/>
      <c r="BA200" s="1" t="str">
        <f t="shared" si="6"/>
        <v>Active</v>
      </c>
      <c r="BB200" s="1" t="e">
        <f t="shared" ca="1" si="7"/>
        <v>#NAME?</v>
      </c>
      <c r="BC200" s="1" t="e">
        <f t="shared" ref="BC200:BC201" ca="1" si="121">_xludf.ifs(AO200&lt;50%,"Below 50%",AO200&lt;70%,"50%-70%",AO200&lt;90%,"70%-90%",AO200&lt;100%,"90%-100%",AO200&gt;100%,"Above 100%")</f>
        <v>#NAME?</v>
      </c>
      <c r="BD200" s="33">
        <v>9</v>
      </c>
      <c r="BE200" s="88" t="str">
        <v/>
      </c>
      <c r="BF200" s="1">
        <f t="shared" si="9"/>
        <v>0</v>
      </c>
      <c r="BG200" s="1" t="s">
        <v>428</v>
      </c>
      <c r="BH200" s="89"/>
      <c r="BI200" s="89"/>
      <c r="BJ200" s="90"/>
      <c r="BK200" s="91"/>
      <c r="BL200" s="91">
        <f t="shared" si="120"/>
        <v>0</v>
      </c>
      <c r="BM200" s="91">
        <f t="shared" si="11"/>
        <v>18000000</v>
      </c>
      <c r="BN200" s="91"/>
      <c r="BO200" s="92" t="str">
        <f ca="1">IFERROR(__xludf.DUMMYFUNCTION("IFERROR(ArrayFormula(SUM(VLOOKUP($C200,importrange(""1MwNMVzWE3QBVOyJjKr3eFX-Sq1Ng0Q1sghWJbgbE_8g"",""ORDER BOOKING REPORT 2024-25!C:CV""),{16,23,30},0))))"),"")</f>
        <v/>
      </c>
      <c r="BP200" s="92" t="str">
        <f ca="1">IFERROR(__xludf.DUMMYFUNCTION("IFERROR(ArrayFormula(SUM(VLOOKUP($C200,importrange(""1MwNMVzWE3QBVOyJjKr3eFX-Sq1Ng0Q1sghWJbgbE_8g"",""ORDER BOOKING REPORT 2024-25!C:CV""),{37,44,51},0))))"),"")</f>
        <v/>
      </c>
      <c r="BQ200" s="92" t="str">
        <f ca="1">IFERROR(__xludf.DUMMYFUNCTION("IFERROR(ArrayFormula(SUM(VLOOKUP($C200,importrange(""1MwNMVzWE3QBVOyJjKr3eFX-Sq1Ng0Q1sghWJbgbE_8g"",""ORDER BOOKING REPORT 2024-25!C:CV""),{58,65,72},0))))"),"")</f>
        <v/>
      </c>
      <c r="BR200" s="92" t="str">
        <f ca="1">IFERROR(__xludf.DUMMYFUNCTION("IFERROR(ArrayFormula(SUM(VLOOKUP($C200,importrange(""1MwNMVzWE3QBVOyJjKr3eFX-Sq1Ng0Q1sghWJbgbE_8g"",""ORDER BOOKING REPORT 2024-25!C:CV""),{79,86,93},0))))"),"")</f>
        <v/>
      </c>
      <c r="BS200" s="93" t="str">
        <f t="shared" si="12"/>
        <v/>
      </c>
      <c r="BT200" s="93" t="str">
        <f t="shared" si="13"/>
        <v/>
      </c>
      <c r="BU200" s="37">
        <f t="shared" si="14"/>
        <v>0</v>
      </c>
      <c r="BV200" s="94"/>
      <c r="BW200" s="94"/>
      <c r="BX200" s="94"/>
      <c r="BY200" s="37">
        <f t="shared" si="15"/>
        <v>-24120</v>
      </c>
      <c r="BZ200" s="37"/>
      <c r="CA200" s="37"/>
      <c r="CB200" s="37"/>
      <c r="CC200" s="37"/>
      <c r="CD200" s="37"/>
      <c r="CE200" s="37"/>
      <c r="CF200" s="37"/>
      <c r="CG200" s="37" t="str">
        <f t="shared" si="18"/>
        <v xml:space="preserve"> </v>
      </c>
      <c r="CH200" s="37" t="str">
        <f t="shared" si="26"/>
        <v>Business Achieved 50%</v>
      </c>
      <c r="CI200" s="93">
        <f t="shared" si="19"/>
        <v>0.75</v>
      </c>
      <c r="CJ200" s="95">
        <f ca="1">IFERROR(__xludf.DUMMYFUNCTION("""COMPUTED_VALUE"""),786)</f>
        <v>786</v>
      </c>
      <c r="CK200" s="95">
        <f ca="1">IFERROR(__xludf.DUMMYFUNCTION("""COMPUTED_VALUE"""),106)</f>
        <v>106</v>
      </c>
      <c r="CL200" s="95">
        <f ca="1">IFERROR(__xludf.DUMMYFUNCTION("""COMPUTED_VALUE"""),0)</f>
        <v>0</v>
      </c>
      <c r="CM200" s="96">
        <f t="shared" ca="1" si="20"/>
        <v>0</v>
      </c>
      <c r="CN200" s="103"/>
      <c r="CO200" s="4"/>
      <c r="CP200" s="100"/>
      <c r="CQ200" s="101"/>
      <c r="CR200" s="4"/>
      <c r="CS200" s="4"/>
      <c r="CT200" s="4"/>
      <c r="CU200" s="4"/>
      <c r="CV200" s="4"/>
      <c r="CW200" s="101"/>
      <c r="CX200" s="51"/>
      <c r="CY200" s="4"/>
      <c r="CZ200" s="4"/>
    </row>
    <row r="201" spans="1:104" ht="15.6">
      <c r="A201" s="1" t="s">
        <v>201</v>
      </c>
      <c r="B201" s="1" t="s">
        <v>431</v>
      </c>
      <c r="C201" s="1" t="s">
        <v>316</v>
      </c>
      <c r="D201" s="1" t="s">
        <v>431</v>
      </c>
      <c r="E201" s="1" t="s">
        <v>513</v>
      </c>
      <c r="F201" s="138">
        <v>45843</v>
      </c>
      <c r="G201" s="76">
        <v>0</v>
      </c>
      <c r="H201" s="76">
        <v>18000000</v>
      </c>
      <c r="I201" s="77">
        <v>6669494.8499999996</v>
      </c>
      <c r="J201" s="77">
        <v>0</v>
      </c>
      <c r="K201" s="4">
        <v>38</v>
      </c>
      <c r="L201" s="4">
        <v>89</v>
      </c>
      <c r="M201" s="4">
        <v>56</v>
      </c>
      <c r="N201" s="4">
        <v>94</v>
      </c>
      <c r="O201" s="4">
        <v>5</v>
      </c>
      <c r="P201" s="77">
        <v>1654904.67</v>
      </c>
      <c r="Q201" s="77">
        <v>5014590.18</v>
      </c>
      <c r="R201" s="4">
        <v>15</v>
      </c>
      <c r="S201" s="4">
        <v>45</v>
      </c>
      <c r="T201" s="4">
        <v>60</v>
      </c>
      <c r="U201" s="4">
        <v>0</v>
      </c>
      <c r="V201" s="4">
        <v>52</v>
      </c>
      <c r="W201" s="4">
        <v>90</v>
      </c>
      <c r="X201" s="4">
        <v>3</v>
      </c>
      <c r="Y201" s="4">
        <v>4</v>
      </c>
      <c r="Z201" s="4">
        <v>128</v>
      </c>
      <c r="AA201" s="4">
        <v>0</v>
      </c>
      <c r="AB201" s="4">
        <v>0</v>
      </c>
      <c r="AC201" s="4">
        <v>1</v>
      </c>
      <c r="AD201" s="4">
        <v>2</v>
      </c>
      <c r="AE201" s="4">
        <v>665</v>
      </c>
      <c r="AF201" s="4">
        <v>885</v>
      </c>
      <c r="AG201" s="4">
        <v>201</v>
      </c>
      <c r="AH201" s="76">
        <f t="shared" si="1"/>
        <v>33181.566417910442</v>
      </c>
      <c r="AI201" s="76">
        <f t="shared" si="2"/>
        <v>4.4029850746268657</v>
      </c>
      <c r="AJ201" s="112">
        <v>41430</v>
      </c>
      <c r="AK201" s="76">
        <f t="shared" si="62"/>
        <v>372870</v>
      </c>
      <c r="AL201" s="49">
        <v>127606</v>
      </c>
      <c r="AM201" s="80">
        <f t="shared" si="4"/>
        <v>7.5039566152450068E-2</v>
      </c>
      <c r="AN201" s="76">
        <f t="shared" si="5"/>
        <v>111158.2475</v>
      </c>
      <c r="AO201" s="102">
        <f t="shared" si="115"/>
        <v>0.37052749166666665</v>
      </c>
      <c r="AP201" s="82">
        <v>0</v>
      </c>
      <c r="AQ201" s="4">
        <v>243</v>
      </c>
      <c r="AR201" s="4">
        <v>1977</v>
      </c>
      <c r="AS201" s="4">
        <v>3349.75</v>
      </c>
      <c r="AT201" s="4">
        <v>45</v>
      </c>
      <c r="AU201" s="4">
        <v>38</v>
      </c>
      <c r="AV201" s="1">
        <v>60</v>
      </c>
      <c r="AW201" s="1">
        <v>30</v>
      </c>
      <c r="AX201" s="1">
        <v>4</v>
      </c>
      <c r="AY201" s="86" t="str">
        <f>IFERROR(VLOOKUP(C201,#REF!,13,0),"")</f>
        <v/>
      </c>
      <c r="AZ201" s="87"/>
      <c r="BA201" s="1" t="str">
        <f t="shared" si="6"/>
        <v>Active</v>
      </c>
      <c r="BB201" s="1" t="e">
        <f t="shared" ca="1" si="7"/>
        <v>#NAME?</v>
      </c>
      <c r="BC201" s="1" t="e">
        <f t="shared" ca="1" si="121"/>
        <v>#NAME?</v>
      </c>
      <c r="BD201" s="33">
        <v>9</v>
      </c>
      <c r="BE201" s="88" t="str">
        <v/>
      </c>
      <c r="BF201" s="1">
        <f t="shared" si="9"/>
        <v>11</v>
      </c>
      <c r="BG201" s="1" t="s">
        <v>428</v>
      </c>
      <c r="BH201" s="89"/>
      <c r="BI201" s="89"/>
      <c r="BJ201" s="90"/>
      <c r="BK201" s="91"/>
      <c r="BL201" s="91">
        <f t="shared" si="120"/>
        <v>0</v>
      </c>
      <c r="BM201" s="91">
        <f t="shared" si="11"/>
        <v>18000000</v>
      </c>
      <c r="BN201" s="91"/>
      <c r="BO201" s="92" t="str">
        <f ca="1">IFERROR(__xludf.DUMMYFUNCTION("IFERROR(ArrayFormula(SUM(VLOOKUP($C201,importrange(""1MwNMVzWE3QBVOyJjKr3eFX-Sq1Ng0Q1sghWJbgbE_8g"",""ORDER BOOKING REPORT 2024-25!C:CV""),{16,23,30},0))))"),"")</f>
        <v/>
      </c>
      <c r="BP201" s="92" t="str">
        <f ca="1">IFERROR(__xludf.DUMMYFUNCTION("IFERROR(ArrayFormula(SUM(VLOOKUP($C201,importrange(""1MwNMVzWE3QBVOyJjKr3eFX-Sq1Ng0Q1sghWJbgbE_8g"",""ORDER BOOKING REPORT 2024-25!C:CV""),{37,44,51},0))))"),"")</f>
        <v/>
      </c>
      <c r="BQ201" s="92" t="str">
        <f ca="1">IFERROR(__xludf.DUMMYFUNCTION("IFERROR(ArrayFormula(SUM(VLOOKUP($C201,importrange(""1MwNMVzWE3QBVOyJjKr3eFX-Sq1Ng0Q1sghWJbgbE_8g"",""ORDER BOOKING REPORT 2024-25!C:CV""),{58,65,72},0))))"),"")</f>
        <v/>
      </c>
      <c r="BR201" s="92" t="str">
        <f ca="1">IFERROR(__xludf.DUMMYFUNCTION("IFERROR(ArrayFormula(SUM(VLOOKUP($C201,importrange(""1MwNMVzWE3QBVOyJjKr3eFX-Sq1Ng0Q1sghWJbgbE_8g"",""ORDER BOOKING REPORT 2024-25!C:CV""),{79,86,93},0))))"),"")</f>
        <v/>
      </c>
      <c r="BS201" s="93" t="str">
        <f t="shared" si="12"/>
        <v/>
      </c>
      <c r="BT201" s="93" t="str">
        <f t="shared" si="13"/>
        <v/>
      </c>
      <c r="BU201" s="37">
        <f t="shared" si="14"/>
        <v>0</v>
      </c>
      <c r="BV201" s="94"/>
      <c r="BW201" s="94"/>
      <c r="BX201" s="94"/>
      <c r="BY201" s="37">
        <f t="shared" si="15"/>
        <v>-41430</v>
      </c>
      <c r="BZ201" s="37"/>
      <c r="CA201" s="37"/>
      <c r="CB201" s="37"/>
      <c r="CC201" s="37"/>
      <c r="CD201" s="37"/>
      <c r="CE201" s="37"/>
      <c r="CF201" s="37"/>
      <c r="CG201" s="37" t="str">
        <f t="shared" si="18"/>
        <v xml:space="preserve"> </v>
      </c>
      <c r="CH201" s="37" t="str">
        <f t="shared" si="26"/>
        <v>Business Achieved 50%</v>
      </c>
      <c r="CI201" s="93">
        <f t="shared" si="19"/>
        <v>0.63829787234042556</v>
      </c>
      <c r="CJ201" s="105">
        <f ca="1">IFERROR(__xludf.DUMMYFUNCTION("""COMPUTED_VALUE"""),515)</f>
        <v>515</v>
      </c>
      <c r="CK201" s="105">
        <f ca="1">IFERROR(__xludf.DUMMYFUNCTION("""COMPUTED_VALUE"""),150)</f>
        <v>150</v>
      </c>
      <c r="CL201" s="105">
        <f ca="1">IFERROR(__xludf.DUMMYFUNCTION("""COMPUTED_VALUE"""),0)</f>
        <v>0</v>
      </c>
      <c r="CM201" s="96">
        <f t="shared" ca="1" si="20"/>
        <v>0</v>
      </c>
      <c r="CN201" s="106"/>
      <c r="CO201" s="93"/>
      <c r="CP201" s="107"/>
      <c r="CQ201" s="110"/>
      <c r="CR201" s="93"/>
      <c r="CS201" s="93"/>
      <c r="CT201" s="93"/>
      <c r="CU201" s="93"/>
      <c r="CV201" s="93"/>
      <c r="CW201" s="93"/>
      <c r="CX201" s="51"/>
      <c r="CY201" s="93"/>
      <c r="CZ201" s="93"/>
    </row>
    <row r="202" spans="1:104" ht="15.6">
      <c r="A202" s="1" t="s">
        <v>108</v>
      </c>
      <c r="B202" s="1" t="s">
        <v>465</v>
      </c>
      <c r="C202" s="1" t="s">
        <v>317</v>
      </c>
      <c r="D202" s="1" t="s">
        <v>506</v>
      </c>
      <c r="E202" s="1" t="s">
        <v>507</v>
      </c>
      <c r="F202" s="139">
        <v>45859</v>
      </c>
      <c r="G202" s="76">
        <v>0</v>
      </c>
      <c r="H202" s="76">
        <v>0</v>
      </c>
      <c r="I202" s="77">
        <v>0</v>
      </c>
      <c r="J202" s="77">
        <v>0</v>
      </c>
      <c r="K202" s="4">
        <v>131</v>
      </c>
      <c r="L202" s="4">
        <v>205</v>
      </c>
      <c r="M202" s="4">
        <v>74</v>
      </c>
      <c r="N202" s="4">
        <v>205</v>
      </c>
      <c r="O202" s="4">
        <v>0</v>
      </c>
      <c r="P202" s="77">
        <v>0</v>
      </c>
      <c r="Q202" s="77">
        <v>0</v>
      </c>
      <c r="R202" s="4">
        <v>0</v>
      </c>
      <c r="S202" s="4">
        <v>0</v>
      </c>
      <c r="T202" s="4">
        <v>0</v>
      </c>
      <c r="U202" s="4">
        <v>0</v>
      </c>
      <c r="V202" s="4">
        <v>26</v>
      </c>
      <c r="W202" s="4">
        <v>53</v>
      </c>
      <c r="X202" s="4">
        <v>1</v>
      </c>
      <c r="Y202" s="4">
        <v>1</v>
      </c>
      <c r="Z202" s="4">
        <v>29</v>
      </c>
      <c r="AA202" s="4">
        <v>0</v>
      </c>
      <c r="AB202" s="4">
        <v>0</v>
      </c>
      <c r="AC202" s="4">
        <v>0</v>
      </c>
      <c r="AD202" s="4">
        <v>0</v>
      </c>
      <c r="AE202" s="4">
        <v>1030</v>
      </c>
      <c r="AF202" s="4">
        <v>1112</v>
      </c>
      <c r="AG202" s="4">
        <v>202</v>
      </c>
      <c r="AH202" s="76">
        <f t="shared" si="1"/>
        <v>0</v>
      </c>
      <c r="AI202" s="76">
        <f t="shared" si="2"/>
        <v>5.5049504950495045</v>
      </c>
      <c r="AJ202" s="112">
        <v>51910</v>
      </c>
      <c r="AK202" s="76">
        <f t="shared" si="62"/>
        <v>433699.67741935485</v>
      </c>
      <c r="AL202" s="49">
        <v>101944</v>
      </c>
      <c r="AM202" s="80" t="str">
        <f t="shared" si="4"/>
        <v/>
      </c>
      <c r="AN202" s="76" t="str">
        <f t="shared" si="5"/>
        <v/>
      </c>
      <c r="AO202" s="102" t="str">
        <f t="shared" si="115"/>
        <v/>
      </c>
      <c r="AP202" s="82">
        <v>0</v>
      </c>
      <c r="AQ202" s="4">
        <v>0</v>
      </c>
      <c r="AR202" s="4">
        <v>2133</v>
      </c>
      <c r="AS202" s="4">
        <v>3455.14</v>
      </c>
      <c r="AT202" s="4">
        <v>0</v>
      </c>
      <c r="AU202" s="4">
        <v>17</v>
      </c>
      <c r="AV202" s="1">
        <v>0</v>
      </c>
      <c r="AW202" s="1">
        <v>205</v>
      </c>
      <c r="AX202" s="1">
        <v>0</v>
      </c>
      <c r="AY202" s="86" t="str">
        <f>IFERROR(VLOOKUP(C202,#REF!,13,0),"")</f>
        <v/>
      </c>
      <c r="AZ202" s="87"/>
      <c r="BA202" s="1" t="str">
        <f t="shared" si="6"/>
        <v>Active</v>
      </c>
      <c r="BB202" s="1" t="e">
        <f t="shared" ca="1" si="7"/>
        <v>#NAME?</v>
      </c>
      <c r="BC202" s="4" t="s">
        <v>161</v>
      </c>
      <c r="BD202" s="118">
        <f>(11/31)+1+1+1+1+1+1+1+1</f>
        <v>8.3548387096774199</v>
      </c>
      <c r="BE202" s="88" t="str">
        <v/>
      </c>
      <c r="BF202" s="1">
        <f t="shared" si="9"/>
        <v>74</v>
      </c>
      <c r="BG202" s="1" t="s">
        <v>428</v>
      </c>
      <c r="BH202" s="89"/>
      <c r="BI202" s="89"/>
      <c r="BJ202" s="90"/>
      <c r="BK202" s="91"/>
      <c r="BL202" s="91">
        <f t="shared" si="120"/>
        <v>0</v>
      </c>
      <c r="BM202" s="91">
        <f t="shared" si="11"/>
        <v>0</v>
      </c>
      <c r="BN202" s="91"/>
      <c r="BO202" s="92" t="str">
        <f ca="1">IFERROR(__xludf.DUMMYFUNCTION("IFERROR(ArrayFormula(SUM(VLOOKUP($C202,importrange(""1MwNMVzWE3QBVOyJjKr3eFX-Sq1Ng0Q1sghWJbgbE_8g"",""ORDER BOOKING REPORT 2024-25!C:CV""),{16,23,30},0))))"),"")</f>
        <v/>
      </c>
      <c r="BP202" s="92" t="str">
        <f ca="1">IFERROR(__xludf.DUMMYFUNCTION("IFERROR(ArrayFormula(SUM(VLOOKUP($C202,importrange(""1MwNMVzWE3QBVOyJjKr3eFX-Sq1Ng0Q1sghWJbgbE_8g"",""ORDER BOOKING REPORT 2024-25!C:CV""),{37,44,51},0))))"),"")</f>
        <v/>
      </c>
      <c r="BQ202" s="92" t="str">
        <f ca="1">IFERROR(__xludf.DUMMYFUNCTION("IFERROR(ArrayFormula(SUM(VLOOKUP($C202,importrange(""1MwNMVzWE3QBVOyJjKr3eFX-Sq1Ng0Q1sghWJbgbE_8g"",""ORDER BOOKING REPORT 2024-25!C:CV""),{58,65,72},0))))"),"")</f>
        <v/>
      </c>
      <c r="BR202" s="92" t="str">
        <f ca="1">IFERROR(__xludf.DUMMYFUNCTION("IFERROR(ArrayFormula(SUM(VLOOKUP($C202,importrange(""1MwNMVzWE3QBVOyJjKr3eFX-Sq1Ng0Q1sghWJbgbE_8g"",""ORDER BOOKING REPORT 2024-25!C:CV""),{79,86,93},0))))"),"")</f>
        <v/>
      </c>
      <c r="BS202" s="93" t="str">
        <f t="shared" si="12"/>
        <v/>
      </c>
      <c r="BT202" s="93" t="str">
        <f t="shared" si="13"/>
        <v/>
      </c>
      <c r="BU202" s="37">
        <f t="shared" si="14"/>
        <v>0</v>
      </c>
      <c r="BV202" s="94"/>
      <c r="BW202" s="94"/>
      <c r="BX202" s="94"/>
      <c r="BY202" s="37">
        <f t="shared" si="15"/>
        <v>-51910</v>
      </c>
      <c r="BZ202" s="37"/>
      <c r="CA202" s="37"/>
      <c r="CB202" s="37"/>
      <c r="CC202" s="37"/>
      <c r="CD202" s="37"/>
      <c r="CE202" s="37"/>
      <c r="CF202" s="37"/>
      <c r="CG202" s="37" t="str">
        <f t="shared" si="18"/>
        <v xml:space="preserve"> </v>
      </c>
      <c r="CH202" s="37" t="str">
        <f t="shared" si="26"/>
        <v>Not 50%</v>
      </c>
      <c r="CI202" s="93">
        <f t="shared" si="19"/>
        <v>0</v>
      </c>
      <c r="CJ202" s="105"/>
      <c r="CK202" s="105"/>
      <c r="CL202" s="105"/>
      <c r="CM202" s="96">
        <f t="shared" si="20"/>
        <v>1030</v>
      </c>
      <c r="CN202" s="106"/>
      <c r="CO202" s="93"/>
      <c r="CP202" s="107"/>
      <c r="CQ202" s="110"/>
      <c r="CR202" s="93"/>
      <c r="CS202" s="93"/>
      <c r="CT202" s="93"/>
      <c r="CU202" s="93"/>
      <c r="CV202" s="93"/>
      <c r="CW202" s="93"/>
      <c r="CX202" s="51"/>
      <c r="CY202" s="93"/>
      <c r="CZ202" s="93"/>
    </row>
    <row r="203" spans="1:104" ht="15.6">
      <c r="A203" s="1" t="s">
        <v>124</v>
      </c>
      <c r="B203" s="1" t="s">
        <v>443</v>
      </c>
      <c r="C203" s="1" t="s">
        <v>318</v>
      </c>
      <c r="D203" s="1" t="s">
        <v>517</v>
      </c>
      <c r="E203" s="1" t="s">
        <v>657</v>
      </c>
      <c r="F203" s="139">
        <v>45862</v>
      </c>
      <c r="G203" s="76">
        <v>0</v>
      </c>
      <c r="H203" s="76">
        <v>6000000</v>
      </c>
      <c r="I203" s="77">
        <v>542431.19999999995</v>
      </c>
      <c r="J203" s="77">
        <v>0</v>
      </c>
      <c r="K203" s="4">
        <v>31</v>
      </c>
      <c r="L203" s="4">
        <v>44</v>
      </c>
      <c r="M203" s="4">
        <v>13</v>
      </c>
      <c r="N203" s="4">
        <v>44</v>
      </c>
      <c r="O203" s="4">
        <v>0</v>
      </c>
      <c r="P203" s="77">
        <v>284546.09999999998</v>
      </c>
      <c r="Q203" s="77">
        <v>257885.1</v>
      </c>
      <c r="R203" s="4">
        <v>10</v>
      </c>
      <c r="S203" s="4">
        <v>12</v>
      </c>
      <c r="T203" s="4">
        <v>22</v>
      </c>
      <c r="U203" s="4">
        <v>0</v>
      </c>
      <c r="V203" s="4">
        <v>141</v>
      </c>
      <c r="W203" s="4">
        <v>382</v>
      </c>
      <c r="X203" s="4">
        <v>0</v>
      </c>
      <c r="Y203" s="4">
        <v>1</v>
      </c>
      <c r="Z203" s="4">
        <v>4</v>
      </c>
      <c r="AA203" s="4">
        <v>0</v>
      </c>
      <c r="AB203" s="4">
        <v>0</v>
      </c>
      <c r="AC203" s="4">
        <v>0</v>
      </c>
      <c r="AD203" s="4">
        <v>0</v>
      </c>
      <c r="AE203" s="4">
        <v>251</v>
      </c>
      <c r="AF203" s="4">
        <v>637</v>
      </c>
      <c r="AG203" s="4">
        <v>145</v>
      </c>
      <c r="AH203" s="76">
        <f t="shared" si="1"/>
        <v>3740.9048275862065</v>
      </c>
      <c r="AI203" s="76">
        <f t="shared" si="2"/>
        <v>4.3931034482758617</v>
      </c>
      <c r="AJ203" s="112">
        <v>39330</v>
      </c>
      <c r="AK203" s="76">
        <f t="shared" si="62"/>
        <v>248667.09677419355</v>
      </c>
      <c r="AL203" s="79">
        <v>92282</v>
      </c>
      <c r="AM203" s="80">
        <f t="shared" si="4"/>
        <v>0.62855731155249472</v>
      </c>
      <c r="AN203" s="76">
        <f t="shared" si="5"/>
        <v>24655.963636363635</v>
      </c>
      <c r="AO203" s="102">
        <f t="shared" si="115"/>
        <v>9.0405199999999991E-2</v>
      </c>
      <c r="AP203" s="82">
        <v>0</v>
      </c>
      <c r="AQ203" s="4">
        <v>43</v>
      </c>
      <c r="AR203" s="4">
        <v>1312</v>
      </c>
      <c r="AS203" s="4">
        <v>0</v>
      </c>
      <c r="AT203" s="4">
        <v>12</v>
      </c>
      <c r="AU203" s="4">
        <v>0</v>
      </c>
      <c r="AV203" s="1">
        <v>22</v>
      </c>
      <c r="AW203" s="1">
        <v>22</v>
      </c>
      <c r="AX203" s="1">
        <v>0</v>
      </c>
      <c r="AY203" s="86" t="str">
        <f>IFERROR(VLOOKUP(C203,#REF!,13,0),"")</f>
        <v/>
      </c>
      <c r="AZ203" s="87">
        <v>46053</v>
      </c>
      <c r="BA203" s="1" t="str">
        <f t="shared" si="6"/>
        <v>LEFT</v>
      </c>
      <c r="BB203" s="1" t="e">
        <f t="shared" ca="1" si="7"/>
        <v>#NAME?</v>
      </c>
      <c r="BC203" s="1" t="e">
        <f t="shared" ref="BC203:BC205" ca="1" si="122">_xludf.ifs(AO203&lt;50%,"Below 50%",AO203&lt;70%,"50%-70%",AO203&lt;90%,"70%-90%",AO203&lt;100%,"90%-100%",AO203&gt;100%,"Above 100%")</f>
        <v>#NAME?</v>
      </c>
      <c r="BD203" s="118">
        <f>(10/31)+1+1+1+1+1+1</f>
        <v>6.32258064516129</v>
      </c>
      <c r="BE203" s="88" t="str">
        <v/>
      </c>
      <c r="BF203" s="1">
        <f t="shared" si="9"/>
        <v>1</v>
      </c>
      <c r="BG203" s="1" t="s">
        <v>428</v>
      </c>
      <c r="BH203" s="89"/>
      <c r="BI203" s="89"/>
      <c r="BJ203" s="90"/>
      <c r="BK203" s="91"/>
      <c r="BL203" s="91">
        <f t="shared" si="120"/>
        <v>0</v>
      </c>
      <c r="BM203" s="91">
        <f t="shared" si="11"/>
        <v>6000000</v>
      </c>
      <c r="BN203" s="91"/>
      <c r="BO203" s="92" t="str">
        <f ca="1">IFERROR(__xludf.DUMMYFUNCTION("IFERROR(ArrayFormula(SUM(VLOOKUP($C203,importrange(""1MwNMVzWE3QBVOyJjKr3eFX-Sq1Ng0Q1sghWJbgbE_8g"",""ORDER BOOKING REPORT 2024-25!C:CV""),{16,23,30},0))))"),"")</f>
        <v/>
      </c>
      <c r="BP203" s="92" t="str">
        <f ca="1">IFERROR(__xludf.DUMMYFUNCTION("IFERROR(ArrayFormula(SUM(VLOOKUP($C203,importrange(""1MwNMVzWE3QBVOyJjKr3eFX-Sq1Ng0Q1sghWJbgbE_8g"",""ORDER BOOKING REPORT 2024-25!C:CV""),{37,44,51},0))))"),"")</f>
        <v/>
      </c>
      <c r="BQ203" s="92" t="str">
        <f ca="1">IFERROR(__xludf.DUMMYFUNCTION("IFERROR(ArrayFormula(SUM(VLOOKUP($C203,importrange(""1MwNMVzWE3QBVOyJjKr3eFX-Sq1Ng0Q1sghWJbgbE_8g"",""ORDER BOOKING REPORT 2024-25!C:CV""),{58,65,72},0))))"),"")</f>
        <v/>
      </c>
      <c r="BR203" s="92" t="str">
        <f ca="1">IFERROR(__xludf.DUMMYFUNCTION("IFERROR(ArrayFormula(SUM(VLOOKUP($C203,importrange(""1MwNMVzWE3QBVOyJjKr3eFX-Sq1Ng0Q1sghWJbgbE_8g"",""ORDER BOOKING REPORT 2024-25!C:CV""),{79,86,93},0))))"),"")</f>
        <v/>
      </c>
      <c r="BS203" s="93" t="str">
        <f t="shared" si="12"/>
        <v/>
      </c>
      <c r="BT203" s="93" t="str">
        <f t="shared" si="13"/>
        <v/>
      </c>
      <c r="BU203" s="37">
        <f t="shared" si="14"/>
        <v>0</v>
      </c>
      <c r="BV203" s="94"/>
      <c r="BW203" s="94"/>
      <c r="BX203" s="94"/>
      <c r="BY203" s="37">
        <f t="shared" si="15"/>
        <v>-39330</v>
      </c>
      <c r="BZ203" s="37"/>
      <c r="CA203" s="37"/>
      <c r="CB203" s="37"/>
      <c r="CC203" s="37"/>
      <c r="CD203" s="37"/>
      <c r="CE203" s="37"/>
      <c r="CF203" s="37"/>
      <c r="CG203" s="37" t="str">
        <f t="shared" si="18"/>
        <v>Below 60</v>
      </c>
      <c r="CH203" s="37" t="str">
        <f t="shared" si="26"/>
        <v>Business Achieved 50%</v>
      </c>
      <c r="CI203" s="93">
        <f t="shared" si="19"/>
        <v>0.5</v>
      </c>
      <c r="CJ203" s="95">
        <f ca="1">IFERROR(__xludf.DUMMYFUNCTION("""COMPUTED_VALUE"""),146)</f>
        <v>146</v>
      </c>
      <c r="CK203" s="95">
        <f ca="1">IFERROR(__xludf.DUMMYFUNCTION("""COMPUTED_VALUE"""),105)</f>
        <v>105</v>
      </c>
      <c r="CL203" s="95">
        <f ca="1">IFERROR(__xludf.DUMMYFUNCTION("""COMPUTED_VALUE"""),0)</f>
        <v>0</v>
      </c>
      <c r="CM203" s="96">
        <f t="shared" ca="1" si="20"/>
        <v>0</v>
      </c>
      <c r="CN203" s="103"/>
      <c r="CO203" s="4"/>
      <c r="CP203" s="100"/>
      <c r="CQ203" s="101"/>
      <c r="CR203" s="4"/>
      <c r="CS203" s="4"/>
      <c r="CT203" s="4"/>
      <c r="CU203" s="4"/>
      <c r="CV203" s="4"/>
      <c r="CW203" s="101"/>
      <c r="CX203" s="51"/>
      <c r="CY203" s="4"/>
      <c r="CZ203" s="4"/>
    </row>
    <row r="204" spans="1:104" ht="15.6">
      <c r="A204" s="114" t="s">
        <v>154</v>
      </c>
      <c r="B204" s="114" t="s">
        <v>367</v>
      </c>
      <c r="C204" s="114" t="s">
        <v>319</v>
      </c>
      <c r="D204" s="1" t="s">
        <v>577</v>
      </c>
      <c r="E204" s="1" t="s">
        <v>658</v>
      </c>
      <c r="F204" s="139">
        <v>45862</v>
      </c>
      <c r="G204" s="76">
        <v>0</v>
      </c>
      <c r="H204" s="76">
        <v>2500000</v>
      </c>
      <c r="I204" s="77">
        <v>281491.7</v>
      </c>
      <c r="J204" s="77">
        <v>0</v>
      </c>
      <c r="K204" s="4">
        <v>0</v>
      </c>
      <c r="L204" s="4">
        <v>25</v>
      </c>
      <c r="M204" s="4">
        <v>25</v>
      </c>
      <c r="N204" s="4">
        <v>25</v>
      </c>
      <c r="O204" s="4">
        <v>0</v>
      </c>
      <c r="P204" s="77">
        <v>0</v>
      </c>
      <c r="Q204" s="77">
        <v>281491.7</v>
      </c>
      <c r="R204" s="4">
        <v>0</v>
      </c>
      <c r="S204" s="4">
        <v>25</v>
      </c>
      <c r="T204" s="4">
        <v>25</v>
      </c>
      <c r="U204" s="4">
        <v>0</v>
      </c>
      <c r="V204" s="4">
        <v>113</v>
      </c>
      <c r="W204" s="4">
        <v>346</v>
      </c>
      <c r="X204" s="4">
        <v>1</v>
      </c>
      <c r="Y204" s="4">
        <v>1</v>
      </c>
      <c r="Z204" s="4">
        <v>70</v>
      </c>
      <c r="AA204" s="4">
        <v>0</v>
      </c>
      <c r="AB204" s="4">
        <v>0</v>
      </c>
      <c r="AC204" s="4">
        <v>5</v>
      </c>
      <c r="AD204" s="4">
        <v>34</v>
      </c>
      <c r="AE204" s="4">
        <v>252</v>
      </c>
      <c r="AF204" s="4">
        <v>702</v>
      </c>
      <c r="AG204" s="4">
        <v>116</v>
      </c>
      <c r="AH204" s="76">
        <f t="shared" si="1"/>
        <v>2426.6525862068966</v>
      </c>
      <c r="AI204" s="76">
        <f t="shared" si="2"/>
        <v>6.0517241379310347</v>
      </c>
      <c r="AJ204" s="112">
        <v>25215</v>
      </c>
      <c r="AK204" s="76">
        <f t="shared" si="62"/>
        <v>121601.37096774192</v>
      </c>
      <c r="AL204" s="79">
        <v>43729</v>
      </c>
      <c r="AM204" s="80">
        <f t="shared" si="4"/>
        <v>0.58733657499578829</v>
      </c>
      <c r="AN204" s="76">
        <f t="shared" si="5"/>
        <v>11259.668</v>
      </c>
      <c r="AO204" s="102">
        <f t="shared" si="115"/>
        <v>0.11259668</v>
      </c>
      <c r="AP204" s="82">
        <v>0</v>
      </c>
      <c r="AQ204" s="4">
        <v>40</v>
      </c>
      <c r="AR204" s="4">
        <v>934</v>
      </c>
      <c r="AS204" s="4">
        <v>0</v>
      </c>
      <c r="AT204" s="4">
        <v>25</v>
      </c>
      <c r="AU204" s="4">
        <v>0</v>
      </c>
      <c r="AV204" s="1">
        <v>25</v>
      </c>
      <c r="AW204" s="1">
        <v>0</v>
      </c>
      <c r="AX204" s="1">
        <v>0</v>
      </c>
      <c r="AY204" s="86" t="str">
        <f>IFERROR(VLOOKUP(C204,#REF!,13,0),"")</f>
        <v/>
      </c>
      <c r="AZ204" s="87">
        <v>46007</v>
      </c>
      <c r="BA204" s="1" t="str">
        <f t="shared" si="6"/>
        <v>LEFT</v>
      </c>
      <c r="BB204" s="1" t="e">
        <f t="shared" ca="1" si="7"/>
        <v>#NAME?</v>
      </c>
      <c r="BC204" s="1" t="e">
        <f t="shared" ca="1" si="122"/>
        <v>#NAME?</v>
      </c>
      <c r="BD204" s="118">
        <f>(10/31)+1+1+1+1+0.5</f>
        <v>4.82258064516129</v>
      </c>
      <c r="BE204" s="88" t="str">
        <v/>
      </c>
      <c r="BF204" s="1">
        <f t="shared" si="9"/>
        <v>0</v>
      </c>
      <c r="BG204" s="1" t="s">
        <v>428</v>
      </c>
      <c r="BH204" s="89"/>
      <c r="BI204" s="89"/>
      <c r="BJ204" s="90"/>
      <c r="BK204" s="91"/>
      <c r="BL204" s="91">
        <f t="shared" si="120"/>
        <v>0</v>
      </c>
      <c r="BM204" s="91">
        <f t="shared" si="11"/>
        <v>2500000</v>
      </c>
      <c r="BN204" s="91"/>
      <c r="BO204" s="92" t="str">
        <f ca="1">IFERROR(__xludf.DUMMYFUNCTION("IFERROR(ArrayFormula(SUM(VLOOKUP($C204,importrange(""1MwNMVzWE3QBVOyJjKr3eFX-Sq1Ng0Q1sghWJbgbE_8g"",""ORDER BOOKING REPORT 2024-25!C:CV""),{16,23,30},0))))"),"")</f>
        <v/>
      </c>
      <c r="BP204" s="92" t="str">
        <f ca="1">IFERROR(__xludf.DUMMYFUNCTION("IFERROR(ArrayFormula(SUM(VLOOKUP($C204,importrange(""1MwNMVzWE3QBVOyJjKr3eFX-Sq1Ng0Q1sghWJbgbE_8g"",""ORDER BOOKING REPORT 2024-25!C:CV""),{37,44,51},0))))"),"")</f>
        <v/>
      </c>
      <c r="BQ204" s="92" t="str">
        <f ca="1">IFERROR(__xludf.DUMMYFUNCTION("IFERROR(ArrayFormula(SUM(VLOOKUP($C204,importrange(""1MwNMVzWE3QBVOyJjKr3eFX-Sq1Ng0Q1sghWJbgbE_8g"",""ORDER BOOKING REPORT 2024-25!C:CV""),{58,65,72},0))))"),"")</f>
        <v/>
      </c>
      <c r="BR204" s="92" t="str">
        <f ca="1">IFERROR(__xludf.DUMMYFUNCTION("IFERROR(ArrayFormula(SUM(VLOOKUP($C204,importrange(""1MwNMVzWE3QBVOyJjKr3eFX-Sq1Ng0Q1sghWJbgbE_8g"",""ORDER BOOKING REPORT 2024-25!C:CV""),{79,86,93},0))))"),"")</f>
        <v/>
      </c>
      <c r="BS204" s="93" t="str">
        <f t="shared" si="12"/>
        <v/>
      </c>
      <c r="BT204" s="93" t="str">
        <f t="shared" si="13"/>
        <v/>
      </c>
      <c r="BU204" s="37">
        <f t="shared" si="14"/>
        <v>0</v>
      </c>
      <c r="BV204" s="94"/>
      <c r="BW204" s="94"/>
      <c r="BX204" s="94"/>
      <c r="BY204" s="37">
        <f t="shared" si="15"/>
        <v>-25215</v>
      </c>
      <c r="BZ204" s="37"/>
      <c r="CA204" s="37"/>
      <c r="CB204" s="37"/>
      <c r="CC204" s="37"/>
      <c r="CD204" s="37"/>
      <c r="CE204" s="37"/>
      <c r="CF204" s="37"/>
      <c r="CG204" s="37" t="str">
        <f t="shared" si="18"/>
        <v>Below 60</v>
      </c>
      <c r="CH204" s="37" t="str">
        <f t="shared" si="26"/>
        <v>Business Achieved 50%</v>
      </c>
      <c r="CI204" s="93">
        <f t="shared" si="19"/>
        <v>1</v>
      </c>
      <c r="CJ204" s="95">
        <f ca="1">IFERROR(__xludf.DUMMYFUNCTION("""COMPUTED_VALUE"""),252)</f>
        <v>252</v>
      </c>
      <c r="CK204" s="95">
        <f ca="1">IFERROR(__xludf.DUMMYFUNCTION("""COMPUTED_VALUE"""),0)</f>
        <v>0</v>
      </c>
      <c r="CL204" s="95">
        <f ca="1">IFERROR(__xludf.DUMMYFUNCTION("""COMPUTED_VALUE"""),0)</f>
        <v>0</v>
      </c>
      <c r="CM204" s="96">
        <f t="shared" ca="1" si="20"/>
        <v>0</v>
      </c>
      <c r="CN204" s="103"/>
      <c r="CO204" s="4"/>
      <c r="CP204" s="100"/>
      <c r="CQ204" s="101"/>
      <c r="CR204" s="4"/>
      <c r="CS204" s="4"/>
      <c r="CT204" s="4"/>
      <c r="CU204" s="4"/>
      <c r="CV204" s="4"/>
      <c r="CW204" s="101"/>
      <c r="CX204" s="51"/>
      <c r="CY204" s="4"/>
      <c r="CZ204" s="4"/>
    </row>
    <row r="205" spans="1:104" ht="15.6">
      <c r="A205" s="114" t="s">
        <v>154</v>
      </c>
      <c r="B205" s="114" t="s">
        <v>367</v>
      </c>
      <c r="C205" s="114" t="s">
        <v>320</v>
      </c>
      <c r="D205" s="1" t="s">
        <v>577</v>
      </c>
      <c r="E205" s="1" t="s">
        <v>373</v>
      </c>
      <c r="F205" s="139">
        <v>45861</v>
      </c>
      <c r="G205" s="76">
        <v>0</v>
      </c>
      <c r="H205" s="76">
        <v>2500000</v>
      </c>
      <c r="I205" s="77">
        <v>2995134.11</v>
      </c>
      <c r="J205" s="77">
        <v>0</v>
      </c>
      <c r="K205" s="4">
        <v>12</v>
      </c>
      <c r="L205" s="4">
        <v>38</v>
      </c>
      <c r="M205" s="4">
        <v>26</v>
      </c>
      <c r="N205" s="4">
        <v>38</v>
      </c>
      <c r="O205" s="4">
        <v>0</v>
      </c>
      <c r="P205" s="77">
        <v>385636.39</v>
      </c>
      <c r="Q205" s="77">
        <v>2609497.7200000002</v>
      </c>
      <c r="R205" s="4">
        <v>6</v>
      </c>
      <c r="S205" s="4">
        <v>26</v>
      </c>
      <c r="T205" s="4">
        <v>32</v>
      </c>
      <c r="U205" s="4">
        <v>0</v>
      </c>
      <c r="V205" s="4">
        <v>266</v>
      </c>
      <c r="W205" s="4">
        <v>801</v>
      </c>
      <c r="X205" s="4">
        <v>6</v>
      </c>
      <c r="Y205" s="4">
        <v>2</v>
      </c>
      <c r="Z205" s="4">
        <v>103</v>
      </c>
      <c r="AA205" s="4">
        <v>0</v>
      </c>
      <c r="AB205" s="4">
        <v>0</v>
      </c>
      <c r="AC205" s="4">
        <v>2</v>
      </c>
      <c r="AD205" s="4">
        <v>5</v>
      </c>
      <c r="AE205" s="4">
        <v>339</v>
      </c>
      <c r="AF205" s="4">
        <v>1248</v>
      </c>
      <c r="AG205" s="4">
        <v>182</v>
      </c>
      <c r="AH205" s="76">
        <f t="shared" si="1"/>
        <v>16456.780824175825</v>
      </c>
      <c r="AI205" s="76">
        <f t="shared" si="2"/>
        <v>6.8571428571428568</v>
      </c>
      <c r="AJ205" s="112">
        <v>24120</v>
      </c>
      <c r="AK205" s="76">
        <f t="shared" si="62"/>
        <v>199962.58064516127</v>
      </c>
      <c r="AL205" s="79">
        <v>88990</v>
      </c>
      <c r="AM205" s="80">
        <f t="shared" si="4"/>
        <v>9.6474004179118805E-2</v>
      </c>
      <c r="AN205" s="76">
        <f t="shared" si="5"/>
        <v>93597.940937499996</v>
      </c>
      <c r="AO205" s="102">
        <f t="shared" si="115"/>
        <v>1.198053644</v>
      </c>
      <c r="AP205" s="82">
        <v>0</v>
      </c>
      <c r="AQ205" s="4">
        <v>93</v>
      </c>
      <c r="AR205" s="4">
        <v>1736</v>
      </c>
      <c r="AS205" s="4">
        <v>2311.29</v>
      </c>
      <c r="AT205" s="4">
        <v>26</v>
      </c>
      <c r="AU205" s="4">
        <v>61</v>
      </c>
      <c r="AV205" s="1">
        <v>32</v>
      </c>
      <c r="AW205" s="1">
        <v>6</v>
      </c>
      <c r="AX205" s="1">
        <v>0</v>
      </c>
      <c r="AY205" s="86" t="str">
        <f>IFERROR(VLOOKUP(C205,#REF!,13,0),"")</f>
        <v/>
      </c>
      <c r="AZ205" s="87"/>
      <c r="BA205" s="1" t="str">
        <f t="shared" si="6"/>
        <v>Active</v>
      </c>
      <c r="BB205" s="1" t="e">
        <f t="shared" ca="1" si="7"/>
        <v>#NAME?</v>
      </c>
      <c r="BC205" s="1" t="e">
        <f t="shared" ca="1" si="122"/>
        <v>#NAME?</v>
      </c>
      <c r="BD205" s="118">
        <f>(9/31)+1+1+1+1+1+1+1+1</f>
        <v>8.2903225806451601</v>
      </c>
      <c r="BE205" s="88" t="str">
        <v/>
      </c>
      <c r="BF205" s="1">
        <f t="shared" si="9"/>
        <v>0</v>
      </c>
      <c r="BG205" s="1" t="s">
        <v>428</v>
      </c>
      <c r="BH205" s="89"/>
      <c r="BI205" s="89"/>
      <c r="BJ205" s="90"/>
      <c r="BK205" s="91"/>
      <c r="BL205" s="91">
        <f t="shared" si="120"/>
        <v>0</v>
      </c>
      <c r="BM205" s="91">
        <f t="shared" si="11"/>
        <v>2500000</v>
      </c>
      <c r="BN205" s="91"/>
      <c r="BO205" s="92" t="str">
        <f ca="1">IFERROR(__xludf.DUMMYFUNCTION("IFERROR(ArrayFormula(SUM(VLOOKUP($C205,importrange(""1MwNMVzWE3QBVOyJjKr3eFX-Sq1Ng0Q1sghWJbgbE_8g"",""ORDER BOOKING REPORT 2024-25!C:CV""),{16,23,30},0))))"),"")</f>
        <v/>
      </c>
      <c r="BP205" s="92" t="str">
        <f ca="1">IFERROR(__xludf.DUMMYFUNCTION("IFERROR(ArrayFormula(SUM(VLOOKUP($C205,importrange(""1MwNMVzWE3QBVOyJjKr3eFX-Sq1Ng0Q1sghWJbgbE_8g"",""ORDER BOOKING REPORT 2024-25!C:CV""),{37,44,51},0))))"),"")</f>
        <v/>
      </c>
      <c r="BQ205" s="92" t="str">
        <f ca="1">IFERROR(__xludf.DUMMYFUNCTION("IFERROR(ArrayFormula(SUM(VLOOKUP($C205,importrange(""1MwNMVzWE3QBVOyJjKr3eFX-Sq1Ng0Q1sghWJbgbE_8g"",""ORDER BOOKING REPORT 2024-25!C:CV""),{58,65,72},0))))"),"")</f>
        <v/>
      </c>
      <c r="BR205" s="92" t="str">
        <f ca="1">IFERROR(__xludf.DUMMYFUNCTION("IFERROR(ArrayFormula(SUM(VLOOKUP($C205,importrange(""1MwNMVzWE3QBVOyJjKr3eFX-Sq1Ng0Q1sghWJbgbE_8g"",""ORDER BOOKING REPORT 2024-25!C:CV""),{79,86,93},0))))"),"")</f>
        <v/>
      </c>
      <c r="BS205" s="93" t="str">
        <f t="shared" si="12"/>
        <v/>
      </c>
      <c r="BT205" s="93" t="str">
        <f t="shared" si="13"/>
        <v/>
      </c>
      <c r="BU205" s="37">
        <f t="shared" si="14"/>
        <v>0</v>
      </c>
      <c r="BV205" s="94"/>
      <c r="BW205" s="94"/>
      <c r="BX205" s="94"/>
      <c r="BY205" s="37">
        <f t="shared" si="15"/>
        <v>-24120</v>
      </c>
      <c r="BZ205" s="37"/>
      <c r="CA205" s="37"/>
      <c r="CB205" s="37"/>
      <c r="CC205" s="37"/>
      <c r="CD205" s="37"/>
      <c r="CE205" s="37"/>
      <c r="CF205" s="37"/>
      <c r="CG205" s="37" t="str">
        <f t="shared" si="18"/>
        <v>Below 60</v>
      </c>
      <c r="CH205" s="37" t="str">
        <f t="shared" si="26"/>
        <v>Business Achieved 50%</v>
      </c>
      <c r="CI205" s="93">
        <f t="shared" si="19"/>
        <v>0.84210526315789469</v>
      </c>
      <c r="CJ205" s="95">
        <f ca="1">IFERROR(__xludf.DUMMYFUNCTION("""COMPUTED_VALUE"""),318)</f>
        <v>318</v>
      </c>
      <c r="CK205" s="95">
        <f ca="1">IFERROR(__xludf.DUMMYFUNCTION("""COMPUTED_VALUE"""),21)</f>
        <v>21</v>
      </c>
      <c r="CL205" s="95">
        <f ca="1">IFERROR(__xludf.DUMMYFUNCTION("""COMPUTED_VALUE"""),0)</f>
        <v>0</v>
      </c>
      <c r="CM205" s="96">
        <f t="shared" ca="1" si="20"/>
        <v>0</v>
      </c>
      <c r="CN205" s="103"/>
      <c r="CO205" s="4"/>
      <c r="CP205" s="100"/>
      <c r="CQ205" s="101"/>
      <c r="CR205" s="4"/>
      <c r="CS205" s="4"/>
      <c r="CT205" s="4"/>
      <c r="CU205" s="4"/>
      <c r="CV205" s="4"/>
      <c r="CW205" s="101"/>
      <c r="CX205" s="51"/>
      <c r="CY205" s="4"/>
      <c r="CZ205" s="4"/>
    </row>
    <row r="206" spans="1:104" ht="15.6">
      <c r="A206" s="1" t="s">
        <v>120</v>
      </c>
      <c r="B206" s="1" t="s">
        <v>206</v>
      </c>
      <c r="C206" s="1" t="s">
        <v>321</v>
      </c>
      <c r="D206" s="1" t="s">
        <v>206</v>
      </c>
      <c r="E206" s="1" t="s">
        <v>659</v>
      </c>
      <c r="F206" s="104">
        <v>45873</v>
      </c>
      <c r="G206" s="76">
        <v>0</v>
      </c>
      <c r="H206" s="76">
        <v>0</v>
      </c>
      <c r="I206" s="77">
        <v>0</v>
      </c>
      <c r="J206" s="77">
        <v>0</v>
      </c>
      <c r="K206" s="4">
        <v>1</v>
      </c>
      <c r="L206" s="4">
        <v>2</v>
      </c>
      <c r="M206" s="4">
        <v>1</v>
      </c>
      <c r="N206" s="4">
        <v>2</v>
      </c>
      <c r="O206" s="4">
        <v>0</v>
      </c>
      <c r="P206" s="77">
        <v>0</v>
      </c>
      <c r="Q206" s="77">
        <v>0</v>
      </c>
      <c r="R206" s="4">
        <v>0</v>
      </c>
      <c r="S206" s="4">
        <v>0</v>
      </c>
      <c r="T206" s="4">
        <v>0</v>
      </c>
      <c r="U206" s="4">
        <v>0</v>
      </c>
      <c r="V206" s="4">
        <v>10</v>
      </c>
      <c r="W206" s="4">
        <v>12</v>
      </c>
      <c r="X206" s="4">
        <v>0</v>
      </c>
      <c r="Y206" s="4">
        <v>1</v>
      </c>
      <c r="Z206" s="4">
        <v>1</v>
      </c>
      <c r="AA206" s="4">
        <v>1</v>
      </c>
      <c r="AB206" s="4">
        <v>1</v>
      </c>
      <c r="AC206" s="4">
        <v>1</v>
      </c>
      <c r="AD206" s="4">
        <v>1</v>
      </c>
      <c r="AE206" s="4">
        <v>2</v>
      </c>
      <c r="AF206" s="4">
        <v>17</v>
      </c>
      <c r="AG206" s="4">
        <v>4</v>
      </c>
      <c r="AH206" s="76">
        <f t="shared" si="1"/>
        <v>0</v>
      </c>
      <c r="AI206" s="76">
        <f t="shared" si="2"/>
        <v>4.25</v>
      </c>
      <c r="AJ206" s="112">
        <v>34600</v>
      </c>
      <c r="AK206" s="76">
        <f t="shared" si="62"/>
        <v>18684</v>
      </c>
      <c r="AL206" s="49"/>
      <c r="AM206" s="80" t="str">
        <f t="shared" si="4"/>
        <v/>
      </c>
      <c r="AN206" s="76" t="str">
        <f t="shared" si="5"/>
        <v/>
      </c>
      <c r="AO206" s="102" t="str">
        <f t="shared" si="115"/>
        <v/>
      </c>
      <c r="AP206" s="82">
        <v>0</v>
      </c>
      <c r="AQ206" s="4">
        <v>0</v>
      </c>
      <c r="AR206" s="4">
        <v>44</v>
      </c>
      <c r="AS206" s="4">
        <v>0</v>
      </c>
      <c r="AT206" s="4">
        <v>0</v>
      </c>
      <c r="AU206" s="4">
        <v>0</v>
      </c>
      <c r="AV206" s="1">
        <v>0</v>
      </c>
      <c r="AW206" s="1">
        <v>2</v>
      </c>
      <c r="AX206" s="1">
        <v>0</v>
      </c>
      <c r="AY206" s="86" t="str">
        <f>IFERROR(VLOOKUP(C206,#REF!,13,0),"")</f>
        <v/>
      </c>
      <c r="AZ206" s="87">
        <v>45890</v>
      </c>
      <c r="BA206" s="1" t="str">
        <f t="shared" si="6"/>
        <v>LEFT</v>
      </c>
      <c r="BB206" s="1" t="e">
        <f t="shared" ca="1" si="7"/>
        <v>#NAME?</v>
      </c>
      <c r="BC206" s="4" t="s">
        <v>161</v>
      </c>
      <c r="BD206" s="33">
        <v>0.54</v>
      </c>
      <c r="BE206" s="88" t="str">
        <v/>
      </c>
      <c r="BF206" s="1">
        <f t="shared" si="9"/>
        <v>1</v>
      </c>
      <c r="BG206" s="1" t="s">
        <v>428</v>
      </c>
      <c r="BH206" s="89"/>
      <c r="BI206" s="89"/>
      <c r="BJ206" s="109"/>
      <c r="BK206" s="91"/>
      <c r="BL206" s="91">
        <f t="shared" si="120"/>
        <v>0</v>
      </c>
      <c r="BM206" s="91">
        <f t="shared" si="11"/>
        <v>0</v>
      </c>
      <c r="BN206" s="91"/>
      <c r="BO206" s="92" t="str">
        <f ca="1">IFERROR(__xludf.DUMMYFUNCTION("IFERROR(ArrayFormula(SUM(VLOOKUP($C206,importrange(""1MwNMVzWE3QBVOyJjKr3eFX-Sq1Ng0Q1sghWJbgbE_8g"",""ORDER BOOKING REPORT 2024-25!C:CV""),{16,23,30},0))))"),"")</f>
        <v/>
      </c>
      <c r="BP206" s="92" t="str">
        <f ca="1">IFERROR(__xludf.DUMMYFUNCTION("IFERROR(ArrayFormula(SUM(VLOOKUP($C206,importrange(""1MwNMVzWE3QBVOyJjKr3eFX-Sq1Ng0Q1sghWJbgbE_8g"",""ORDER BOOKING REPORT 2024-25!C:CV""),{37,44,51},0))))"),"")</f>
        <v/>
      </c>
      <c r="BQ206" s="92" t="str">
        <f ca="1">IFERROR(__xludf.DUMMYFUNCTION("IFERROR(ArrayFormula(SUM(VLOOKUP($C206,importrange(""1MwNMVzWE3QBVOyJjKr3eFX-Sq1Ng0Q1sghWJbgbE_8g"",""ORDER BOOKING REPORT 2024-25!C:CV""),{58,65,72},0))))"),"")</f>
        <v/>
      </c>
      <c r="BR206" s="92" t="str">
        <f ca="1">IFERROR(__xludf.DUMMYFUNCTION("IFERROR(ArrayFormula(SUM(VLOOKUP($C206,importrange(""1MwNMVzWE3QBVOyJjKr3eFX-Sq1Ng0Q1sghWJbgbE_8g"",""ORDER BOOKING REPORT 2024-25!C:CV""),{79,86,93},0))))"),"")</f>
        <v/>
      </c>
      <c r="BS206" s="93" t="str">
        <f t="shared" si="12"/>
        <v/>
      </c>
      <c r="BT206" s="93" t="str">
        <f t="shared" si="13"/>
        <v/>
      </c>
      <c r="BU206" s="37">
        <f t="shared" si="14"/>
        <v>0</v>
      </c>
      <c r="BV206" s="94"/>
      <c r="BW206" s="94"/>
      <c r="BX206" s="94"/>
      <c r="BY206" s="37">
        <f t="shared" si="15"/>
        <v>-34600</v>
      </c>
      <c r="BZ206" s="37"/>
      <c r="CA206" s="37"/>
      <c r="CB206" s="37"/>
      <c r="CC206" s="37"/>
      <c r="CD206" s="37"/>
      <c r="CE206" s="37"/>
      <c r="CF206" s="37"/>
      <c r="CG206" s="37" t="str">
        <f t="shared" si="18"/>
        <v>Below 60</v>
      </c>
      <c r="CH206" s="37" t="str">
        <f t="shared" si="26"/>
        <v>Not 50%</v>
      </c>
      <c r="CI206" s="93">
        <f t="shared" si="19"/>
        <v>0</v>
      </c>
      <c r="CJ206" s="105"/>
      <c r="CK206" s="105"/>
      <c r="CL206" s="105"/>
      <c r="CM206" s="96">
        <f t="shared" si="20"/>
        <v>2</v>
      </c>
      <c r="CN206" s="106"/>
      <c r="CO206" s="93"/>
      <c r="CP206" s="107"/>
      <c r="CQ206" s="110"/>
      <c r="CR206" s="93"/>
      <c r="CS206" s="93"/>
      <c r="CT206" s="93"/>
      <c r="CU206" s="93"/>
      <c r="CV206" s="93"/>
      <c r="CW206" s="93"/>
      <c r="CX206" s="51"/>
      <c r="CY206" s="93"/>
      <c r="CZ206" s="93"/>
    </row>
    <row r="207" spans="1:104" ht="15.6">
      <c r="A207" s="1" t="s">
        <v>118</v>
      </c>
      <c r="B207" s="1" t="s">
        <v>362</v>
      </c>
      <c r="C207" s="1" t="s">
        <v>322</v>
      </c>
      <c r="D207" s="1" t="s">
        <v>419</v>
      </c>
      <c r="E207" s="1" t="s">
        <v>539</v>
      </c>
      <c r="F207" s="104">
        <v>45876</v>
      </c>
      <c r="G207" s="76">
        <v>0</v>
      </c>
      <c r="H207" s="76">
        <v>6000000</v>
      </c>
      <c r="I207" s="77">
        <v>3410282.73</v>
      </c>
      <c r="J207" s="77">
        <v>0</v>
      </c>
      <c r="K207" s="4">
        <v>44</v>
      </c>
      <c r="L207" s="4">
        <v>60</v>
      </c>
      <c r="M207" s="4">
        <v>16</v>
      </c>
      <c r="N207" s="4">
        <v>60</v>
      </c>
      <c r="O207" s="4">
        <v>0</v>
      </c>
      <c r="P207" s="77">
        <v>2298822.61</v>
      </c>
      <c r="Q207" s="77">
        <v>1111460.1200000001</v>
      </c>
      <c r="R207" s="4">
        <v>16</v>
      </c>
      <c r="S207" s="4">
        <v>13</v>
      </c>
      <c r="T207" s="4">
        <v>29</v>
      </c>
      <c r="U207" s="4">
        <v>0</v>
      </c>
      <c r="V207" s="4">
        <v>12</v>
      </c>
      <c r="W207" s="4">
        <v>30</v>
      </c>
      <c r="X207" s="4">
        <v>0</v>
      </c>
      <c r="Y207" s="4">
        <v>1</v>
      </c>
      <c r="Z207" s="4">
        <v>1</v>
      </c>
      <c r="AA207" s="4">
        <v>0</v>
      </c>
      <c r="AB207" s="4">
        <v>0</v>
      </c>
      <c r="AC207" s="4">
        <v>0</v>
      </c>
      <c r="AD207" s="4">
        <v>0</v>
      </c>
      <c r="AE207" s="4">
        <v>229</v>
      </c>
      <c r="AF207" s="4">
        <v>260</v>
      </c>
      <c r="AG207" s="4">
        <v>63</v>
      </c>
      <c r="AH207" s="76">
        <f t="shared" si="1"/>
        <v>54131.471904761907</v>
      </c>
      <c r="AI207" s="76">
        <f t="shared" si="2"/>
        <v>4.1269841269841274</v>
      </c>
      <c r="AJ207" s="112">
        <v>33570</v>
      </c>
      <c r="AK207" s="76">
        <f t="shared" si="62"/>
        <v>93129.677419354848</v>
      </c>
      <c r="AL207" s="79">
        <v>41106</v>
      </c>
      <c r="AM207" s="80">
        <f t="shared" si="4"/>
        <v>3.9362037709804447E-2</v>
      </c>
      <c r="AN207" s="76">
        <f t="shared" si="5"/>
        <v>117595.95620689655</v>
      </c>
      <c r="AO207" s="102">
        <f t="shared" si="115"/>
        <v>0.56838045500000001</v>
      </c>
      <c r="AP207" s="82">
        <v>0</v>
      </c>
      <c r="AQ207" s="4">
        <v>58</v>
      </c>
      <c r="AR207" s="4">
        <v>680</v>
      </c>
      <c r="AS207" s="4">
        <v>0</v>
      </c>
      <c r="AT207" s="4">
        <v>13</v>
      </c>
      <c r="AU207" s="4">
        <v>0</v>
      </c>
      <c r="AV207" s="1">
        <v>29</v>
      </c>
      <c r="AW207" s="1">
        <v>31</v>
      </c>
      <c r="AX207" s="1">
        <v>0</v>
      </c>
      <c r="AY207" s="86" t="str">
        <f>IFERROR(VLOOKUP(C207,#REF!,13,0),"")</f>
        <v/>
      </c>
      <c r="AZ207" s="87">
        <v>45971</v>
      </c>
      <c r="BA207" s="1" t="str">
        <f t="shared" si="6"/>
        <v>LEFT</v>
      </c>
      <c r="BB207" s="1" t="e">
        <f t="shared" ca="1" si="7"/>
        <v>#NAME?</v>
      </c>
      <c r="BC207" s="1" t="e">
        <f t="shared" ref="BC207:BC243" ca="1" si="123">_xludf.ifs(AO207&lt;50%,"Below 50%",AO207&lt;70%,"50%-70%",AO207&lt;90%,"70%-90%",AO207&lt;100%,"90%-100%",AO207&gt;100%,"Above 100%")</f>
        <v>#NAME?</v>
      </c>
      <c r="BD207" s="134">
        <f>(24/31)+1+1</f>
        <v>2.774193548387097</v>
      </c>
      <c r="BE207" s="88" t="str">
        <v/>
      </c>
      <c r="BF207" s="1">
        <f t="shared" si="9"/>
        <v>3</v>
      </c>
      <c r="BG207" s="1" t="s">
        <v>428</v>
      </c>
      <c r="BH207" s="89"/>
      <c r="BI207" s="89"/>
      <c r="BJ207" s="140">
        <f>(31-7)/31</f>
        <v>0.77419354838709675</v>
      </c>
      <c r="BK207" s="91"/>
      <c r="BL207" s="91">
        <f t="shared" si="120"/>
        <v>0</v>
      </c>
      <c r="BM207" s="91">
        <f t="shared" si="11"/>
        <v>6000000</v>
      </c>
      <c r="BN207" s="91"/>
      <c r="BO207" s="92" t="str">
        <f ca="1">IFERROR(__xludf.DUMMYFUNCTION("IFERROR(ArrayFormula(SUM(VLOOKUP($C207,importrange(""1MwNMVzWE3QBVOyJjKr3eFX-Sq1Ng0Q1sghWJbgbE_8g"",""ORDER BOOKING REPORT 2024-25!C:CV""),{16,23,30},0))))"),"")</f>
        <v/>
      </c>
      <c r="BP207" s="92" t="str">
        <f ca="1">IFERROR(__xludf.DUMMYFUNCTION("IFERROR(ArrayFormula(SUM(VLOOKUP($C207,importrange(""1MwNMVzWE3QBVOyJjKr3eFX-Sq1Ng0Q1sghWJbgbE_8g"",""ORDER BOOKING REPORT 2024-25!C:CV""),{37,44,51},0))))"),"")</f>
        <v/>
      </c>
      <c r="BQ207" s="92" t="str">
        <f ca="1">IFERROR(__xludf.DUMMYFUNCTION("IFERROR(ArrayFormula(SUM(VLOOKUP($C207,importrange(""1MwNMVzWE3QBVOyJjKr3eFX-Sq1Ng0Q1sghWJbgbE_8g"",""ORDER BOOKING REPORT 2024-25!C:CV""),{58,65,72},0))))"),"")</f>
        <v/>
      </c>
      <c r="BR207" s="92" t="str">
        <f ca="1">IFERROR(__xludf.DUMMYFUNCTION("IFERROR(ArrayFormula(SUM(VLOOKUP($C207,importrange(""1MwNMVzWE3QBVOyJjKr3eFX-Sq1Ng0Q1sghWJbgbE_8g"",""ORDER BOOKING REPORT 2024-25!C:CV""),{79,86,93},0))))"),"")</f>
        <v/>
      </c>
      <c r="BS207" s="93" t="str">
        <f t="shared" si="12"/>
        <v/>
      </c>
      <c r="BT207" s="93" t="str">
        <f t="shared" si="13"/>
        <v/>
      </c>
      <c r="BU207" s="37">
        <f t="shared" si="14"/>
        <v>0</v>
      </c>
      <c r="BV207" s="94"/>
      <c r="BW207" s="94"/>
      <c r="BX207" s="94"/>
      <c r="BY207" s="37">
        <f t="shared" si="15"/>
        <v>-33570</v>
      </c>
      <c r="BZ207" s="37"/>
      <c r="CA207" s="37"/>
      <c r="CB207" s="37"/>
      <c r="CC207" s="37"/>
      <c r="CD207" s="37"/>
      <c r="CE207" s="37"/>
      <c r="CF207" s="37"/>
      <c r="CG207" s="37" t="str">
        <f t="shared" si="18"/>
        <v xml:space="preserve"> </v>
      </c>
      <c r="CH207" s="37" t="str">
        <f t="shared" si="26"/>
        <v>Not 50%</v>
      </c>
      <c r="CI207" s="93">
        <f t="shared" si="19"/>
        <v>0.48333333333333334</v>
      </c>
      <c r="CJ207" s="95">
        <f ca="1">IFERROR(__xludf.DUMMYFUNCTION("""COMPUTED_VALUE"""),135)</f>
        <v>135</v>
      </c>
      <c r="CK207" s="95">
        <f ca="1">IFERROR(__xludf.DUMMYFUNCTION("""COMPUTED_VALUE"""),94)</f>
        <v>94</v>
      </c>
      <c r="CL207" s="95">
        <f ca="1">IFERROR(__xludf.DUMMYFUNCTION("""COMPUTED_VALUE"""),0)</f>
        <v>0</v>
      </c>
      <c r="CM207" s="96">
        <f t="shared" ca="1" si="20"/>
        <v>0</v>
      </c>
      <c r="CN207" s="103"/>
      <c r="CO207" s="4"/>
      <c r="CP207" s="100"/>
      <c r="CQ207" s="101"/>
      <c r="CR207" s="4"/>
      <c r="CS207" s="4"/>
      <c r="CT207" s="4"/>
      <c r="CU207" s="4"/>
      <c r="CV207" s="4"/>
      <c r="CW207" s="101"/>
      <c r="CX207" s="51"/>
      <c r="CY207" s="4"/>
      <c r="CZ207" s="4"/>
    </row>
    <row r="208" spans="1:104" ht="15.6">
      <c r="A208" s="114" t="s">
        <v>120</v>
      </c>
      <c r="B208" s="114" t="s">
        <v>286</v>
      </c>
      <c r="C208" s="114" t="s">
        <v>323</v>
      </c>
      <c r="D208" s="1" t="s">
        <v>631</v>
      </c>
      <c r="E208" s="1" t="s">
        <v>357</v>
      </c>
      <c r="F208" s="104">
        <v>45887</v>
      </c>
      <c r="G208" s="76">
        <v>0</v>
      </c>
      <c r="H208" s="76">
        <v>8903226</v>
      </c>
      <c r="I208" s="77">
        <v>6525450.8099999996</v>
      </c>
      <c r="J208" s="77">
        <v>0</v>
      </c>
      <c r="K208" s="4">
        <v>114</v>
      </c>
      <c r="L208" s="4">
        <v>165</v>
      </c>
      <c r="M208" s="4">
        <v>53</v>
      </c>
      <c r="N208" s="4">
        <v>167</v>
      </c>
      <c r="O208" s="4">
        <v>2</v>
      </c>
      <c r="P208" s="77">
        <v>4184313.59</v>
      </c>
      <c r="Q208" s="77">
        <v>2341137.2200000002</v>
      </c>
      <c r="R208" s="4">
        <v>70</v>
      </c>
      <c r="S208" s="4">
        <v>53</v>
      </c>
      <c r="T208" s="4">
        <v>123</v>
      </c>
      <c r="U208" s="4">
        <v>0</v>
      </c>
      <c r="V208" s="4">
        <v>112</v>
      </c>
      <c r="W208" s="4">
        <v>208</v>
      </c>
      <c r="X208" s="4">
        <v>1</v>
      </c>
      <c r="Y208" s="4">
        <v>5</v>
      </c>
      <c r="Z208" s="4">
        <v>66</v>
      </c>
      <c r="AA208" s="4">
        <v>1</v>
      </c>
      <c r="AB208" s="4">
        <v>2</v>
      </c>
      <c r="AC208" s="4">
        <v>0</v>
      </c>
      <c r="AD208" s="4">
        <v>0</v>
      </c>
      <c r="AE208" s="4">
        <v>1015</v>
      </c>
      <c r="AF208" s="4">
        <v>1291</v>
      </c>
      <c r="AG208" s="4">
        <v>184</v>
      </c>
      <c r="AH208" s="76">
        <f t="shared" si="1"/>
        <v>35464.406576086956</v>
      </c>
      <c r="AI208" s="76">
        <f t="shared" si="2"/>
        <v>7.0163043478260869</v>
      </c>
      <c r="AJ208" s="78">
        <f>BV208</f>
        <v>28835</v>
      </c>
      <c r="AK208" s="76">
        <f t="shared" si="62"/>
        <v>213937.09677419357</v>
      </c>
      <c r="AL208" s="49">
        <v>98472</v>
      </c>
      <c r="AM208" s="80">
        <f t="shared" si="4"/>
        <v>4.7875481077175354E-2</v>
      </c>
      <c r="AN208" s="76">
        <f t="shared" si="5"/>
        <v>53052.445609756098</v>
      </c>
      <c r="AO208" s="102">
        <f t="shared" si="115"/>
        <v>0.73293105330584662</v>
      </c>
      <c r="AP208" s="82">
        <v>0</v>
      </c>
      <c r="AQ208" s="4">
        <v>326</v>
      </c>
      <c r="AR208" s="4">
        <v>1750</v>
      </c>
      <c r="AS208" s="4">
        <v>3431.12</v>
      </c>
      <c r="AT208" s="4">
        <v>53</v>
      </c>
      <c r="AU208" s="4">
        <v>21</v>
      </c>
      <c r="AV208" s="1">
        <v>123</v>
      </c>
      <c r="AW208" s="1">
        <v>44</v>
      </c>
      <c r="AX208" s="1">
        <v>0</v>
      </c>
      <c r="AY208" s="86" t="str">
        <f>IFERROR(VLOOKUP(C208,#REF!,13,0),"")</f>
        <v/>
      </c>
      <c r="AZ208" s="87"/>
      <c r="BA208" s="1" t="str">
        <f t="shared" si="6"/>
        <v>Active</v>
      </c>
      <c r="BB208" s="1" t="e">
        <f t="shared" ca="1" si="7"/>
        <v>#NAME?</v>
      </c>
      <c r="BC208" s="1" t="e">
        <f t="shared" ca="1" si="123"/>
        <v>#NAME?</v>
      </c>
      <c r="BD208" s="134">
        <f>(31-18)/31+1+1+1+1+1+1+1</f>
        <v>7.4193548387096779</v>
      </c>
      <c r="BE208" s="91" t="str">
        <v/>
      </c>
      <c r="BF208" s="1">
        <f t="shared" si="9"/>
        <v>0</v>
      </c>
      <c r="BG208" s="1" t="s">
        <v>428</v>
      </c>
      <c r="BH208" s="89"/>
      <c r="BI208" s="89"/>
      <c r="BJ208" s="140">
        <f t="shared" ref="BJ208:BJ209" si="124">(31-18)/31</f>
        <v>0.41935483870967744</v>
      </c>
      <c r="BK208" s="91"/>
      <c r="BL208" s="91">
        <f t="shared" si="120"/>
        <v>0</v>
      </c>
      <c r="BM208" s="91">
        <f t="shared" si="11"/>
        <v>8903226</v>
      </c>
      <c r="BN208" s="91"/>
      <c r="BO208" s="92" t="str">
        <f ca="1">IFERROR(__xludf.DUMMYFUNCTION("IFERROR(ArrayFormula(SUM(VLOOKUP($C208,importrange(""1MwNMVzWE3QBVOyJjKr3eFX-Sq1Ng0Q1sghWJbgbE_8g"",""ORDER BOOKING REPORT 2024-25!C:CV""),{16,23,30},0))))"),"")</f>
        <v/>
      </c>
      <c r="BP208" s="92" t="str">
        <f ca="1">IFERROR(__xludf.DUMMYFUNCTION("IFERROR(ArrayFormula(SUM(VLOOKUP($C208,importrange(""1MwNMVzWE3QBVOyJjKr3eFX-Sq1Ng0Q1sghWJbgbE_8g"",""ORDER BOOKING REPORT 2024-25!C:CV""),{37,44,51},0))))"),"")</f>
        <v/>
      </c>
      <c r="BQ208" s="92" t="str">
        <f ca="1">IFERROR(__xludf.DUMMYFUNCTION("IFERROR(ArrayFormula(SUM(VLOOKUP($C208,importrange(""1MwNMVzWE3QBVOyJjKr3eFX-Sq1Ng0Q1sghWJbgbE_8g"",""ORDER BOOKING REPORT 2024-25!C:CV""),{58,65,72},0))))"),"")</f>
        <v/>
      </c>
      <c r="BR208" s="92" t="str">
        <f ca="1">IFERROR(__xludf.DUMMYFUNCTION("IFERROR(ArrayFormula(SUM(VLOOKUP($C208,importrange(""1MwNMVzWE3QBVOyJjKr3eFX-Sq1Ng0Q1sghWJbgbE_8g"",""ORDER BOOKING REPORT 2024-25!C:CV""),{79,86,93},0))))"),"")</f>
        <v/>
      </c>
      <c r="BS208" s="93" t="str">
        <f t="shared" si="12"/>
        <v/>
      </c>
      <c r="BT208" s="93" t="str">
        <f t="shared" si="13"/>
        <v/>
      </c>
      <c r="BU208" s="37">
        <f t="shared" si="14"/>
        <v>0</v>
      </c>
      <c r="BV208" s="94">
        <v>28835</v>
      </c>
      <c r="BW208" s="94"/>
      <c r="BX208" s="94"/>
      <c r="BY208" s="37">
        <f t="shared" si="15"/>
        <v>0</v>
      </c>
      <c r="BZ208" s="37"/>
      <c r="CA208" s="37"/>
      <c r="CB208" s="37"/>
      <c r="CC208" s="37"/>
      <c r="CD208" s="37"/>
      <c r="CE208" s="37"/>
      <c r="CF208" s="37"/>
      <c r="CG208" s="37" t="str">
        <f t="shared" si="18"/>
        <v xml:space="preserve"> </v>
      </c>
      <c r="CH208" s="37" t="str">
        <f t="shared" si="26"/>
        <v>Business Achieved 50%</v>
      </c>
      <c r="CI208" s="93">
        <f t="shared" si="19"/>
        <v>0.73652694610778446</v>
      </c>
      <c r="CJ208" s="105">
        <f ca="1">IFERROR(__xludf.DUMMYFUNCTION("""COMPUTED_VALUE"""),925)</f>
        <v>925</v>
      </c>
      <c r="CK208" s="105">
        <f ca="1">IFERROR(__xludf.DUMMYFUNCTION("""COMPUTED_VALUE"""),90)</f>
        <v>90</v>
      </c>
      <c r="CL208" s="105">
        <f ca="1">IFERROR(__xludf.DUMMYFUNCTION("""COMPUTED_VALUE"""),0)</f>
        <v>0</v>
      </c>
      <c r="CM208" s="96">
        <f t="shared" ca="1" si="20"/>
        <v>0</v>
      </c>
      <c r="CN208" s="106"/>
      <c r="CO208" s="93"/>
      <c r="CP208" s="107"/>
      <c r="CQ208" s="110"/>
      <c r="CR208" s="93"/>
      <c r="CS208" s="93"/>
      <c r="CT208" s="93"/>
      <c r="CU208" s="93"/>
      <c r="CV208" s="93"/>
      <c r="CW208" s="93"/>
      <c r="CX208" s="51"/>
      <c r="CY208" s="93"/>
      <c r="CZ208" s="93"/>
    </row>
    <row r="209" spans="1:104" ht="15.6">
      <c r="A209" s="1" t="s">
        <v>124</v>
      </c>
      <c r="B209" s="1" t="s">
        <v>443</v>
      </c>
      <c r="C209" s="1" t="s">
        <v>324</v>
      </c>
      <c r="D209" s="1" t="s">
        <v>517</v>
      </c>
      <c r="E209" s="1" t="s">
        <v>524</v>
      </c>
      <c r="F209" s="104">
        <v>45887</v>
      </c>
      <c r="G209" s="76">
        <v>0</v>
      </c>
      <c r="H209" s="49">
        <v>6000000</v>
      </c>
      <c r="I209" s="77">
        <v>3134786.22</v>
      </c>
      <c r="J209" s="77">
        <v>0</v>
      </c>
      <c r="K209" s="4">
        <v>56</v>
      </c>
      <c r="L209" s="4">
        <v>67</v>
      </c>
      <c r="M209" s="4">
        <v>11</v>
      </c>
      <c r="N209" s="4">
        <v>67</v>
      </c>
      <c r="O209" s="4">
        <v>0</v>
      </c>
      <c r="P209" s="77">
        <v>1959838.6</v>
      </c>
      <c r="Q209" s="77">
        <v>1174947.6200000001</v>
      </c>
      <c r="R209" s="4">
        <v>21</v>
      </c>
      <c r="S209" s="4">
        <v>8</v>
      </c>
      <c r="T209" s="4">
        <v>29</v>
      </c>
      <c r="U209" s="4">
        <v>0</v>
      </c>
      <c r="V209" s="4">
        <v>47</v>
      </c>
      <c r="W209" s="4">
        <v>61</v>
      </c>
      <c r="X209" s="4">
        <v>68</v>
      </c>
      <c r="Y209" s="4">
        <v>1</v>
      </c>
      <c r="Z209" s="4">
        <v>99</v>
      </c>
      <c r="AA209" s="4">
        <v>0</v>
      </c>
      <c r="AB209" s="4">
        <v>0</v>
      </c>
      <c r="AC209" s="4">
        <v>3</v>
      </c>
      <c r="AD209" s="4">
        <v>6</v>
      </c>
      <c r="AE209" s="4">
        <v>393</v>
      </c>
      <c r="AF209" s="4">
        <v>559</v>
      </c>
      <c r="AG209" s="4">
        <v>164</v>
      </c>
      <c r="AH209" s="76">
        <f t="shared" si="1"/>
        <v>19114.550121951223</v>
      </c>
      <c r="AI209" s="76">
        <f t="shared" si="2"/>
        <v>3.4085365853658538</v>
      </c>
      <c r="AJ209" s="112">
        <v>40885</v>
      </c>
      <c r="AK209" s="76">
        <f t="shared" si="62"/>
        <v>303340.32258064521</v>
      </c>
      <c r="AL209" s="79">
        <v>147979</v>
      </c>
      <c r="AM209" s="80">
        <f t="shared" si="4"/>
        <v>0.1439713240096625</v>
      </c>
      <c r="AN209" s="76">
        <f t="shared" si="5"/>
        <v>108096.07655172414</v>
      </c>
      <c r="AO209" s="102">
        <f t="shared" si="115"/>
        <v>0.52246437000000001</v>
      </c>
      <c r="AP209" s="82">
        <v>0</v>
      </c>
      <c r="AQ209" s="4">
        <v>102</v>
      </c>
      <c r="AR209" s="4">
        <v>1774</v>
      </c>
      <c r="AS209" s="4">
        <v>3156.54</v>
      </c>
      <c r="AT209" s="4">
        <v>8</v>
      </c>
      <c r="AU209" s="4">
        <v>47</v>
      </c>
      <c r="AV209" s="1">
        <v>29</v>
      </c>
      <c r="AW209" s="1">
        <v>38</v>
      </c>
      <c r="AX209" s="1">
        <v>0</v>
      </c>
      <c r="AY209" s="86" t="str">
        <f>IFERROR(VLOOKUP(C209,#REF!,13,0),"")</f>
        <v/>
      </c>
      <c r="AZ209" s="87"/>
      <c r="BA209" s="1" t="str">
        <f t="shared" si="6"/>
        <v>Active</v>
      </c>
      <c r="BB209" s="1" t="e">
        <f t="shared" ca="1" si="7"/>
        <v>#NAME?</v>
      </c>
      <c r="BC209" s="1" t="e">
        <f t="shared" ca="1" si="123"/>
        <v>#NAME?</v>
      </c>
      <c r="BD209" s="134">
        <f>(13/31)+1+1+1+1+1+1+1</f>
        <v>7.4193548387096779</v>
      </c>
      <c r="BE209" s="88" t="str">
        <v/>
      </c>
      <c r="BF209" s="1">
        <f t="shared" si="9"/>
        <v>3</v>
      </c>
      <c r="BG209" s="1" t="s">
        <v>428</v>
      </c>
      <c r="BH209" s="89"/>
      <c r="BI209" s="89"/>
      <c r="BJ209" s="140">
        <f t="shared" si="124"/>
        <v>0.41935483870967744</v>
      </c>
      <c r="BK209" s="91"/>
      <c r="BL209" s="91">
        <f t="shared" si="120"/>
        <v>0</v>
      </c>
      <c r="BM209" s="91">
        <f t="shared" si="11"/>
        <v>6000000</v>
      </c>
      <c r="BN209" s="91"/>
      <c r="BO209" s="92" t="str">
        <f ca="1">IFERROR(__xludf.DUMMYFUNCTION("IFERROR(ArrayFormula(SUM(VLOOKUP($C209,importrange(""1MwNMVzWE3QBVOyJjKr3eFX-Sq1Ng0Q1sghWJbgbE_8g"",""ORDER BOOKING REPORT 2024-25!C:CV""),{16,23,30},0))))"),"")</f>
        <v/>
      </c>
      <c r="BP209" s="92" t="str">
        <f ca="1">IFERROR(__xludf.DUMMYFUNCTION("IFERROR(ArrayFormula(SUM(VLOOKUP($C209,importrange(""1MwNMVzWE3QBVOyJjKr3eFX-Sq1Ng0Q1sghWJbgbE_8g"",""ORDER BOOKING REPORT 2024-25!C:CV""),{37,44,51},0))))"),"")</f>
        <v/>
      </c>
      <c r="BQ209" s="92" t="str">
        <f ca="1">IFERROR(__xludf.DUMMYFUNCTION("IFERROR(ArrayFormula(SUM(VLOOKUP($C209,importrange(""1MwNMVzWE3QBVOyJjKr3eFX-Sq1Ng0Q1sghWJbgbE_8g"",""ORDER BOOKING REPORT 2024-25!C:CV""),{58,65,72},0))))"),"")</f>
        <v/>
      </c>
      <c r="BR209" s="92" t="str">
        <f ca="1">IFERROR(__xludf.DUMMYFUNCTION("IFERROR(ArrayFormula(SUM(VLOOKUP($C209,importrange(""1MwNMVzWE3QBVOyJjKr3eFX-Sq1Ng0Q1sghWJbgbE_8g"",""ORDER BOOKING REPORT 2024-25!C:CV""),{79,86,93},0))))"),"")</f>
        <v/>
      </c>
      <c r="BS209" s="93" t="str">
        <f t="shared" si="12"/>
        <v/>
      </c>
      <c r="BT209" s="93" t="str">
        <f t="shared" si="13"/>
        <v/>
      </c>
      <c r="BU209" s="37">
        <f t="shared" si="14"/>
        <v>0</v>
      </c>
      <c r="BV209" s="94"/>
      <c r="BW209" s="94"/>
      <c r="BX209" s="94"/>
      <c r="BY209" s="37">
        <f t="shared" si="15"/>
        <v>-40885</v>
      </c>
      <c r="BZ209" s="37"/>
      <c r="CA209" s="37"/>
      <c r="CB209" s="37"/>
      <c r="CC209" s="37"/>
      <c r="CD209" s="37"/>
      <c r="CE209" s="37"/>
      <c r="CF209" s="37"/>
      <c r="CG209" s="37" t="str">
        <f t="shared" si="18"/>
        <v xml:space="preserve"> </v>
      </c>
      <c r="CH209" s="37" t="str">
        <f t="shared" si="26"/>
        <v>Not 50%</v>
      </c>
      <c r="CI209" s="93">
        <f t="shared" si="19"/>
        <v>0.43283582089552236</v>
      </c>
      <c r="CJ209" s="95">
        <f ca="1">IFERROR(__xludf.DUMMYFUNCTION("""COMPUTED_VALUE"""),256)</f>
        <v>256</v>
      </c>
      <c r="CK209" s="95">
        <f ca="1">IFERROR(__xludf.DUMMYFUNCTION("""COMPUTED_VALUE"""),137)</f>
        <v>137</v>
      </c>
      <c r="CL209" s="95">
        <f ca="1">IFERROR(__xludf.DUMMYFUNCTION("""COMPUTED_VALUE"""),0)</f>
        <v>0</v>
      </c>
      <c r="CM209" s="96">
        <f t="shared" ca="1" si="20"/>
        <v>0</v>
      </c>
      <c r="CN209" s="103"/>
      <c r="CO209" s="4"/>
      <c r="CP209" s="100"/>
      <c r="CQ209" s="101"/>
      <c r="CR209" s="4"/>
      <c r="CS209" s="4"/>
      <c r="CT209" s="4"/>
      <c r="CU209" s="4"/>
      <c r="CV209" s="4"/>
      <c r="CW209" s="101"/>
      <c r="CX209" s="51"/>
      <c r="CY209" s="4"/>
      <c r="CZ209" s="4"/>
    </row>
    <row r="210" spans="1:104" ht="15.6">
      <c r="A210" s="1" t="s">
        <v>108</v>
      </c>
      <c r="B210" s="1" t="s">
        <v>465</v>
      </c>
      <c r="C210" s="1" t="s">
        <v>325</v>
      </c>
      <c r="D210" s="1" t="s">
        <v>506</v>
      </c>
      <c r="E210" s="1" t="s">
        <v>660</v>
      </c>
      <c r="F210" s="104">
        <v>45894</v>
      </c>
      <c r="G210" s="76">
        <v>0</v>
      </c>
      <c r="H210" s="76">
        <v>8164000</v>
      </c>
      <c r="I210" s="77">
        <v>1341417</v>
      </c>
      <c r="J210" s="77">
        <v>0</v>
      </c>
      <c r="K210" s="4">
        <v>44</v>
      </c>
      <c r="L210" s="4">
        <v>48</v>
      </c>
      <c r="M210" s="4">
        <v>4</v>
      </c>
      <c r="N210" s="4">
        <v>48</v>
      </c>
      <c r="O210" s="4">
        <v>0</v>
      </c>
      <c r="P210" s="77">
        <v>1268745</v>
      </c>
      <c r="Q210" s="77">
        <v>72672</v>
      </c>
      <c r="R210" s="4">
        <v>11</v>
      </c>
      <c r="S210" s="4">
        <v>1</v>
      </c>
      <c r="T210" s="4">
        <v>12</v>
      </c>
      <c r="U210" s="4">
        <v>0</v>
      </c>
      <c r="V210" s="4">
        <v>20</v>
      </c>
      <c r="W210" s="4">
        <v>96</v>
      </c>
      <c r="X210" s="4">
        <v>0</v>
      </c>
      <c r="Y210" s="4">
        <v>1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>
        <v>607</v>
      </c>
      <c r="AF210" s="4">
        <v>704</v>
      </c>
      <c r="AG210" s="4">
        <v>146</v>
      </c>
      <c r="AH210" s="76">
        <f t="shared" si="1"/>
        <v>9187.7876712328762</v>
      </c>
      <c r="AI210" s="76">
        <f t="shared" si="2"/>
        <v>4.8219178082191778</v>
      </c>
      <c r="AJ210" s="78">
        <f>BV210</f>
        <v>36190</v>
      </c>
      <c r="AK210" s="76">
        <f t="shared" si="62"/>
        <v>260334.51612903224</v>
      </c>
      <c r="AL210" s="49">
        <v>67204</v>
      </c>
      <c r="AM210" s="80">
        <f t="shared" si="4"/>
        <v>0.24417352406375664</v>
      </c>
      <c r="AN210" s="76">
        <f t="shared" si="5"/>
        <v>111784.75</v>
      </c>
      <c r="AO210" s="102">
        <f t="shared" si="115"/>
        <v>0.16430879470847623</v>
      </c>
      <c r="AP210" s="82">
        <v>0</v>
      </c>
      <c r="AQ210" s="4">
        <v>30</v>
      </c>
      <c r="AR210" s="4">
        <v>1250</v>
      </c>
      <c r="AS210" s="4">
        <v>1830.62</v>
      </c>
      <c r="AT210" s="4">
        <v>1</v>
      </c>
      <c r="AU210" s="4">
        <v>38</v>
      </c>
      <c r="AV210" s="1">
        <v>12</v>
      </c>
      <c r="AW210" s="1">
        <v>36</v>
      </c>
      <c r="AX210" s="1">
        <v>0</v>
      </c>
      <c r="AY210" s="86" t="str">
        <f>IFERROR(VLOOKUP(C210,#REF!,13,0),"")</f>
        <v/>
      </c>
      <c r="AZ210" s="87">
        <v>46112</v>
      </c>
      <c r="BA210" s="1" t="str">
        <f t="shared" si="6"/>
        <v>LEFT</v>
      </c>
      <c r="BB210" s="1" t="e">
        <f t="shared" ca="1" si="7"/>
        <v>#NAME?</v>
      </c>
      <c r="BC210" s="1" t="e">
        <f t="shared" ca="1" si="123"/>
        <v>#NAME?</v>
      </c>
      <c r="BD210" s="134">
        <f t="shared" ref="BD210:BD211" si="125">(6/31)+1+1+1+1+1+1+1</f>
        <v>7.193548387096774</v>
      </c>
      <c r="BE210" s="88" t="str">
        <v/>
      </c>
      <c r="BF210" s="1">
        <f t="shared" si="9"/>
        <v>3</v>
      </c>
      <c r="BG210" s="1" t="s">
        <v>428</v>
      </c>
      <c r="BH210" s="89"/>
      <c r="BI210" s="89"/>
      <c r="BJ210" s="140">
        <f t="shared" ref="BJ210:BJ211" si="126">(31-25)/31</f>
        <v>0.19354838709677419</v>
      </c>
      <c r="BK210" s="91"/>
      <c r="BL210" s="91">
        <f t="shared" si="120"/>
        <v>0</v>
      </c>
      <c r="BM210" s="91">
        <f t="shared" si="11"/>
        <v>8164000</v>
      </c>
      <c r="BN210" s="91"/>
      <c r="BO210" s="92" t="str">
        <f ca="1">IFERROR(__xludf.DUMMYFUNCTION("IFERROR(ArrayFormula(SUM(VLOOKUP($C210,importrange(""1MwNMVzWE3QBVOyJjKr3eFX-Sq1Ng0Q1sghWJbgbE_8g"",""ORDER BOOKING REPORT 2024-25!C:CV""),{16,23,30},0))))"),"")</f>
        <v/>
      </c>
      <c r="BP210" s="92" t="str">
        <f ca="1">IFERROR(__xludf.DUMMYFUNCTION("IFERROR(ArrayFormula(SUM(VLOOKUP($C210,importrange(""1MwNMVzWE3QBVOyJjKr3eFX-Sq1Ng0Q1sghWJbgbE_8g"",""ORDER BOOKING REPORT 2024-25!C:CV""),{37,44,51},0))))"),"")</f>
        <v/>
      </c>
      <c r="BQ210" s="92" t="str">
        <f ca="1">IFERROR(__xludf.DUMMYFUNCTION("IFERROR(ArrayFormula(SUM(VLOOKUP($C210,importrange(""1MwNMVzWE3QBVOyJjKr3eFX-Sq1Ng0Q1sghWJbgbE_8g"",""ORDER BOOKING REPORT 2024-25!C:CV""),{58,65,72},0))))"),"")</f>
        <v/>
      </c>
      <c r="BR210" s="92" t="str">
        <f ca="1">IFERROR(__xludf.DUMMYFUNCTION("IFERROR(ArrayFormula(SUM(VLOOKUP($C210,importrange(""1MwNMVzWE3QBVOyJjKr3eFX-Sq1Ng0Q1sghWJbgbE_8g"",""ORDER BOOKING REPORT 2024-25!C:CV""),{79,86,93},0))))"),"")</f>
        <v/>
      </c>
      <c r="BS210" s="93" t="str">
        <f t="shared" si="12"/>
        <v/>
      </c>
      <c r="BT210" s="93" t="str">
        <f t="shared" si="13"/>
        <v/>
      </c>
      <c r="BU210" s="37">
        <f t="shared" si="14"/>
        <v>0</v>
      </c>
      <c r="BV210" s="94">
        <v>36190</v>
      </c>
      <c r="BW210" s="94"/>
      <c r="BX210" s="94"/>
      <c r="BY210" s="37">
        <f t="shared" si="15"/>
        <v>0</v>
      </c>
      <c r="BZ210" s="37"/>
      <c r="CA210" s="37"/>
      <c r="CB210" s="37"/>
      <c r="CC210" s="37"/>
      <c r="CD210" s="37"/>
      <c r="CE210" s="37"/>
      <c r="CF210" s="37"/>
      <c r="CG210" s="37" t="str">
        <f t="shared" si="18"/>
        <v>Below 60</v>
      </c>
      <c r="CH210" s="37" t="str">
        <f t="shared" si="26"/>
        <v>Not 50%</v>
      </c>
      <c r="CI210" s="93">
        <f t="shared" si="19"/>
        <v>0.25</v>
      </c>
      <c r="CJ210" s="105">
        <f ca="1">IFERROR(__xludf.DUMMYFUNCTION("""COMPUTED_VALUE"""),229)</f>
        <v>229</v>
      </c>
      <c r="CK210" s="105">
        <f ca="1">IFERROR(__xludf.DUMMYFUNCTION("""COMPUTED_VALUE"""),378)</f>
        <v>378</v>
      </c>
      <c r="CL210" s="105">
        <f ca="1">IFERROR(__xludf.DUMMYFUNCTION("""COMPUTED_VALUE"""),0)</f>
        <v>0</v>
      </c>
      <c r="CM210" s="96">
        <f t="shared" ca="1" si="20"/>
        <v>0</v>
      </c>
      <c r="CN210" s="106"/>
      <c r="CO210" s="93"/>
      <c r="CP210" s="107"/>
      <c r="CQ210" s="110"/>
      <c r="CR210" s="93"/>
      <c r="CS210" s="93"/>
      <c r="CT210" s="93"/>
      <c r="CU210" s="93"/>
      <c r="CV210" s="93"/>
      <c r="CW210" s="93"/>
      <c r="CX210" s="51"/>
      <c r="CY210" s="93"/>
      <c r="CZ210" s="93"/>
    </row>
    <row r="211" spans="1:104" ht="15.6">
      <c r="A211" s="1" t="s">
        <v>118</v>
      </c>
      <c r="B211" s="1" t="s">
        <v>362</v>
      </c>
      <c r="C211" s="1" t="s">
        <v>326</v>
      </c>
      <c r="D211" s="1" t="s">
        <v>419</v>
      </c>
      <c r="E211" s="1" t="s">
        <v>661</v>
      </c>
      <c r="F211" s="104">
        <v>45894</v>
      </c>
      <c r="G211" s="76">
        <v>0</v>
      </c>
      <c r="H211" s="76">
        <v>10500000</v>
      </c>
      <c r="I211" s="77">
        <v>1885263.77</v>
      </c>
      <c r="J211" s="77">
        <v>0</v>
      </c>
      <c r="K211" s="4">
        <v>91</v>
      </c>
      <c r="L211" s="4">
        <v>95</v>
      </c>
      <c r="M211" s="4">
        <v>4</v>
      </c>
      <c r="N211" s="4">
        <v>95</v>
      </c>
      <c r="O211" s="4">
        <v>0</v>
      </c>
      <c r="P211" s="77">
        <v>1505337.97</v>
      </c>
      <c r="Q211" s="77">
        <v>379925.8</v>
      </c>
      <c r="R211" s="4">
        <v>29</v>
      </c>
      <c r="S211" s="4">
        <v>1</v>
      </c>
      <c r="T211" s="4">
        <v>30</v>
      </c>
      <c r="U211" s="4">
        <v>0</v>
      </c>
      <c r="V211" s="4">
        <v>9</v>
      </c>
      <c r="W211" s="4">
        <v>30</v>
      </c>
      <c r="X211" s="4">
        <v>0</v>
      </c>
      <c r="Y211" s="4">
        <v>1</v>
      </c>
      <c r="Z211" s="4">
        <v>34</v>
      </c>
      <c r="AA211" s="4">
        <v>0</v>
      </c>
      <c r="AB211" s="4">
        <v>0</v>
      </c>
      <c r="AC211" s="4">
        <v>0</v>
      </c>
      <c r="AD211" s="4">
        <v>0</v>
      </c>
      <c r="AE211" s="4">
        <v>640</v>
      </c>
      <c r="AF211" s="4">
        <v>704</v>
      </c>
      <c r="AG211" s="4">
        <v>152</v>
      </c>
      <c r="AH211" s="76">
        <f t="shared" si="1"/>
        <v>12403.051118421054</v>
      </c>
      <c r="AI211" s="76">
        <f t="shared" si="2"/>
        <v>4.6315789473684212</v>
      </c>
      <c r="AJ211" s="112">
        <v>27260</v>
      </c>
      <c r="AK211" s="76">
        <f t="shared" si="62"/>
        <v>196096.12903225806</v>
      </c>
      <c r="AL211" s="79">
        <v>32350</v>
      </c>
      <c r="AM211" s="80">
        <f t="shared" si="4"/>
        <v>0.12117462429793474</v>
      </c>
      <c r="AN211" s="76">
        <f t="shared" si="5"/>
        <v>62842.125666666667</v>
      </c>
      <c r="AO211" s="102">
        <f t="shared" si="115"/>
        <v>0.17954893047619047</v>
      </c>
      <c r="AP211" s="82">
        <v>0</v>
      </c>
      <c r="AQ211" s="4">
        <v>46</v>
      </c>
      <c r="AR211" s="4">
        <v>1333</v>
      </c>
      <c r="AS211" s="4">
        <v>2269.0700000000002</v>
      </c>
      <c r="AT211" s="4">
        <v>1</v>
      </c>
      <c r="AU211" s="4">
        <v>24</v>
      </c>
      <c r="AV211" s="1">
        <v>30</v>
      </c>
      <c r="AW211" s="1">
        <v>65</v>
      </c>
      <c r="AX211" s="1">
        <v>0</v>
      </c>
      <c r="AY211" s="86" t="str">
        <f>IFERROR(VLOOKUP(C211,#REF!,13,0),"")</f>
        <v/>
      </c>
      <c r="AZ211" s="87"/>
      <c r="BA211" s="1" t="str">
        <f t="shared" si="6"/>
        <v>Active</v>
      </c>
      <c r="BB211" s="1" t="e">
        <f t="shared" ca="1" si="7"/>
        <v>#NAME?</v>
      </c>
      <c r="BC211" s="1" t="e">
        <f t="shared" ca="1" si="123"/>
        <v>#NAME?</v>
      </c>
      <c r="BD211" s="134">
        <f t="shared" si="125"/>
        <v>7.193548387096774</v>
      </c>
      <c r="BE211" s="88" t="str">
        <v/>
      </c>
      <c r="BF211" s="1">
        <f t="shared" si="9"/>
        <v>3</v>
      </c>
      <c r="BG211" s="1" t="s">
        <v>428</v>
      </c>
      <c r="BH211" s="89"/>
      <c r="BI211" s="89"/>
      <c r="BJ211" s="140">
        <f t="shared" si="126"/>
        <v>0.19354838709677419</v>
      </c>
      <c r="BK211" s="91"/>
      <c r="BL211" s="91">
        <f t="shared" si="120"/>
        <v>0</v>
      </c>
      <c r="BM211" s="91">
        <f t="shared" si="11"/>
        <v>10500000</v>
      </c>
      <c r="BN211" s="91"/>
      <c r="BO211" s="92" t="str">
        <f ca="1">IFERROR(__xludf.DUMMYFUNCTION("IFERROR(ArrayFormula(SUM(VLOOKUP($C211,importrange(""1MwNMVzWE3QBVOyJjKr3eFX-Sq1Ng0Q1sghWJbgbE_8g"",""ORDER BOOKING REPORT 2024-25!C:CV""),{16,23,30},0))))"),"")</f>
        <v/>
      </c>
      <c r="BP211" s="92" t="str">
        <f ca="1">IFERROR(__xludf.DUMMYFUNCTION("IFERROR(ArrayFormula(SUM(VLOOKUP($C211,importrange(""1MwNMVzWE3QBVOyJjKr3eFX-Sq1Ng0Q1sghWJbgbE_8g"",""ORDER BOOKING REPORT 2024-25!C:CV""),{37,44,51},0))))"),"")</f>
        <v/>
      </c>
      <c r="BQ211" s="92" t="str">
        <f ca="1">IFERROR(__xludf.DUMMYFUNCTION("IFERROR(ArrayFormula(SUM(VLOOKUP($C211,importrange(""1MwNMVzWE3QBVOyJjKr3eFX-Sq1Ng0Q1sghWJbgbE_8g"",""ORDER BOOKING REPORT 2024-25!C:CV""),{58,65,72},0))))"),"")</f>
        <v/>
      </c>
      <c r="BR211" s="92" t="str">
        <f ca="1">IFERROR(__xludf.DUMMYFUNCTION("IFERROR(ArrayFormula(SUM(VLOOKUP($C211,importrange(""1MwNMVzWE3QBVOyJjKr3eFX-Sq1Ng0Q1sghWJbgbE_8g"",""ORDER BOOKING REPORT 2024-25!C:CV""),{79,86,93},0))))"),"")</f>
        <v/>
      </c>
      <c r="BS211" s="93" t="str">
        <f t="shared" si="12"/>
        <v/>
      </c>
      <c r="BT211" s="93" t="str">
        <f t="shared" si="13"/>
        <v/>
      </c>
      <c r="BU211" s="37">
        <f t="shared" si="14"/>
        <v>0</v>
      </c>
      <c r="BV211" s="94"/>
      <c r="BW211" s="94"/>
      <c r="BX211" s="94"/>
      <c r="BY211" s="37">
        <f t="shared" si="15"/>
        <v>-27260</v>
      </c>
      <c r="BZ211" s="37"/>
      <c r="CA211" s="37"/>
      <c r="CB211" s="37"/>
      <c r="CC211" s="37"/>
      <c r="CD211" s="37"/>
      <c r="CE211" s="37"/>
      <c r="CF211" s="37"/>
      <c r="CG211" s="37" t="str">
        <f t="shared" si="18"/>
        <v xml:space="preserve"> </v>
      </c>
      <c r="CH211" s="37" t="str">
        <f t="shared" si="26"/>
        <v>Not 50%</v>
      </c>
      <c r="CI211" s="93">
        <f t="shared" si="19"/>
        <v>0.31578947368421051</v>
      </c>
      <c r="CJ211" s="95">
        <f ca="1">IFERROR(__xludf.DUMMYFUNCTION("""COMPUTED_VALUE"""),272)</f>
        <v>272</v>
      </c>
      <c r="CK211" s="95">
        <f ca="1">IFERROR(__xludf.DUMMYFUNCTION("""COMPUTED_VALUE"""),368)</f>
        <v>368</v>
      </c>
      <c r="CL211" s="95">
        <f ca="1">IFERROR(__xludf.DUMMYFUNCTION("""COMPUTED_VALUE"""),0)</f>
        <v>0</v>
      </c>
      <c r="CM211" s="96">
        <f t="shared" ca="1" si="20"/>
        <v>0</v>
      </c>
      <c r="CN211" s="103"/>
      <c r="CO211" s="4"/>
      <c r="CP211" s="100"/>
      <c r="CQ211" s="101"/>
      <c r="CR211" s="4"/>
      <c r="CS211" s="4"/>
      <c r="CT211" s="4"/>
      <c r="CU211" s="4"/>
      <c r="CV211" s="4"/>
      <c r="CW211" s="101"/>
      <c r="CX211" s="51"/>
      <c r="CY211" s="4"/>
      <c r="CZ211" s="4"/>
    </row>
    <row r="212" spans="1:104" ht="15.6">
      <c r="A212" s="1" t="s">
        <v>124</v>
      </c>
      <c r="B212" s="1" t="s">
        <v>443</v>
      </c>
      <c r="C212" s="1" t="s">
        <v>327</v>
      </c>
      <c r="D212" s="1" t="s">
        <v>517</v>
      </c>
      <c r="E212" s="1" t="s">
        <v>537</v>
      </c>
      <c r="F212" s="104">
        <v>45910</v>
      </c>
      <c r="G212" s="76">
        <v>0</v>
      </c>
      <c r="H212" s="49">
        <v>6000000</v>
      </c>
      <c r="I212" s="77">
        <v>2538296</v>
      </c>
      <c r="J212" s="77">
        <v>0</v>
      </c>
      <c r="K212" s="4">
        <v>3</v>
      </c>
      <c r="L212" s="4">
        <v>91</v>
      </c>
      <c r="M212" s="4">
        <v>89</v>
      </c>
      <c r="N212" s="4">
        <v>92</v>
      </c>
      <c r="O212" s="4">
        <v>1</v>
      </c>
      <c r="P212" s="77">
        <v>-0.01</v>
      </c>
      <c r="Q212" s="77">
        <v>2538296.0099999998</v>
      </c>
      <c r="R212" s="4">
        <v>0</v>
      </c>
      <c r="S212" s="4">
        <v>88</v>
      </c>
      <c r="T212" s="4">
        <v>88</v>
      </c>
      <c r="U212" s="4">
        <v>0</v>
      </c>
      <c r="V212" s="4">
        <v>190</v>
      </c>
      <c r="W212" s="4">
        <v>407</v>
      </c>
      <c r="X212" s="4">
        <v>0</v>
      </c>
      <c r="Y212" s="4">
        <v>5</v>
      </c>
      <c r="Z212" s="4">
        <v>32</v>
      </c>
      <c r="AA212" s="4">
        <v>0</v>
      </c>
      <c r="AB212" s="4">
        <v>0</v>
      </c>
      <c r="AC212" s="4">
        <v>4</v>
      </c>
      <c r="AD212" s="4">
        <v>28</v>
      </c>
      <c r="AE212" s="4">
        <v>571</v>
      </c>
      <c r="AF212" s="4">
        <v>1038</v>
      </c>
      <c r="AG212" s="4">
        <v>141</v>
      </c>
      <c r="AH212" s="76">
        <f t="shared" si="1"/>
        <v>18002.099290780141</v>
      </c>
      <c r="AI212" s="76">
        <f t="shared" si="2"/>
        <v>7.3617021276595747</v>
      </c>
      <c r="AJ212" s="112">
        <v>40885</v>
      </c>
      <c r="AK212" s="76">
        <f t="shared" si="62"/>
        <v>272566.66666666663</v>
      </c>
      <c r="AL212" s="79">
        <v>51058</v>
      </c>
      <c r="AM212" s="80">
        <f t="shared" si="4"/>
        <v>0.12749681938854515</v>
      </c>
      <c r="AN212" s="76">
        <f t="shared" si="5"/>
        <v>28844.272727272728</v>
      </c>
      <c r="AO212" s="102">
        <f t="shared" si="115"/>
        <v>0.42304933333333333</v>
      </c>
      <c r="AP212" s="82">
        <v>0</v>
      </c>
      <c r="AQ212" s="4">
        <v>201</v>
      </c>
      <c r="AR212" s="4">
        <v>1292</v>
      </c>
      <c r="AS212" s="4">
        <v>2109.17</v>
      </c>
      <c r="AT212" s="4">
        <v>88</v>
      </c>
      <c r="AU212" s="4">
        <v>23</v>
      </c>
      <c r="AV212" s="1">
        <v>88</v>
      </c>
      <c r="AW212" s="1">
        <v>4</v>
      </c>
      <c r="AX212" s="1">
        <v>0</v>
      </c>
      <c r="AY212" s="86" t="str">
        <f>IFERROR(VLOOKUP(C212,#REF!,13,0),"")</f>
        <v/>
      </c>
      <c r="AZ212" s="87">
        <v>46104</v>
      </c>
      <c r="BA212" s="1" t="str">
        <f t="shared" si="6"/>
        <v>LEFT</v>
      </c>
      <c r="BB212" s="1" t="e">
        <f t="shared" ca="1" si="7"/>
        <v>#NAME?</v>
      </c>
      <c r="BC212" s="1" t="e">
        <f t="shared" ca="1" si="123"/>
        <v>#NAME?</v>
      </c>
      <c r="BD212" s="134">
        <f>(30-10)/30+1+1+1+1+1+1</f>
        <v>6.6666666666666661</v>
      </c>
      <c r="BE212" s="88" t="str">
        <v/>
      </c>
      <c r="BF212" s="1">
        <f t="shared" si="9"/>
        <v>1</v>
      </c>
      <c r="BG212" s="1" t="s">
        <v>428</v>
      </c>
      <c r="BH212" s="89"/>
      <c r="BI212" s="89"/>
      <c r="BJ212" s="140">
        <f>20/30</f>
        <v>0.66666666666666663</v>
      </c>
      <c r="BK212" s="91"/>
      <c r="BL212" s="91">
        <f t="shared" si="120"/>
        <v>0</v>
      </c>
      <c r="BM212" s="91">
        <f t="shared" si="11"/>
        <v>6000000</v>
      </c>
      <c r="BN212" s="91"/>
      <c r="BO212" s="92" t="str">
        <f ca="1">IFERROR(__xludf.DUMMYFUNCTION("IFERROR(ArrayFormula(SUM(VLOOKUP($C212,importrange(""1MwNMVzWE3QBVOyJjKr3eFX-Sq1Ng0Q1sghWJbgbE_8g"",""ORDER BOOKING REPORT 2024-25!C:CV""),{16,23,30},0))))"),"")</f>
        <v/>
      </c>
      <c r="BP212" s="92" t="str">
        <f ca="1">IFERROR(__xludf.DUMMYFUNCTION("IFERROR(ArrayFormula(SUM(VLOOKUP($C212,importrange(""1MwNMVzWE3QBVOyJjKr3eFX-Sq1Ng0Q1sghWJbgbE_8g"",""ORDER BOOKING REPORT 2024-25!C:CV""),{37,44,51},0))))"),"")</f>
        <v/>
      </c>
      <c r="BQ212" s="92" t="str">
        <f ca="1">IFERROR(__xludf.DUMMYFUNCTION("IFERROR(ArrayFormula(SUM(VLOOKUP($C212,importrange(""1MwNMVzWE3QBVOyJjKr3eFX-Sq1Ng0Q1sghWJbgbE_8g"",""ORDER BOOKING REPORT 2024-25!C:CV""),{58,65,72},0))))"),"")</f>
        <v/>
      </c>
      <c r="BR212" s="92" t="str">
        <f ca="1">IFERROR(__xludf.DUMMYFUNCTION("IFERROR(ArrayFormula(SUM(VLOOKUP($C212,importrange(""1MwNMVzWE3QBVOyJjKr3eFX-Sq1Ng0Q1sghWJbgbE_8g"",""ORDER BOOKING REPORT 2024-25!C:CV""),{79,86,93},0))))"),"")</f>
        <v/>
      </c>
      <c r="BS212" s="93" t="str">
        <f t="shared" si="12"/>
        <v/>
      </c>
      <c r="BT212" s="93" t="str">
        <f t="shared" si="13"/>
        <v/>
      </c>
      <c r="BU212" s="37">
        <f t="shared" si="14"/>
        <v>0</v>
      </c>
      <c r="BV212" s="94">
        <v>40885</v>
      </c>
      <c r="BW212" s="94"/>
      <c r="BX212" s="94"/>
      <c r="BY212" s="37">
        <f t="shared" si="15"/>
        <v>0</v>
      </c>
      <c r="BZ212" s="37"/>
      <c r="CA212" s="37"/>
      <c r="CB212" s="37"/>
      <c r="CC212" s="37"/>
      <c r="CD212" s="37"/>
      <c r="CE212" s="37"/>
      <c r="CF212" s="37"/>
      <c r="CG212" s="37" t="str">
        <f t="shared" si="18"/>
        <v xml:space="preserve"> </v>
      </c>
      <c r="CH212" s="37" t="str">
        <f t="shared" si="26"/>
        <v>Business Achieved 50%</v>
      </c>
      <c r="CI212" s="93">
        <f t="shared" si="19"/>
        <v>0.95652173913043481</v>
      </c>
      <c r="CJ212" s="95">
        <f ca="1">IFERROR(__xludf.DUMMYFUNCTION("""COMPUTED_VALUE"""),564)</f>
        <v>564</v>
      </c>
      <c r="CK212" s="95">
        <f ca="1">IFERROR(__xludf.DUMMYFUNCTION("""COMPUTED_VALUE"""),7)</f>
        <v>7</v>
      </c>
      <c r="CL212" s="95">
        <f ca="1">IFERROR(__xludf.DUMMYFUNCTION("""COMPUTED_VALUE"""),0)</f>
        <v>0</v>
      </c>
      <c r="CM212" s="96">
        <f t="shared" ca="1" si="20"/>
        <v>0</v>
      </c>
      <c r="CN212" s="103"/>
      <c r="CO212" s="4"/>
      <c r="CP212" s="100"/>
      <c r="CQ212" s="101"/>
      <c r="CR212" s="4"/>
      <c r="CS212" s="4"/>
      <c r="CT212" s="4"/>
      <c r="CU212" s="4"/>
      <c r="CV212" s="4"/>
      <c r="CW212" s="101"/>
      <c r="CX212" s="51"/>
      <c r="CY212" s="4"/>
      <c r="CZ212" s="4"/>
    </row>
    <row r="213" spans="1:104" ht="15.6">
      <c r="A213" s="114" t="s">
        <v>120</v>
      </c>
      <c r="B213" s="114" t="s">
        <v>206</v>
      </c>
      <c r="C213" s="114" t="s">
        <v>328</v>
      </c>
      <c r="D213" s="1" t="s">
        <v>206</v>
      </c>
      <c r="E213" s="1" t="s">
        <v>659</v>
      </c>
      <c r="F213" s="104">
        <v>45917</v>
      </c>
      <c r="G213" s="86">
        <v>0</v>
      </c>
      <c r="H213" s="76">
        <v>6520000</v>
      </c>
      <c r="I213" s="77">
        <v>219410.09</v>
      </c>
      <c r="J213" s="77">
        <v>0</v>
      </c>
      <c r="K213" s="4">
        <v>29</v>
      </c>
      <c r="L213" s="4">
        <v>42</v>
      </c>
      <c r="M213" s="4">
        <v>13</v>
      </c>
      <c r="N213" s="4">
        <v>42</v>
      </c>
      <c r="O213" s="4">
        <v>0</v>
      </c>
      <c r="P213" s="77">
        <v>51675.86</v>
      </c>
      <c r="Q213" s="77">
        <v>167734.23000000001</v>
      </c>
      <c r="R213" s="4">
        <v>5</v>
      </c>
      <c r="S213" s="4">
        <v>13</v>
      </c>
      <c r="T213" s="4">
        <v>18</v>
      </c>
      <c r="U213" s="4">
        <v>0</v>
      </c>
      <c r="V213" s="4">
        <v>170</v>
      </c>
      <c r="W213" s="4">
        <v>577</v>
      </c>
      <c r="X213" s="4">
        <v>0</v>
      </c>
      <c r="Y213" s="4">
        <v>2</v>
      </c>
      <c r="Z213" s="4">
        <v>46</v>
      </c>
      <c r="AA213" s="4">
        <v>2</v>
      </c>
      <c r="AB213" s="4">
        <v>4</v>
      </c>
      <c r="AC213" s="4">
        <v>2</v>
      </c>
      <c r="AD213" s="4">
        <v>33</v>
      </c>
      <c r="AE213" s="4">
        <v>185</v>
      </c>
      <c r="AF213" s="4">
        <v>845</v>
      </c>
      <c r="AG213" s="4">
        <v>123</v>
      </c>
      <c r="AH213" s="76">
        <f t="shared" si="1"/>
        <v>1783.8218699186991</v>
      </c>
      <c r="AI213" s="76">
        <f t="shared" si="2"/>
        <v>6.8699186991869921</v>
      </c>
      <c r="AJ213" s="112">
        <v>32500</v>
      </c>
      <c r="AK213" s="76">
        <f t="shared" si="62"/>
        <v>176583.33333333334</v>
      </c>
      <c r="AL213" s="49">
        <v>38927</v>
      </c>
      <c r="AM213" s="80">
        <f t="shared" si="4"/>
        <v>0.98222617443588556</v>
      </c>
      <c r="AN213" s="76">
        <f t="shared" si="5"/>
        <v>12189.449444444444</v>
      </c>
      <c r="AO213" s="102">
        <f t="shared" si="115"/>
        <v>3.3651854294478527E-2</v>
      </c>
      <c r="AP213" s="82">
        <v>0</v>
      </c>
      <c r="AQ213" s="4">
        <v>24</v>
      </c>
      <c r="AR213" s="4">
        <v>1078</v>
      </c>
      <c r="AS213" s="4">
        <v>567.99</v>
      </c>
      <c r="AT213" s="4">
        <v>13</v>
      </c>
      <c r="AU213" s="4">
        <v>14</v>
      </c>
      <c r="AV213" s="1">
        <v>18</v>
      </c>
      <c r="AW213" s="1">
        <v>24</v>
      </c>
      <c r="AX213" s="1">
        <v>0</v>
      </c>
      <c r="AY213" s="86" t="str">
        <f>IFERROR(VLOOKUP(C213,#REF!,13,0),"")</f>
        <v/>
      </c>
      <c r="AZ213" s="87">
        <v>46081</v>
      </c>
      <c r="BA213" s="1" t="str">
        <f t="shared" si="6"/>
        <v>LEFT</v>
      </c>
      <c r="BB213" s="1" t="e">
        <f t="shared" ca="1" si="7"/>
        <v>#NAME?</v>
      </c>
      <c r="BC213" s="1" t="e">
        <f t="shared" ca="1" si="123"/>
        <v>#NAME?</v>
      </c>
      <c r="BD213" s="134">
        <f>(30-17)/30+1+1+1+1+1</f>
        <v>5.4333333333333336</v>
      </c>
      <c r="BE213" s="91" t="str">
        <v/>
      </c>
      <c r="BF213" s="1"/>
      <c r="BG213" s="1" t="s">
        <v>428</v>
      </c>
      <c r="BH213" s="89"/>
      <c r="BI213" s="89"/>
      <c r="BJ213" s="140">
        <f>13/30</f>
        <v>0.43333333333333335</v>
      </c>
      <c r="BK213" s="91"/>
      <c r="BL213" s="91">
        <f t="shared" si="120"/>
        <v>0</v>
      </c>
      <c r="BM213" s="91">
        <f t="shared" si="11"/>
        <v>6520000</v>
      </c>
      <c r="BN213" s="91"/>
      <c r="BO213" s="92" t="str">
        <f ca="1">IFERROR(__xludf.DUMMYFUNCTION("IFERROR(ArrayFormula(SUM(VLOOKUP($C213,importrange(""1MwNMVzWE3QBVOyJjKr3eFX-Sq1Ng0Q1sghWJbgbE_8g"",""ORDER BOOKING REPORT 2024-25!C:CV""),{16,23,30},0))))"),"")</f>
        <v/>
      </c>
      <c r="BP213" s="92" t="str">
        <f ca="1">IFERROR(__xludf.DUMMYFUNCTION("IFERROR(ArrayFormula(SUM(VLOOKUP($C213,importrange(""1MwNMVzWE3QBVOyJjKr3eFX-Sq1Ng0Q1sghWJbgbE_8g"",""ORDER BOOKING REPORT 2024-25!C:CV""),{37,44,51},0))))"),"")</f>
        <v/>
      </c>
      <c r="BQ213" s="92" t="str">
        <f ca="1">IFERROR(__xludf.DUMMYFUNCTION("IFERROR(ArrayFormula(SUM(VLOOKUP($C213,importrange(""1MwNMVzWE3QBVOyJjKr3eFX-Sq1Ng0Q1sghWJbgbE_8g"",""ORDER BOOKING REPORT 2024-25!C:CV""),{58,65,72},0))))"),"")</f>
        <v/>
      </c>
      <c r="BR213" s="92" t="str">
        <f ca="1">IFERROR(__xludf.DUMMYFUNCTION("IFERROR(ArrayFormula(SUM(VLOOKUP($C213,importrange(""1MwNMVzWE3QBVOyJjKr3eFX-Sq1Ng0Q1sghWJbgbE_8g"",""ORDER BOOKING REPORT 2024-25!C:CV""),{79,86,93},0))))"),"")</f>
        <v/>
      </c>
      <c r="BS213" s="93" t="str">
        <f t="shared" si="12"/>
        <v/>
      </c>
      <c r="BT213" s="93" t="str">
        <f t="shared" si="13"/>
        <v/>
      </c>
      <c r="BU213" s="37">
        <f t="shared" si="14"/>
        <v>0</v>
      </c>
      <c r="BV213" s="94">
        <v>32500</v>
      </c>
      <c r="BW213" s="94"/>
      <c r="BX213" s="94"/>
      <c r="BY213" s="37">
        <f t="shared" si="15"/>
        <v>0</v>
      </c>
      <c r="BZ213" s="37"/>
      <c r="CA213" s="37"/>
      <c r="CB213" s="37"/>
      <c r="CC213" s="37"/>
      <c r="CD213" s="37"/>
      <c r="CE213" s="37"/>
      <c r="CF213" s="37"/>
      <c r="CG213" s="37" t="str">
        <f t="shared" si="18"/>
        <v>Below 60</v>
      </c>
      <c r="CH213" s="37" t="str">
        <f t="shared" si="26"/>
        <v>Not 50%</v>
      </c>
      <c r="CI213" s="93">
        <f t="shared" si="19"/>
        <v>0.42857142857142855</v>
      </c>
      <c r="CJ213" s="105">
        <f ca="1">IFERROR(__xludf.DUMMYFUNCTION("""COMPUTED_VALUE"""),97)</f>
        <v>97</v>
      </c>
      <c r="CK213" s="105">
        <f ca="1">IFERROR(__xludf.DUMMYFUNCTION("""COMPUTED_VALUE"""),88)</f>
        <v>88</v>
      </c>
      <c r="CL213" s="105">
        <f ca="1">IFERROR(__xludf.DUMMYFUNCTION("""COMPUTED_VALUE"""),0)</f>
        <v>0</v>
      </c>
      <c r="CM213" s="96">
        <f t="shared" ca="1" si="20"/>
        <v>0</v>
      </c>
      <c r="CN213" s="106"/>
      <c r="CO213" s="93"/>
      <c r="CP213" s="107"/>
      <c r="CQ213" s="110"/>
      <c r="CR213" s="93"/>
      <c r="CS213" s="93"/>
      <c r="CT213" s="93"/>
      <c r="CU213" s="93"/>
      <c r="CV213" s="93"/>
      <c r="CW213" s="93"/>
      <c r="CX213" s="51"/>
      <c r="CY213" s="93"/>
      <c r="CZ213" s="93"/>
    </row>
    <row r="214" spans="1:104" ht="15.6">
      <c r="A214" s="1" t="s">
        <v>154</v>
      </c>
      <c r="B214" s="1" t="s">
        <v>370</v>
      </c>
      <c r="C214" s="1" t="s">
        <v>329</v>
      </c>
      <c r="D214" s="1" t="s">
        <v>542</v>
      </c>
      <c r="E214" s="1" t="s">
        <v>662</v>
      </c>
      <c r="F214" s="104">
        <v>45922</v>
      </c>
      <c r="G214" s="86">
        <v>0</v>
      </c>
      <c r="H214" s="76">
        <v>4355555</v>
      </c>
      <c r="I214" s="77">
        <v>357731.03</v>
      </c>
      <c r="J214" s="77">
        <v>0</v>
      </c>
      <c r="K214" s="4">
        <v>14</v>
      </c>
      <c r="L214" s="4">
        <v>18</v>
      </c>
      <c r="M214" s="4">
        <v>4</v>
      </c>
      <c r="N214" s="4">
        <v>18</v>
      </c>
      <c r="O214" s="4">
        <v>0</v>
      </c>
      <c r="P214" s="77">
        <v>0</v>
      </c>
      <c r="Q214" s="77">
        <v>357731.03</v>
      </c>
      <c r="R214" s="4">
        <v>0</v>
      </c>
      <c r="S214" s="4">
        <v>2</v>
      </c>
      <c r="T214" s="4">
        <v>2</v>
      </c>
      <c r="U214" s="4">
        <v>0</v>
      </c>
      <c r="V214" s="4">
        <v>177</v>
      </c>
      <c r="W214" s="4">
        <v>350</v>
      </c>
      <c r="X214" s="4">
        <v>3</v>
      </c>
      <c r="Y214" s="4">
        <v>9</v>
      </c>
      <c r="Z214" s="4">
        <v>16</v>
      </c>
      <c r="AA214" s="4">
        <v>0</v>
      </c>
      <c r="AB214" s="4">
        <v>0</v>
      </c>
      <c r="AC214" s="4">
        <v>13</v>
      </c>
      <c r="AD214" s="4">
        <v>32</v>
      </c>
      <c r="AE214" s="4">
        <v>63</v>
      </c>
      <c r="AF214" s="4">
        <v>461</v>
      </c>
      <c r="AG214" s="4">
        <v>116</v>
      </c>
      <c r="AH214" s="76">
        <f t="shared" si="1"/>
        <v>3083.8881896551725</v>
      </c>
      <c r="AI214" s="76">
        <f t="shared" si="2"/>
        <v>3.9741379310344827</v>
      </c>
      <c r="AJ214" s="112">
        <v>41430</v>
      </c>
      <c r="AK214" s="76">
        <f t="shared" si="62"/>
        <v>218198</v>
      </c>
      <c r="AL214" s="49">
        <v>134566</v>
      </c>
      <c r="AM214" s="80">
        <f t="shared" si="4"/>
        <v>0.98611518268348142</v>
      </c>
      <c r="AN214" s="76">
        <f t="shared" si="5"/>
        <v>178865.51500000001</v>
      </c>
      <c r="AO214" s="102">
        <f t="shared" si="115"/>
        <v>8.2132134710731469E-2</v>
      </c>
      <c r="AP214" s="82">
        <v>0</v>
      </c>
      <c r="AQ214" s="4">
        <v>3</v>
      </c>
      <c r="AR214" s="4">
        <v>989</v>
      </c>
      <c r="AS214" s="4">
        <v>702.55</v>
      </c>
      <c r="AT214" s="4">
        <v>2</v>
      </c>
      <c r="AU214" s="4">
        <v>39</v>
      </c>
      <c r="AV214" s="1">
        <v>2</v>
      </c>
      <c r="AW214" s="1">
        <v>16</v>
      </c>
      <c r="AX214" s="1">
        <v>0</v>
      </c>
      <c r="AY214" s="86" t="str">
        <f>IFERROR(VLOOKUP(C214,#REF!,13,0),"")</f>
        <v/>
      </c>
      <c r="AZ214" s="87">
        <v>46077</v>
      </c>
      <c r="BA214" s="1" t="str">
        <f t="shared" si="6"/>
        <v>LEFT</v>
      </c>
      <c r="BB214" s="1" t="e">
        <f t="shared" ca="1" si="7"/>
        <v>#NAME?</v>
      </c>
      <c r="BC214" s="1" t="e">
        <f t="shared" ca="1" si="123"/>
        <v>#NAME?</v>
      </c>
      <c r="BD214" s="134">
        <f>(30-22)/30+1+1+1+1+1</f>
        <v>5.2666666666666666</v>
      </c>
      <c r="BE214" s="88" t="str">
        <v/>
      </c>
      <c r="BF214" s="1"/>
      <c r="BG214" s="1" t="s">
        <v>428</v>
      </c>
      <c r="BH214" s="89"/>
      <c r="BI214" s="89"/>
      <c r="BJ214" s="140">
        <f>8/30</f>
        <v>0.26666666666666666</v>
      </c>
      <c r="BK214" s="91"/>
      <c r="BL214" s="91">
        <f t="shared" si="120"/>
        <v>0</v>
      </c>
      <c r="BM214" s="91">
        <f t="shared" si="11"/>
        <v>4355555</v>
      </c>
      <c r="BN214" s="91"/>
      <c r="BO214" s="92" t="str">
        <f ca="1">IFERROR(__xludf.DUMMYFUNCTION("IFERROR(ArrayFormula(SUM(VLOOKUP($C214,importrange(""1MwNMVzWE3QBVOyJjKr3eFX-Sq1Ng0Q1sghWJbgbE_8g"",""ORDER BOOKING REPORT 2024-25!C:CV""),{16,23,30},0))))"),"")</f>
        <v/>
      </c>
      <c r="BP214" s="92" t="str">
        <f ca="1">IFERROR(__xludf.DUMMYFUNCTION("IFERROR(ArrayFormula(SUM(VLOOKUP($C214,importrange(""1MwNMVzWE3QBVOyJjKr3eFX-Sq1Ng0Q1sghWJbgbE_8g"",""ORDER BOOKING REPORT 2024-25!C:CV""),{37,44,51},0))))"),"")</f>
        <v/>
      </c>
      <c r="BQ214" s="92" t="str">
        <f ca="1">IFERROR(__xludf.DUMMYFUNCTION("IFERROR(ArrayFormula(SUM(VLOOKUP($C214,importrange(""1MwNMVzWE3QBVOyJjKr3eFX-Sq1Ng0Q1sghWJbgbE_8g"",""ORDER BOOKING REPORT 2024-25!C:CV""),{58,65,72},0))))"),"")</f>
        <v/>
      </c>
      <c r="BR214" s="92" t="str">
        <f ca="1">IFERROR(__xludf.DUMMYFUNCTION("IFERROR(ArrayFormula(SUM(VLOOKUP($C214,importrange(""1MwNMVzWE3QBVOyJjKr3eFX-Sq1Ng0Q1sghWJbgbE_8g"",""ORDER BOOKING REPORT 2024-25!C:CV""),{79,86,93},0))))"),"")</f>
        <v/>
      </c>
      <c r="BS214" s="93" t="str">
        <f t="shared" si="12"/>
        <v/>
      </c>
      <c r="BT214" s="93" t="str">
        <f t="shared" si="13"/>
        <v/>
      </c>
      <c r="BU214" s="37">
        <f t="shared" si="14"/>
        <v>0</v>
      </c>
      <c r="BV214" s="94">
        <v>41430</v>
      </c>
      <c r="BW214" s="94"/>
      <c r="BX214" s="94"/>
      <c r="BY214" s="37">
        <f t="shared" si="15"/>
        <v>0</v>
      </c>
      <c r="BZ214" s="37"/>
      <c r="CA214" s="37"/>
      <c r="CB214" s="37"/>
      <c r="CC214" s="37"/>
      <c r="CD214" s="37"/>
      <c r="CE214" s="37"/>
      <c r="CF214" s="37"/>
      <c r="CG214" s="37" t="str">
        <f t="shared" si="18"/>
        <v>Below 60</v>
      </c>
      <c r="CH214" s="37" t="str">
        <f t="shared" si="26"/>
        <v>Not 50%</v>
      </c>
      <c r="CI214" s="93">
        <f t="shared" si="19"/>
        <v>0.1111111111111111</v>
      </c>
      <c r="CJ214" s="105">
        <f ca="1">IFERROR(__xludf.DUMMYFUNCTION("""COMPUTED_VALUE"""),23)</f>
        <v>23</v>
      </c>
      <c r="CK214" s="105">
        <f ca="1">IFERROR(__xludf.DUMMYFUNCTION("""COMPUTED_VALUE"""),40)</f>
        <v>40</v>
      </c>
      <c r="CL214" s="105">
        <f ca="1">IFERROR(__xludf.DUMMYFUNCTION("""COMPUTED_VALUE"""),0)</f>
        <v>0</v>
      </c>
      <c r="CM214" s="96">
        <f t="shared" ca="1" si="20"/>
        <v>0</v>
      </c>
      <c r="CN214" s="106"/>
      <c r="CO214" s="93"/>
      <c r="CP214" s="107"/>
      <c r="CQ214" s="110"/>
      <c r="CR214" s="93"/>
      <c r="CS214" s="93"/>
      <c r="CT214" s="93"/>
      <c r="CU214" s="93"/>
      <c r="CV214" s="93"/>
      <c r="CW214" s="93"/>
      <c r="CX214" s="51"/>
      <c r="CY214" s="93"/>
      <c r="CZ214" s="93"/>
    </row>
    <row r="215" spans="1:104" ht="15.6">
      <c r="A215" s="1" t="s">
        <v>124</v>
      </c>
      <c r="B215" s="1" t="s">
        <v>443</v>
      </c>
      <c r="C215" s="1" t="s">
        <v>330</v>
      </c>
      <c r="D215" s="1" t="s">
        <v>517</v>
      </c>
      <c r="E215" s="1" t="s">
        <v>663</v>
      </c>
      <c r="F215" s="104">
        <v>45936</v>
      </c>
      <c r="G215" s="76">
        <v>0</v>
      </c>
      <c r="H215" s="76">
        <v>3600000</v>
      </c>
      <c r="I215" s="77">
        <v>431144.24</v>
      </c>
      <c r="J215" s="77">
        <v>0</v>
      </c>
      <c r="K215" s="4">
        <v>17</v>
      </c>
      <c r="L215" s="4">
        <v>41</v>
      </c>
      <c r="M215" s="4">
        <v>26</v>
      </c>
      <c r="N215" s="4">
        <v>43</v>
      </c>
      <c r="O215" s="4">
        <v>2</v>
      </c>
      <c r="P215" s="77">
        <v>57588.5</v>
      </c>
      <c r="Q215" s="77">
        <v>373555.74</v>
      </c>
      <c r="R215" s="4">
        <v>5</v>
      </c>
      <c r="S215" s="4">
        <v>26</v>
      </c>
      <c r="T215" s="4">
        <v>31</v>
      </c>
      <c r="U215" s="4">
        <v>0</v>
      </c>
      <c r="V215" s="4">
        <v>137</v>
      </c>
      <c r="W215" s="4">
        <v>440</v>
      </c>
      <c r="X215" s="4">
        <v>3</v>
      </c>
      <c r="Y215" s="4">
        <v>2</v>
      </c>
      <c r="Z215" s="4">
        <v>26</v>
      </c>
      <c r="AA215" s="4">
        <v>1</v>
      </c>
      <c r="AB215" s="4">
        <v>4</v>
      </c>
      <c r="AC215" s="4">
        <v>1</v>
      </c>
      <c r="AD215" s="4">
        <v>1</v>
      </c>
      <c r="AE215" s="4">
        <v>252</v>
      </c>
      <c r="AF215" s="4">
        <v>723</v>
      </c>
      <c r="AG215" s="4">
        <v>136</v>
      </c>
      <c r="AH215" s="76">
        <f t="shared" si="1"/>
        <v>3170.1782352941177</v>
      </c>
      <c r="AI215" s="76">
        <f t="shared" si="2"/>
        <v>5.3161764705882355</v>
      </c>
      <c r="AJ215" s="112">
        <v>34100</v>
      </c>
      <c r="AK215" s="76">
        <f t="shared" si="62"/>
        <v>198000</v>
      </c>
      <c r="AL215" s="79">
        <v>32515</v>
      </c>
      <c r="AM215" s="80">
        <f t="shared" si="4"/>
        <v>0.53465865623068509</v>
      </c>
      <c r="AN215" s="76">
        <f t="shared" si="5"/>
        <v>13907.878709677419</v>
      </c>
      <c r="AO215" s="102">
        <f t="shared" si="115"/>
        <v>0.11976228888888889</v>
      </c>
      <c r="AP215" s="82">
        <v>0</v>
      </c>
      <c r="AQ215" s="4">
        <v>43</v>
      </c>
      <c r="AR215" s="4">
        <v>1103</v>
      </c>
      <c r="AS215" s="4">
        <v>1947.71</v>
      </c>
      <c r="AT215" s="4">
        <v>26</v>
      </c>
      <c r="AU215" s="4">
        <v>48</v>
      </c>
      <c r="AV215" s="1">
        <v>31</v>
      </c>
      <c r="AW215" s="1">
        <v>10</v>
      </c>
      <c r="AX215" s="1">
        <v>2</v>
      </c>
      <c r="AY215" s="86" t="str">
        <f>IFERROR(VLOOKUP(C215,#REF!,13,0),"")</f>
        <v/>
      </c>
      <c r="AZ215" s="87"/>
      <c r="BA215" s="1" t="str">
        <f t="shared" si="6"/>
        <v>Active</v>
      </c>
      <c r="BB215" s="1" t="e">
        <f t="shared" ca="1" si="7"/>
        <v>#NAME?</v>
      </c>
      <c r="BC215" s="1" t="e">
        <f t="shared" ca="1" si="123"/>
        <v>#NAME?</v>
      </c>
      <c r="BD215" s="134">
        <f>(31-6)/31+1+1+1+1+1</f>
        <v>5.806451612903226</v>
      </c>
      <c r="BE215" s="88" t="str">
        <v/>
      </c>
      <c r="BF215" s="1">
        <f>25/31</f>
        <v>0.80645161290322576</v>
      </c>
      <c r="BG215" s="1" t="s">
        <v>428</v>
      </c>
      <c r="BH215" s="89"/>
      <c r="BI215" s="89"/>
      <c r="BJ215" s="140"/>
      <c r="BK215" s="91"/>
      <c r="BL215" s="91">
        <f t="shared" si="120"/>
        <v>0</v>
      </c>
      <c r="BM215" s="91">
        <f t="shared" si="11"/>
        <v>3600000</v>
      </c>
      <c r="BN215" s="91"/>
      <c r="BO215" s="92" t="str">
        <f ca="1">IFERROR(__xludf.DUMMYFUNCTION("IFERROR(ArrayFormula(SUM(VLOOKUP($C215,importrange(""1MwNMVzWE3QBVOyJjKr3eFX-Sq1Ng0Q1sghWJbgbE_8g"",""ORDER BOOKING REPORT 2024-25!C:CV""),{16,23,30},0))))"),"")</f>
        <v/>
      </c>
      <c r="BP215" s="92" t="str">
        <f ca="1">IFERROR(__xludf.DUMMYFUNCTION("IFERROR(ArrayFormula(SUM(VLOOKUP($C215,importrange(""1MwNMVzWE3QBVOyJjKr3eFX-Sq1Ng0Q1sghWJbgbE_8g"",""ORDER BOOKING REPORT 2024-25!C:CV""),{37,44,51},0))))"),"")</f>
        <v/>
      </c>
      <c r="BQ215" s="92" t="str">
        <f ca="1">IFERROR(__xludf.DUMMYFUNCTION("IFERROR(ArrayFormula(SUM(VLOOKUP($C215,importrange(""1MwNMVzWE3QBVOyJjKr3eFX-Sq1Ng0Q1sghWJbgbE_8g"",""ORDER BOOKING REPORT 2024-25!C:CV""),{58,65,72},0))))"),"")</f>
        <v/>
      </c>
      <c r="BR215" s="92" t="str">
        <f ca="1">IFERROR(__xludf.DUMMYFUNCTION("IFERROR(ArrayFormula(SUM(VLOOKUP($C215,importrange(""1MwNMVzWE3QBVOyJjKr3eFX-Sq1Ng0Q1sghWJbgbE_8g"",""ORDER BOOKING REPORT 2024-25!C:CV""),{79,86,93},0))))"),"")</f>
        <v/>
      </c>
      <c r="BS215" s="93" t="str">
        <f t="shared" si="12"/>
        <v/>
      </c>
      <c r="BT215" s="93" t="str">
        <f t="shared" si="13"/>
        <v/>
      </c>
      <c r="BU215" s="37">
        <f t="shared" si="14"/>
        <v>0</v>
      </c>
      <c r="BV215" s="94"/>
      <c r="BW215" s="94"/>
      <c r="BX215" s="94"/>
      <c r="BY215" s="37">
        <f t="shared" si="15"/>
        <v>-34100</v>
      </c>
      <c r="BZ215" s="37"/>
      <c r="CA215" s="37"/>
      <c r="CB215" s="37"/>
      <c r="CC215" s="37"/>
      <c r="CD215" s="37"/>
      <c r="CE215" s="37"/>
      <c r="CF215" s="37"/>
      <c r="CG215" s="37" t="str">
        <f t="shared" si="18"/>
        <v>Below 60</v>
      </c>
      <c r="CH215" s="37" t="str">
        <f t="shared" si="26"/>
        <v>Business Achieved 50%</v>
      </c>
      <c r="CI215" s="93">
        <f t="shared" si="19"/>
        <v>0.72093023255813948</v>
      </c>
      <c r="CJ215" s="95">
        <f ca="1">IFERROR(__xludf.DUMMYFUNCTION("""COMPUTED_VALUE"""),190)</f>
        <v>190</v>
      </c>
      <c r="CK215" s="95">
        <f ca="1">IFERROR(__xludf.DUMMYFUNCTION("""COMPUTED_VALUE"""),62)</f>
        <v>62</v>
      </c>
      <c r="CL215" s="95">
        <f ca="1">IFERROR(__xludf.DUMMYFUNCTION("""COMPUTED_VALUE"""),0)</f>
        <v>0</v>
      </c>
      <c r="CM215" s="96">
        <f t="shared" ca="1" si="20"/>
        <v>0</v>
      </c>
      <c r="CN215" s="103"/>
      <c r="CO215" s="4"/>
      <c r="CP215" s="100"/>
      <c r="CQ215" s="101"/>
      <c r="CR215" s="4"/>
      <c r="CS215" s="4"/>
      <c r="CT215" s="4"/>
      <c r="CU215" s="4"/>
      <c r="CV215" s="4"/>
      <c r="CW215" s="101"/>
      <c r="CX215" s="51"/>
      <c r="CY215" s="4"/>
      <c r="CZ215" s="4"/>
    </row>
    <row r="216" spans="1:104" ht="15.6">
      <c r="A216" s="1" t="s">
        <v>108</v>
      </c>
      <c r="B216" s="1" t="s">
        <v>465</v>
      </c>
      <c r="C216" s="1" t="s">
        <v>331</v>
      </c>
      <c r="D216" s="1" t="s">
        <v>506</v>
      </c>
      <c r="E216" s="1" t="s">
        <v>489</v>
      </c>
      <c r="F216" s="104">
        <v>45933</v>
      </c>
      <c r="G216" s="86">
        <v>0</v>
      </c>
      <c r="H216" s="76">
        <v>7500000</v>
      </c>
      <c r="I216" s="77">
        <v>3681893.4</v>
      </c>
      <c r="J216" s="77">
        <v>0</v>
      </c>
      <c r="K216" s="4">
        <v>46</v>
      </c>
      <c r="L216" s="4">
        <v>68</v>
      </c>
      <c r="M216" s="4">
        <v>23</v>
      </c>
      <c r="N216" s="4">
        <v>69</v>
      </c>
      <c r="O216" s="4">
        <v>1</v>
      </c>
      <c r="P216" s="77">
        <v>2836935.6</v>
      </c>
      <c r="Q216" s="77">
        <v>844957.8</v>
      </c>
      <c r="R216" s="4">
        <v>34</v>
      </c>
      <c r="S216" s="4">
        <v>21</v>
      </c>
      <c r="T216" s="4">
        <v>55</v>
      </c>
      <c r="U216" s="4">
        <v>0</v>
      </c>
      <c r="V216" s="4">
        <v>13</v>
      </c>
      <c r="W216" s="4">
        <v>58</v>
      </c>
      <c r="X216" s="4">
        <v>0</v>
      </c>
      <c r="Y216" s="4">
        <v>1</v>
      </c>
      <c r="Z216" s="4">
        <v>22</v>
      </c>
      <c r="AA216" s="4">
        <v>0</v>
      </c>
      <c r="AB216" s="4">
        <v>0</v>
      </c>
      <c r="AC216" s="4">
        <v>0</v>
      </c>
      <c r="AD216" s="4">
        <v>0</v>
      </c>
      <c r="AE216" s="4">
        <v>1011</v>
      </c>
      <c r="AF216" s="4">
        <v>1091</v>
      </c>
      <c r="AG216" s="4">
        <v>145</v>
      </c>
      <c r="AH216" s="76">
        <f t="shared" si="1"/>
        <v>25392.368275862067</v>
      </c>
      <c r="AI216" s="76">
        <f t="shared" si="2"/>
        <v>7.5241379310344829</v>
      </c>
      <c r="AJ216" s="112">
        <v>27000</v>
      </c>
      <c r="AK216" s="76">
        <f t="shared" si="62"/>
        <v>159387.09677419355</v>
      </c>
      <c r="AL216" s="49">
        <v>76514</v>
      </c>
      <c r="AM216" s="80">
        <f t="shared" si="4"/>
        <v>6.4070593889055436E-2</v>
      </c>
      <c r="AN216" s="76">
        <f t="shared" si="5"/>
        <v>66943.516363636358</v>
      </c>
      <c r="AO216" s="102">
        <f t="shared" si="115"/>
        <v>0.49091911999999999</v>
      </c>
      <c r="AP216" s="82">
        <v>0</v>
      </c>
      <c r="AQ216" s="4">
        <v>171</v>
      </c>
      <c r="AR216" s="4">
        <v>1453</v>
      </c>
      <c r="AS216" s="4">
        <v>2581.89</v>
      </c>
      <c r="AT216" s="4">
        <v>21</v>
      </c>
      <c r="AU216" s="4">
        <v>38</v>
      </c>
      <c r="AV216" s="1">
        <v>55</v>
      </c>
      <c r="AW216" s="1">
        <v>13</v>
      </c>
      <c r="AX216" s="1">
        <v>1</v>
      </c>
      <c r="AY216" s="86" t="str">
        <f>IFERROR(VLOOKUP(C216,#REF!,13,0),"")</f>
        <v/>
      </c>
      <c r="AZ216" s="87"/>
      <c r="BA216" s="1" t="str">
        <f t="shared" si="6"/>
        <v>Active</v>
      </c>
      <c r="BB216" s="1" t="e">
        <f t="shared" ca="1" si="7"/>
        <v>#NAME?</v>
      </c>
      <c r="BC216" s="1" t="e">
        <f t="shared" ca="1" si="123"/>
        <v>#NAME?</v>
      </c>
      <c r="BD216" s="134">
        <f>(31-3)/31+1+1+1+1+1</f>
        <v>5.903225806451613</v>
      </c>
      <c r="BE216" s="88" t="str">
        <v/>
      </c>
      <c r="BF216" s="1">
        <f>28/31</f>
        <v>0.90322580645161288</v>
      </c>
      <c r="BG216" s="1" t="s">
        <v>428</v>
      </c>
      <c r="BH216" s="89"/>
      <c r="BI216" s="89"/>
      <c r="BJ216" s="140"/>
      <c r="BK216" s="91"/>
      <c r="BL216" s="91">
        <f t="shared" si="120"/>
        <v>0</v>
      </c>
      <c r="BM216" s="91">
        <f t="shared" si="11"/>
        <v>7500000</v>
      </c>
      <c r="BN216" s="91"/>
      <c r="BO216" s="92" t="str">
        <f ca="1">IFERROR(__xludf.DUMMYFUNCTION("IFERROR(ArrayFormula(SUM(VLOOKUP($C216,importrange(""1MwNMVzWE3QBVOyJjKr3eFX-Sq1Ng0Q1sghWJbgbE_8g"",""ORDER BOOKING REPORT 2024-25!C:CV""),{16,23,30},0))))"),"")</f>
        <v/>
      </c>
      <c r="BP216" s="92" t="str">
        <f ca="1">IFERROR(__xludf.DUMMYFUNCTION("IFERROR(ArrayFormula(SUM(VLOOKUP($C216,importrange(""1MwNMVzWE3QBVOyJjKr3eFX-Sq1Ng0Q1sghWJbgbE_8g"",""ORDER BOOKING REPORT 2024-25!C:CV""),{37,44,51},0))))"),"")</f>
        <v/>
      </c>
      <c r="BQ216" s="92" t="str">
        <f ca="1">IFERROR(__xludf.DUMMYFUNCTION("IFERROR(ArrayFormula(SUM(VLOOKUP($C216,importrange(""1MwNMVzWE3QBVOyJjKr3eFX-Sq1Ng0Q1sghWJbgbE_8g"",""ORDER BOOKING REPORT 2024-25!C:CV""),{58,65,72},0))))"),"")</f>
        <v/>
      </c>
      <c r="BR216" s="92" t="str">
        <f ca="1">IFERROR(__xludf.DUMMYFUNCTION("IFERROR(ArrayFormula(SUM(VLOOKUP($C216,importrange(""1MwNMVzWE3QBVOyJjKr3eFX-Sq1Ng0Q1sghWJbgbE_8g"",""ORDER BOOKING REPORT 2024-25!C:CV""),{79,86,93},0))))"),"")</f>
        <v/>
      </c>
      <c r="BS216" s="93" t="str">
        <f t="shared" si="12"/>
        <v/>
      </c>
      <c r="BT216" s="93" t="str">
        <f t="shared" si="13"/>
        <v/>
      </c>
      <c r="BU216" s="37">
        <f t="shared" si="14"/>
        <v>0</v>
      </c>
      <c r="BV216" s="94"/>
      <c r="BW216" s="94"/>
      <c r="BX216" s="94"/>
      <c r="BY216" s="37">
        <f t="shared" si="15"/>
        <v>-27000</v>
      </c>
      <c r="BZ216" s="37"/>
      <c r="CA216" s="37"/>
      <c r="CB216" s="37"/>
      <c r="CC216" s="37"/>
      <c r="CD216" s="37"/>
      <c r="CE216" s="37"/>
      <c r="CF216" s="37"/>
      <c r="CG216" s="37" t="str">
        <f t="shared" si="18"/>
        <v xml:space="preserve"> </v>
      </c>
      <c r="CH216" s="37" t="str">
        <f t="shared" si="26"/>
        <v>Business Achieved 50%</v>
      </c>
      <c r="CI216" s="93">
        <f t="shared" si="19"/>
        <v>0.79710144927536231</v>
      </c>
      <c r="CJ216" s="105">
        <f ca="1">IFERROR(__xludf.DUMMYFUNCTION("""COMPUTED_VALUE"""),921)</f>
        <v>921</v>
      </c>
      <c r="CK216" s="105">
        <f ca="1">IFERROR(__xludf.DUMMYFUNCTION("""COMPUTED_VALUE"""),90)</f>
        <v>90</v>
      </c>
      <c r="CL216" s="105">
        <f ca="1">IFERROR(__xludf.DUMMYFUNCTION("""COMPUTED_VALUE"""),0)</f>
        <v>0</v>
      </c>
      <c r="CM216" s="96">
        <f t="shared" ca="1" si="20"/>
        <v>0</v>
      </c>
      <c r="CN216" s="106"/>
      <c r="CO216" s="93"/>
      <c r="CP216" s="107"/>
      <c r="CQ216" s="110"/>
      <c r="CR216" s="93"/>
      <c r="CS216" s="93"/>
      <c r="CT216" s="93"/>
      <c r="CU216" s="93"/>
      <c r="CV216" s="93"/>
      <c r="CW216" s="93"/>
      <c r="CX216" s="51"/>
      <c r="CY216" s="93"/>
      <c r="CZ216" s="93"/>
    </row>
    <row r="217" spans="1:104" ht="15.6">
      <c r="A217" s="1" t="s">
        <v>177</v>
      </c>
      <c r="B217" s="1" t="s">
        <v>458</v>
      </c>
      <c r="C217" s="1" t="s">
        <v>332</v>
      </c>
      <c r="D217" s="1" t="s">
        <v>581</v>
      </c>
      <c r="E217" s="1" t="s">
        <v>664</v>
      </c>
      <c r="F217" s="104">
        <v>45944</v>
      </c>
      <c r="G217" s="86">
        <v>0</v>
      </c>
      <c r="H217" s="76">
        <v>0</v>
      </c>
      <c r="I217" s="77">
        <v>0</v>
      </c>
      <c r="J217" s="77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77">
        <v>0</v>
      </c>
      <c r="Q217" s="77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3</v>
      </c>
      <c r="Y217" s="4">
        <v>1</v>
      </c>
      <c r="Z217" s="4">
        <v>1</v>
      </c>
      <c r="AA217" s="4">
        <v>0</v>
      </c>
      <c r="AB217" s="4">
        <v>0</v>
      </c>
      <c r="AC217" s="4">
        <v>8</v>
      </c>
      <c r="AD217" s="4">
        <v>8</v>
      </c>
      <c r="AE217" s="4">
        <v>0</v>
      </c>
      <c r="AF217" s="4">
        <v>9</v>
      </c>
      <c r="AG217" s="4">
        <v>4</v>
      </c>
      <c r="AH217" s="76">
        <f t="shared" si="1"/>
        <v>0</v>
      </c>
      <c r="AI217" s="76">
        <f t="shared" si="2"/>
        <v>2.25</v>
      </c>
      <c r="AJ217" s="112">
        <v>24115</v>
      </c>
      <c r="AK217" s="76">
        <f t="shared" si="62"/>
        <v>13224.354838709676</v>
      </c>
      <c r="AL217" s="49"/>
      <c r="AM217" s="80" t="str">
        <f t="shared" si="4"/>
        <v/>
      </c>
      <c r="AN217" s="76" t="str">
        <f t="shared" si="5"/>
        <v/>
      </c>
      <c r="AO217" s="102" t="str">
        <f t="shared" si="115"/>
        <v/>
      </c>
      <c r="AP217" s="82">
        <v>0</v>
      </c>
      <c r="AQ217" s="4">
        <v>0</v>
      </c>
      <c r="AR217" s="4">
        <v>41</v>
      </c>
      <c r="AS217" s="4">
        <v>0</v>
      </c>
      <c r="AT217" s="4">
        <v>0</v>
      </c>
      <c r="AU217" s="4">
        <v>0</v>
      </c>
      <c r="AV217" s="1">
        <v>0</v>
      </c>
      <c r="AW217" s="1">
        <v>0</v>
      </c>
      <c r="AX217" s="1">
        <v>0</v>
      </c>
      <c r="AY217" s="86" t="str">
        <f>IFERROR(VLOOKUP(C217,#REF!,13,0),"")</f>
        <v/>
      </c>
      <c r="AZ217" s="87">
        <v>45961</v>
      </c>
      <c r="BA217" s="1" t="str">
        <f t="shared" si="6"/>
        <v>LEFT</v>
      </c>
      <c r="BB217" s="1" t="e">
        <f t="shared" ca="1" si="7"/>
        <v>#NAME?</v>
      </c>
      <c r="BC217" s="1" t="e">
        <f t="shared" ca="1" si="123"/>
        <v>#NAME?</v>
      </c>
      <c r="BD217" s="134">
        <f>(31-14)/31</f>
        <v>0.54838709677419351</v>
      </c>
      <c r="BE217" s="88" t="str">
        <v/>
      </c>
      <c r="BF217" s="1">
        <f>17/31</f>
        <v>0.54838709677419351</v>
      </c>
      <c r="BG217" s="1" t="s">
        <v>428</v>
      </c>
      <c r="BH217" s="89"/>
      <c r="BI217" s="89"/>
      <c r="BJ217" s="140"/>
      <c r="BK217" s="91"/>
      <c r="BL217" s="91">
        <f t="shared" si="120"/>
        <v>0</v>
      </c>
      <c r="BM217" s="91">
        <f t="shared" si="11"/>
        <v>0</v>
      </c>
      <c r="BN217" s="91"/>
      <c r="BO217" s="92" t="str">
        <f ca="1">IFERROR(__xludf.DUMMYFUNCTION("IFERROR(ArrayFormula(SUM(VLOOKUP($C217,importrange(""1MwNMVzWE3QBVOyJjKr3eFX-Sq1Ng0Q1sghWJbgbE_8g"",""ORDER BOOKING REPORT 2024-25!C:CV""),{16,23,30},0))))"),"")</f>
        <v/>
      </c>
      <c r="BP217" s="92" t="str">
        <f ca="1">IFERROR(__xludf.DUMMYFUNCTION("IFERROR(ArrayFormula(SUM(VLOOKUP($C217,importrange(""1MwNMVzWE3QBVOyJjKr3eFX-Sq1Ng0Q1sghWJbgbE_8g"",""ORDER BOOKING REPORT 2024-25!C:CV""),{37,44,51},0))))"),"")</f>
        <v/>
      </c>
      <c r="BQ217" s="92" t="str">
        <f ca="1">IFERROR(__xludf.DUMMYFUNCTION("IFERROR(ArrayFormula(SUM(VLOOKUP($C217,importrange(""1MwNMVzWE3QBVOyJjKr3eFX-Sq1Ng0Q1sghWJbgbE_8g"",""ORDER BOOKING REPORT 2024-25!C:CV""),{58,65,72},0))))"),"")</f>
        <v/>
      </c>
      <c r="BR217" s="92" t="str">
        <f ca="1">IFERROR(__xludf.DUMMYFUNCTION("IFERROR(ArrayFormula(SUM(VLOOKUP($C217,importrange(""1MwNMVzWE3QBVOyJjKr3eFX-Sq1Ng0Q1sghWJbgbE_8g"",""ORDER BOOKING REPORT 2024-25!C:CV""),{79,86,93},0))))"),"")</f>
        <v/>
      </c>
      <c r="BS217" s="93" t="str">
        <f t="shared" si="12"/>
        <v/>
      </c>
      <c r="BT217" s="93" t="str">
        <f t="shared" si="13"/>
        <v/>
      </c>
      <c r="BU217" s="37">
        <f t="shared" si="14"/>
        <v>0</v>
      </c>
      <c r="BV217" s="94"/>
      <c r="BW217" s="94"/>
      <c r="BX217" s="94"/>
      <c r="BY217" s="37">
        <f t="shared" si="15"/>
        <v>-24115</v>
      </c>
      <c r="BZ217" s="37"/>
      <c r="CA217" s="37"/>
      <c r="CB217" s="37"/>
      <c r="CC217" s="37"/>
      <c r="CD217" s="37"/>
      <c r="CE217" s="37"/>
      <c r="CF217" s="37"/>
      <c r="CG217" s="37" t="str">
        <f t="shared" si="18"/>
        <v>Below 60</v>
      </c>
      <c r="CH217" s="37" t="str">
        <f t="shared" si="26"/>
        <v>Not 50%</v>
      </c>
      <c r="CI217" s="93">
        <f t="shared" si="19"/>
        <v>0</v>
      </c>
      <c r="CJ217" s="105"/>
      <c r="CK217" s="105"/>
      <c r="CL217" s="105"/>
      <c r="CM217" s="96">
        <f t="shared" si="20"/>
        <v>0</v>
      </c>
      <c r="CN217" s="106"/>
      <c r="CO217" s="93"/>
      <c r="CP217" s="107"/>
      <c r="CQ217" s="110"/>
      <c r="CR217" s="93"/>
      <c r="CS217" s="93"/>
      <c r="CT217" s="93"/>
      <c r="CU217" s="93"/>
      <c r="CV217" s="93"/>
      <c r="CW217" s="93"/>
      <c r="CX217" s="51"/>
      <c r="CY217" s="93"/>
      <c r="CZ217" s="93"/>
    </row>
    <row r="218" spans="1:104" ht="15.6">
      <c r="A218" s="1" t="s">
        <v>201</v>
      </c>
      <c r="B218" s="1" t="s">
        <v>469</v>
      </c>
      <c r="C218" s="1" t="s">
        <v>333</v>
      </c>
      <c r="D218" s="1" t="s">
        <v>470</v>
      </c>
      <c r="E218" s="1" t="s">
        <v>528</v>
      </c>
      <c r="F218" s="104">
        <v>45964</v>
      </c>
      <c r="G218" s="86">
        <v>0</v>
      </c>
      <c r="H218" s="76">
        <v>7000000</v>
      </c>
      <c r="I218" s="77">
        <v>1490819.6</v>
      </c>
      <c r="J218" s="77">
        <v>338105.43</v>
      </c>
      <c r="K218" s="4">
        <v>56</v>
      </c>
      <c r="L218" s="4">
        <v>80</v>
      </c>
      <c r="M218" s="4">
        <v>24</v>
      </c>
      <c r="N218" s="4">
        <v>80</v>
      </c>
      <c r="O218" s="4">
        <v>0</v>
      </c>
      <c r="P218" s="77">
        <v>829860.2</v>
      </c>
      <c r="Q218" s="77">
        <v>660959.4</v>
      </c>
      <c r="R218" s="4">
        <v>30</v>
      </c>
      <c r="S218" s="4">
        <v>23</v>
      </c>
      <c r="T218" s="4">
        <v>53</v>
      </c>
      <c r="U218" s="4">
        <v>1</v>
      </c>
      <c r="V218" s="4">
        <v>259</v>
      </c>
      <c r="W218" s="4">
        <v>366</v>
      </c>
      <c r="X218" s="4">
        <v>7</v>
      </c>
      <c r="Y218" s="4">
        <v>2</v>
      </c>
      <c r="Z218" s="4">
        <v>73</v>
      </c>
      <c r="AA218" s="4">
        <v>2</v>
      </c>
      <c r="AB218" s="4">
        <v>6</v>
      </c>
      <c r="AC218" s="4">
        <v>4</v>
      </c>
      <c r="AD218" s="4">
        <v>6</v>
      </c>
      <c r="AE218" s="4">
        <v>321</v>
      </c>
      <c r="AF218" s="4">
        <v>772</v>
      </c>
      <c r="AG218" s="4">
        <v>119</v>
      </c>
      <c r="AH218" s="76">
        <f t="shared" si="1"/>
        <v>15369.117899159664</v>
      </c>
      <c r="AI218" s="76">
        <f t="shared" si="2"/>
        <v>6.4873949579831933</v>
      </c>
      <c r="AJ218" s="112">
        <v>36190</v>
      </c>
      <c r="AK218" s="76">
        <f t="shared" si="62"/>
        <v>177331</v>
      </c>
      <c r="AL218" s="49">
        <v>55544</v>
      </c>
      <c r="AM218" s="80">
        <f t="shared" si="4"/>
        <v>0.12732889330078226</v>
      </c>
      <c r="AN218" s="76">
        <f t="shared" si="5"/>
        <v>28128.671698113209</v>
      </c>
      <c r="AO218" s="102">
        <f t="shared" si="115"/>
        <v>0.26127500428571426</v>
      </c>
      <c r="AP218" s="82">
        <v>0</v>
      </c>
      <c r="AQ218" s="4">
        <v>106</v>
      </c>
      <c r="AR218" s="4">
        <v>1255</v>
      </c>
      <c r="AS218" s="4">
        <v>2269.46</v>
      </c>
      <c r="AT218" s="4">
        <v>23</v>
      </c>
      <c r="AU218" s="4">
        <v>28</v>
      </c>
      <c r="AV218" s="1">
        <v>53</v>
      </c>
      <c r="AW218" s="1">
        <v>27</v>
      </c>
      <c r="AX218" s="1">
        <v>0</v>
      </c>
      <c r="AY218" s="86" t="str">
        <f>IFERROR(VLOOKUP(C218,#REF!,13,0),"")</f>
        <v/>
      </c>
      <c r="AZ218" s="87"/>
      <c r="BA218" s="1" t="str">
        <f t="shared" si="6"/>
        <v>Active</v>
      </c>
      <c r="BB218" s="1" t="e">
        <f t="shared" ca="1" si="7"/>
        <v>#NAME?</v>
      </c>
      <c r="BC218" s="1" t="e">
        <f t="shared" ca="1" si="123"/>
        <v>#NAME?</v>
      </c>
      <c r="BD218" s="134">
        <f t="shared" ref="BD218:BD219" si="127">(27/30)+1+1+1+1</f>
        <v>4.9000000000000004</v>
      </c>
      <c r="BE218" s="88" t="str">
        <v/>
      </c>
      <c r="BF218" s="1">
        <f t="shared" ref="BF218:BF220" si="128">30-3</f>
        <v>27</v>
      </c>
      <c r="BG218" s="1" t="s">
        <v>428</v>
      </c>
      <c r="BH218" s="89"/>
      <c r="BI218" s="89"/>
      <c r="BJ218" s="140"/>
      <c r="BK218" s="91"/>
      <c r="BL218" s="91">
        <f t="shared" si="120"/>
        <v>0</v>
      </c>
      <c r="BM218" s="91">
        <f t="shared" si="11"/>
        <v>7000000</v>
      </c>
      <c r="BN218" s="91"/>
      <c r="BO218" s="92" t="str">
        <f ca="1">IFERROR(__xludf.DUMMYFUNCTION("IFERROR(ArrayFormula(SUM(VLOOKUP($C218,importrange(""1MwNMVzWE3QBVOyJjKr3eFX-Sq1Ng0Q1sghWJbgbE_8g"",""ORDER BOOKING REPORT 2024-25!C:CV""),{16,23,30},0))))"),"")</f>
        <v/>
      </c>
      <c r="BP218" s="92" t="str">
        <f ca="1">IFERROR(__xludf.DUMMYFUNCTION("IFERROR(ArrayFormula(SUM(VLOOKUP($C218,importrange(""1MwNMVzWE3QBVOyJjKr3eFX-Sq1Ng0Q1sghWJbgbE_8g"",""ORDER BOOKING REPORT 2024-25!C:CV""),{37,44,51},0))))"),"")</f>
        <v/>
      </c>
      <c r="BQ218" s="92" t="str">
        <f ca="1">IFERROR(__xludf.DUMMYFUNCTION("IFERROR(ArrayFormula(SUM(VLOOKUP($C218,importrange(""1MwNMVzWE3QBVOyJjKr3eFX-Sq1Ng0Q1sghWJbgbE_8g"",""ORDER BOOKING REPORT 2024-25!C:CV""),{58,65,72},0))))"),"")</f>
        <v/>
      </c>
      <c r="BR218" s="92" t="str">
        <f ca="1">IFERROR(__xludf.DUMMYFUNCTION("IFERROR(ArrayFormula(SUM(VLOOKUP($C218,importrange(""1MwNMVzWE3QBVOyJjKr3eFX-Sq1Ng0Q1sghWJbgbE_8g"",""ORDER BOOKING REPORT 2024-25!C:CV""),{79,86,93},0))))"),"")</f>
        <v/>
      </c>
      <c r="BS218" s="93" t="str">
        <f t="shared" si="12"/>
        <v/>
      </c>
      <c r="BT218" s="93" t="str">
        <f t="shared" si="13"/>
        <v/>
      </c>
      <c r="BU218" s="37">
        <f t="shared" si="14"/>
        <v>0</v>
      </c>
      <c r="BV218" s="94"/>
      <c r="BW218" s="94"/>
      <c r="BX218" s="94"/>
      <c r="BY218" s="37">
        <f t="shared" si="15"/>
        <v>-36190</v>
      </c>
      <c r="BZ218" s="37"/>
      <c r="CA218" s="37"/>
      <c r="CB218" s="37"/>
      <c r="CC218" s="37"/>
      <c r="CD218" s="37"/>
      <c r="CE218" s="37"/>
      <c r="CF218" s="37"/>
      <c r="CG218" s="37" t="str">
        <f t="shared" si="18"/>
        <v xml:space="preserve"> </v>
      </c>
      <c r="CH218" s="37" t="str">
        <f t="shared" si="26"/>
        <v>Business Achieved 50%</v>
      </c>
      <c r="CI218" s="93">
        <f t="shared" si="19"/>
        <v>0.66249999999999998</v>
      </c>
      <c r="CJ218" s="105">
        <f ca="1">IFERROR(__xludf.DUMMYFUNCTION("""COMPUTED_VALUE"""),267)</f>
        <v>267</v>
      </c>
      <c r="CK218" s="105">
        <f ca="1">IFERROR(__xludf.DUMMYFUNCTION("""COMPUTED_VALUE"""),54)</f>
        <v>54</v>
      </c>
      <c r="CL218" s="105">
        <f ca="1">IFERROR(__xludf.DUMMYFUNCTION("""COMPUTED_VALUE"""),0)</f>
        <v>0</v>
      </c>
      <c r="CM218" s="96">
        <f t="shared" ca="1" si="20"/>
        <v>0</v>
      </c>
      <c r="CN218" s="106"/>
      <c r="CO218" s="93"/>
      <c r="CP218" s="107"/>
      <c r="CQ218" s="110"/>
      <c r="CR218" s="93"/>
      <c r="CS218" s="93"/>
      <c r="CT218" s="93"/>
      <c r="CU218" s="93"/>
      <c r="CV218" s="93"/>
      <c r="CW218" s="93"/>
      <c r="CX218" s="51"/>
      <c r="CY218" s="93"/>
      <c r="CZ218" s="93"/>
    </row>
    <row r="219" spans="1:104" ht="15.6">
      <c r="A219" s="1" t="s">
        <v>201</v>
      </c>
      <c r="B219" s="1" t="s">
        <v>431</v>
      </c>
      <c r="C219" s="1" t="s">
        <v>334</v>
      </c>
      <c r="D219" s="1" t="s">
        <v>431</v>
      </c>
      <c r="E219" s="1" t="s">
        <v>580</v>
      </c>
      <c r="F219" s="104">
        <v>45964</v>
      </c>
      <c r="G219" s="76">
        <v>0</v>
      </c>
      <c r="H219" s="76">
        <v>10000000</v>
      </c>
      <c r="I219" s="77">
        <v>1256855.8799999999</v>
      </c>
      <c r="J219" s="77">
        <v>0</v>
      </c>
      <c r="K219" s="4">
        <v>12</v>
      </c>
      <c r="L219" s="4">
        <v>49</v>
      </c>
      <c r="M219" s="4">
        <v>39</v>
      </c>
      <c r="N219" s="4">
        <v>51</v>
      </c>
      <c r="O219" s="4">
        <v>2</v>
      </c>
      <c r="P219" s="77">
        <v>85504.81</v>
      </c>
      <c r="Q219" s="77">
        <v>1171351.07</v>
      </c>
      <c r="R219" s="4">
        <v>5</v>
      </c>
      <c r="S219" s="4">
        <v>37</v>
      </c>
      <c r="T219" s="4">
        <v>42</v>
      </c>
      <c r="U219" s="4">
        <v>0</v>
      </c>
      <c r="V219" s="4">
        <v>61</v>
      </c>
      <c r="W219" s="4">
        <v>148</v>
      </c>
      <c r="X219" s="4">
        <v>4</v>
      </c>
      <c r="Y219" s="4">
        <v>5</v>
      </c>
      <c r="Z219" s="4">
        <v>75</v>
      </c>
      <c r="AA219" s="4">
        <v>0</v>
      </c>
      <c r="AB219" s="4">
        <v>0</v>
      </c>
      <c r="AC219" s="4">
        <v>23</v>
      </c>
      <c r="AD219" s="4">
        <v>93</v>
      </c>
      <c r="AE219" s="4">
        <v>250</v>
      </c>
      <c r="AF219" s="4">
        <v>566</v>
      </c>
      <c r="AG219" s="4">
        <v>122</v>
      </c>
      <c r="AH219" s="76">
        <f t="shared" si="1"/>
        <v>10302.09737704918</v>
      </c>
      <c r="AI219" s="76">
        <f t="shared" si="2"/>
        <v>4.639344262295082</v>
      </c>
      <c r="AJ219" s="112">
        <v>65825</v>
      </c>
      <c r="AK219" s="76">
        <f t="shared" si="62"/>
        <v>322542.5</v>
      </c>
      <c r="AL219" s="49">
        <v>50083</v>
      </c>
      <c r="AM219" s="80">
        <f t="shared" si="4"/>
        <v>0.29647432607786345</v>
      </c>
      <c r="AN219" s="76">
        <f t="shared" si="5"/>
        <v>29925.139999999996</v>
      </c>
      <c r="AO219" s="102">
        <f t="shared" si="115"/>
        <v>0.12568558799999999</v>
      </c>
      <c r="AP219" s="82">
        <v>0</v>
      </c>
      <c r="AQ219" s="4">
        <v>83</v>
      </c>
      <c r="AR219" s="4">
        <v>1119</v>
      </c>
      <c r="AS219" s="4">
        <v>2023.28</v>
      </c>
      <c r="AT219" s="4">
        <v>37</v>
      </c>
      <c r="AU219" s="4">
        <v>41</v>
      </c>
      <c r="AV219" s="1">
        <v>42</v>
      </c>
      <c r="AW219" s="1">
        <v>7</v>
      </c>
      <c r="AX219" s="1">
        <v>2</v>
      </c>
      <c r="AY219" s="86" t="str">
        <f>IFERROR(VLOOKUP(C219,#REF!,13,0),"")</f>
        <v/>
      </c>
      <c r="AZ219" s="87"/>
      <c r="BA219" s="1" t="str">
        <f t="shared" si="6"/>
        <v>Active</v>
      </c>
      <c r="BB219" s="1" t="e">
        <f t="shared" ca="1" si="7"/>
        <v>#NAME?</v>
      </c>
      <c r="BC219" s="1" t="e">
        <f t="shared" ca="1" si="123"/>
        <v>#NAME?</v>
      </c>
      <c r="BD219" s="134">
        <f t="shared" si="127"/>
        <v>4.9000000000000004</v>
      </c>
      <c r="BE219" s="88" t="str">
        <v/>
      </c>
      <c r="BF219" s="1">
        <f t="shared" si="128"/>
        <v>27</v>
      </c>
      <c r="BG219" s="1" t="s">
        <v>428</v>
      </c>
      <c r="BH219" s="89"/>
      <c r="BI219" s="89"/>
      <c r="BJ219" s="140"/>
      <c r="BK219" s="91"/>
      <c r="BL219" s="91">
        <f t="shared" si="120"/>
        <v>0</v>
      </c>
      <c r="BM219" s="91">
        <f t="shared" si="11"/>
        <v>10000000</v>
      </c>
      <c r="BN219" s="91"/>
      <c r="BO219" s="92" t="str">
        <f ca="1">IFERROR(__xludf.DUMMYFUNCTION("IFERROR(ArrayFormula(SUM(VLOOKUP($C219,importrange(""1MwNMVzWE3QBVOyJjKr3eFX-Sq1Ng0Q1sghWJbgbE_8g"",""ORDER BOOKING REPORT 2024-25!C:CV""),{16,23,30},0))))"),"")</f>
        <v/>
      </c>
      <c r="BP219" s="92" t="str">
        <f ca="1">IFERROR(__xludf.DUMMYFUNCTION("IFERROR(ArrayFormula(SUM(VLOOKUP($C219,importrange(""1MwNMVzWE3QBVOyJjKr3eFX-Sq1Ng0Q1sghWJbgbE_8g"",""ORDER BOOKING REPORT 2024-25!C:CV""),{37,44,51},0))))"),"")</f>
        <v/>
      </c>
      <c r="BQ219" s="92" t="str">
        <f ca="1">IFERROR(__xludf.DUMMYFUNCTION("IFERROR(ArrayFormula(SUM(VLOOKUP($C219,importrange(""1MwNMVzWE3QBVOyJjKr3eFX-Sq1Ng0Q1sghWJbgbE_8g"",""ORDER BOOKING REPORT 2024-25!C:CV""),{58,65,72},0))))"),"")</f>
        <v/>
      </c>
      <c r="BR219" s="92" t="str">
        <f ca="1">IFERROR(__xludf.DUMMYFUNCTION("IFERROR(ArrayFormula(SUM(VLOOKUP($C219,importrange(""1MwNMVzWE3QBVOyJjKr3eFX-Sq1Ng0Q1sghWJbgbE_8g"",""ORDER BOOKING REPORT 2024-25!C:CV""),{79,86,93},0))))"),"")</f>
        <v/>
      </c>
      <c r="BS219" s="93" t="str">
        <f t="shared" si="12"/>
        <v/>
      </c>
      <c r="BT219" s="93" t="str">
        <f t="shared" si="13"/>
        <v/>
      </c>
      <c r="BU219" s="37">
        <f t="shared" si="14"/>
        <v>0</v>
      </c>
      <c r="BV219" s="94"/>
      <c r="BW219" s="94"/>
      <c r="BX219" s="94"/>
      <c r="BY219" s="37">
        <f t="shared" si="15"/>
        <v>-65825</v>
      </c>
      <c r="BZ219" s="37"/>
      <c r="CA219" s="37"/>
      <c r="CB219" s="37"/>
      <c r="CC219" s="37"/>
      <c r="CD219" s="37"/>
      <c r="CE219" s="37"/>
      <c r="CF219" s="37"/>
      <c r="CG219" s="37" t="str">
        <f t="shared" si="18"/>
        <v>Below 60</v>
      </c>
      <c r="CH219" s="37" t="str">
        <f t="shared" si="26"/>
        <v>Business Achieved 50%</v>
      </c>
      <c r="CI219" s="93">
        <f t="shared" si="19"/>
        <v>0.82352941176470584</v>
      </c>
      <c r="CJ219" s="105">
        <f ca="1">IFERROR(__xludf.DUMMYFUNCTION("""COMPUTED_VALUE"""),227)</f>
        <v>227</v>
      </c>
      <c r="CK219" s="105">
        <f ca="1">IFERROR(__xludf.DUMMYFUNCTION("""COMPUTED_VALUE"""),23)</f>
        <v>23</v>
      </c>
      <c r="CL219" s="105">
        <f ca="1">IFERROR(__xludf.DUMMYFUNCTION("""COMPUTED_VALUE"""),0)</f>
        <v>0</v>
      </c>
      <c r="CM219" s="96">
        <f t="shared" ca="1" si="20"/>
        <v>0</v>
      </c>
      <c r="CN219" s="106"/>
      <c r="CO219" s="93"/>
      <c r="CP219" s="107"/>
      <c r="CQ219" s="110"/>
      <c r="CR219" s="93"/>
      <c r="CS219" s="93"/>
      <c r="CT219" s="93"/>
      <c r="CU219" s="93"/>
      <c r="CV219" s="93"/>
      <c r="CW219" s="93"/>
      <c r="CX219" s="51"/>
      <c r="CY219" s="93"/>
      <c r="CZ219" s="93"/>
    </row>
    <row r="220" spans="1:104" ht="15.6">
      <c r="A220" s="1" t="s">
        <v>154</v>
      </c>
      <c r="B220" s="1" t="s">
        <v>370</v>
      </c>
      <c r="C220" s="1" t="s">
        <v>335</v>
      </c>
      <c r="D220" s="1" t="s">
        <v>542</v>
      </c>
      <c r="E220" s="1" t="s">
        <v>665</v>
      </c>
      <c r="F220" s="104">
        <v>45964</v>
      </c>
      <c r="G220" s="76">
        <v>0</v>
      </c>
      <c r="H220" s="76">
        <v>500000</v>
      </c>
      <c r="I220" s="77">
        <v>0</v>
      </c>
      <c r="J220" s="77">
        <v>0</v>
      </c>
      <c r="K220" s="4">
        <v>5</v>
      </c>
      <c r="L220" s="4">
        <v>5</v>
      </c>
      <c r="M220" s="4">
        <v>0</v>
      </c>
      <c r="N220" s="4">
        <v>5</v>
      </c>
      <c r="O220" s="4">
        <v>0</v>
      </c>
      <c r="P220" s="77">
        <v>0</v>
      </c>
      <c r="Q220" s="77">
        <v>0</v>
      </c>
      <c r="R220" s="4">
        <v>0</v>
      </c>
      <c r="S220" s="4">
        <v>0</v>
      </c>
      <c r="T220" s="4">
        <v>0</v>
      </c>
      <c r="U220" s="4">
        <v>0</v>
      </c>
      <c r="V220" s="4">
        <v>21</v>
      </c>
      <c r="W220" s="4">
        <v>21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</v>
      </c>
      <c r="AD220" s="4">
        <v>2</v>
      </c>
      <c r="AE220" s="4">
        <v>5</v>
      </c>
      <c r="AF220" s="4">
        <v>28</v>
      </c>
      <c r="AG220" s="4">
        <v>6</v>
      </c>
      <c r="AH220" s="76">
        <f t="shared" si="1"/>
        <v>0</v>
      </c>
      <c r="AI220" s="76">
        <f t="shared" si="2"/>
        <v>4.666666666666667</v>
      </c>
      <c r="AJ220" s="112">
        <v>24115</v>
      </c>
      <c r="AK220" s="76">
        <f t="shared" si="62"/>
        <v>21703.5</v>
      </c>
      <c r="AL220" s="49"/>
      <c r="AM220" s="80" t="str">
        <f t="shared" si="4"/>
        <v/>
      </c>
      <c r="AN220" s="76" t="str">
        <f t="shared" si="5"/>
        <v/>
      </c>
      <c r="AO220" s="102">
        <f t="shared" si="115"/>
        <v>0</v>
      </c>
      <c r="AP220" s="82">
        <v>0</v>
      </c>
      <c r="AQ220" s="4">
        <v>0</v>
      </c>
      <c r="AR220" s="4">
        <v>48</v>
      </c>
      <c r="AS220" s="4">
        <v>0</v>
      </c>
      <c r="AT220" s="4">
        <v>0</v>
      </c>
      <c r="AU220" s="4">
        <v>0</v>
      </c>
      <c r="AV220" s="1">
        <v>0</v>
      </c>
      <c r="AW220" s="1">
        <v>5</v>
      </c>
      <c r="AX220" s="1">
        <v>0</v>
      </c>
      <c r="AY220" s="86" t="str">
        <f>IFERROR(VLOOKUP(C220,#REF!,13,0),"")</f>
        <v/>
      </c>
      <c r="AZ220" s="87">
        <v>45972</v>
      </c>
      <c r="BA220" s="1" t="str">
        <f t="shared" si="6"/>
        <v>LEFT</v>
      </c>
      <c r="BB220" s="1" t="e">
        <f t="shared" ca="1" si="7"/>
        <v>#NAME?</v>
      </c>
      <c r="BC220" s="1" t="e">
        <f t="shared" ca="1" si="123"/>
        <v>#NAME?</v>
      </c>
      <c r="BD220" s="134">
        <f>27/30</f>
        <v>0.9</v>
      </c>
      <c r="BE220" s="88" t="str">
        <v/>
      </c>
      <c r="BF220" s="1">
        <f t="shared" si="128"/>
        <v>27</v>
      </c>
      <c r="BG220" s="1" t="s">
        <v>428</v>
      </c>
      <c r="BH220" s="89"/>
      <c r="BI220" s="89"/>
      <c r="BJ220" s="140"/>
      <c r="BK220" s="91"/>
      <c r="BL220" s="91">
        <f t="shared" si="120"/>
        <v>0</v>
      </c>
      <c r="BM220" s="91">
        <f t="shared" si="11"/>
        <v>500000</v>
      </c>
      <c r="BN220" s="91"/>
      <c r="BO220" s="92" t="str">
        <f ca="1">IFERROR(__xludf.DUMMYFUNCTION("IFERROR(ArrayFormula(SUM(VLOOKUP($C220,importrange(""1MwNMVzWE3QBVOyJjKr3eFX-Sq1Ng0Q1sghWJbgbE_8g"",""ORDER BOOKING REPORT 2024-25!C:CV""),{16,23,30},0))))"),"")</f>
        <v/>
      </c>
      <c r="BP220" s="92" t="str">
        <f ca="1">IFERROR(__xludf.DUMMYFUNCTION("IFERROR(ArrayFormula(SUM(VLOOKUP($C220,importrange(""1MwNMVzWE3QBVOyJjKr3eFX-Sq1Ng0Q1sghWJbgbE_8g"",""ORDER BOOKING REPORT 2024-25!C:CV""),{37,44,51},0))))"),"")</f>
        <v/>
      </c>
      <c r="BQ220" s="92" t="str">
        <f ca="1">IFERROR(__xludf.DUMMYFUNCTION("IFERROR(ArrayFormula(SUM(VLOOKUP($C220,importrange(""1MwNMVzWE3QBVOyJjKr3eFX-Sq1Ng0Q1sghWJbgbE_8g"",""ORDER BOOKING REPORT 2024-25!C:CV""),{58,65,72},0))))"),"")</f>
        <v/>
      </c>
      <c r="BR220" s="92" t="str">
        <f ca="1">IFERROR(__xludf.DUMMYFUNCTION("IFERROR(ArrayFormula(SUM(VLOOKUP($C220,importrange(""1MwNMVzWE3QBVOyJjKr3eFX-Sq1Ng0Q1sghWJbgbE_8g"",""ORDER BOOKING REPORT 2024-25!C:CV""),{79,86,93},0))))"),"")</f>
        <v/>
      </c>
      <c r="BS220" s="93" t="str">
        <f t="shared" si="12"/>
        <v/>
      </c>
      <c r="BT220" s="93" t="str">
        <f t="shared" si="13"/>
        <v/>
      </c>
      <c r="BU220" s="37">
        <f t="shared" si="14"/>
        <v>0</v>
      </c>
      <c r="BV220" s="94"/>
      <c r="BW220" s="94"/>
      <c r="BX220" s="94"/>
      <c r="BY220" s="37">
        <f t="shared" si="15"/>
        <v>-24115</v>
      </c>
      <c r="BZ220" s="37"/>
      <c r="CA220" s="37"/>
      <c r="CB220" s="37"/>
      <c r="CC220" s="37"/>
      <c r="CD220" s="37"/>
      <c r="CE220" s="37"/>
      <c r="CF220" s="37"/>
      <c r="CG220" s="37" t="str">
        <f t="shared" si="18"/>
        <v>Below 60</v>
      </c>
      <c r="CH220" s="37" t="str">
        <f t="shared" si="26"/>
        <v>Not 50%</v>
      </c>
      <c r="CI220" s="93">
        <f t="shared" si="19"/>
        <v>0</v>
      </c>
      <c r="CJ220" s="105"/>
      <c r="CK220" s="105"/>
      <c r="CL220" s="105"/>
      <c r="CM220" s="96">
        <f t="shared" si="20"/>
        <v>5</v>
      </c>
      <c r="CN220" s="106"/>
      <c r="CO220" s="93"/>
      <c r="CP220" s="107"/>
      <c r="CQ220" s="110"/>
      <c r="CR220" s="93"/>
      <c r="CS220" s="93"/>
      <c r="CT220" s="93"/>
      <c r="CU220" s="93"/>
      <c r="CV220" s="93"/>
      <c r="CW220" s="93"/>
      <c r="CX220" s="51"/>
      <c r="CY220" s="93"/>
      <c r="CZ220" s="93"/>
    </row>
    <row r="221" spans="1:104" ht="15.6">
      <c r="A221" s="1" t="s">
        <v>201</v>
      </c>
      <c r="B221" s="1" t="s">
        <v>469</v>
      </c>
      <c r="C221" s="1" t="s">
        <v>336</v>
      </c>
      <c r="D221" s="1" t="s">
        <v>470</v>
      </c>
      <c r="E221" s="1" t="s">
        <v>471</v>
      </c>
      <c r="F221" s="104">
        <v>45971</v>
      </c>
      <c r="G221" s="76">
        <v>0</v>
      </c>
      <c r="H221" s="76">
        <v>6000000</v>
      </c>
      <c r="I221" s="77">
        <v>1311479.6599999999</v>
      </c>
      <c r="J221" s="77">
        <v>0</v>
      </c>
      <c r="K221" s="4">
        <v>11</v>
      </c>
      <c r="L221" s="4">
        <v>30</v>
      </c>
      <c r="M221" s="4">
        <v>20</v>
      </c>
      <c r="N221" s="4">
        <v>31</v>
      </c>
      <c r="O221" s="4">
        <v>1</v>
      </c>
      <c r="P221" s="77">
        <v>105495.11</v>
      </c>
      <c r="Q221" s="77">
        <v>1205984.55</v>
      </c>
      <c r="R221" s="4">
        <v>3</v>
      </c>
      <c r="S221" s="4">
        <v>17</v>
      </c>
      <c r="T221" s="4">
        <v>20</v>
      </c>
      <c r="U221" s="4">
        <v>0</v>
      </c>
      <c r="V221" s="4">
        <v>109</v>
      </c>
      <c r="W221" s="4">
        <v>200</v>
      </c>
      <c r="X221" s="4">
        <v>11</v>
      </c>
      <c r="Y221" s="4">
        <v>1</v>
      </c>
      <c r="Z221" s="4">
        <v>27</v>
      </c>
      <c r="AA221" s="4">
        <v>0</v>
      </c>
      <c r="AB221" s="4">
        <v>0</v>
      </c>
      <c r="AC221" s="4">
        <v>0</v>
      </c>
      <c r="AD221" s="4">
        <v>0</v>
      </c>
      <c r="AE221" s="4">
        <v>81</v>
      </c>
      <c r="AF221" s="4">
        <v>308</v>
      </c>
      <c r="AG221" s="4">
        <v>87</v>
      </c>
      <c r="AH221" s="76">
        <f t="shared" si="1"/>
        <v>15074.478850574711</v>
      </c>
      <c r="AI221" s="76">
        <f t="shared" si="2"/>
        <v>3.5402298850574714</v>
      </c>
      <c r="AJ221" s="112">
        <v>32500</v>
      </c>
      <c r="AK221" s="76">
        <f t="shared" si="62"/>
        <v>151666.66666666666</v>
      </c>
      <c r="AL221" s="49">
        <v>91451</v>
      </c>
      <c r="AM221" s="80">
        <f t="shared" si="4"/>
        <v>0.18537662007405184</v>
      </c>
      <c r="AN221" s="76">
        <f t="shared" si="5"/>
        <v>65573.982999999993</v>
      </c>
      <c r="AO221" s="102">
        <f t="shared" si="115"/>
        <v>0.21857994333333333</v>
      </c>
      <c r="AP221" s="82">
        <v>0</v>
      </c>
      <c r="AQ221" s="4">
        <v>45</v>
      </c>
      <c r="AR221" s="4">
        <v>984</v>
      </c>
      <c r="AS221" s="4">
        <v>5126.7</v>
      </c>
      <c r="AT221" s="4">
        <v>17</v>
      </c>
      <c r="AU221" s="4">
        <v>171</v>
      </c>
      <c r="AV221" s="1">
        <v>20</v>
      </c>
      <c r="AW221" s="1">
        <v>10</v>
      </c>
      <c r="AX221" s="1">
        <v>1</v>
      </c>
      <c r="AY221" s="86" t="str">
        <f>IFERROR(VLOOKUP(C221,#REF!,13,0),"")</f>
        <v/>
      </c>
      <c r="AZ221" s="87"/>
      <c r="BA221" s="1" t="str">
        <f t="shared" si="6"/>
        <v>Active</v>
      </c>
      <c r="BB221" s="1" t="e">
        <f t="shared" ca="1" si="7"/>
        <v>#NAME?</v>
      </c>
      <c r="BC221" s="1" t="e">
        <f t="shared" ca="1" si="123"/>
        <v>#NAME?</v>
      </c>
      <c r="BD221" s="134">
        <f>(20/30)+1+1+1+1</f>
        <v>4.6666666666666661</v>
      </c>
      <c r="BE221" s="88" t="str">
        <v/>
      </c>
      <c r="BF221" s="1"/>
      <c r="BG221" s="1" t="s">
        <v>428</v>
      </c>
      <c r="BH221" s="89"/>
      <c r="BI221" s="89"/>
      <c r="BJ221" s="140"/>
      <c r="BK221" s="91"/>
      <c r="BL221" s="91">
        <f t="shared" si="120"/>
        <v>0</v>
      </c>
      <c r="BM221" s="91">
        <f t="shared" si="11"/>
        <v>6000000</v>
      </c>
      <c r="BN221" s="91"/>
      <c r="BO221" s="92" t="str">
        <f ca="1">IFERROR(__xludf.DUMMYFUNCTION("IFERROR(ArrayFormula(SUM(VLOOKUP($C221,importrange(""1MwNMVzWE3QBVOyJjKr3eFX-Sq1Ng0Q1sghWJbgbE_8g"",""ORDER BOOKING REPORT 2024-25!C:CV""),{16,23,30},0))))"),"")</f>
        <v/>
      </c>
      <c r="BP221" s="92" t="str">
        <f ca="1">IFERROR(__xludf.DUMMYFUNCTION("IFERROR(ArrayFormula(SUM(VLOOKUP($C221,importrange(""1MwNMVzWE3QBVOyJjKr3eFX-Sq1Ng0Q1sghWJbgbE_8g"",""ORDER BOOKING REPORT 2024-25!C:CV""),{37,44,51},0))))"),"")</f>
        <v/>
      </c>
      <c r="BQ221" s="92" t="str">
        <f ca="1">IFERROR(__xludf.DUMMYFUNCTION("IFERROR(ArrayFormula(SUM(VLOOKUP($C221,importrange(""1MwNMVzWE3QBVOyJjKr3eFX-Sq1Ng0Q1sghWJbgbE_8g"",""ORDER BOOKING REPORT 2024-25!C:CV""),{58,65,72},0))))"),"")</f>
        <v/>
      </c>
      <c r="BR221" s="92" t="str">
        <f ca="1">IFERROR(__xludf.DUMMYFUNCTION("IFERROR(ArrayFormula(SUM(VLOOKUP($C221,importrange(""1MwNMVzWE3QBVOyJjKr3eFX-Sq1Ng0Q1sghWJbgbE_8g"",""ORDER BOOKING REPORT 2024-25!C:CV""),{79,86,93},0))))"),"")</f>
        <v/>
      </c>
      <c r="BS221" s="93" t="str">
        <f t="shared" si="12"/>
        <v/>
      </c>
      <c r="BT221" s="93" t="str">
        <f t="shared" si="13"/>
        <v/>
      </c>
      <c r="BU221" s="37">
        <f t="shared" si="14"/>
        <v>0</v>
      </c>
      <c r="BV221" s="94"/>
      <c r="BW221" s="94"/>
      <c r="BX221" s="94"/>
      <c r="BY221" s="37">
        <f t="shared" si="15"/>
        <v>-32500</v>
      </c>
      <c r="BZ221" s="37"/>
      <c r="CA221" s="37"/>
      <c r="CB221" s="37"/>
      <c r="CC221" s="37"/>
      <c r="CD221" s="37"/>
      <c r="CE221" s="37"/>
      <c r="CF221" s="37"/>
      <c r="CG221" s="37" t="str">
        <f t="shared" si="18"/>
        <v>Below 60</v>
      </c>
      <c r="CH221" s="37" t="str">
        <f t="shared" si="26"/>
        <v>Business Achieved 50%</v>
      </c>
      <c r="CI221" s="93">
        <f t="shared" si="19"/>
        <v>0.64516129032258063</v>
      </c>
      <c r="CJ221" s="105">
        <f ca="1">IFERROR(__xludf.DUMMYFUNCTION("""COMPUTED_VALUE"""),61)</f>
        <v>61</v>
      </c>
      <c r="CK221" s="105">
        <f ca="1">IFERROR(__xludf.DUMMYFUNCTION("""COMPUTED_VALUE"""),20)</f>
        <v>20</v>
      </c>
      <c r="CL221" s="105">
        <f ca="1">IFERROR(__xludf.DUMMYFUNCTION("""COMPUTED_VALUE"""),0)</f>
        <v>0</v>
      </c>
      <c r="CM221" s="96">
        <f t="shared" ca="1" si="20"/>
        <v>0</v>
      </c>
      <c r="CN221" s="106"/>
      <c r="CO221" s="93"/>
      <c r="CP221" s="107"/>
      <c r="CQ221" s="110"/>
      <c r="CR221" s="93"/>
      <c r="CS221" s="93"/>
      <c r="CT221" s="93"/>
      <c r="CU221" s="93"/>
      <c r="CV221" s="93"/>
      <c r="CW221" s="93"/>
      <c r="CX221" s="51"/>
      <c r="CY221" s="93"/>
      <c r="CZ221" s="93"/>
    </row>
    <row r="222" spans="1:104" ht="15.6">
      <c r="A222" s="1" t="s">
        <v>118</v>
      </c>
      <c r="B222" s="1" t="s">
        <v>436</v>
      </c>
      <c r="C222" s="1" t="s">
        <v>337</v>
      </c>
      <c r="D222" s="1" t="s">
        <v>499</v>
      </c>
      <c r="E222" s="1" t="s">
        <v>651</v>
      </c>
      <c r="F222" s="104">
        <v>45855</v>
      </c>
      <c r="G222" s="76">
        <v>0</v>
      </c>
      <c r="H222" s="76">
        <v>1500000</v>
      </c>
      <c r="I222" s="77">
        <v>0</v>
      </c>
      <c r="J222" s="77">
        <v>0</v>
      </c>
      <c r="K222" s="4">
        <v>5</v>
      </c>
      <c r="L222" s="4">
        <v>6</v>
      </c>
      <c r="M222" s="4">
        <v>1</v>
      </c>
      <c r="N222" s="4">
        <v>6</v>
      </c>
      <c r="O222" s="4">
        <v>0</v>
      </c>
      <c r="P222" s="77">
        <v>0</v>
      </c>
      <c r="Q222" s="77">
        <v>0</v>
      </c>
      <c r="R222" s="4">
        <v>0</v>
      </c>
      <c r="S222" s="4">
        <v>0</v>
      </c>
      <c r="T222" s="4">
        <v>0</v>
      </c>
      <c r="U222" s="4">
        <v>0</v>
      </c>
      <c r="V222" s="4">
        <v>26</v>
      </c>
      <c r="W222" s="4">
        <v>66</v>
      </c>
      <c r="X222" s="4">
        <v>4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6</v>
      </c>
      <c r="AE222" s="4">
        <v>18</v>
      </c>
      <c r="AF222" s="4">
        <v>90</v>
      </c>
      <c r="AG222" s="4">
        <v>17</v>
      </c>
      <c r="AH222" s="76">
        <f t="shared" si="1"/>
        <v>0</v>
      </c>
      <c r="AI222" s="76">
        <f t="shared" si="2"/>
        <v>5.2941176470588234</v>
      </c>
      <c r="AJ222" s="112">
        <v>48765</v>
      </c>
      <c r="AK222" s="76">
        <f t="shared" si="62"/>
        <v>47139.499999999993</v>
      </c>
      <c r="AL222" s="49"/>
      <c r="AM222" s="80" t="str">
        <f t="shared" si="4"/>
        <v/>
      </c>
      <c r="AN222" s="76" t="str">
        <f t="shared" si="5"/>
        <v/>
      </c>
      <c r="AO222" s="102">
        <f t="shared" si="115"/>
        <v>0</v>
      </c>
      <c r="AP222" s="82">
        <v>0</v>
      </c>
      <c r="AQ222" s="4">
        <v>0</v>
      </c>
      <c r="AR222" s="4">
        <v>146</v>
      </c>
      <c r="AS222" s="4">
        <v>0</v>
      </c>
      <c r="AT222" s="4">
        <v>0</v>
      </c>
      <c r="AU222" s="4">
        <v>0</v>
      </c>
      <c r="AV222" s="1">
        <v>0</v>
      </c>
      <c r="AW222" s="1">
        <v>6</v>
      </c>
      <c r="AX222" s="1">
        <v>0</v>
      </c>
      <c r="AY222" s="86" t="str">
        <f>IFERROR(VLOOKUP(C222,#REF!,13,0),"")</f>
        <v/>
      </c>
      <c r="AZ222" s="87">
        <v>46010</v>
      </c>
      <c r="BA222" s="1" t="str">
        <f t="shared" si="6"/>
        <v>LEFT</v>
      </c>
      <c r="BB222" s="1" t="e">
        <f t="shared" ca="1" si="7"/>
        <v>#NAME?</v>
      </c>
      <c r="BC222" s="1" t="e">
        <f t="shared" ca="1" si="123"/>
        <v>#NAME?</v>
      </c>
      <c r="BD222" s="134">
        <f>(30-19)/30+0.6</f>
        <v>0.96666666666666656</v>
      </c>
      <c r="BE222" s="88" t="str">
        <v/>
      </c>
      <c r="BF222" s="1">
        <f>11/30</f>
        <v>0.36666666666666664</v>
      </c>
      <c r="BG222" s="1" t="s">
        <v>428</v>
      </c>
      <c r="BH222" s="89"/>
      <c r="BI222" s="89"/>
      <c r="BJ222" s="140">
        <f>19/31</f>
        <v>0.61290322580645162</v>
      </c>
      <c r="BK222" s="91"/>
      <c r="BL222" s="91">
        <f t="shared" si="120"/>
        <v>0</v>
      </c>
      <c r="BM222" s="91">
        <f t="shared" si="11"/>
        <v>1500000</v>
      </c>
      <c r="BN222" s="91" t="s">
        <v>666</v>
      </c>
      <c r="BO222" s="92" t="str">
        <f ca="1">IFERROR(__xludf.DUMMYFUNCTION("IFERROR(ArrayFormula(SUM(VLOOKUP($C222,importrange(""1MwNMVzWE3QBVOyJjKr3eFX-Sq1Ng0Q1sghWJbgbE_8g"",""ORDER BOOKING REPORT 2024-25!C:CV""),{16,23,30},0))))"),"")</f>
        <v/>
      </c>
      <c r="BP222" s="92" t="str">
        <f ca="1">IFERROR(__xludf.DUMMYFUNCTION("IFERROR(ArrayFormula(SUM(VLOOKUP($C222,importrange(""1MwNMVzWE3QBVOyJjKr3eFX-Sq1Ng0Q1sghWJbgbE_8g"",""ORDER BOOKING REPORT 2024-25!C:CV""),{37,44,51},0))))"),"")</f>
        <v/>
      </c>
      <c r="BQ222" s="92" t="str">
        <f ca="1">IFERROR(__xludf.DUMMYFUNCTION("IFERROR(ArrayFormula(SUM(VLOOKUP($C222,importrange(""1MwNMVzWE3QBVOyJjKr3eFX-Sq1Ng0Q1sghWJbgbE_8g"",""ORDER BOOKING REPORT 2024-25!C:CV""),{58,65,72},0))))"),"")</f>
        <v/>
      </c>
      <c r="BR222" s="92" t="str">
        <f ca="1">IFERROR(__xludf.DUMMYFUNCTION("IFERROR(ArrayFormula(SUM(VLOOKUP($C222,importrange(""1MwNMVzWE3QBVOyJjKr3eFX-Sq1Ng0Q1sghWJbgbE_8g"",""ORDER BOOKING REPORT 2024-25!C:CV""),{79,86,93},0))))"),"")</f>
        <v/>
      </c>
      <c r="BS222" s="93" t="str">
        <f t="shared" si="12"/>
        <v/>
      </c>
      <c r="BT222" s="93" t="str">
        <f t="shared" si="13"/>
        <v/>
      </c>
      <c r="BU222" s="37">
        <f t="shared" si="14"/>
        <v>0</v>
      </c>
      <c r="BV222" s="94"/>
      <c r="BW222" s="94"/>
      <c r="BX222" s="94"/>
      <c r="BY222" s="37">
        <f t="shared" si="15"/>
        <v>-48765</v>
      </c>
      <c r="BZ222" s="37"/>
      <c r="CA222" s="37"/>
      <c r="CB222" s="37"/>
      <c r="CC222" s="37"/>
      <c r="CD222" s="37"/>
      <c r="CE222" s="37"/>
      <c r="CF222" s="37"/>
      <c r="CG222" s="37" t="str">
        <f t="shared" si="18"/>
        <v>Below 60</v>
      </c>
      <c r="CH222" s="37" t="str">
        <f t="shared" si="26"/>
        <v>Not 50%</v>
      </c>
      <c r="CI222" s="93">
        <f t="shared" si="19"/>
        <v>0</v>
      </c>
      <c r="CJ222" s="105">
        <f ca="1">IFERROR(__xludf.DUMMYFUNCTION("""COMPUTED_VALUE"""),0)</f>
        <v>0</v>
      </c>
      <c r="CK222" s="105">
        <f ca="1">IFERROR(__xludf.DUMMYFUNCTION("""COMPUTED_VALUE"""),18)</f>
        <v>18</v>
      </c>
      <c r="CL222" s="105">
        <f ca="1">IFERROR(__xludf.DUMMYFUNCTION("""COMPUTED_VALUE"""),0)</f>
        <v>0</v>
      </c>
      <c r="CM222" s="96">
        <f t="shared" ca="1" si="20"/>
        <v>0</v>
      </c>
      <c r="CN222" s="106"/>
      <c r="CO222" s="93"/>
      <c r="CP222" s="107"/>
      <c r="CQ222" s="110"/>
      <c r="CR222" s="93"/>
      <c r="CS222" s="93"/>
      <c r="CT222" s="93"/>
      <c r="CU222" s="93"/>
      <c r="CV222" s="93"/>
      <c r="CW222" s="93"/>
      <c r="CX222" s="51"/>
      <c r="CY222" s="93"/>
      <c r="CZ222" s="93"/>
    </row>
    <row r="223" spans="1:104" ht="15.6">
      <c r="A223" s="1" t="s">
        <v>154</v>
      </c>
      <c r="B223" s="1" t="s">
        <v>370</v>
      </c>
      <c r="C223" s="1" t="s">
        <v>338</v>
      </c>
      <c r="D223" s="1" t="s">
        <v>542</v>
      </c>
      <c r="E223" s="1" t="s">
        <v>374</v>
      </c>
      <c r="F223" s="104">
        <v>45979</v>
      </c>
      <c r="G223" s="76">
        <v>0</v>
      </c>
      <c r="H223" s="76">
        <v>3800000</v>
      </c>
      <c r="I223" s="77">
        <v>471673.53</v>
      </c>
      <c r="J223" s="77">
        <v>0</v>
      </c>
      <c r="K223" s="4">
        <v>33</v>
      </c>
      <c r="L223" s="4">
        <v>40</v>
      </c>
      <c r="M223" s="4">
        <v>7</v>
      </c>
      <c r="N223" s="4">
        <v>40</v>
      </c>
      <c r="O223" s="4">
        <v>0</v>
      </c>
      <c r="P223" s="77">
        <v>56896.77</v>
      </c>
      <c r="Q223" s="77">
        <v>414776.76</v>
      </c>
      <c r="R223" s="4">
        <v>2</v>
      </c>
      <c r="S223" s="4">
        <v>7</v>
      </c>
      <c r="T223" s="4">
        <v>9</v>
      </c>
      <c r="U223" s="4">
        <v>0</v>
      </c>
      <c r="V223" s="4">
        <v>153</v>
      </c>
      <c r="W223" s="4">
        <v>299</v>
      </c>
      <c r="X223" s="4">
        <v>2</v>
      </c>
      <c r="Y223" s="4">
        <v>3</v>
      </c>
      <c r="Z223" s="4">
        <v>87</v>
      </c>
      <c r="AA223" s="4">
        <v>0</v>
      </c>
      <c r="AB223" s="4">
        <v>0</v>
      </c>
      <c r="AC223" s="4">
        <v>2</v>
      </c>
      <c r="AD223" s="4">
        <v>2</v>
      </c>
      <c r="AE223" s="4">
        <v>213</v>
      </c>
      <c r="AF223" s="4">
        <v>601</v>
      </c>
      <c r="AG223" s="4">
        <v>99</v>
      </c>
      <c r="AH223" s="76">
        <f t="shared" si="1"/>
        <v>4764.3790909090912</v>
      </c>
      <c r="AI223" s="76">
        <f t="shared" si="2"/>
        <v>6.0707070707070709</v>
      </c>
      <c r="AJ223" s="112">
        <v>37740</v>
      </c>
      <c r="AK223" s="76">
        <f t="shared" si="62"/>
        <v>173604</v>
      </c>
      <c r="AL223" s="49">
        <v>25836</v>
      </c>
      <c r="AM223" s="80">
        <f t="shared" si="4"/>
        <v>0.42283483662947968</v>
      </c>
      <c r="AN223" s="76">
        <f t="shared" si="5"/>
        <v>52408.170000000006</v>
      </c>
      <c r="AO223" s="102">
        <f t="shared" si="115"/>
        <v>0.12412461315789475</v>
      </c>
      <c r="AP223" s="82">
        <v>0</v>
      </c>
      <c r="AQ223" s="4">
        <v>20</v>
      </c>
      <c r="AR223" s="4">
        <v>920</v>
      </c>
      <c r="AS223" s="4">
        <v>1385.95</v>
      </c>
      <c r="AT223" s="4">
        <v>7</v>
      </c>
      <c r="AU223" s="4">
        <v>35</v>
      </c>
      <c r="AV223" s="1">
        <v>9</v>
      </c>
      <c r="AW223" s="1">
        <v>31</v>
      </c>
      <c r="AX223" s="1">
        <v>0</v>
      </c>
      <c r="AY223" s="86" t="str">
        <f>IFERROR(VLOOKUP(C223,#REF!,13,0),"")</f>
        <v/>
      </c>
      <c r="AZ223" s="87"/>
      <c r="BA223" s="1" t="str">
        <f t="shared" si="6"/>
        <v>Active</v>
      </c>
      <c r="BB223" s="1" t="e">
        <f t="shared" ca="1" si="7"/>
        <v>#NAME?</v>
      </c>
      <c r="BC223" s="1" t="e">
        <f t="shared" ca="1" si="123"/>
        <v>#NAME?</v>
      </c>
      <c r="BD223" s="134">
        <f>(30-12)/30+1+1+1+1</f>
        <v>4.5999999999999996</v>
      </c>
      <c r="BE223" s="88" t="str">
        <v/>
      </c>
      <c r="BF223" s="1">
        <f>12/30</f>
        <v>0.4</v>
      </c>
      <c r="BG223" s="1" t="s">
        <v>428</v>
      </c>
      <c r="BH223" s="89"/>
      <c r="BI223" s="89"/>
      <c r="BJ223" s="140"/>
      <c r="BK223" s="91"/>
      <c r="BL223" s="91">
        <f t="shared" si="120"/>
        <v>0</v>
      </c>
      <c r="BM223" s="91">
        <f t="shared" si="11"/>
        <v>3800000</v>
      </c>
      <c r="BN223" s="91"/>
      <c r="BO223" s="92" t="str">
        <f ca="1">IFERROR(__xludf.DUMMYFUNCTION("IFERROR(ArrayFormula(SUM(VLOOKUP($C223,importrange(""1MwNMVzWE3QBVOyJjKr3eFX-Sq1Ng0Q1sghWJbgbE_8g"",""ORDER BOOKING REPORT 2024-25!C:CV""),{16,23,30},0))))"),"")</f>
        <v/>
      </c>
      <c r="BP223" s="92" t="str">
        <f ca="1">IFERROR(__xludf.DUMMYFUNCTION("IFERROR(ArrayFormula(SUM(VLOOKUP($C223,importrange(""1MwNMVzWE3QBVOyJjKr3eFX-Sq1Ng0Q1sghWJbgbE_8g"",""ORDER BOOKING REPORT 2024-25!C:CV""),{37,44,51},0))))"),"")</f>
        <v/>
      </c>
      <c r="BQ223" s="92" t="str">
        <f ca="1">IFERROR(__xludf.DUMMYFUNCTION("IFERROR(ArrayFormula(SUM(VLOOKUP($C223,importrange(""1MwNMVzWE3QBVOyJjKr3eFX-Sq1Ng0Q1sghWJbgbE_8g"",""ORDER BOOKING REPORT 2024-25!C:CV""),{58,65,72},0))))"),"")</f>
        <v/>
      </c>
      <c r="BR223" s="92" t="str">
        <f ca="1">IFERROR(__xludf.DUMMYFUNCTION("IFERROR(ArrayFormula(SUM(VLOOKUP($C223,importrange(""1MwNMVzWE3QBVOyJjKr3eFX-Sq1Ng0Q1sghWJbgbE_8g"",""ORDER BOOKING REPORT 2024-25!C:CV""),{79,86,93},0))))"),"")</f>
        <v/>
      </c>
      <c r="BS223" s="93" t="str">
        <f t="shared" si="12"/>
        <v/>
      </c>
      <c r="BT223" s="93" t="str">
        <f t="shared" si="13"/>
        <v/>
      </c>
      <c r="BU223" s="37">
        <f t="shared" si="14"/>
        <v>0</v>
      </c>
      <c r="BV223" s="94"/>
      <c r="BW223" s="94"/>
      <c r="BX223" s="94"/>
      <c r="BY223" s="37">
        <f t="shared" si="15"/>
        <v>-37740</v>
      </c>
      <c r="BZ223" s="37"/>
      <c r="CA223" s="37"/>
      <c r="CB223" s="37"/>
      <c r="CC223" s="37"/>
      <c r="CD223" s="37"/>
      <c r="CE223" s="37"/>
      <c r="CF223" s="37"/>
      <c r="CG223" s="37" t="str">
        <f t="shared" si="18"/>
        <v>Below 60</v>
      </c>
      <c r="CH223" s="37" t="str">
        <f t="shared" si="26"/>
        <v>Not 50%</v>
      </c>
      <c r="CI223" s="93">
        <f t="shared" si="19"/>
        <v>0.22500000000000001</v>
      </c>
      <c r="CJ223" s="105">
        <f ca="1">IFERROR(__xludf.DUMMYFUNCTION("""COMPUTED_VALUE"""),133)</f>
        <v>133</v>
      </c>
      <c r="CK223" s="105">
        <f ca="1">IFERROR(__xludf.DUMMYFUNCTION("""COMPUTED_VALUE"""),80)</f>
        <v>80</v>
      </c>
      <c r="CL223" s="105">
        <f ca="1">IFERROR(__xludf.DUMMYFUNCTION("""COMPUTED_VALUE"""),0)</f>
        <v>0</v>
      </c>
      <c r="CM223" s="96">
        <f t="shared" ca="1" si="20"/>
        <v>0</v>
      </c>
      <c r="CN223" s="106"/>
      <c r="CO223" s="93"/>
      <c r="CP223" s="107"/>
      <c r="CQ223" s="110"/>
      <c r="CR223" s="93"/>
      <c r="CS223" s="93"/>
      <c r="CT223" s="93"/>
      <c r="CU223" s="93"/>
      <c r="CV223" s="93"/>
      <c r="CW223" s="93"/>
      <c r="CX223" s="51"/>
      <c r="CY223" s="93"/>
      <c r="CZ223" s="93"/>
    </row>
    <row r="224" spans="1:104" ht="15.6">
      <c r="A224" s="1" t="s">
        <v>136</v>
      </c>
      <c r="B224" s="1" t="s">
        <v>421</v>
      </c>
      <c r="C224" s="1" t="s">
        <v>244</v>
      </c>
      <c r="D224" s="1" t="s">
        <v>421</v>
      </c>
      <c r="E224" s="1" t="s">
        <v>427</v>
      </c>
      <c r="F224" s="104">
        <v>45964</v>
      </c>
      <c r="G224" s="76">
        <v>2000000</v>
      </c>
      <c r="H224" s="76">
        <v>1500000</v>
      </c>
      <c r="I224" s="77">
        <v>813537.4</v>
      </c>
      <c r="J224" s="77">
        <v>1001151.83</v>
      </c>
      <c r="K224" s="4">
        <v>19</v>
      </c>
      <c r="L224" s="4">
        <v>26</v>
      </c>
      <c r="M224" s="4">
        <v>10</v>
      </c>
      <c r="N224" s="4">
        <v>29</v>
      </c>
      <c r="O224" s="4">
        <v>3</v>
      </c>
      <c r="P224" s="77">
        <v>407534</v>
      </c>
      <c r="Q224" s="77">
        <v>406003.4</v>
      </c>
      <c r="R224" s="4">
        <v>9</v>
      </c>
      <c r="S224" s="4">
        <v>7</v>
      </c>
      <c r="T224" s="4">
        <v>16</v>
      </c>
      <c r="U224" s="4">
        <v>4</v>
      </c>
      <c r="V224" s="4">
        <v>164</v>
      </c>
      <c r="W224" s="4">
        <v>276</v>
      </c>
      <c r="X224" s="4">
        <v>180</v>
      </c>
      <c r="Y224" s="4">
        <v>4</v>
      </c>
      <c r="Z224" s="4">
        <v>63</v>
      </c>
      <c r="AA224" s="4">
        <v>5</v>
      </c>
      <c r="AB224" s="4">
        <v>45</v>
      </c>
      <c r="AC224" s="4">
        <v>5</v>
      </c>
      <c r="AD224" s="4">
        <v>9</v>
      </c>
      <c r="AE224" s="4">
        <v>96</v>
      </c>
      <c r="AF224" s="4">
        <v>489</v>
      </c>
      <c r="AG224" s="4">
        <v>105</v>
      </c>
      <c r="AH224" s="76">
        <f t="shared" si="1"/>
        <v>17282.75457142857</v>
      </c>
      <c r="AI224" s="76">
        <f t="shared" si="2"/>
        <v>4.6571428571428575</v>
      </c>
      <c r="AJ224" s="112">
        <v>27260</v>
      </c>
      <c r="AK224" s="76">
        <f t="shared" si="62"/>
        <v>133574</v>
      </c>
      <c r="AL224" s="49">
        <v>21673</v>
      </c>
      <c r="AM224" s="80">
        <f t="shared" si="4"/>
        <v>8.5550185361490241E-2</v>
      </c>
      <c r="AN224" s="76">
        <f t="shared" si="5"/>
        <v>50846.087500000001</v>
      </c>
      <c r="AO224" s="102">
        <f t="shared" si="115"/>
        <v>0.51848263714285714</v>
      </c>
      <c r="AP224" s="82">
        <v>0.5</v>
      </c>
      <c r="AQ224" s="4">
        <v>38</v>
      </c>
      <c r="AR224" s="4">
        <v>794</v>
      </c>
      <c r="AS224" s="4">
        <v>987.21</v>
      </c>
      <c r="AT224" s="4">
        <v>7</v>
      </c>
      <c r="AU224" s="4">
        <v>38</v>
      </c>
      <c r="AV224" s="1">
        <v>16</v>
      </c>
      <c r="AW224" s="1">
        <v>10</v>
      </c>
      <c r="AX224" s="1">
        <v>3</v>
      </c>
      <c r="AY224" s="86" t="str">
        <f>IFERROR(VLOOKUP(C224,#REF!,13,0),"")</f>
        <v/>
      </c>
      <c r="AZ224" s="87"/>
      <c r="BA224" s="1" t="str">
        <f t="shared" si="6"/>
        <v>Active</v>
      </c>
      <c r="BB224" s="1" t="e">
        <f t="shared" ca="1" si="7"/>
        <v>#NAME?</v>
      </c>
      <c r="BC224" s="1" t="e">
        <f t="shared" ca="1" si="123"/>
        <v>#NAME?</v>
      </c>
      <c r="BD224" s="134">
        <f>(27/30)+1+1+1+1</f>
        <v>4.9000000000000004</v>
      </c>
      <c r="BE224" s="88" t="str">
        <v/>
      </c>
      <c r="BF224" s="1"/>
      <c r="BG224" s="1" t="s">
        <v>428</v>
      </c>
      <c r="BH224" s="89">
        <f ca="1">IFERROR(__xludf.DUMMYFUNCTION("""COMPUTED_VALUE"""),1935310)</f>
        <v>1935310</v>
      </c>
      <c r="BI224" s="89">
        <f ca="1">IFERROR(__xludf.DUMMYFUNCTION("""COMPUTED_VALUE"""),2053061.53)</f>
        <v>2053061.53</v>
      </c>
      <c r="BJ224" s="140"/>
      <c r="BK224" s="91">
        <v>400000</v>
      </c>
      <c r="BL224" s="91">
        <f>BK224*5</f>
        <v>2000000</v>
      </c>
      <c r="BM224" s="91">
        <f t="shared" si="11"/>
        <v>3500000</v>
      </c>
      <c r="BN224" s="91"/>
      <c r="BO224" s="92"/>
      <c r="BP224" s="92"/>
      <c r="BQ224" s="92"/>
      <c r="BR224" s="92"/>
      <c r="BS224" s="93" t="str">
        <f t="shared" si="12"/>
        <v/>
      </c>
      <c r="BT224" s="93"/>
      <c r="BU224" s="37">
        <f t="shared" si="14"/>
        <v>0</v>
      </c>
      <c r="BV224" s="94"/>
      <c r="BW224" s="94"/>
      <c r="BX224" s="94"/>
      <c r="BY224" s="37">
        <f t="shared" si="15"/>
        <v>-27260</v>
      </c>
      <c r="BZ224" s="37"/>
      <c r="CA224" s="37"/>
      <c r="CB224" s="37"/>
      <c r="CC224" s="37"/>
      <c r="CD224" s="37"/>
      <c r="CE224" s="37"/>
      <c r="CF224" s="37"/>
      <c r="CG224" s="37" t="str">
        <f t="shared" si="18"/>
        <v>Below 60</v>
      </c>
      <c r="CH224" s="37" t="str">
        <f t="shared" si="26"/>
        <v>Business Achieved 50%</v>
      </c>
      <c r="CI224" s="93">
        <f t="shared" si="19"/>
        <v>0.55172413793103448</v>
      </c>
      <c r="CJ224" s="105">
        <f ca="1">IFERROR(__xludf.DUMMYFUNCTION("""COMPUTED_VALUE"""),66)</f>
        <v>66</v>
      </c>
      <c r="CK224" s="105">
        <f ca="1">IFERROR(__xludf.DUMMYFUNCTION("""COMPUTED_VALUE"""),30)</f>
        <v>30</v>
      </c>
      <c r="CL224" s="105">
        <f ca="1">IFERROR(__xludf.DUMMYFUNCTION("""COMPUTED_VALUE"""),0)</f>
        <v>0</v>
      </c>
      <c r="CM224" s="96">
        <f t="shared" ca="1" si="20"/>
        <v>0</v>
      </c>
      <c r="CN224" s="106"/>
      <c r="CO224" s="93"/>
      <c r="CP224" s="107"/>
      <c r="CQ224" s="110"/>
      <c r="CR224" s="93"/>
      <c r="CS224" s="93"/>
      <c r="CT224" s="93"/>
      <c r="CU224" s="93"/>
      <c r="CV224" s="93"/>
      <c r="CW224" s="93"/>
      <c r="CX224" s="51"/>
      <c r="CY224" s="93"/>
      <c r="CZ224" s="93"/>
    </row>
    <row r="225" spans="1:104" ht="15.6">
      <c r="A225" s="1" t="s">
        <v>154</v>
      </c>
      <c r="B225" s="1" t="s">
        <v>367</v>
      </c>
      <c r="C225" s="1" t="s">
        <v>339</v>
      </c>
      <c r="D225" s="1" t="s">
        <v>577</v>
      </c>
      <c r="E225" s="1" t="s">
        <v>377</v>
      </c>
      <c r="F225" s="104">
        <v>45992</v>
      </c>
      <c r="G225" s="76">
        <v>0</v>
      </c>
      <c r="H225" s="76">
        <v>2400000</v>
      </c>
      <c r="I225" s="77">
        <v>634214.71</v>
      </c>
      <c r="J225" s="77">
        <v>0</v>
      </c>
      <c r="K225" s="4">
        <v>10</v>
      </c>
      <c r="L225" s="4">
        <v>20</v>
      </c>
      <c r="M225" s="4">
        <v>10</v>
      </c>
      <c r="N225" s="4">
        <v>20</v>
      </c>
      <c r="O225" s="4">
        <v>0</v>
      </c>
      <c r="P225" s="77">
        <v>101158.23</v>
      </c>
      <c r="Q225" s="77">
        <v>533056.48</v>
      </c>
      <c r="R225" s="4">
        <v>1</v>
      </c>
      <c r="S225" s="4">
        <v>10</v>
      </c>
      <c r="T225" s="4">
        <v>11</v>
      </c>
      <c r="U225" s="4">
        <v>0</v>
      </c>
      <c r="V225" s="4">
        <v>288</v>
      </c>
      <c r="W225" s="4">
        <v>575</v>
      </c>
      <c r="X225" s="4">
        <v>7</v>
      </c>
      <c r="Y225" s="4">
        <v>3</v>
      </c>
      <c r="Z225" s="4">
        <v>33</v>
      </c>
      <c r="AA225" s="4">
        <v>0</v>
      </c>
      <c r="AB225" s="4">
        <v>0</v>
      </c>
      <c r="AC225" s="4">
        <v>3</v>
      </c>
      <c r="AD225" s="4">
        <v>13</v>
      </c>
      <c r="AE225" s="4">
        <v>96</v>
      </c>
      <c r="AF225" s="4">
        <v>717</v>
      </c>
      <c r="AG225" s="4">
        <v>91</v>
      </c>
      <c r="AH225" s="76">
        <f t="shared" si="1"/>
        <v>6969.3924175824168</v>
      </c>
      <c r="AI225" s="76">
        <f t="shared" si="2"/>
        <v>7.8791208791208796</v>
      </c>
      <c r="AJ225" s="112">
        <v>28834</v>
      </c>
      <c r="AK225" s="76">
        <f t="shared" si="62"/>
        <v>115336</v>
      </c>
      <c r="AL225" s="79">
        <v>38742</v>
      </c>
      <c r="AM225" s="80">
        <f t="shared" si="4"/>
        <v>0.24294296169825516</v>
      </c>
      <c r="AN225" s="76">
        <f t="shared" si="5"/>
        <v>57655.882727272721</v>
      </c>
      <c r="AO225" s="102">
        <f t="shared" si="115"/>
        <v>0.26425612916666663</v>
      </c>
      <c r="AP225" s="82">
        <v>0</v>
      </c>
      <c r="AQ225" s="4">
        <v>15</v>
      </c>
      <c r="AR225" s="4">
        <v>879</v>
      </c>
      <c r="AS225" s="4">
        <v>3258.35</v>
      </c>
      <c r="AT225" s="4">
        <v>10</v>
      </c>
      <c r="AU225" s="4">
        <v>163</v>
      </c>
      <c r="AV225" s="1">
        <v>11</v>
      </c>
      <c r="AW225" s="1">
        <v>9</v>
      </c>
      <c r="AX225" s="1">
        <v>0</v>
      </c>
      <c r="AY225" s="86" t="str">
        <f>IFERROR(VLOOKUP(C225,#REF!,13,0),"")</f>
        <v/>
      </c>
      <c r="AZ225" s="87"/>
      <c r="BA225" s="1" t="str">
        <f t="shared" si="6"/>
        <v>Active</v>
      </c>
      <c r="BB225" s="1" t="e">
        <f t="shared" ca="1" si="7"/>
        <v>#NAME?</v>
      </c>
      <c r="BC225" s="1" t="e">
        <f t="shared" ca="1" si="123"/>
        <v>#NAME?</v>
      </c>
      <c r="BD225" s="86">
        <v>4</v>
      </c>
      <c r="BE225" s="88" t="str">
        <v/>
      </c>
      <c r="BF225" s="1"/>
      <c r="BG225" s="1" t="s">
        <v>428</v>
      </c>
      <c r="BH225" s="89"/>
      <c r="BI225" s="89"/>
      <c r="BJ225" s="140"/>
      <c r="BK225" s="91"/>
      <c r="BL225" s="91">
        <f t="shared" ref="BL225:BL226" si="129">BK225*BD225</f>
        <v>0</v>
      </c>
      <c r="BM225" s="91">
        <f t="shared" si="11"/>
        <v>2400000</v>
      </c>
      <c r="BN225" s="91"/>
      <c r="BO225" s="92" t="str">
        <f ca="1">IFERROR(__xludf.DUMMYFUNCTION("IFERROR(ArrayFormula(SUM(VLOOKUP($C225,importrange(""1MwNMVzWE3QBVOyJjKr3eFX-Sq1Ng0Q1sghWJbgbE_8g"",""ORDER BOOKING REPORT 2024-25!C:CV""),{16,23,30},0))))"),"")</f>
        <v/>
      </c>
      <c r="BP225" s="92" t="str">
        <f ca="1">IFERROR(__xludf.DUMMYFUNCTION("IFERROR(ArrayFormula(SUM(VLOOKUP($C225,importrange(""1MwNMVzWE3QBVOyJjKr3eFX-Sq1Ng0Q1sghWJbgbE_8g"",""ORDER BOOKING REPORT 2024-25!C:CV""),{37,44,51},0))))"),"")</f>
        <v/>
      </c>
      <c r="BQ225" s="92" t="str">
        <f ca="1">IFERROR(__xludf.DUMMYFUNCTION("IFERROR(ArrayFormula(SUM(VLOOKUP($C225,importrange(""1MwNMVzWE3QBVOyJjKr3eFX-Sq1Ng0Q1sghWJbgbE_8g"",""ORDER BOOKING REPORT 2024-25!C:CV""),{58,65,72},0))))"),"")</f>
        <v/>
      </c>
      <c r="BR225" s="92" t="str">
        <f ca="1">IFERROR(__xludf.DUMMYFUNCTION("IFERROR(ArrayFormula(SUM(VLOOKUP($C225,importrange(""1MwNMVzWE3QBVOyJjKr3eFX-Sq1Ng0Q1sghWJbgbE_8g"",""ORDER BOOKING REPORT 2024-25!C:CV""),{79,86,93},0))))"),"")</f>
        <v/>
      </c>
      <c r="BS225" s="93" t="str">
        <f t="shared" si="12"/>
        <v/>
      </c>
      <c r="BT225" s="93" t="str">
        <f t="shared" ref="BT225:BT243" si="130">IFERROR(SUM(AK225:AL225)/AY225,"")</f>
        <v/>
      </c>
      <c r="BU225" s="37">
        <f t="shared" si="14"/>
        <v>0</v>
      </c>
      <c r="BV225" s="94"/>
      <c r="BW225" s="94"/>
      <c r="BX225" s="94"/>
      <c r="BY225" s="37">
        <f t="shared" si="15"/>
        <v>-28834</v>
      </c>
      <c r="BZ225" s="37"/>
      <c r="CA225" s="37"/>
      <c r="CB225" s="37"/>
      <c r="CC225" s="37"/>
      <c r="CD225" s="37"/>
      <c r="CE225" s="37"/>
      <c r="CF225" s="37"/>
      <c r="CG225" s="37" t="str">
        <f t="shared" si="18"/>
        <v>Below 60</v>
      </c>
      <c r="CH225" s="37" t="str">
        <f t="shared" si="26"/>
        <v>Business Achieved 50%</v>
      </c>
      <c r="CI225" s="93">
        <f t="shared" si="19"/>
        <v>0.55000000000000004</v>
      </c>
      <c r="CJ225" s="95">
        <f ca="1">IFERROR(__xludf.DUMMYFUNCTION("""COMPUTED_VALUE"""),81)</f>
        <v>81</v>
      </c>
      <c r="CK225" s="95">
        <f ca="1">IFERROR(__xludf.DUMMYFUNCTION("""COMPUTED_VALUE"""),15)</f>
        <v>15</v>
      </c>
      <c r="CL225" s="95">
        <f ca="1">IFERROR(__xludf.DUMMYFUNCTION("""COMPUTED_VALUE"""),0)</f>
        <v>0</v>
      </c>
      <c r="CM225" s="96">
        <f t="shared" ca="1" si="20"/>
        <v>0</v>
      </c>
      <c r="CN225" s="103"/>
      <c r="CO225" s="4"/>
      <c r="CP225" s="100"/>
      <c r="CQ225" s="101"/>
      <c r="CR225" s="4"/>
      <c r="CS225" s="4"/>
      <c r="CT225" s="4"/>
      <c r="CU225" s="4"/>
      <c r="CV225" s="4"/>
      <c r="CW225" s="101"/>
      <c r="CX225" s="51"/>
      <c r="CY225" s="4"/>
      <c r="CZ225" s="4"/>
    </row>
    <row r="226" spans="1:104" ht="15.6">
      <c r="A226" s="1" t="s">
        <v>154</v>
      </c>
      <c r="B226" s="1" t="s">
        <v>370</v>
      </c>
      <c r="C226" s="1" t="s">
        <v>340</v>
      </c>
      <c r="D226" s="1" t="s">
        <v>542</v>
      </c>
      <c r="E226" s="1" t="s">
        <v>376</v>
      </c>
      <c r="F226" s="104">
        <v>45992</v>
      </c>
      <c r="G226" s="76">
        <v>0</v>
      </c>
      <c r="H226" s="76">
        <v>2000000</v>
      </c>
      <c r="I226" s="77">
        <v>0</v>
      </c>
      <c r="J226" s="77">
        <v>0</v>
      </c>
      <c r="K226" s="4">
        <v>37</v>
      </c>
      <c r="L226" s="4">
        <v>38</v>
      </c>
      <c r="M226" s="4">
        <v>2</v>
      </c>
      <c r="N226" s="4">
        <v>39</v>
      </c>
      <c r="O226" s="4">
        <v>1</v>
      </c>
      <c r="P226" s="77">
        <v>0</v>
      </c>
      <c r="Q226" s="77">
        <v>0</v>
      </c>
      <c r="R226" s="4">
        <v>0</v>
      </c>
      <c r="S226" s="4">
        <v>0</v>
      </c>
      <c r="T226" s="4">
        <v>0</v>
      </c>
      <c r="U226" s="4">
        <v>0</v>
      </c>
      <c r="V226" s="4">
        <v>168</v>
      </c>
      <c r="W226" s="4">
        <v>400</v>
      </c>
      <c r="X226" s="4">
        <v>3</v>
      </c>
      <c r="Y226" s="4">
        <v>2</v>
      </c>
      <c r="Z226" s="4">
        <v>6</v>
      </c>
      <c r="AA226" s="4">
        <v>0</v>
      </c>
      <c r="AB226" s="4">
        <v>0</v>
      </c>
      <c r="AC226" s="4">
        <v>5</v>
      </c>
      <c r="AD226" s="4">
        <v>8</v>
      </c>
      <c r="AE226" s="4">
        <v>85</v>
      </c>
      <c r="AF226" s="4">
        <v>499</v>
      </c>
      <c r="AG226" s="4">
        <v>91</v>
      </c>
      <c r="AH226" s="76">
        <f t="shared" si="1"/>
        <v>0</v>
      </c>
      <c r="AI226" s="76">
        <f t="shared" si="2"/>
        <v>5.4835164835164836</v>
      </c>
      <c r="AJ226" s="112">
        <v>24116</v>
      </c>
      <c r="AK226" s="76">
        <f t="shared" si="62"/>
        <v>96464</v>
      </c>
      <c r="AL226" s="49">
        <v>38418</v>
      </c>
      <c r="AM226" s="80" t="str">
        <f t="shared" si="4"/>
        <v/>
      </c>
      <c r="AN226" s="76" t="str">
        <f t="shared" si="5"/>
        <v/>
      </c>
      <c r="AO226" s="102">
        <f t="shared" si="115"/>
        <v>0</v>
      </c>
      <c r="AP226" s="82">
        <v>0</v>
      </c>
      <c r="AQ226" s="4">
        <v>0</v>
      </c>
      <c r="AR226" s="4">
        <v>812</v>
      </c>
      <c r="AS226" s="4">
        <v>2250.4899999999998</v>
      </c>
      <c r="AT226" s="4">
        <v>0</v>
      </c>
      <c r="AU226" s="4">
        <v>59</v>
      </c>
      <c r="AV226" s="1">
        <v>0</v>
      </c>
      <c r="AW226" s="1">
        <v>38</v>
      </c>
      <c r="AX226" s="1">
        <v>1</v>
      </c>
      <c r="AY226" s="86" t="str">
        <f>IFERROR(VLOOKUP(C226,#REF!,13,0),"")</f>
        <v/>
      </c>
      <c r="AZ226" s="87"/>
      <c r="BA226" s="1" t="str">
        <f t="shared" si="6"/>
        <v>Active</v>
      </c>
      <c r="BB226" s="1" t="e">
        <f t="shared" ca="1" si="7"/>
        <v>#NAME?</v>
      </c>
      <c r="BC226" s="1" t="e">
        <f t="shared" ca="1" si="123"/>
        <v>#NAME?</v>
      </c>
      <c r="BD226" s="86">
        <v>4</v>
      </c>
      <c r="BE226" s="88" t="str">
        <v/>
      </c>
      <c r="BF226" s="1"/>
      <c r="BG226" s="1" t="s">
        <v>428</v>
      </c>
      <c r="BH226" s="89"/>
      <c r="BI226" s="89"/>
      <c r="BJ226" s="140"/>
      <c r="BK226" s="91"/>
      <c r="BL226" s="91">
        <f t="shared" si="129"/>
        <v>0</v>
      </c>
      <c r="BM226" s="91">
        <f t="shared" si="11"/>
        <v>2000000</v>
      </c>
      <c r="BN226" s="91"/>
      <c r="BO226" s="92" t="str">
        <f ca="1">IFERROR(__xludf.DUMMYFUNCTION("IFERROR(ArrayFormula(SUM(VLOOKUP($C226,importrange(""1MwNMVzWE3QBVOyJjKr3eFX-Sq1Ng0Q1sghWJbgbE_8g"",""ORDER BOOKING REPORT 2024-25!C:CV""),{16,23,30},0))))"),"")</f>
        <v/>
      </c>
      <c r="BP226" s="92" t="str">
        <f ca="1">IFERROR(__xludf.DUMMYFUNCTION("IFERROR(ArrayFormula(SUM(VLOOKUP($C226,importrange(""1MwNMVzWE3QBVOyJjKr3eFX-Sq1Ng0Q1sghWJbgbE_8g"",""ORDER BOOKING REPORT 2024-25!C:CV""),{37,44,51},0))))"),"")</f>
        <v/>
      </c>
      <c r="BQ226" s="92" t="str">
        <f ca="1">IFERROR(__xludf.DUMMYFUNCTION("IFERROR(ArrayFormula(SUM(VLOOKUP($C226,importrange(""1MwNMVzWE3QBVOyJjKr3eFX-Sq1Ng0Q1sghWJbgbE_8g"",""ORDER BOOKING REPORT 2024-25!C:CV""),{58,65,72},0))))"),"")</f>
        <v/>
      </c>
      <c r="BR226" s="92" t="str">
        <f ca="1">IFERROR(__xludf.DUMMYFUNCTION("IFERROR(ArrayFormula(SUM(VLOOKUP($C226,importrange(""1MwNMVzWE3QBVOyJjKr3eFX-Sq1Ng0Q1sghWJbgbE_8g"",""ORDER BOOKING REPORT 2024-25!C:CV""),{79,86,93},0))))"),"")</f>
        <v/>
      </c>
      <c r="BS226" s="93" t="str">
        <f t="shared" si="12"/>
        <v/>
      </c>
      <c r="BT226" s="93" t="str">
        <f t="shared" si="130"/>
        <v/>
      </c>
      <c r="BU226" s="37">
        <f t="shared" si="14"/>
        <v>0</v>
      </c>
      <c r="BV226" s="94"/>
      <c r="BW226" s="94"/>
      <c r="BX226" s="94"/>
      <c r="BY226" s="37">
        <f t="shared" si="15"/>
        <v>-24116</v>
      </c>
      <c r="BZ226" s="37"/>
      <c r="CA226" s="37"/>
      <c r="CB226" s="37"/>
      <c r="CC226" s="37"/>
      <c r="CD226" s="37"/>
      <c r="CE226" s="37"/>
      <c r="CF226" s="37"/>
      <c r="CG226" s="37" t="str">
        <f t="shared" si="18"/>
        <v>Below 60</v>
      </c>
      <c r="CH226" s="37" t="str">
        <f t="shared" si="26"/>
        <v>Not 50%</v>
      </c>
      <c r="CI226" s="93">
        <f t="shared" si="19"/>
        <v>0</v>
      </c>
      <c r="CJ226" s="105">
        <f ca="1">IFERROR(__xludf.DUMMYFUNCTION("""COMPUTED_VALUE"""),0)</f>
        <v>0</v>
      </c>
      <c r="CK226" s="105">
        <f ca="1">IFERROR(__xludf.DUMMYFUNCTION("""COMPUTED_VALUE"""),85)</f>
        <v>85</v>
      </c>
      <c r="CL226" s="105">
        <f ca="1">IFERROR(__xludf.DUMMYFUNCTION("""COMPUTED_VALUE"""),0)</f>
        <v>0</v>
      </c>
      <c r="CM226" s="96">
        <f t="shared" ca="1" si="20"/>
        <v>0</v>
      </c>
      <c r="CN226" s="106"/>
      <c r="CO226" s="93"/>
      <c r="CP226" s="107"/>
      <c r="CQ226" s="110"/>
      <c r="CR226" s="93"/>
      <c r="CS226" s="93"/>
      <c r="CT226" s="93"/>
      <c r="CU226" s="93"/>
      <c r="CV226" s="93"/>
      <c r="CW226" s="93"/>
      <c r="CX226" s="51"/>
      <c r="CY226" s="93"/>
      <c r="CZ226" s="93"/>
    </row>
    <row r="227" spans="1:104" ht="15.6">
      <c r="A227" s="1" t="s">
        <v>201</v>
      </c>
      <c r="B227" s="1" t="s">
        <v>469</v>
      </c>
      <c r="C227" s="1" t="s">
        <v>341</v>
      </c>
      <c r="D227" s="1" t="s">
        <v>470</v>
      </c>
      <c r="E227" s="1" t="s">
        <v>584</v>
      </c>
      <c r="F227" s="104">
        <v>45999</v>
      </c>
      <c r="G227" s="76">
        <v>0</v>
      </c>
      <c r="H227" s="76">
        <v>6000000</v>
      </c>
      <c r="I227" s="77">
        <v>1356219.94</v>
      </c>
      <c r="J227" s="77">
        <v>0</v>
      </c>
      <c r="K227" s="4">
        <v>2</v>
      </c>
      <c r="L227" s="4">
        <v>30</v>
      </c>
      <c r="M227" s="4">
        <v>28</v>
      </c>
      <c r="N227" s="4">
        <v>30</v>
      </c>
      <c r="O227" s="4">
        <v>0</v>
      </c>
      <c r="P227" s="77">
        <v>0.01</v>
      </c>
      <c r="Q227" s="77">
        <v>1356219.93</v>
      </c>
      <c r="R227" s="4">
        <v>0</v>
      </c>
      <c r="S227" s="4">
        <v>28</v>
      </c>
      <c r="T227" s="4">
        <v>28</v>
      </c>
      <c r="U227" s="4">
        <v>0</v>
      </c>
      <c r="V227" s="4">
        <v>104</v>
      </c>
      <c r="W227" s="4">
        <v>239</v>
      </c>
      <c r="X227" s="4">
        <v>1</v>
      </c>
      <c r="Y227" s="4">
        <v>1</v>
      </c>
      <c r="Z227" s="4">
        <v>6</v>
      </c>
      <c r="AA227" s="4">
        <v>1</v>
      </c>
      <c r="AB227" s="4">
        <v>7</v>
      </c>
      <c r="AC227" s="4">
        <v>0</v>
      </c>
      <c r="AD227" s="4">
        <v>0</v>
      </c>
      <c r="AE227" s="4">
        <v>212</v>
      </c>
      <c r="AF227" s="4">
        <v>464</v>
      </c>
      <c r="AG227" s="4">
        <v>84</v>
      </c>
      <c r="AH227" s="76">
        <f t="shared" si="1"/>
        <v>16145.475476190475</v>
      </c>
      <c r="AI227" s="76">
        <f t="shared" si="2"/>
        <v>5.5238095238095237</v>
      </c>
      <c r="AJ227" s="112">
        <v>32500</v>
      </c>
      <c r="AK227" s="76">
        <f t="shared" si="62"/>
        <v>121612.90322580645</v>
      </c>
      <c r="AL227" s="49">
        <v>48642</v>
      </c>
      <c r="AM227" s="80">
        <f t="shared" si="4"/>
        <v>0.12553635159339013</v>
      </c>
      <c r="AN227" s="76">
        <f t="shared" si="5"/>
        <v>48436.426428571423</v>
      </c>
      <c r="AO227" s="102">
        <f t="shared" si="115"/>
        <v>0.22603665666666667</v>
      </c>
      <c r="AP227" s="82">
        <v>0</v>
      </c>
      <c r="AQ227" s="4">
        <v>62</v>
      </c>
      <c r="AR227" s="4">
        <v>748</v>
      </c>
      <c r="AS227" s="4">
        <v>2705.63</v>
      </c>
      <c r="AT227" s="4">
        <v>28</v>
      </c>
      <c r="AU227" s="4">
        <v>90</v>
      </c>
      <c r="AV227" s="1">
        <v>28</v>
      </c>
      <c r="AW227" s="1">
        <v>2</v>
      </c>
      <c r="AX227" s="1">
        <v>0</v>
      </c>
      <c r="AY227" s="86" t="str">
        <f>IFERROR(VLOOKUP(C227,#REF!,13,0),"")</f>
        <v/>
      </c>
      <c r="AZ227" s="87"/>
      <c r="BA227" s="1" t="str">
        <f t="shared" si="6"/>
        <v>Active</v>
      </c>
      <c r="BB227" s="1" t="e">
        <f t="shared" ca="1" si="7"/>
        <v>#NAME?</v>
      </c>
      <c r="BC227" s="1" t="e">
        <f t="shared" ca="1" si="123"/>
        <v>#NAME?</v>
      </c>
      <c r="BD227" s="118">
        <f>(31-8)/31+1+1+1</f>
        <v>3.741935483870968</v>
      </c>
      <c r="BE227" s="88" t="str">
        <v/>
      </c>
      <c r="BF227" s="141">
        <f>23/31</f>
        <v>0.74193548387096775</v>
      </c>
      <c r="BG227" s="1" t="s">
        <v>428</v>
      </c>
      <c r="BH227" s="89"/>
      <c r="BI227" s="89"/>
      <c r="BJ227" s="140"/>
      <c r="BK227" s="91"/>
      <c r="BL227" s="91"/>
      <c r="BM227" s="91">
        <f t="shared" si="11"/>
        <v>6000000</v>
      </c>
      <c r="BN227" s="91"/>
      <c r="BO227" s="92" t="str">
        <f ca="1">IFERROR(__xludf.DUMMYFUNCTION("IFERROR(ArrayFormula(SUM(VLOOKUP($C227,importrange(""1MwNMVzWE3QBVOyJjKr3eFX-Sq1Ng0Q1sghWJbgbE_8g"",""ORDER BOOKING REPORT 2024-25!C:CV""),{16,23,30},0))))"),"")</f>
        <v/>
      </c>
      <c r="BP227" s="92" t="str">
        <f ca="1">IFERROR(__xludf.DUMMYFUNCTION("IFERROR(ArrayFormula(SUM(VLOOKUP($C227,importrange(""1MwNMVzWE3QBVOyJjKr3eFX-Sq1Ng0Q1sghWJbgbE_8g"",""ORDER BOOKING REPORT 2024-25!C:CV""),{37,44,51},0))))"),"")</f>
        <v/>
      </c>
      <c r="BQ227" s="92" t="str">
        <f ca="1">IFERROR(__xludf.DUMMYFUNCTION("IFERROR(ArrayFormula(SUM(VLOOKUP($C227,importrange(""1MwNMVzWE3QBVOyJjKr3eFX-Sq1Ng0Q1sghWJbgbE_8g"",""ORDER BOOKING REPORT 2024-25!C:CV""),{58,65,72},0))))"),"")</f>
        <v/>
      </c>
      <c r="BR227" s="92" t="str">
        <f ca="1">IFERROR(__xludf.DUMMYFUNCTION("IFERROR(ArrayFormula(SUM(VLOOKUP($C227,importrange(""1MwNMVzWE3QBVOyJjKr3eFX-Sq1Ng0Q1sghWJbgbE_8g"",""ORDER BOOKING REPORT 2024-25!C:CV""),{79,86,93},0))))"),"")</f>
        <v/>
      </c>
      <c r="BS227" s="93" t="str">
        <f t="shared" si="12"/>
        <v/>
      </c>
      <c r="BT227" s="93" t="str">
        <f t="shared" si="130"/>
        <v/>
      </c>
      <c r="BU227" s="37">
        <f t="shared" si="14"/>
        <v>0</v>
      </c>
      <c r="BV227" s="94"/>
      <c r="BW227" s="94"/>
      <c r="BX227" s="94"/>
      <c r="BY227" s="37">
        <f t="shared" si="15"/>
        <v>-32500</v>
      </c>
      <c r="BZ227" s="37"/>
      <c r="CA227" s="37"/>
      <c r="CB227" s="37"/>
      <c r="CC227" s="37"/>
      <c r="CD227" s="37"/>
      <c r="CE227" s="37"/>
      <c r="CF227" s="37"/>
      <c r="CG227" s="37" t="str">
        <f t="shared" si="18"/>
        <v>Below 60</v>
      </c>
      <c r="CH227" s="37" t="str">
        <f t="shared" si="26"/>
        <v>Business Achieved 50%</v>
      </c>
      <c r="CI227" s="93">
        <f t="shared" si="19"/>
        <v>0.93333333333333335</v>
      </c>
      <c r="CJ227" s="105">
        <f ca="1">IFERROR(__xludf.DUMMYFUNCTION("""COMPUTED_VALUE"""),203)</f>
        <v>203</v>
      </c>
      <c r="CK227" s="105">
        <f ca="1">IFERROR(__xludf.DUMMYFUNCTION("""COMPUTED_VALUE"""),9)</f>
        <v>9</v>
      </c>
      <c r="CL227" s="105">
        <f ca="1">IFERROR(__xludf.DUMMYFUNCTION("""COMPUTED_VALUE"""),0)</f>
        <v>0</v>
      </c>
      <c r="CM227" s="96">
        <f t="shared" ca="1" si="20"/>
        <v>0</v>
      </c>
      <c r="CN227" s="106"/>
      <c r="CO227" s="93"/>
      <c r="CP227" s="107"/>
      <c r="CQ227" s="110"/>
      <c r="CR227" s="93"/>
      <c r="CS227" s="93"/>
      <c r="CT227" s="93"/>
      <c r="CU227" s="93"/>
      <c r="CV227" s="93"/>
      <c r="CW227" s="93"/>
      <c r="CX227" s="51"/>
      <c r="CY227" s="93"/>
      <c r="CZ227" s="93"/>
    </row>
    <row r="228" spans="1:104" ht="15.6">
      <c r="A228" s="1" t="s">
        <v>120</v>
      </c>
      <c r="B228" s="1" t="s">
        <v>206</v>
      </c>
      <c r="C228" s="1" t="s">
        <v>342</v>
      </c>
      <c r="D228" s="1" t="s">
        <v>206</v>
      </c>
      <c r="E228" s="1" t="s">
        <v>358</v>
      </c>
      <c r="F228" s="104">
        <v>46002</v>
      </c>
      <c r="G228" s="76">
        <v>0</v>
      </c>
      <c r="H228" s="76">
        <v>4374194</v>
      </c>
      <c r="I228" s="77">
        <v>2874423.26</v>
      </c>
      <c r="J228" s="77">
        <v>0</v>
      </c>
      <c r="K228" s="4">
        <v>45</v>
      </c>
      <c r="L228" s="4">
        <v>71</v>
      </c>
      <c r="M228" s="4">
        <v>26</v>
      </c>
      <c r="N228" s="4">
        <v>71</v>
      </c>
      <c r="O228" s="4">
        <v>0</v>
      </c>
      <c r="P228" s="77">
        <v>2204610.66</v>
      </c>
      <c r="Q228" s="77">
        <v>669812.6</v>
      </c>
      <c r="R228" s="4">
        <v>25</v>
      </c>
      <c r="S228" s="4">
        <v>19</v>
      </c>
      <c r="T228" s="4">
        <v>44</v>
      </c>
      <c r="U228" s="4">
        <v>0</v>
      </c>
      <c r="V228" s="4">
        <v>86</v>
      </c>
      <c r="W228" s="4">
        <v>176</v>
      </c>
      <c r="X228" s="4">
        <v>1</v>
      </c>
      <c r="Y228" s="4">
        <v>2</v>
      </c>
      <c r="Z228" s="4">
        <v>66</v>
      </c>
      <c r="AA228" s="4">
        <v>0</v>
      </c>
      <c r="AB228" s="4">
        <v>0</v>
      </c>
      <c r="AC228" s="4">
        <v>0</v>
      </c>
      <c r="AD228" s="4">
        <v>0</v>
      </c>
      <c r="AE228" s="4">
        <v>412</v>
      </c>
      <c r="AF228" s="4">
        <v>654</v>
      </c>
      <c r="AG228" s="4">
        <v>90</v>
      </c>
      <c r="AH228" s="76">
        <f t="shared" si="1"/>
        <v>31938.036222222221</v>
      </c>
      <c r="AI228" s="76">
        <f t="shared" si="2"/>
        <v>7.2666666666666666</v>
      </c>
      <c r="AJ228" s="112">
        <v>30405</v>
      </c>
      <c r="AK228" s="76">
        <f t="shared" si="62"/>
        <v>110831.12903225806</v>
      </c>
      <c r="AL228" s="49">
        <v>35555</v>
      </c>
      <c r="AM228" s="80">
        <f t="shared" si="4"/>
        <v>5.092713069412682E-2</v>
      </c>
      <c r="AN228" s="76">
        <f t="shared" si="5"/>
        <v>65327.801363636361</v>
      </c>
      <c r="AO228" s="102">
        <f t="shared" si="115"/>
        <v>0.65713209336394307</v>
      </c>
      <c r="AP228" s="82">
        <v>0</v>
      </c>
      <c r="AQ228" s="4">
        <v>120</v>
      </c>
      <c r="AR228" s="4">
        <v>958</v>
      </c>
      <c r="AS228" s="4">
        <v>2629.45</v>
      </c>
      <c r="AT228" s="4">
        <v>19</v>
      </c>
      <c r="AU228" s="4">
        <v>37</v>
      </c>
      <c r="AV228" s="1">
        <v>44</v>
      </c>
      <c r="AW228" s="1">
        <v>27</v>
      </c>
      <c r="AX228" s="1">
        <v>0</v>
      </c>
      <c r="AY228" s="86" t="str">
        <f>IFERROR(VLOOKUP(C228,#REF!,13,0),"")</f>
        <v/>
      </c>
      <c r="AZ228" s="87"/>
      <c r="BA228" s="1" t="str">
        <f t="shared" si="6"/>
        <v>Active</v>
      </c>
      <c r="BB228" s="1" t="e">
        <f t="shared" ca="1" si="7"/>
        <v>#NAME?</v>
      </c>
      <c r="BC228" s="1" t="e">
        <f t="shared" ca="1" si="123"/>
        <v>#NAME?</v>
      </c>
      <c r="BD228" s="118">
        <f>(31-11)/31+1+1+1</f>
        <v>3.6451612903225805</v>
      </c>
      <c r="BE228" s="88" t="str">
        <v/>
      </c>
      <c r="BF228" s="141">
        <f>20/31</f>
        <v>0.64516129032258063</v>
      </c>
      <c r="BG228" s="1" t="s">
        <v>428</v>
      </c>
      <c r="BH228" s="89"/>
      <c r="BI228" s="89"/>
      <c r="BJ228" s="140"/>
      <c r="BK228" s="91"/>
      <c r="BL228" s="91"/>
      <c r="BM228" s="91">
        <f t="shared" si="11"/>
        <v>4374194</v>
      </c>
      <c r="BN228" s="91"/>
      <c r="BO228" s="92" t="str">
        <f ca="1">IFERROR(__xludf.DUMMYFUNCTION("IFERROR(ArrayFormula(SUM(VLOOKUP($C228,importrange(""1MwNMVzWE3QBVOyJjKr3eFX-Sq1Ng0Q1sghWJbgbE_8g"",""ORDER BOOKING REPORT 2024-25!C:CV""),{16,23,30},0))))"),"")</f>
        <v/>
      </c>
      <c r="BP228" s="92" t="str">
        <f ca="1">IFERROR(__xludf.DUMMYFUNCTION("IFERROR(ArrayFormula(SUM(VLOOKUP($C228,importrange(""1MwNMVzWE3QBVOyJjKr3eFX-Sq1Ng0Q1sghWJbgbE_8g"",""ORDER BOOKING REPORT 2024-25!C:CV""),{37,44,51},0))))"),"")</f>
        <v/>
      </c>
      <c r="BQ228" s="92" t="str">
        <f ca="1">IFERROR(__xludf.DUMMYFUNCTION("IFERROR(ArrayFormula(SUM(VLOOKUP($C228,importrange(""1MwNMVzWE3QBVOyJjKr3eFX-Sq1Ng0Q1sghWJbgbE_8g"",""ORDER BOOKING REPORT 2024-25!C:CV""),{58,65,72},0))))"),"")</f>
        <v/>
      </c>
      <c r="BR228" s="92" t="str">
        <f ca="1">IFERROR(__xludf.DUMMYFUNCTION("IFERROR(ArrayFormula(SUM(VLOOKUP($C228,importrange(""1MwNMVzWE3QBVOyJjKr3eFX-Sq1Ng0Q1sghWJbgbE_8g"",""ORDER BOOKING REPORT 2024-25!C:CV""),{79,86,93},0))))"),"")</f>
        <v/>
      </c>
      <c r="BS228" s="93" t="str">
        <f t="shared" si="12"/>
        <v/>
      </c>
      <c r="BT228" s="93" t="str">
        <f t="shared" si="130"/>
        <v/>
      </c>
      <c r="BU228" s="37">
        <f t="shared" si="14"/>
        <v>0</v>
      </c>
      <c r="BV228" s="94"/>
      <c r="BW228" s="94"/>
      <c r="BX228" s="94"/>
      <c r="BY228" s="37">
        <f t="shared" si="15"/>
        <v>-30405</v>
      </c>
      <c r="BZ228" s="37"/>
      <c r="CA228" s="37"/>
      <c r="CB228" s="37"/>
      <c r="CC228" s="37"/>
      <c r="CD228" s="37"/>
      <c r="CE228" s="37"/>
      <c r="CF228" s="37"/>
      <c r="CG228" s="37" t="str">
        <f t="shared" si="18"/>
        <v xml:space="preserve"> </v>
      </c>
      <c r="CH228" s="37" t="str">
        <f t="shared" si="26"/>
        <v>Business Achieved 50%</v>
      </c>
      <c r="CI228" s="93">
        <f t="shared" si="19"/>
        <v>0.61971830985915488</v>
      </c>
      <c r="CJ228" s="105">
        <f ca="1">IFERROR(__xludf.DUMMYFUNCTION("""COMPUTED_VALUE"""),303)</f>
        <v>303</v>
      </c>
      <c r="CK228" s="105">
        <f ca="1">IFERROR(__xludf.DUMMYFUNCTION("""COMPUTED_VALUE"""),109)</f>
        <v>109</v>
      </c>
      <c r="CL228" s="105">
        <f ca="1">IFERROR(__xludf.DUMMYFUNCTION("""COMPUTED_VALUE"""),0)</f>
        <v>0</v>
      </c>
      <c r="CM228" s="96">
        <f t="shared" ca="1" si="20"/>
        <v>0</v>
      </c>
      <c r="CN228" s="106"/>
      <c r="CO228" s="93"/>
      <c r="CP228" s="107"/>
      <c r="CQ228" s="110"/>
      <c r="CR228" s="93"/>
      <c r="CS228" s="93"/>
      <c r="CT228" s="93"/>
      <c r="CU228" s="93"/>
      <c r="CV228" s="93"/>
      <c r="CW228" s="93"/>
      <c r="CX228" s="51"/>
      <c r="CY228" s="93"/>
      <c r="CZ228" s="93"/>
    </row>
    <row r="229" spans="1:104" ht="15.6">
      <c r="A229" s="1" t="s">
        <v>201</v>
      </c>
      <c r="B229" s="1" t="s">
        <v>469</v>
      </c>
      <c r="C229" s="1" t="s">
        <v>343</v>
      </c>
      <c r="D229" s="1" t="s">
        <v>470</v>
      </c>
      <c r="E229" s="1" t="s">
        <v>588</v>
      </c>
      <c r="F229" s="104">
        <v>46023</v>
      </c>
      <c r="G229" s="76">
        <v>0</v>
      </c>
      <c r="H229" s="76">
        <v>4500000</v>
      </c>
      <c r="I229" s="77">
        <v>823085.16</v>
      </c>
      <c r="J229" s="77">
        <v>0</v>
      </c>
      <c r="K229" s="4">
        <v>21</v>
      </c>
      <c r="L229" s="4">
        <v>37</v>
      </c>
      <c r="M229" s="4">
        <v>17</v>
      </c>
      <c r="N229" s="4">
        <v>38</v>
      </c>
      <c r="O229" s="4">
        <v>1</v>
      </c>
      <c r="P229" s="77">
        <v>154068.72</v>
      </c>
      <c r="Q229" s="77">
        <v>669016.43999999994</v>
      </c>
      <c r="R229" s="4">
        <v>6</v>
      </c>
      <c r="S229" s="4">
        <v>17</v>
      </c>
      <c r="T229" s="4">
        <v>23</v>
      </c>
      <c r="U229" s="4">
        <v>0</v>
      </c>
      <c r="V229" s="4">
        <v>108</v>
      </c>
      <c r="W229" s="4">
        <v>211</v>
      </c>
      <c r="X229" s="4">
        <v>1</v>
      </c>
      <c r="Y229" s="4">
        <v>2</v>
      </c>
      <c r="Z229" s="4">
        <v>24</v>
      </c>
      <c r="AA229" s="4">
        <v>0</v>
      </c>
      <c r="AB229" s="4">
        <v>0</v>
      </c>
      <c r="AC229" s="4">
        <v>0</v>
      </c>
      <c r="AD229" s="4">
        <v>0</v>
      </c>
      <c r="AE229" s="4">
        <v>135</v>
      </c>
      <c r="AF229" s="4">
        <v>370</v>
      </c>
      <c r="AG229" s="4">
        <v>72</v>
      </c>
      <c r="AH229" s="76">
        <f t="shared" si="1"/>
        <v>11431.738333333335</v>
      </c>
      <c r="AI229" s="76">
        <f t="shared" si="2"/>
        <v>5.1388888888888893</v>
      </c>
      <c r="AJ229" s="112">
        <v>38285</v>
      </c>
      <c r="AK229" s="76">
        <f t="shared" si="62"/>
        <v>114855</v>
      </c>
      <c r="AL229" s="49">
        <v>37563</v>
      </c>
      <c r="AM229" s="80">
        <f t="shared" si="4"/>
        <v>0.18517889449009139</v>
      </c>
      <c r="AN229" s="76">
        <f t="shared" si="5"/>
        <v>35786.31130434783</v>
      </c>
      <c r="AO229" s="102">
        <f t="shared" si="115"/>
        <v>0.18290781333333334</v>
      </c>
      <c r="AP229" s="82">
        <v>0</v>
      </c>
      <c r="AQ229" s="4">
        <v>34</v>
      </c>
      <c r="AR229" s="4">
        <v>738</v>
      </c>
      <c r="AS229" s="4">
        <v>3036.37</v>
      </c>
      <c r="AT229" s="4">
        <v>17</v>
      </c>
      <c r="AU229" s="4">
        <v>82</v>
      </c>
      <c r="AV229" s="1">
        <v>23</v>
      </c>
      <c r="AW229" s="1">
        <v>14</v>
      </c>
      <c r="AX229" s="1">
        <v>1</v>
      </c>
      <c r="AY229" s="86" t="str">
        <f>IFERROR(VLOOKUP(C229,#REF!,13,0),"")</f>
        <v/>
      </c>
      <c r="AZ229" s="87"/>
      <c r="BA229" s="1" t="str">
        <f t="shared" si="6"/>
        <v>Active</v>
      </c>
      <c r="BB229" s="1" t="e">
        <f t="shared" ca="1" si="7"/>
        <v>#NAME?</v>
      </c>
      <c r="BC229" s="1" t="e">
        <f t="shared" ca="1" si="123"/>
        <v>#NAME?</v>
      </c>
      <c r="BD229" s="86">
        <v>3</v>
      </c>
      <c r="BE229" s="88" t="str">
        <v/>
      </c>
      <c r="BF229" s="1"/>
      <c r="BG229" s="1" t="s">
        <v>428</v>
      </c>
      <c r="BH229" s="89"/>
      <c r="BI229" s="89"/>
      <c r="BJ229" s="140"/>
      <c r="BK229" s="91"/>
      <c r="BL229" s="91"/>
      <c r="BM229" s="91">
        <f t="shared" si="11"/>
        <v>4500000</v>
      </c>
      <c r="BN229" s="91"/>
      <c r="BO229" s="92" t="str">
        <f ca="1">IFERROR(__xludf.DUMMYFUNCTION("IFERROR(ArrayFormula(SUM(VLOOKUP($C229,importrange(""1MwNMVzWE3QBVOyJjKr3eFX-Sq1Ng0Q1sghWJbgbE_8g"",""ORDER BOOKING REPORT 2024-25!C:CV""),{16,23,30},0))))"),"")</f>
        <v/>
      </c>
      <c r="BP229" s="92" t="str">
        <f ca="1">IFERROR(__xludf.DUMMYFUNCTION("IFERROR(ArrayFormula(SUM(VLOOKUP($C229,importrange(""1MwNMVzWE3QBVOyJjKr3eFX-Sq1Ng0Q1sghWJbgbE_8g"",""ORDER BOOKING REPORT 2024-25!C:CV""),{37,44,51},0))))"),"")</f>
        <v/>
      </c>
      <c r="BQ229" s="92" t="str">
        <f ca="1">IFERROR(__xludf.DUMMYFUNCTION("IFERROR(ArrayFormula(SUM(VLOOKUP($C229,importrange(""1MwNMVzWE3QBVOyJjKr3eFX-Sq1Ng0Q1sghWJbgbE_8g"",""ORDER BOOKING REPORT 2024-25!C:CV""),{58,65,72},0))))"),"")</f>
        <v/>
      </c>
      <c r="BR229" s="92" t="str">
        <f ca="1">IFERROR(__xludf.DUMMYFUNCTION("IFERROR(ArrayFormula(SUM(VLOOKUP($C229,importrange(""1MwNMVzWE3QBVOyJjKr3eFX-Sq1Ng0Q1sghWJbgbE_8g"",""ORDER BOOKING REPORT 2024-25!C:CV""),{79,86,93},0))))"),"")</f>
        <v/>
      </c>
      <c r="BS229" s="93" t="str">
        <f t="shared" si="12"/>
        <v/>
      </c>
      <c r="BT229" s="93" t="str">
        <f t="shared" si="130"/>
        <v/>
      </c>
      <c r="BU229" s="37">
        <f t="shared" si="14"/>
        <v>0</v>
      </c>
      <c r="BV229" s="94"/>
      <c r="BW229" s="94"/>
      <c r="BX229" s="94"/>
      <c r="BY229" s="37">
        <f t="shared" si="15"/>
        <v>-38285</v>
      </c>
      <c r="BZ229" s="37"/>
      <c r="CA229" s="37"/>
      <c r="CB229" s="37"/>
      <c r="CC229" s="37"/>
      <c r="CD229" s="37"/>
      <c r="CE229" s="37"/>
      <c r="CF229" s="37"/>
      <c r="CG229" s="37" t="str">
        <f t="shared" si="18"/>
        <v>Below 60</v>
      </c>
      <c r="CH229" s="37" t="str">
        <f t="shared" si="26"/>
        <v>Business Achieved 50%</v>
      </c>
      <c r="CI229" s="93">
        <f t="shared" si="19"/>
        <v>0.60526315789473684</v>
      </c>
      <c r="CJ229" s="105">
        <f ca="1">IFERROR(__xludf.DUMMYFUNCTION("""COMPUTED_VALUE"""),102)</f>
        <v>102</v>
      </c>
      <c r="CK229" s="105">
        <f ca="1">IFERROR(__xludf.DUMMYFUNCTION("""COMPUTED_VALUE"""),33)</f>
        <v>33</v>
      </c>
      <c r="CL229" s="105">
        <f ca="1">IFERROR(__xludf.DUMMYFUNCTION("""COMPUTED_VALUE"""),0)</f>
        <v>0</v>
      </c>
      <c r="CM229" s="96">
        <f t="shared" ca="1" si="20"/>
        <v>0</v>
      </c>
      <c r="CN229" s="106"/>
      <c r="CO229" s="93"/>
      <c r="CP229" s="107"/>
      <c r="CQ229" s="110"/>
      <c r="CR229" s="93"/>
      <c r="CS229" s="93"/>
      <c r="CT229" s="93"/>
      <c r="CU229" s="93"/>
      <c r="CV229" s="93"/>
      <c r="CW229" s="93"/>
      <c r="CX229" s="51"/>
      <c r="CY229" s="93"/>
      <c r="CZ229" s="93"/>
    </row>
    <row r="230" spans="1:104" ht="15.6">
      <c r="A230" s="1" t="s">
        <v>117</v>
      </c>
      <c r="B230" s="1" t="s">
        <v>450</v>
      </c>
      <c r="C230" s="1" t="s">
        <v>344</v>
      </c>
      <c r="D230" s="1" t="s">
        <v>482</v>
      </c>
      <c r="E230" s="1" t="s">
        <v>667</v>
      </c>
      <c r="F230" s="104">
        <v>46027</v>
      </c>
      <c r="G230" s="76">
        <v>0</v>
      </c>
      <c r="H230" s="76">
        <v>0</v>
      </c>
      <c r="I230" s="77">
        <v>604841.29</v>
      </c>
      <c r="J230" s="77">
        <v>0</v>
      </c>
      <c r="K230" s="4">
        <v>30</v>
      </c>
      <c r="L230" s="4">
        <v>69</v>
      </c>
      <c r="M230" s="4">
        <v>42</v>
      </c>
      <c r="N230" s="4">
        <v>72</v>
      </c>
      <c r="O230" s="4">
        <v>3</v>
      </c>
      <c r="P230" s="77">
        <v>46348.37</v>
      </c>
      <c r="Q230" s="77">
        <v>558492.92000000004</v>
      </c>
      <c r="R230" s="4">
        <v>7</v>
      </c>
      <c r="S230" s="4">
        <v>39</v>
      </c>
      <c r="T230" s="4">
        <v>46</v>
      </c>
      <c r="U230" s="4">
        <v>0</v>
      </c>
      <c r="V230" s="4">
        <v>153</v>
      </c>
      <c r="W230" s="4">
        <v>251</v>
      </c>
      <c r="X230" s="4">
        <v>8</v>
      </c>
      <c r="Y230" s="4">
        <v>3</v>
      </c>
      <c r="Z230" s="4">
        <v>26</v>
      </c>
      <c r="AA230" s="4">
        <v>0</v>
      </c>
      <c r="AB230" s="4">
        <v>0</v>
      </c>
      <c r="AC230" s="4">
        <v>1</v>
      </c>
      <c r="AD230" s="4">
        <v>1</v>
      </c>
      <c r="AE230" s="4">
        <v>162</v>
      </c>
      <c r="AF230" s="4">
        <v>440</v>
      </c>
      <c r="AG230" s="4">
        <v>69</v>
      </c>
      <c r="AH230" s="76">
        <f t="shared" si="1"/>
        <v>8765.8157971014498</v>
      </c>
      <c r="AI230" s="76">
        <f t="shared" si="2"/>
        <v>6.3768115942028984</v>
      </c>
      <c r="AJ230" s="112">
        <v>46670</v>
      </c>
      <c r="AK230" s="76">
        <f t="shared" si="62"/>
        <v>133988.06451612903</v>
      </c>
      <c r="AL230" s="79">
        <v>39016</v>
      </c>
      <c r="AM230" s="80">
        <f t="shared" si="4"/>
        <v>0.2860321664153071</v>
      </c>
      <c r="AN230" s="76">
        <f t="shared" si="5"/>
        <v>13148.723695652176</v>
      </c>
      <c r="AO230" s="102" t="str">
        <f t="shared" si="115"/>
        <v/>
      </c>
      <c r="AP230" s="82">
        <v>0</v>
      </c>
      <c r="AQ230" s="4">
        <v>66</v>
      </c>
      <c r="AR230" s="4">
        <v>704</v>
      </c>
      <c r="AS230" s="4">
        <v>3809.94</v>
      </c>
      <c r="AT230" s="4">
        <v>39</v>
      </c>
      <c r="AU230" s="4">
        <v>55</v>
      </c>
      <c r="AV230" s="1">
        <v>46</v>
      </c>
      <c r="AW230" s="1">
        <v>23</v>
      </c>
      <c r="AX230" s="1">
        <v>3</v>
      </c>
      <c r="AY230" s="86" t="str">
        <f>IFERROR(VLOOKUP(C230,#REF!,13,0),"")</f>
        <v/>
      </c>
      <c r="AZ230" s="87"/>
      <c r="BA230" s="1" t="str">
        <f t="shared" si="6"/>
        <v>Active</v>
      </c>
      <c r="BB230" s="1" t="e">
        <f t="shared" ca="1" si="7"/>
        <v>#NAME?</v>
      </c>
      <c r="BC230" s="1" t="e">
        <f t="shared" ca="1" si="123"/>
        <v>#NAME?</v>
      </c>
      <c r="BD230" s="118">
        <f t="shared" ref="BD230:BD231" si="131">(31-4)/31+1+1</f>
        <v>2.870967741935484</v>
      </c>
      <c r="BE230" s="88" t="str">
        <v/>
      </c>
      <c r="BF230" s="141">
        <f t="shared" ref="BF230:BF231" si="132">26/31</f>
        <v>0.83870967741935487</v>
      </c>
      <c r="BG230" s="1" t="s">
        <v>428</v>
      </c>
      <c r="BH230" s="89"/>
      <c r="BI230" s="89"/>
      <c r="BJ230" s="140"/>
      <c r="BK230" s="91"/>
      <c r="BL230" s="91"/>
      <c r="BM230" s="91">
        <f t="shared" si="11"/>
        <v>0</v>
      </c>
      <c r="BN230" s="91"/>
      <c r="BO230" s="92" t="str">
        <f ca="1">IFERROR(__xludf.DUMMYFUNCTION("IFERROR(ArrayFormula(SUM(VLOOKUP($C230,importrange(""1MwNMVzWE3QBVOyJjKr3eFX-Sq1Ng0Q1sghWJbgbE_8g"",""ORDER BOOKING REPORT 2024-25!C:CV""),{16,23,30},0))))"),"")</f>
        <v/>
      </c>
      <c r="BP230" s="92" t="str">
        <f ca="1">IFERROR(__xludf.DUMMYFUNCTION("IFERROR(ArrayFormula(SUM(VLOOKUP($C230,importrange(""1MwNMVzWE3QBVOyJjKr3eFX-Sq1Ng0Q1sghWJbgbE_8g"",""ORDER BOOKING REPORT 2024-25!C:CV""),{37,44,51},0))))"),"")</f>
        <v/>
      </c>
      <c r="BQ230" s="92" t="str">
        <f ca="1">IFERROR(__xludf.DUMMYFUNCTION("IFERROR(ArrayFormula(SUM(VLOOKUP($C230,importrange(""1MwNMVzWE3QBVOyJjKr3eFX-Sq1Ng0Q1sghWJbgbE_8g"",""ORDER BOOKING REPORT 2024-25!C:CV""),{58,65,72},0))))"),"")</f>
        <v/>
      </c>
      <c r="BR230" s="92" t="str">
        <f ca="1">IFERROR(__xludf.DUMMYFUNCTION("IFERROR(ArrayFormula(SUM(VLOOKUP($C230,importrange(""1MwNMVzWE3QBVOyJjKr3eFX-Sq1Ng0Q1sghWJbgbE_8g"",""ORDER BOOKING REPORT 2024-25!C:CV""),{79,86,93},0))))"),"")</f>
        <v/>
      </c>
      <c r="BS230" s="93" t="str">
        <f t="shared" si="12"/>
        <v/>
      </c>
      <c r="BT230" s="93" t="str">
        <f t="shared" si="130"/>
        <v/>
      </c>
      <c r="BU230" s="37">
        <f t="shared" si="14"/>
        <v>0</v>
      </c>
      <c r="BV230" s="94"/>
      <c r="BW230" s="94"/>
      <c r="BX230" s="94"/>
      <c r="BY230" s="37">
        <f t="shared" si="15"/>
        <v>-46670</v>
      </c>
      <c r="BZ230" s="37"/>
      <c r="CA230" s="37"/>
      <c r="CB230" s="37"/>
      <c r="CC230" s="37"/>
      <c r="CD230" s="37"/>
      <c r="CE230" s="37"/>
      <c r="CF230" s="37"/>
      <c r="CG230" s="37" t="str">
        <f t="shared" si="18"/>
        <v xml:space="preserve"> </v>
      </c>
      <c r="CH230" s="37" t="str">
        <f t="shared" si="26"/>
        <v>Business Achieved 50%</v>
      </c>
      <c r="CI230" s="93">
        <f t="shared" si="19"/>
        <v>0.63888888888888884</v>
      </c>
      <c r="CJ230" s="95">
        <f ca="1">IFERROR(__xludf.DUMMYFUNCTION("""COMPUTED_VALUE"""),119)</f>
        <v>119</v>
      </c>
      <c r="CK230" s="95">
        <f ca="1">IFERROR(__xludf.DUMMYFUNCTION("""COMPUTED_VALUE"""),43)</f>
        <v>43</v>
      </c>
      <c r="CL230" s="95">
        <f ca="1">IFERROR(__xludf.DUMMYFUNCTION("""COMPUTED_VALUE"""),0)</f>
        <v>0</v>
      </c>
      <c r="CM230" s="96">
        <f t="shared" ca="1" si="20"/>
        <v>0</v>
      </c>
      <c r="CN230" s="103"/>
      <c r="CO230" s="4"/>
      <c r="CP230" s="100"/>
      <c r="CQ230" s="101"/>
      <c r="CR230" s="4"/>
      <c r="CS230" s="4"/>
      <c r="CT230" s="4"/>
      <c r="CU230" s="4"/>
      <c r="CV230" s="4"/>
      <c r="CW230" s="101"/>
      <c r="CX230" s="51"/>
      <c r="CY230" s="4"/>
      <c r="CZ230" s="4"/>
    </row>
    <row r="231" spans="1:104" ht="15.6">
      <c r="A231" s="1" t="s">
        <v>117</v>
      </c>
      <c r="B231" s="1" t="s">
        <v>450</v>
      </c>
      <c r="C231" s="1" t="s">
        <v>345</v>
      </c>
      <c r="D231" s="1" t="s">
        <v>482</v>
      </c>
      <c r="E231" s="1" t="s">
        <v>668</v>
      </c>
      <c r="F231" s="104">
        <v>46027</v>
      </c>
      <c r="G231" s="76">
        <v>0</v>
      </c>
      <c r="H231" s="76">
        <v>0</v>
      </c>
      <c r="I231" s="77">
        <v>0</v>
      </c>
      <c r="J231" s="77">
        <v>0</v>
      </c>
      <c r="K231" s="4">
        <v>3</v>
      </c>
      <c r="L231" s="4">
        <v>3</v>
      </c>
      <c r="M231" s="4">
        <v>0</v>
      </c>
      <c r="N231" s="4">
        <v>3</v>
      </c>
      <c r="O231" s="4">
        <v>0</v>
      </c>
      <c r="P231" s="77">
        <v>0</v>
      </c>
      <c r="Q231" s="77">
        <v>0</v>
      </c>
      <c r="R231" s="4">
        <v>0</v>
      </c>
      <c r="S231" s="4">
        <v>0</v>
      </c>
      <c r="T231" s="4">
        <v>0</v>
      </c>
      <c r="U231" s="4">
        <v>0</v>
      </c>
      <c r="V231" s="4">
        <v>51</v>
      </c>
      <c r="W231" s="4">
        <v>150</v>
      </c>
      <c r="X231" s="4">
        <v>0</v>
      </c>
      <c r="Y231" s="4">
        <v>1</v>
      </c>
      <c r="Z231" s="4">
        <v>29</v>
      </c>
      <c r="AA231" s="4">
        <v>0</v>
      </c>
      <c r="AB231" s="4">
        <v>0</v>
      </c>
      <c r="AC231" s="4">
        <v>0</v>
      </c>
      <c r="AD231" s="4">
        <v>0</v>
      </c>
      <c r="AE231" s="4">
        <v>11</v>
      </c>
      <c r="AF231" s="4">
        <v>190</v>
      </c>
      <c r="AG231" s="4">
        <v>53</v>
      </c>
      <c r="AH231" s="76">
        <f t="shared" si="1"/>
        <v>0</v>
      </c>
      <c r="AI231" s="76">
        <f t="shared" si="2"/>
        <v>3.5849056603773586</v>
      </c>
      <c r="AJ231" s="112">
        <v>26215</v>
      </c>
      <c r="AK231" s="76">
        <f t="shared" si="62"/>
        <v>75262.419354838712</v>
      </c>
      <c r="AL231" s="79">
        <v>17653</v>
      </c>
      <c r="AM231" s="80" t="str">
        <f t="shared" si="4"/>
        <v/>
      </c>
      <c r="AN231" s="76" t="str">
        <f t="shared" si="5"/>
        <v/>
      </c>
      <c r="AO231" s="102" t="str">
        <f t="shared" si="115"/>
        <v/>
      </c>
      <c r="AP231" s="82">
        <v>0</v>
      </c>
      <c r="AQ231" s="4">
        <v>0</v>
      </c>
      <c r="AR231" s="4">
        <v>477</v>
      </c>
      <c r="AS231" s="4">
        <v>1900.57</v>
      </c>
      <c r="AT231" s="4">
        <v>0</v>
      </c>
      <c r="AU231" s="4">
        <v>634</v>
      </c>
      <c r="AV231" s="1">
        <v>0</v>
      </c>
      <c r="AW231" s="1">
        <v>3</v>
      </c>
      <c r="AX231" s="1">
        <v>0</v>
      </c>
      <c r="AY231" s="86" t="str">
        <f>IFERROR(VLOOKUP(C231,#REF!,13,0),"")</f>
        <v/>
      </c>
      <c r="AZ231" s="87"/>
      <c r="BA231" s="1" t="str">
        <f t="shared" si="6"/>
        <v>Active</v>
      </c>
      <c r="BB231" s="1" t="e">
        <f t="shared" ca="1" si="7"/>
        <v>#NAME?</v>
      </c>
      <c r="BC231" s="1" t="e">
        <f t="shared" ca="1" si="123"/>
        <v>#NAME?</v>
      </c>
      <c r="BD231" s="118">
        <f t="shared" si="131"/>
        <v>2.870967741935484</v>
      </c>
      <c r="BE231" s="88" t="str">
        <v/>
      </c>
      <c r="BF231" s="141">
        <f t="shared" si="132"/>
        <v>0.83870967741935487</v>
      </c>
      <c r="BG231" s="1" t="s">
        <v>428</v>
      </c>
      <c r="BH231" s="89"/>
      <c r="BI231" s="89"/>
      <c r="BJ231" s="140"/>
      <c r="BK231" s="91"/>
      <c r="BL231" s="91"/>
      <c r="BM231" s="91">
        <f t="shared" si="11"/>
        <v>0</v>
      </c>
      <c r="BN231" s="91"/>
      <c r="BO231" s="92" t="str">
        <f ca="1">IFERROR(__xludf.DUMMYFUNCTION("IFERROR(ArrayFormula(SUM(VLOOKUP($C231,importrange(""1MwNMVzWE3QBVOyJjKr3eFX-Sq1Ng0Q1sghWJbgbE_8g"",""ORDER BOOKING REPORT 2024-25!C:CV""),{16,23,30},0))))"),"")</f>
        <v/>
      </c>
      <c r="BP231" s="92" t="str">
        <f ca="1">IFERROR(__xludf.DUMMYFUNCTION("IFERROR(ArrayFormula(SUM(VLOOKUP($C231,importrange(""1MwNMVzWE3QBVOyJjKr3eFX-Sq1Ng0Q1sghWJbgbE_8g"",""ORDER BOOKING REPORT 2024-25!C:CV""),{37,44,51},0))))"),"")</f>
        <v/>
      </c>
      <c r="BQ231" s="92" t="str">
        <f ca="1">IFERROR(__xludf.DUMMYFUNCTION("IFERROR(ArrayFormula(SUM(VLOOKUP($C231,importrange(""1MwNMVzWE3QBVOyJjKr3eFX-Sq1Ng0Q1sghWJbgbE_8g"",""ORDER BOOKING REPORT 2024-25!C:CV""),{58,65,72},0))))"),"")</f>
        <v/>
      </c>
      <c r="BR231" s="92" t="str">
        <f ca="1">IFERROR(__xludf.DUMMYFUNCTION("IFERROR(ArrayFormula(SUM(VLOOKUP($C231,importrange(""1MwNMVzWE3QBVOyJjKr3eFX-Sq1Ng0Q1sghWJbgbE_8g"",""ORDER BOOKING REPORT 2024-25!C:CV""),{79,86,93},0))))"),"")</f>
        <v/>
      </c>
      <c r="BS231" s="93" t="str">
        <f t="shared" si="12"/>
        <v/>
      </c>
      <c r="BT231" s="93" t="str">
        <f t="shared" si="130"/>
        <v/>
      </c>
      <c r="BU231" s="37">
        <f t="shared" si="14"/>
        <v>0</v>
      </c>
      <c r="BV231" s="94"/>
      <c r="BW231" s="94"/>
      <c r="BX231" s="94"/>
      <c r="BY231" s="37">
        <f t="shared" si="15"/>
        <v>-26215</v>
      </c>
      <c r="BZ231" s="37"/>
      <c r="CA231" s="37"/>
      <c r="CB231" s="37"/>
      <c r="CC231" s="37"/>
      <c r="CD231" s="37"/>
      <c r="CE231" s="37"/>
      <c r="CF231" s="37"/>
      <c r="CG231" s="37" t="str">
        <f t="shared" si="18"/>
        <v>Below 60</v>
      </c>
      <c r="CH231" s="37" t="str">
        <f t="shared" si="26"/>
        <v>Not 50%</v>
      </c>
      <c r="CI231" s="93">
        <f t="shared" si="19"/>
        <v>0</v>
      </c>
      <c r="CJ231" s="95">
        <f ca="1">IFERROR(__xludf.DUMMYFUNCTION("""COMPUTED_VALUE"""),0)</f>
        <v>0</v>
      </c>
      <c r="CK231" s="95">
        <f ca="1">IFERROR(__xludf.DUMMYFUNCTION("""COMPUTED_VALUE"""),11)</f>
        <v>11</v>
      </c>
      <c r="CL231" s="95">
        <f ca="1">IFERROR(__xludf.DUMMYFUNCTION("""COMPUTED_VALUE"""),0)</f>
        <v>0</v>
      </c>
      <c r="CM231" s="96">
        <f t="shared" ca="1" si="20"/>
        <v>0</v>
      </c>
      <c r="CN231" s="103"/>
      <c r="CO231" s="4"/>
      <c r="CP231" s="100"/>
      <c r="CQ231" s="101"/>
      <c r="CR231" s="4"/>
      <c r="CS231" s="4"/>
      <c r="CT231" s="4"/>
      <c r="CU231" s="4"/>
      <c r="CV231" s="4"/>
      <c r="CW231" s="101"/>
      <c r="CX231" s="51"/>
      <c r="CY231" s="4"/>
      <c r="CZ231" s="4"/>
    </row>
    <row r="232" spans="1:104" ht="15.6">
      <c r="A232" s="1"/>
      <c r="B232" s="1" t="s">
        <v>460</v>
      </c>
      <c r="C232" s="1" t="s">
        <v>160</v>
      </c>
      <c r="D232" s="1" t="s">
        <v>615</v>
      </c>
      <c r="E232" s="1" t="s">
        <v>669</v>
      </c>
      <c r="F232" s="104">
        <v>46041</v>
      </c>
      <c r="G232" s="76">
        <v>0</v>
      </c>
      <c r="H232" s="76">
        <v>0</v>
      </c>
      <c r="I232" s="77">
        <v>0</v>
      </c>
      <c r="J232" s="77">
        <v>0</v>
      </c>
      <c r="K232" s="4">
        <v>2</v>
      </c>
      <c r="L232" s="4">
        <v>1</v>
      </c>
      <c r="M232" s="4">
        <v>0</v>
      </c>
      <c r="N232" s="4">
        <v>2</v>
      </c>
      <c r="O232" s="4">
        <v>1</v>
      </c>
      <c r="P232" s="77">
        <v>0</v>
      </c>
      <c r="Q232" s="77">
        <v>0</v>
      </c>
      <c r="R232" s="4">
        <v>0</v>
      </c>
      <c r="S232" s="4">
        <v>0</v>
      </c>
      <c r="T232" s="4">
        <v>0</v>
      </c>
      <c r="U232" s="4">
        <v>0</v>
      </c>
      <c r="V232" s="4">
        <v>3</v>
      </c>
      <c r="W232" s="4">
        <v>5</v>
      </c>
      <c r="X232" s="4">
        <v>0</v>
      </c>
      <c r="Y232" s="4">
        <v>3</v>
      </c>
      <c r="Z232" s="4">
        <v>6</v>
      </c>
      <c r="AA232" s="4">
        <v>0</v>
      </c>
      <c r="AB232" s="4">
        <v>0</v>
      </c>
      <c r="AC232" s="4">
        <v>75</v>
      </c>
      <c r="AD232" s="4">
        <v>111</v>
      </c>
      <c r="AE232" s="4">
        <v>3</v>
      </c>
      <c r="AF232" s="4">
        <v>125</v>
      </c>
      <c r="AG232" s="4">
        <v>51</v>
      </c>
      <c r="AH232" s="76">
        <f t="shared" si="1"/>
        <v>0</v>
      </c>
      <c r="AI232" s="76">
        <f t="shared" si="2"/>
        <v>2.4509803921568629</v>
      </c>
      <c r="AJ232" s="112">
        <v>195835</v>
      </c>
      <c r="AK232" s="76">
        <f t="shared" si="62"/>
        <v>473794.3548387097</v>
      </c>
      <c r="AL232" s="49">
        <v>108484</v>
      </c>
      <c r="AM232" s="80" t="str">
        <f t="shared" si="4"/>
        <v/>
      </c>
      <c r="AN232" s="76" t="str">
        <f t="shared" si="5"/>
        <v/>
      </c>
      <c r="AO232" s="49" t="s">
        <v>161</v>
      </c>
      <c r="AP232" s="82">
        <v>0</v>
      </c>
      <c r="AQ232" s="4">
        <v>0</v>
      </c>
      <c r="AR232" s="4">
        <v>596</v>
      </c>
      <c r="AS232" s="4">
        <v>4501.93</v>
      </c>
      <c r="AT232" s="4">
        <v>0</v>
      </c>
      <c r="AU232" s="4">
        <v>4502</v>
      </c>
      <c r="AV232" s="1">
        <v>0</v>
      </c>
      <c r="AW232" s="1">
        <v>1</v>
      </c>
      <c r="AX232" s="1">
        <v>1</v>
      </c>
      <c r="AY232" s="86" t="str">
        <f>IFERROR(VLOOKUP(C232,#REF!,13,0),"")</f>
        <v/>
      </c>
      <c r="AZ232" s="87"/>
      <c r="BA232" s="1" t="str">
        <f t="shared" si="6"/>
        <v>Active</v>
      </c>
      <c r="BB232" s="1" t="e">
        <f t="shared" ca="1" si="7"/>
        <v>#NAME?</v>
      </c>
      <c r="BC232" s="1" t="e">
        <f t="shared" ca="1" si="123"/>
        <v>#NAME?</v>
      </c>
      <c r="BD232" s="118">
        <f t="shared" ref="BD232:BD234" si="133">(31-18)/31+1+1</f>
        <v>2.4193548387096775</v>
      </c>
      <c r="BE232" s="88" t="str">
        <v/>
      </c>
      <c r="BF232" s="141">
        <f>12/31</f>
        <v>0.38709677419354838</v>
      </c>
      <c r="BG232" s="1" t="s">
        <v>423</v>
      </c>
      <c r="BH232" s="89"/>
      <c r="BI232" s="89"/>
      <c r="BJ232" s="140"/>
      <c r="BK232" s="91"/>
      <c r="BL232" s="91"/>
      <c r="BM232" s="91">
        <f t="shared" si="11"/>
        <v>0</v>
      </c>
      <c r="BN232" s="91"/>
      <c r="BO232" s="92" t="str">
        <f ca="1">IFERROR(__xludf.DUMMYFUNCTION("IFERROR(ArrayFormula(SUM(VLOOKUP($C232,importrange(""1MwNMVzWE3QBVOyJjKr3eFX-Sq1Ng0Q1sghWJbgbE_8g"",""ORDER BOOKING REPORT 2024-25!C:CV""),{16,23,30},0))))"),"")</f>
        <v/>
      </c>
      <c r="BP232" s="92" t="str">
        <f ca="1">IFERROR(__xludf.DUMMYFUNCTION("IFERROR(ArrayFormula(SUM(VLOOKUP($C232,importrange(""1MwNMVzWE3QBVOyJjKr3eFX-Sq1Ng0Q1sghWJbgbE_8g"",""ORDER BOOKING REPORT 2024-25!C:CV""),{37,44,51},0))))"),"")</f>
        <v/>
      </c>
      <c r="BQ232" s="92" t="str">
        <f ca="1">IFERROR(__xludf.DUMMYFUNCTION("IFERROR(ArrayFormula(SUM(VLOOKUP($C232,importrange(""1MwNMVzWE3QBVOyJjKr3eFX-Sq1Ng0Q1sghWJbgbE_8g"",""ORDER BOOKING REPORT 2024-25!C:CV""),{58,65,72},0))))"),"")</f>
        <v/>
      </c>
      <c r="BR232" s="92" t="str">
        <f ca="1">IFERROR(__xludf.DUMMYFUNCTION("IFERROR(ArrayFormula(SUM(VLOOKUP($C232,importrange(""1MwNMVzWE3QBVOyJjKr3eFX-Sq1Ng0Q1sghWJbgbE_8g"",""ORDER BOOKING REPORT 2024-25!C:CV""),{79,86,93},0))))"),"")</f>
        <v/>
      </c>
      <c r="BS232" s="93" t="str">
        <f t="shared" si="12"/>
        <v/>
      </c>
      <c r="BT232" s="93" t="str">
        <f t="shared" si="130"/>
        <v/>
      </c>
      <c r="BU232" s="37">
        <f t="shared" si="14"/>
        <v>0</v>
      </c>
      <c r="BV232" s="94"/>
      <c r="BW232" s="94"/>
      <c r="BX232" s="94"/>
      <c r="BY232" s="37">
        <f t="shared" si="15"/>
        <v>-195835</v>
      </c>
      <c r="BZ232" s="37"/>
      <c r="CA232" s="37"/>
      <c r="CB232" s="37"/>
      <c r="CC232" s="37"/>
      <c r="CD232" s="37"/>
      <c r="CE232" s="37"/>
      <c r="CF232" s="37"/>
      <c r="CG232" s="37" t="str">
        <f t="shared" si="18"/>
        <v>Below 60</v>
      </c>
      <c r="CH232" s="37" t="str">
        <f t="shared" si="26"/>
        <v>Not 50%</v>
      </c>
      <c r="CI232" s="93">
        <f t="shared" si="19"/>
        <v>0</v>
      </c>
      <c r="CJ232" s="105"/>
      <c r="CK232" s="105"/>
      <c r="CL232" s="105"/>
      <c r="CM232" s="96">
        <f t="shared" si="20"/>
        <v>3</v>
      </c>
      <c r="CN232" s="106"/>
      <c r="CO232" s="93"/>
      <c r="CP232" s="107"/>
      <c r="CQ232" s="110"/>
      <c r="CR232" s="93"/>
      <c r="CS232" s="93"/>
      <c r="CT232" s="93"/>
      <c r="CU232" s="93"/>
      <c r="CV232" s="93"/>
      <c r="CW232" s="93"/>
      <c r="CX232" s="51"/>
      <c r="CY232" s="93"/>
      <c r="CZ232" s="93"/>
    </row>
    <row r="233" spans="1:104" ht="15.6">
      <c r="A233" s="1" t="s">
        <v>160</v>
      </c>
      <c r="B233" s="1" t="s">
        <v>460</v>
      </c>
      <c r="C233" s="1" t="s">
        <v>346</v>
      </c>
      <c r="D233" s="1" t="s">
        <v>615</v>
      </c>
      <c r="E233" s="1" t="s">
        <v>456</v>
      </c>
      <c r="F233" s="104">
        <v>46041</v>
      </c>
      <c r="G233" s="76">
        <v>0</v>
      </c>
      <c r="H233" s="76">
        <v>0</v>
      </c>
      <c r="I233" s="77">
        <v>0</v>
      </c>
      <c r="J233" s="77">
        <v>0</v>
      </c>
      <c r="K233" s="4">
        <v>3</v>
      </c>
      <c r="L233" s="4">
        <v>3</v>
      </c>
      <c r="M233" s="4">
        <v>0</v>
      </c>
      <c r="N233" s="4">
        <v>3</v>
      </c>
      <c r="O233" s="4">
        <v>0</v>
      </c>
      <c r="P233" s="77">
        <v>0</v>
      </c>
      <c r="Q233" s="77">
        <v>0</v>
      </c>
      <c r="R233" s="4">
        <v>0</v>
      </c>
      <c r="S233" s="4">
        <v>0</v>
      </c>
      <c r="T233" s="4">
        <v>0</v>
      </c>
      <c r="U233" s="4">
        <v>0</v>
      </c>
      <c r="V233" s="4">
        <v>29</v>
      </c>
      <c r="W233" s="4">
        <v>37</v>
      </c>
      <c r="X233" s="4">
        <v>2</v>
      </c>
      <c r="Y233" s="4">
        <v>2</v>
      </c>
      <c r="Z233" s="4">
        <v>2</v>
      </c>
      <c r="AA233" s="4">
        <v>0</v>
      </c>
      <c r="AB233" s="4">
        <v>0</v>
      </c>
      <c r="AC233" s="4">
        <v>65</v>
      </c>
      <c r="AD233" s="4">
        <v>181</v>
      </c>
      <c r="AE233" s="4">
        <v>4</v>
      </c>
      <c r="AF233" s="4">
        <v>224</v>
      </c>
      <c r="AG233" s="4">
        <v>52</v>
      </c>
      <c r="AH233" s="76">
        <f t="shared" si="1"/>
        <v>0</v>
      </c>
      <c r="AI233" s="76">
        <f t="shared" si="2"/>
        <v>4.3076923076923075</v>
      </c>
      <c r="AJ233" s="112">
        <v>68112</v>
      </c>
      <c r="AK233" s="76">
        <f t="shared" si="62"/>
        <v>164787.09677419355</v>
      </c>
      <c r="AL233" s="49">
        <v>29385</v>
      </c>
      <c r="AM233" s="80" t="str">
        <f t="shared" si="4"/>
        <v/>
      </c>
      <c r="AN233" s="76" t="str">
        <f t="shared" si="5"/>
        <v/>
      </c>
      <c r="AO233" s="49" t="s">
        <v>161</v>
      </c>
      <c r="AP233" s="82">
        <v>0</v>
      </c>
      <c r="AQ233" s="4">
        <v>0</v>
      </c>
      <c r="AR233" s="4">
        <v>559</v>
      </c>
      <c r="AS233" s="4">
        <v>3124.4</v>
      </c>
      <c r="AT233" s="4">
        <v>0</v>
      </c>
      <c r="AU233" s="4">
        <v>1041</v>
      </c>
      <c r="AV233" s="1">
        <v>0</v>
      </c>
      <c r="AW233" s="1">
        <v>3</v>
      </c>
      <c r="AX233" s="1">
        <v>0</v>
      </c>
      <c r="AY233" s="86" t="str">
        <f>IFERROR(VLOOKUP(C233,#REF!,13,0),"")</f>
        <v/>
      </c>
      <c r="AZ233" s="87"/>
      <c r="BA233" s="1" t="str">
        <f t="shared" si="6"/>
        <v>Active</v>
      </c>
      <c r="BB233" s="1" t="e">
        <f t="shared" ca="1" si="7"/>
        <v>#NAME?</v>
      </c>
      <c r="BC233" s="1" t="e">
        <f t="shared" ca="1" si="123"/>
        <v>#NAME?</v>
      </c>
      <c r="BD233" s="118">
        <f t="shared" si="133"/>
        <v>2.4193548387096775</v>
      </c>
      <c r="BE233" s="88" t="str">
        <v/>
      </c>
      <c r="BF233" s="1"/>
      <c r="BG233" s="1" t="s">
        <v>428</v>
      </c>
      <c r="BH233" s="89"/>
      <c r="BI233" s="89"/>
      <c r="BJ233" s="140"/>
      <c r="BK233" s="91"/>
      <c r="BL233" s="91"/>
      <c r="BM233" s="91">
        <f t="shared" si="11"/>
        <v>0</v>
      </c>
      <c r="BN233" s="91"/>
      <c r="BO233" s="92" t="str">
        <f ca="1">IFERROR(__xludf.DUMMYFUNCTION("IFERROR(ArrayFormula(SUM(VLOOKUP($C233,importrange(""1MwNMVzWE3QBVOyJjKr3eFX-Sq1Ng0Q1sghWJbgbE_8g"",""ORDER BOOKING REPORT 2024-25!C:CV""),{16,23,30},0))))"),"")</f>
        <v/>
      </c>
      <c r="BP233" s="92" t="str">
        <f ca="1">IFERROR(__xludf.DUMMYFUNCTION("IFERROR(ArrayFormula(SUM(VLOOKUP($C233,importrange(""1MwNMVzWE3QBVOyJjKr3eFX-Sq1Ng0Q1sghWJbgbE_8g"",""ORDER BOOKING REPORT 2024-25!C:CV""),{37,44,51},0))))"),"")</f>
        <v/>
      </c>
      <c r="BQ233" s="92" t="str">
        <f ca="1">IFERROR(__xludf.DUMMYFUNCTION("IFERROR(ArrayFormula(SUM(VLOOKUP($C233,importrange(""1MwNMVzWE3QBVOyJjKr3eFX-Sq1Ng0Q1sghWJbgbE_8g"",""ORDER BOOKING REPORT 2024-25!C:CV""),{58,65,72},0))))"),"")</f>
        <v/>
      </c>
      <c r="BR233" s="92" t="str">
        <f ca="1">IFERROR(__xludf.DUMMYFUNCTION("IFERROR(ArrayFormula(SUM(VLOOKUP($C233,importrange(""1MwNMVzWE3QBVOyJjKr3eFX-Sq1Ng0Q1sghWJbgbE_8g"",""ORDER BOOKING REPORT 2024-25!C:CV""),{79,86,93},0))))"),"")</f>
        <v/>
      </c>
      <c r="BS233" s="93" t="str">
        <f t="shared" si="12"/>
        <v/>
      </c>
      <c r="BT233" s="93" t="str">
        <f t="shared" si="130"/>
        <v/>
      </c>
      <c r="BU233" s="37">
        <f t="shared" si="14"/>
        <v>0</v>
      </c>
      <c r="BV233" s="94"/>
      <c r="BW233" s="94"/>
      <c r="BX233" s="94"/>
      <c r="BY233" s="37">
        <f t="shared" si="15"/>
        <v>-68112</v>
      </c>
      <c r="BZ233" s="37"/>
      <c r="CA233" s="37"/>
      <c r="CB233" s="37"/>
      <c r="CC233" s="37"/>
      <c r="CD233" s="37"/>
      <c r="CE233" s="37"/>
      <c r="CF233" s="37"/>
      <c r="CG233" s="37" t="str">
        <f t="shared" si="18"/>
        <v>Below 60</v>
      </c>
      <c r="CH233" s="37" t="str">
        <f t="shared" si="26"/>
        <v>Not 50%</v>
      </c>
      <c r="CI233" s="93">
        <f t="shared" si="19"/>
        <v>0</v>
      </c>
      <c r="CJ233" s="105"/>
      <c r="CK233" s="105"/>
      <c r="CL233" s="105"/>
      <c r="CM233" s="96">
        <f t="shared" si="20"/>
        <v>4</v>
      </c>
      <c r="CN233" s="106"/>
      <c r="CO233" s="93"/>
      <c r="CP233" s="107"/>
      <c r="CQ233" s="110"/>
      <c r="CR233" s="93"/>
      <c r="CS233" s="93"/>
      <c r="CT233" s="93"/>
      <c r="CU233" s="93"/>
      <c r="CV233" s="93"/>
      <c r="CW233" s="93"/>
      <c r="CX233" s="51"/>
      <c r="CY233" s="93"/>
      <c r="CZ233" s="93"/>
    </row>
    <row r="234" spans="1:104" ht="15.6">
      <c r="A234" s="1" t="s">
        <v>118</v>
      </c>
      <c r="B234" s="1" t="s">
        <v>362</v>
      </c>
      <c r="C234" s="1" t="s">
        <v>347</v>
      </c>
      <c r="D234" s="1" t="s">
        <v>419</v>
      </c>
      <c r="E234" s="1" t="s">
        <v>670</v>
      </c>
      <c r="F234" s="104">
        <v>46041</v>
      </c>
      <c r="G234" s="76">
        <v>0</v>
      </c>
      <c r="H234" s="76">
        <v>0</v>
      </c>
      <c r="I234" s="77">
        <v>3270193.24</v>
      </c>
      <c r="J234" s="77">
        <v>0</v>
      </c>
      <c r="K234" s="4">
        <v>46</v>
      </c>
      <c r="L234" s="4">
        <v>59</v>
      </c>
      <c r="M234" s="4">
        <v>15</v>
      </c>
      <c r="N234" s="4">
        <v>61</v>
      </c>
      <c r="O234" s="4">
        <v>2</v>
      </c>
      <c r="P234" s="77">
        <v>2400552.54</v>
      </c>
      <c r="Q234" s="77">
        <v>869640.7</v>
      </c>
      <c r="R234" s="4">
        <v>23</v>
      </c>
      <c r="S234" s="4">
        <v>8</v>
      </c>
      <c r="T234" s="4">
        <v>31</v>
      </c>
      <c r="U234" s="4">
        <v>0</v>
      </c>
      <c r="V234" s="4">
        <v>5</v>
      </c>
      <c r="W234" s="4">
        <v>6</v>
      </c>
      <c r="X234" s="4">
        <v>0</v>
      </c>
      <c r="Y234" s="4">
        <v>2</v>
      </c>
      <c r="Z234" s="4">
        <v>3</v>
      </c>
      <c r="AA234" s="4">
        <v>1</v>
      </c>
      <c r="AB234" s="4">
        <v>1</v>
      </c>
      <c r="AC234" s="4">
        <v>0</v>
      </c>
      <c r="AD234" s="4">
        <v>0</v>
      </c>
      <c r="AE234" s="4">
        <v>127</v>
      </c>
      <c r="AF234" s="4">
        <v>137</v>
      </c>
      <c r="AG234" s="4">
        <v>49</v>
      </c>
      <c r="AH234" s="76">
        <f t="shared" si="1"/>
        <v>66738.637551020409</v>
      </c>
      <c r="AI234" s="76">
        <f t="shared" si="2"/>
        <v>2.795918367346939</v>
      </c>
      <c r="AJ234" s="112">
        <v>35650</v>
      </c>
      <c r="AK234" s="76">
        <f t="shared" si="62"/>
        <v>86250</v>
      </c>
      <c r="AL234" s="79">
        <v>34636</v>
      </c>
      <c r="AM234" s="80">
        <f t="shared" si="4"/>
        <v>3.6966011219569397E-2</v>
      </c>
      <c r="AN234" s="76">
        <f t="shared" si="5"/>
        <v>105490.10451612904</v>
      </c>
      <c r="AO234" s="102" t="str">
        <f t="shared" ref="AO234:AO243" si="134">IFERROR(SUM(I234:J234)/SUM(G234:H234),"")</f>
        <v/>
      </c>
      <c r="AP234" s="82">
        <v>0</v>
      </c>
      <c r="AQ234" s="4">
        <v>46</v>
      </c>
      <c r="AR234" s="4">
        <v>537</v>
      </c>
      <c r="AS234" s="4">
        <v>3958.43</v>
      </c>
      <c r="AT234" s="4">
        <v>8</v>
      </c>
      <c r="AU234" s="4">
        <v>67</v>
      </c>
      <c r="AV234" s="1">
        <v>31</v>
      </c>
      <c r="AW234" s="1">
        <v>28</v>
      </c>
      <c r="AX234" s="1">
        <v>2</v>
      </c>
      <c r="AY234" s="86" t="str">
        <f>IFERROR(VLOOKUP(C234,#REF!,13,0),"")</f>
        <v/>
      </c>
      <c r="AZ234" s="87"/>
      <c r="BA234" s="1" t="str">
        <f t="shared" si="6"/>
        <v>Active</v>
      </c>
      <c r="BB234" s="1" t="e">
        <f t="shared" ca="1" si="7"/>
        <v>#NAME?</v>
      </c>
      <c r="BC234" s="1" t="e">
        <f t="shared" ca="1" si="123"/>
        <v>#NAME?</v>
      </c>
      <c r="BD234" s="118">
        <f t="shared" si="133"/>
        <v>2.4193548387096775</v>
      </c>
      <c r="BE234" s="88" t="str">
        <v/>
      </c>
      <c r="BF234" s="1"/>
      <c r="BG234" s="1" t="s">
        <v>428</v>
      </c>
      <c r="BH234" s="89"/>
      <c r="BI234" s="89"/>
      <c r="BJ234" s="140"/>
      <c r="BK234" s="91"/>
      <c r="BL234" s="91"/>
      <c r="BM234" s="91">
        <f t="shared" si="11"/>
        <v>0</v>
      </c>
      <c r="BN234" s="91"/>
      <c r="BO234" s="92" t="str">
        <f ca="1">IFERROR(__xludf.DUMMYFUNCTION("IFERROR(ArrayFormula(SUM(VLOOKUP($C234,importrange(""1MwNMVzWE3QBVOyJjKr3eFX-Sq1Ng0Q1sghWJbgbE_8g"",""ORDER BOOKING REPORT 2024-25!C:CV""),{16,23,30},0))))"),"")</f>
        <v/>
      </c>
      <c r="BP234" s="92" t="str">
        <f ca="1">IFERROR(__xludf.DUMMYFUNCTION("IFERROR(ArrayFormula(SUM(VLOOKUP($C234,importrange(""1MwNMVzWE3QBVOyJjKr3eFX-Sq1Ng0Q1sghWJbgbE_8g"",""ORDER BOOKING REPORT 2024-25!C:CV""),{37,44,51},0))))"),"")</f>
        <v/>
      </c>
      <c r="BQ234" s="92" t="str">
        <f ca="1">IFERROR(__xludf.DUMMYFUNCTION("IFERROR(ArrayFormula(SUM(VLOOKUP($C234,importrange(""1MwNMVzWE3QBVOyJjKr3eFX-Sq1Ng0Q1sghWJbgbE_8g"",""ORDER BOOKING REPORT 2024-25!C:CV""),{58,65,72},0))))"),"")</f>
        <v/>
      </c>
      <c r="BR234" s="92" t="str">
        <f ca="1">IFERROR(__xludf.DUMMYFUNCTION("IFERROR(ArrayFormula(SUM(VLOOKUP($C234,importrange(""1MwNMVzWE3QBVOyJjKr3eFX-Sq1Ng0Q1sghWJbgbE_8g"",""ORDER BOOKING REPORT 2024-25!C:CV""),{79,86,93},0))))"),"")</f>
        <v/>
      </c>
      <c r="BS234" s="93" t="str">
        <f t="shared" si="12"/>
        <v/>
      </c>
      <c r="BT234" s="93" t="str">
        <f t="shared" si="130"/>
        <v/>
      </c>
      <c r="BU234" s="37">
        <f t="shared" si="14"/>
        <v>0</v>
      </c>
      <c r="BV234" s="94"/>
      <c r="BW234" s="94"/>
      <c r="BX234" s="94"/>
      <c r="BY234" s="37">
        <f t="shared" si="15"/>
        <v>-35650</v>
      </c>
      <c r="BZ234" s="37"/>
      <c r="CA234" s="37"/>
      <c r="CB234" s="37"/>
      <c r="CC234" s="37"/>
      <c r="CD234" s="37"/>
      <c r="CE234" s="37"/>
      <c r="CF234" s="37"/>
      <c r="CG234" s="37" t="str">
        <f t="shared" si="18"/>
        <v xml:space="preserve"> </v>
      </c>
      <c r="CH234" s="37" t="str">
        <f t="shared" si="26"/>
        <v>Business Achieved 50%</v>
      </c>
      <c r="CI234" s="93">
        <f t="shared" si="19"/>
        <v>0.50819672131147542</v>
      </c>
      <c r="CJ234" s="95">
        <f ca="1">IFERROR(__xludf.DUMMYFUNCTION("""COMPUTED_VALUE"""),48)</f>
        <v>48</v>
      </c>
      <c r="CK234" s="95">
        <f ca="1">IFERROR(__xludf.DUMMYFUNCTION("""COMPUTED_VALUE"""),79)</f>
        <v>79</v>
      </c>
      <c r="CL234" s="95">
        <f ca="1">IFERROR(__xludf.DUMMYFUNCTION("""COMPUTED_VALUE"""),0)</f>
        <v>0</v>
      </c>
      <c r="CM234" s="96">
        <f t="shared" ca="1" si="20"/>
        <v>0</v>
      </c>
      <c r="CN234" s="103"/>
      <c r="CO234" s="4"/>
      <c r="CP234" s="100"/>
      <c r="CQ234" s="101"/>
      <c r="CR234" s="4"/>
      <c r="CS234" s="4"/>
      <c r="CT234" s="4"/>
      <c r="CU234" s="4"/>
      <c r="CV234" s="4"/>
      <c r="CW234" s="101"/>
      <c r="CX234" s="51"/>
      <c r="CY234" s="4"/>
      <c r="CZ234" s="4"/>
    </row>
    <row r="235" spans="1:104" ht="15.6">
      <c r="A235" s="1" t="s">
        <v>154</v>
      </c>
      <c r="B235" s="1" t="s">
        <v>370</v>
      </c>
      <c r="C235" s="1" t="s">
        <v>198</v>
      </c>
      <c r="D235" s="1" t="s">
        <v>542</v>
      </c>
      <c r="E235" s="1" t="s">
        <v>671</v>
      </c>
      <c r="F235" s="104">
        <v>46043</v>
      </c>
      <c r="G235" s="76">
        <v>0</v>
      </c>
      <c r="H235" s="76">
        <v>1412903</v>
      </c>
      <c r="I235" s="77">
        <v>0</v>
      </c>
      <c r="J235" s="77">
        <v>0</v>
      </c>
      <c r="K235" s="4">
        <v>79</v>
      </c>
      <c r="L235" s="4">
        <v>47</v>
      </c>
      <c r="M235" s="4">
        <v>0</v>
      </c>
      <c r="N235" s="4">
        <v>79</v>
      </c>
      <c r="O235" s="4">
        <v>32</v>
      </c>
      <c r="P235" s="77">
        <v>0</v>
      </c>
      <c r="Q235" s="77">
        <v>0</v>
      </c>
      <c r="R235" s="4">
        <v>0</v>
      </c>
      <c r="S235" s="4">
        <v>0</v>
      </c>
      <c r="T235" s="4">
        <v>0</v>
      </c>
      <c r="U235" s="4">
        <v>0</v>
      </c>
      <c r="V235" s="4">
        <v>95</v>
      </c>
      <c r="W235" s="4">
        <v>172</v>
      </c>
      <c r="X235" s="4">
        <v>489</v>
      </c>
      <c r="Y235" s="4">
        <v>2</v>
      </c>
      <c r="Z235" s="4">
        <v>24</v>
      </c>
      <c r="AA235" s="4">
        <v>0</v>
      </c>
      <c r="AB235" s="4">
        <v>0</v>
      </c>
      <c r="AC235" s="4">
        <v>2</v>
      </c>
      <c r="AD235" s="4">
        <v>4</v>
      </c>
      <c r="AE235" s="4">
        <v>108</v>
      </c>
      <c r="AF235" s="4">
        <v>308</v>
      </c>
      <c r="AG235" s="4">
        <v>49</v>
      </c>
      <c r="AH235" s="76">
        <f t="shared" si="1"/>
        <v>0</v>
      </c>
      <c r="AI235" s="76">
        <f t="shared" si="2"/>
        <v>6.2857142857142856</v>
      </c>
      <c r="AJ235" s="112">
        <v>40380</v>
      </c>
      <c r="AK235" s="76">
        <f t="shared" si="62"/>
        <v>95088.387096774197</v>
      </c>
      <c r="AL235" s="49">
        <v>35918</v>
      </c>
      <c r="AM235" s="80" t="str">
        <f t="shared" si="4"/>
        <v/>
      </c>
      <c r="AN235" s="76" t="str">
        <f t="shared" si="5"/>
        <v/>
      </c>
      <c r="AO235" s="102">
        <f t="shared" si="134"/>
        <v>0</v>
      </c>
      <c r="AP235" s="82">
        <v>0</v>
      </c>
      <c r="AQ235" s="4">
        <v>0</v>
      </c>
      <c r="AR235" s="4">
        <v>496</v>
      </c>
      <c r="AS235" s="4">
        <v>3623.38</v>
      </c>
      <c r="AT235" s="4">
        <v>0</v>
      </c>
      <c r="AU235" s="4">
        <v>77</v>
      </c>
      <c r="AV235" s="1">
        <v>0</v>
      </c>
      <c r="AW235" s="1">
        <v>47</v>
      </c>
      <c r="AX235" s="1">
        <v>32</v>
      </c>
      <c r="AY235" s="86" t="str">
        <f>IFERROR(VLOOKUP(C235,#REF!,13,0),"")</f>
        <v/>
      </c>
      <c r="AZ235" s="87">
        <v>46112</v>
      </c>
      <c r="BA235" s="1" t="str">
        <f t="shared" si="6"/>
        <v>LEFT</v>
      </c>
      <c r="BB235" s="1" t="e">
        <f t="shared" ca="1" si="7"/>
        <v>#NAME?</v>
      </c>
      <c r="BC235" s="1" t="e">
        <f t="shared" ca="1" si="123"/>
        <v>#NAME?</v>
      </c>
      <c r="BD235" s="118">
        <f>(31-20)/31+1+1</f>
        <v>2.3548387096774195</v>
      </c>
      <c r="BE235" s="88" t="str">
        <v/>
      </c>
      <c r="BF235" s="1"/>
      <c r="BG235" s="1" t="s">
        <v>428</v>
      </c>
      <c r="BH235" s="89">
        <f ca="1">IFERROR(__xludf.DUMMYFUNCTION("""COMPUTED_VALUE"""),3823316)</f>
        <v>3823316</v>
      </c>
      <c r="BI235" s="89">
        <f ca="1">IFERROR(__xludf.DUMMYFUNCTION("""COMPUTED_VALUE"""),3744803.89)</f>
        <v>3744803.89</v>
      </c>
      <c r="BJ235" s="140"/>
      <c r="BK235" s="91"/>
      <c r="BL235" s="91"/>
      <c r="BM235" s="91">
        <f t="shared" si="11"/>
        <v>1412903</v>
      </c>
      <c r="BN235" s="91"/>
      <c r="BO235" s="92">
        <f ca="1">IFERROR(__xludf.DUMMYFUNCTION("IFERROR(ArrayFormula(SUM(VLOOKUP($C235,importrange(""1MwNMVzWE3QBVOyJjKr3eFX-Sq1Ng0Q1sghWJbgbE_8g"",""ORDER BOOKING REPORT 2024-25!C:CV""),{16,23,30},0))))"),1915281.47)</f>
        <v>1915281.47</v>
      </c>
      <c r="BP235" s="92">
        <f ca="1">IFERROR(__xludf.DUMMYFUNCTION("IFERROR(ArrayFormula(SUM(VLOOKUP($C235,importrange(""1MwNMVzWE3QBVOyJjKr3eFX-Sq1Ng0Q1sghWJbgbE_8g"",""ORDER BOOKING REPORT 2024-25!C:CV""),{37,44,51},0))))"),1466671.1)</f>
        <v>1466671.1</v>
      </c>
      <c r="BQ235" s="92">
        <f ca="1">IFERROR(__xludf.DUMMYFUNCTION("IFERROR(ArrayFormula(SUM(VLOOKUP($C235,importrange(""1MwNMVzWE3QBVOyJjKr3eFX-Sq1Ng0Q1sghWJbgbE_8g"",""ORDER BOOKING REPORT 2024-25!C:CV""),{58,65,72},0))))"),362851.32)</f>
        <v>362851.32</v>
      </c>
      <c r="BR235" s="92">
        <f ca="1">IFERROR(__xludf.DUMMYFUNCTION("IFERROR(ArrayFormula(SUM(VLOOKUP($C235,importrange(""1MwNMVzWE3QBVOyJjKr3eFX-Sq1Ng0Q1sghWJbgbE_8g"",""ORDER BOOKING REPORT 2024-25!C:CV""),{79,86,93},0))))"),0)</f>
        <v>0</v>
      </c>
      <c r="BS235" s="93" t="str">
        <f t="shared" si="12"/>
        <v/>
      </c>
      <c r="BT235" s="93" t="str">
        <f t="shared" si="130"/>
        <v/>
      </c>
      <c r="BU235" s="37">
        <f t="shared" si="14"/>
        <v>0</v>
      </c>
      <c r="BV235" s="94"/>
      <c r="BW235" s="94"/>
      <c r="BX235" s="94"/>
      <c r="BY235" s="37">
        <f t="shared" si="15"/>
        <v>-40380</v>
      </c>
      <c r="BZ235" s="37"/>
      <c r="CA235" s="37"/>
      <c r="CB235" s="37"/>
      <c r="CC235" s="37"/>
      <c r="CD235" s="37"/>
      <c r="CE235" s="37"/>
      <c r="CF235" s="37"/>
      <c r="CG235" s="37" t="str">
        <f t="shared" si="18"/>
        <v xml:space="preserve"> </v>
      </c>
      <c r="CH235" s="37" t="str">
        <f t="shared" si="26"/>
        <v>Not 50%</v>
      </c>
      <c r="CI235" s="93">
        <f t="shared" si="19"/>
        <v>0</v>
      </c>
      <c r="CJ235" s="105">
        <f ca="1">IFERROR(__xludf.DUMMYFUNCTION("""COMPUTED_VALUE"""),0)</f>
        <v>0</v>
      </c>
      <c r="CK235" s="105">
        <f ca="1">IFERROR(__xludf.DUMMYFUNCTION("""COMPUTED_VALUE"""),108)</f>
        <v>108</v>
      </c>
      <c r="CL235" s="105">
        <f ca="1">IFERROR(__xludf.DUMMYFUNCTION("""COMPUTED_VALUE"""),0)</f>
        <v>0</v>
      </c>
      <c r="CM235" s="96">
        <f t="shared" ca="1" si="20"/>
        <v>0</v>
      </c>
      <c r="CN235" s="106"/>
      <c r="CO235" s="93"/>
      <c r="CP235" s="107"/>
      <c r="CQ235" s="110"/>
      <c r="CR235" s="93"/>
      <c r="CS235" s="93"/>
      <c r="CT235" s="93"/>
      <c r="CU235" s="93"/>
      <c r="CV235" s="93"/>
      <c r="CW235" s="93"/>
      <c r="CX235" s="51"/>
      <c r="CY235" s="93"/>
      <c r="CZ235" s="93"/>
    </row>
    <row r="236" spans="1:104" ht="15.6">
      <c r="A236" s="1" t="s">
        <v>120</v>
      </c>
      <c r="B236" s="1" t="s">
        <v>206</v>
      </c>
      <c r="C236" s="1" t="s">
        <v>348</v>
      </c>
      <c r="D236" s="1" t="s">
        <v>206</v>
      </c>
      <c r="E236" s="1" t="s">
        <v>360</v>
      </c>
      <c r="F236" s="48">
        <v>46069</v>
      </c>
      <c r="G236" s="76">
        <v>0</v>
      </c>
      <c r="H236" s="76">
        <v>1714286</v>
      </c>
      <c r="I236" s="77">
        <v>835665.65</v>
      </c>
      <c r="J236" s="77">
        <v>0</v>
      </c>
      <c r="K236" s="4">
        <v>20</v>
      </c>
      <c r="L236" s="4">
        <v>25</v>
      </c>
      <c r="M236" s="4">
        <v>7</v>
      </c>
      <c r="N236" s="4">
        <v>27</v>
      </c>
      <c r="O236" s="4">
        <v>2</v>
      </c>
      <c r="P236" s="77">
        <v>381581.43</v>
      </c>
      <c r="Q236" s="77">
        <v>454084.22</v>
      </c>
      <c r="R236" s="4">
        <v>7</v>
      </c>
      <c r="S236" s="4">
        <v>6</v>
      </c>
      <c r="T236" s="4">
        <v>13</v>
      </c>
      <c r="U236" s="4">
        <v>0</v>
      </c>
      <c r="V236" s="4">
        <v>89</v>
      </c>
      <c r="W236" s="4">
        <v>167</v>
      </c>
      <c r="X236" s="4">
        <v>9</v>
      </c>
      <c r="Y236" s="4">
        <v>4</v>
      </c>
      <c r="Z236" s="4">
        <v>18</v>
      </c>
      <c r="AA236" s="4">
        <v>1</v>
      </c>
      <c r="AB236" s="4">
        <v>1</v>
      </c>
      <c r="AC236" s="4">
        <v>1</v>
      </c>
      <c r="AD236" s="4">
        <v>1</v>
      </c>
      <c r="AE236" s="4">
        <v>62</v>
      </c>
      <c r="AF236" s="4">
        <v>249</v>
      </c>
      <c r="AG236" s="4">
        <v>31</v>
      </c>
      <c r="AH236" s="76">
        <f t="shared" si="1"/>
        <v>26956.956451612903</v>
      </c>
      <c r="AI236" s="76">
        <f t="shared" si="2"/>
        <v>8.0322580645161299</v>
      </c>
      <c r="AJ236" s="112">
        <v>31455</v>
      </c>
      <c r="AK236" s="76">
        <f t="shared" si="62"/>
        <v>46059.107142857145</v>
      </c>
      <c r="AL236" s="49">
        <v>23587</v>
      </c>
      <c r="AM236" s="80">
        <f t="shared" si="4"/>
        <v>8.3342072445908411E-2</v>
      </c>
      <c r="AN236" s="76">
        <f t="shared" si="5"/>
        <v>64281.973076923081</v>
      </c>
      <c r="AO236" s="102">
        <f t="shared" si="134"/>
        <v>0.48747154792140868</v>
      </c>
      <c r="AP236" s="82">
        <v>0</v>
      </c>
      <c r="AQ236" s="4">
        <v>41</v>
      </c>
      <c r="AR236" s="4">
        <v>336</v>
      </c>
      <c r="AS236" s="4">
        <v>3694.69</v>
      </c>
      <c r="AT236" s="4">
        <v>6</v>
      </c>
      <c r="AU236" s="4">
        <v>148</v>
      </c>
      <c r="AV236" s="1">
        <v>13</v>
      </c>
      <c r="AW236" s="1">
        <v>12</v>
      </c>
      <c r="AX236" s="1">
        <v>2</v>
      </c>
      <c r="AY236" s="86" t="str">
        <f>IFERROR(VLOOKUP(C236,#REF!,13,0),"")</f>
        <v/>
      </c>
      <c r="AZ236" s="87"/>
      <c r="BA236" s="1" t="str">
        <f t="shared" si="6"/>
        <v>Active</v>
      </c>
      <c r="BB236" s="1" t="e">
        <f t="shared" ca="1" si="7"/>
        <v>#NAME?</v>
      </c>
      <c r="BC236" s="1" t="e">
        <f t="shared" ca="1" si="123"/>
        <v>#NAME?</v>
      </c>
      <c r="BD236" s="118">
        <f>(28-15)/28+1</f>
        <v>1.4642857142857144</v>
      </c>
      <c r="BE236" s="88" t="str">
        <v/>
      </c>
      <c r="BF236" s="141">
        <f>13/28</f>
        <v>0.4642857142857143</v>
      </c>
      <c r="BG236" s="1" t="s">
        <v>428</v>
      </c>
      <c r="BH236" s="89"/>
      <c r="BI236" s="89"/>
      <c r="BJ236" s="140"/>
      <c r="BK236" s="91"/>
      <c r="BL236" s="91"/>
      <c r="BM236" s="91">
        <f t="shared" si="11"/>
        <v>1714286</v>
      </c>
      <c r="BN236" s="91"/>
      <c r="BO236" s="92" t="str">
        <f ca="1">IFERROR(__xludf.DUMMYFUNCTION("IFERROR(ArrayFormula(SUM(VLOOKUP($C236,importrange(""1MwNMVzWE3QBVOyJjKr3eFX-Sq1Ng0Q1sghWJbgbE_8g"",""ORDER BOOKING REPORT 2024-25!C:CV""),{16,23,30},0))))"),"")</f>
        <v/>
      </c>
      <c r="BP236" s="92" t="str">
        <f ca="1">IFERROR(__xludf.DUMMYFUNCTION("IFERROR(ArrayFormula(SUM(VLOOKUP($C236,importrange(""1MwNMVzWE3QBVOyJjKr3eFX-Sq1Ng0Q1sghWJbgbE_8g"",""ORDER BOOKING REPORT 2024-25!C:CV""),{37,44,51},0))))"),"")</f>
        <v/>
      </c>
      <c r="BQ236" s="92" t="str">
        <f ca="1">IFERROR(__xludf.DUMMYFUNCTION("IFERROR(ArrayFormula(SUM(VLOOKUP($C236,importrange(""1MwNMVzWE3QBVOyJjKr3eFX-Sq1Ng0Q1sghWJbgbE_8g"",""ORDER BOOKING REPORT 2024-25!C:CV""),{58,65,72},0))))"),"")</f>
        <v/>
      </c>
      <c r="BR236" s="92" t="str">
        <f ca="1">IFERROR(__xludf.DUMMYFUNCTION("IFERROR(ArrayFormula(SUM(VLOOKUP($C236,importrange(""1MwNMVzWE3QBVOyJjKr3eFX-Sq1Ng0Q1sghWJbgbE_8g"",""ORDER BOOKING REPORT 2024-25!C:CV""),{79,86,93},0))))"),"")</f>
        <v/>
      </c>
      <c r="BS236" s="93" t="str">
        <f t="shared" si="12"/>
        <v/>
      </c>
      <c r="BT236" s="93" t="str">
        <f t="shared" si="130"/>
        <v/>
      </c>
      <c r="BU236" s="37">
        <f t="shared" si="14"/>
        <v>0</v>
      </c>
      <c r="BV236" s="94"/>
      <c r="BW236" s="94"/>
      <c r="BX236" s="94"/>
      <c r="BY236" s="37">
        <f t="shared" si="15"/>
        <v>-31455</v>
      </c>
      <c r="BZ236" s="37"/>
      <c r="CA236" s="37"/>
      <c r="CB236" s="37"/>
      <c r="CC236" s="37"/>
      <c r="CD236" s="37"/>
      <c r="CE236" s="37"/>
      <c r="CF236" s="37"/>
      <c r="CG236" s="37" t="str">
        <f t="shared" si="18"/>
        <v>Below 60</v>
      </c>
      <c r="CH236" s="37" t="str">
        <f t="shared" si="26"/>
        <v>Not 50%</v>
      </c>
      <c r="CI236" s="93">
        <f t="shared" si="19"/>
        <v>0.48148148148148145</v>
      </c>
      <c r="CJ236" s="105">
        <f ca="1">IFERROR(__xludf.DUMMYFUNCTION("""COMPUTED_VALUE"""),39)</f>
        <v>39</v>
      </c>
      <c r="CK236" s="105">
        <f ca="1">IFERROR(__xludf.DUMMYFUNCTION("""COMPUTED_VALUE"""),23)</f>
        <v>23</v>
      </c>
      <c r="CL236" s="105">
        <f ca="1">IFERROR(__xludf.DUMMYFUNCTION("""COMPUTED_VALUE"""),0)</f>
        <v>0</v>
      </c>
      <c r="CM236" s="96">
        <f t="shared" ca="1" si="20"/>
        <v>0</v>
      </c>
      <c r="CN236" s="106"/>
      <c r="CO236" s="93"/>
      <c r="CP236" s="107"/>
      <c r="CQ236" s="110"/>
      <c r="CR236" s="93"/>
      <c r="CS236" s="93"/>
      <c r="CT236" s="93"/>
      <c r="CU236" s="93"/>
      <c r="CV236" s="93"/>
      <c r="CW236" s="93"/>
      <c r="CX236" s="51"/>
      <c r="CY236" s="93"/>
      <c r="CZ236" s="93"/>
    </row>
    <row r="237" spans="1:104" ht="15.6">
      <c r="A237" s="1" t="s">
        <v>118</v>
      </c>
      <c r="B237" s="1" t="s">
        <v>436</v>
      </c>
      <c r="C237" s="1" t="s">
        <v>349</v>
      </c>
      <c r="D237" s="1" t="s">
        <v>499</v>
      </c>
      <c r="E237" s="1" t="s">
        <v>453</v>
      </c>
      <c r="F237" s="48">
        <v>46084</v>
      </c>
      <c r="G237" s="76">
        <v>0</v>
      </c>
      <c r="H237" s="76">
        <v>0</v>
      </c>
      <c r="I237" s="77">
        <v>96357.7</v>
      </c>
      <c r="J237" s="77">
        <v>0</v>
      </c>
      <c r="K237" s="4">
        <v>34</v>
      </c>
      <c r="L237" s="4">
        <v>40</v>
      </c>
      <c r="M237" s="4">
        <v>8</v>
      </c>
      <c r="N237" s="4">
        <v>42</v>
      </c>
      <c r="O237" s="4">
        <v>2</v>
      </c>
      <c r="P237" s="77">
        <v>8981.5</v>
      </c>
      <c r="Q237" s="77">
        <v>87376.2</v>
      </c>
      <c r="R237" s="4">
        <v>1</v>
      </c>
      <c r="S237" s="4">
        <v>5</v>
      </c>
      <c r="T237" s="4">
        <v>6</v>
      </c>
      <c r="U237" s="4">
        <v>0</v>
      </c>
      <c r="V237" s="4">
        <v>63</v>
      </c>
      <c r="W237" s="4">
        <v>112</v>
      </c>
      <c r="X237" s="4">
        <v>13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66</v>
      </c>
      <c r="AF237" s="4">
        <v>178</v>
      </c>
      <c r="AG237" s="4">
        <v>20</v>
      </c>
      <c r="AH237" s="76">
        <f t="shared" si="1"/>
        <v>4817.8850000000002</v>
      </c>
      <c r="AI237" s="76">
        <f t="shared" si="2"/>
        <v>8.9</v>
      </c>
      <c r="AJ237" s="112">
        <v>34620</v>
      </c>
      <c r="AK237" s="76">
        <f t="shared" si="62"/>
        <v>32386.451612903224</v>
      </c>
      <c r="AL237" s="49">
        <v>13673</v>
      </c>
      <c r="AM237" s="80">
        <f t="shared" si="4"/>
        <v>0.47800488817088027</v>
      </c>
      <c r="AN237" s="76">
        <f t="shared" si="5"/>
        <v>16059.616666666667</v>
      </c>
      <c r="AO237" s="102" t="str">
        <f t="shared" si="134"/>
        <v/>
      </c>
      <c r="AP237" s="82">
        <v>0</v>
      </c>
      <c r="AQ237" s="4">
        <v>8</v>
      </c>
      <c r="AR237" s="4">
        <v>184</v>
      </c>
      <c r="AS237" s="4">
        <v>1968.64</v>
      </c>
      <c r="AT237" s="4">
        <v>5</v>
      </c>
      <c r="AU237" s="4">
        <v>49</v>
      </c>
      <c r="AV237" s="1">
        <v>6</v>
      </c>
      <c r="AW237" s="1">
        <v>34</v>
      </c>
      <c r="AX237" s="1">
        <v>2</v>
      </c>
      <c r="AY237" s="86" t="str">
        <f>IFERROR(VLOOKUP(C237,#REF!,13,0),"")</f>
        <v/>
      </c>
      <c r="AZ237" s="87"/>
      <c r="BA237" s="1" t="str">
        <f t="shared" si="6"/>
        <v>Active</v>
      </c>
      <c r="BB237" s="1" t="e">
        <f t="shared" ca="1" si="7"/>
        <v>#NAME?</v>
      </c>
      <c r="BC237" s="1" t="e">
        <f t="shared" ca="1" si="123"/>
        <v>#NAME?</v>
      </c>
      <c r="BD237" s="118">
        <f>(31-2)/31</f>
        <v>0.93548387096774188</v>
      </c>
      <c r="BE237" s="88" t="str">
        <v/>
      </c>
      <c r="BF237" s="141"/>
      <c r="BG237" s="1" t="s">
        <v>428</v>
      </c>
      <c r="BH237" s="89"/>
      <c r="BI237" s="89"/>
      <c r="BJ237" s="140"/>
      <c r="BK237" s="91"/>
      <c r="BL237" s="91"/>
      <c r="BM237" s="91">
        <f t="shared" si="11"/>
        <v>0</v>
      </c>
      <c r="BN237" s="91"/>
      <c r="BO237" s="92" t="str">
        <f ca="1">IFERROR(__xludf.DUMMYFUNCTION("IFERROR(ArrayFormula(SUM(VLOOKUP($C237,importrange(""1MwNMVzWE3QBVOyJjKr3eFX-Sq1Ng0Q1sghWJbgbE_8g"",""ORDER BOOKING REPORT 2024-25!C:CV""),{16,23,30},0))))"),"")</f>
        <v/>
      </c>
      <c r="BP237" s="92" t="str">
        <f ca="1">IFERROR(__xludf.DUMMYFUNCTION("IFERROR(ArrayFormula(SUM(VLOOKUP($C237,importrange(""1MwNMVzWE3QBVOyJjKr3eFX-Sq1Ng0Q1sghWJbgbE_8g"",""ORDER BOOKING REPORT 2024-25!C:CV""),{37,44,51},0))))"),"")</f>
        <v/>
      </c>
      <c r="BQ237" s="92" t="str">
        <f ca="1">IFERROR(__xludf.DUMMYFUNCTION("IFERROR(ArrayFormula(SUM(VLOOKUP($C237,importrange(""1MwNMVzWE3QBVOyJjKr3eFX-Sq1Ng0Q1sghWJbgbE_8g"",""ORDER BOOKING REPORT 2024-25!C:CV""),{58,65,72},0))))"),"")</f>
        <v/>
      </c>
      <c r="BR237" s="92" t="str">
        <f ca="1">IFERROR(__xludf.DUMMYFUNCTION("IFERROR(ArrayFormula(SUM(VLOOKUP($C237,importrange(""1MwNMVzWE3QBVOyJjKr3eFX-Sq1Ng0Q1sghWJbgbE_8g"",""ORDER BOOKING REPORT 2024-25!C:CV""),{79,86,93},0))))"),"")</f>
        <v/>
      </c>
      <c r="BS237" s="93" t="str">
        <f t="shared" si="12"/>
        <v/>
      </c>
      <c r="BT237" s="93" t="str">
        <f t="shared" si="130"/>
        <v/>
      </c>
      <c r="BU237" s="37">
        <f t="shared" si="14"/>
        <v>0</v>
      </c>
      <c r="BV237" s="94"/>
      <c r="BW237" s="94"/>
      <c r="BX237" s="94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93"/>
      <c r="CJ237" s="105">
        <f ca="1">IFERROR(__xludf.DUMMYFUNCTION("""COMPUTED_VALUE"""),9)</f>
        <v>9</v>
      </c>
      <c r="CK237" s="105">
        <f ca="1">IFERROR(__xludf.DUMMYFUNCTION("""COMPUTED_VALUE"""),57)</f>
        <v>57</v>
      </c>
      <c r="CL237" s="105">
        <f ca="1">IFERROR(__xludf.DUMMYFUNCTION("""COMPUTED_VALUE"""),0)</f>
        <v>0</v>
      </c>
      <c r="CM237" s="96">
        <f t="shared" ca="1" si="20"/>
        <v>0</v>
      </c>
      <c r="CN237" s="106"/>
      <c r="CO237" s="93"/>
      <c r="CP237" s="107"/>
      <c r="CQ237" s="110"/>
      <c r="CR237" s="93"/>
      <c r="CS237" s="93"/>
      <c r="CT237" s="93"/>
      <c r="CU237" s="93"/>
      <c r="CV237" s="93"/>
      <c r="CW237" s="93"/>
      <c r="CX237" s="51"/>
      <c r="CY237" s="93"/>
      <c r="CZ237" s="93"/>
    </row>
    <row r="238" spans="1:104" ht="15.6">
      <c r="A238" s="1" t="s">
        <v>136</v>
      </c>
      <c r="B238" s="1" t="s">
        <v>421</v>
      </c>
      <c r="C238" s="1" t="s">
        <v>350</v>
      </c>
      <c r="D238" s="1" t="s">
        <v>421</v>
      </c>
      <c r="E238" s="1" t="s">
        <v>379</v>
      </c>
      <c r="F238" s="48">
        <v>46086</v>
      </c>
      <c r="G238" s="76">
        <v>0</v>
      </c>
      <c r="H238" s="76">
        <v>700000</v>
      </c>
      <c r="I238" s="77">
        <v>50841.5</v>
      </c>
      <c r="J238" s="77">
        <v>0</v>
      </c>
      <c r="K238" s="4">
        <v>6</v>
      </c>
      <c r="L238" s="4">
        <v>7</v>
      </c>
      <c r="M238" s="4">
        <v>1</v>
      </c>
      <c r="N238" s="4">
        <v>7</v>
      </c>
      <c r="O238" s="4">
        <v>0</v>
      </c>
      <c r="P238" s="77">
        <v>22461.5</v>
      </c>
      <c r="Q238" s="77">
        <v>28380</v>
      </c>
      <c r="R238" s="4">
        <v>1</v>
      </c>
      <c r="S238" s="4">
        <v>1</v>
      </c>
      <c r="T238" s="4">
        <v>2</v>
      </c>
      <c r="U238" s="4">
        <v>0</v>
      </c>
      <c r="V238" s="4">
        <v>48</v>
      </c>
      <c r="W238" s="4">
        <v>59</v>
      </c>
      <c r="X238" s="4">
        <v>5</v>
      </c>
      <c r="Y238" s="4">
        <v>1</v>
      </c>
      <c r="Z238" s="4">
        <v>2</v>
      </c>
      <c r="AA238" s="4">
        <v>0</v>
      </c>
      <c r="AB238" s="4">
        <v>0</v>
      </c>
      <c r="AC238" s="4">
        <v>0</v>
      </c>
      <c r="AD238" s="4">
        <v>0</v>
      </c>
      <c r="AE238" s="4">
        <v>12</v>
      </c>
      <c r="AF238" s="4">
        <v>73</v>
      </c>
      <c r="AG238" s="4">
        <v>13</v>
      </c>
      <c r="AH238" s="76">
        <f t="shared" si="1"/>
        <v>3910.8846153846152</v>
      </c>
      <c r="AI238" s="76">
        <f t="shared" si="2"/>
        <v>5.615384615384615</v>
      </c>
      <c r="AJ238" s="112">
        <v>27260</v>
      </c>
      <c r="AK238" s="76">
        <f t="shared" si="62"/>
        <v>23742.580645161292</v>
      </c>
      <c r="AL238" s="49">
        <v>4450</v>
      </c>
      <c r="AM238" s="80">
        <f t="shared" si="4"/>
        <v>0.55451905717103722</v>
      </c>
      <c r="AN238" s="76">
        <f t="shared" si="5"/>
        <v>25420.75</v>
      </c>
      <c r="AO238" s="102">
        <f t="shared" si="134"/>
        <v>7.2630714285714285E-2</v>
      </c>
      <c r="AP238" s="82">
        <v>0</v>
      </c>
      <c r="AQ238" s="4">
        <v>2</v>
      </c>
      <c r="AR238" s="4">
        <v>123</v>
      </c>
      <c r="AS238" s="4">
        <v>628.78</v>
      </c>
      <c r="AT238" s="4">
        <v>1</v>
      </c>
      <c r="AU238" s="4">
        <v>90</v>
      </c>
      <c r="AV238" s="1">
        <v>2</v>
      </c>
      <c r="AW238" s="1">
        <v>5</v>
      </c>
      <c r="AX238" s="1">
        <v>0</v>
      </c>
      <c r="AY238" s="86" t="str">
        <f>IFERROR(VLOOKUP(C238,#REF!,13,0),"")</f>
        <v/>
      </c>
      <c r="AZ238" s="87"/>
      <c r="BA238" s="1" t="str">
        <f t="shared" si="6"/>
        <v>Active</v>
      </c>
      <c r="BB238" s="1" t="e">
        <f t="shared" ca="1" si="7"/>
        <v>#NAME?</v>
      </c>
      <c r="BC238" s="1" t="e">
        <f t="shared" ca="1" si="123"/>
        <v>#NAME?</v>
      </c>
      <c r="BD238" s="118">
        <f>(31-4)/31</f>
        <v>0.87096774193548387</v>
      </c>
      <c r="BE238" s="88" t="str">
        <v/>
      </c>
      <c r="BF238" s="141"/>
      <c r="BG238" s="1" t="s">
        <v>428</v>
      </c>
      <c r="BH238" s="89"/>
      <c r="BI238" s="89"/>
      <c r="BJ238" s="140"/>
      <c r="BK238" s="91"/>
      <c r="BL238" s="91"/>
      <c r="BM238" s="91">
        <f t="shared" si="11"/>
        <v>700000</v>
      </c>
      <c r="BN238" s="91"/>
      <c r="BO238" s="92" t="str">
        <f ca="1">IFERROR(__xludf.DUMMYFUNCTION("IFERROR(ArrayFormula(SUM(VLOOKUP($C238,importrange(""1MwNMVzWE3QBVOyJjKr3eFX-Sq1Ng0Q1sghWJbgbE_8g"",""ORDER BOOKING REPORT 2024-25!C:CV""),{16,23,30},0))))"),"")</f>
        <v/>
      </c>
      <c r="BP238" s="92" t="str">
        <f ca="1">IFERROR(__xludf.DUMMYFUNCTION("IFERROR(ArrayFormula(SUM(VLOOKUP($C238,importrange(""1MwNMVzWE3QBVOyJjKr3eFX-Sq1Ng0Q1sghWJbgbE_8g"",""ORDER BOOKING REPORT 2024-25!C:CV""),{37,44,51},0))))"),"")</f>
        <v/>
      </c>
      <c r="BQ238" s="92" t="str">
        <f ca="1">IFERROR(__xludf.DUMMYFUNCTION("IFERROR(ArrayFormula(SUM(VLOOKUP($C238,importrange(""1MwNMVzWE3QBVOyJjKr3eFX-Sq1Ng0Q1sghWJbgbE_8g"",""ORDER BOOKING REPORT 2024-25!C:CV""),{58,65,72},0))))"),"")</f>
        <v/>
      </c>
      <c r="BR238" s="92" t="str">
        <f ca="1">IFERROR(__xludf.DUMMYFUNCTION("IFERROR(ArrayFormula(SUM(VLOOKUP($C238,importrange(""1MwNMVzWE3QBVOyJjKr3eFX-Sq1Ng0Q1sghWJbgbE_8g"",""ORDER BOOKING REPORT 2024-25!C:CV""),{79,86,93},0))))"),"")</f>
        <v/>
      </c>
      <c r="BS238" s="93" t="str">
        <f t="shared" si="12"/>
        <v/>
      </c>
      <c r="BT238" s="93" t="str">
        <f t="shared" si="130"/>
        <v/>
      </c>
      <c r="BU238" s="37">
        <f t="shared" si="14"/>
        <v>0</v>
      </c>
      <c r="BV238" s="94"/>
      <c r="BW238" s="94"/>
      <c r="BX238" s="94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93"/>
      <c r="CJ238" s="105">
        <f ca="1">IFERROR(__xludf.DUMMYFUNCTION("""COMPUTED_VALUE"""),4)</f>
        <v>4</v>
      </c>
      <c r="CK238" s="105">
        <f ca="1">IFERROR(__xludf.DUMMYFUNCTION("""COMPUTED_VALUE"""),8)</f>
        <v>8</v>
      </c>
      <c r="CL238" s="105">
        <f ca="1">IFERROR(__xludf.DUMMYFUNCTION("""COMPUTED_VALUE"""),0)</f>
        <v>0</v>
      </c>
      <c r="CM238" s="96">
        <f t="shared" ca="1" si="20"/>
        <v>0</v>
      </c>
      <c r="CN238" s="106"/>
      <c r="CO238" s="93"/>
      <c r="CP238" s="107"/>
      <c r="CQ238" s="110"/>
      <c r="CR238" s="93"/>
      <c r="CS238" s="93"/>
      <c r="CT238" s="93"/>
      <c r="CU238" s="93"/>
      <c r="CV238" s="93"/>
      <c r="CW238" s="93"/>
      <c r="CX238" s="51"/>
      <c r="CY238" s="93"/>
      <c r="CZ238" s="93"/>
    </row>
    <row r="239" spans="1:104" ht="15.6">
      <c r="A239" s="1" t="s">
        <v>118</v>
      </c>
      <c r="B239" s="1" t="s">
        <v>362</v>
      </c>
      <c r="C239" s="1" t="s">
        <v>351</v>
      </c>
      <c r="D239" s="1" t="s">
        <v>419</v>
      </c>
      <c r="E239" s="1" t="s">
        <v>672</v>
      </c>
      <c r="F239" s="48">
        <v>46087</v>
      </c>
      <c r="G239" s="76">
        <v>0</v>
      </c>
      <c r="H239" s="76">
        <v>0</v>
      </c>
      <c r="I239" s="77">
        <v>0</v>
      </c>
      <c r="J239" s="77">
        <v>0</v>
      </c>
      <c r="K239" s="4">
        <v>14</v>
      </c>
      <c r="L239" s="4">
        <v>17</v>
      </c>
      <c r="M239" s="4">
        <v>4</v>
      </c>
      <c r="N239" s="4">
        <v>18</v>
      </c>
      <c r="O239" s="4">
        <v>1</v>
      </c>
      <c r="P239" s="77">
        <v>0</v>
      </c>
      <c r="Q239" s="77">
        <v>0</v>
      </c>
      <c r="R239" s="4">
        <v>0</v>
      </c>
      <c r="S239" s="4">
        <v>0</v>
      </c>
      <c r="T239" s="4">
        <v>0</v>
      </c>
      <c r="U239" s="4">
        <v>0</v>
      </c>
      <c r="V239" s="4">
        <v>34</v>
      </c>
      <c r="W239" s="4">
        <v>59</v>
      </c>
      <c r="X239" s="4">
        <v>6</v>
      </c>
      <c r="Y239" s="4">
        <v>3</v>
      </c>
      <c r="Z239" s="4">
        <v>4</v>
      </c>
      <c r="AA239" s="4">
        <v>0</v>
      </c>
      <c r="AB239" s="4">
        <v>0</v>
      </c>
      <c r="AC239" s="4">
        <v>0</v>
      </c>
      <c r="AD239" s="4">
        <v>0</v>
      </c>
      <c r="AE239" s="4">
        <v>29</v>
      </c>
      <c r="AF239" s="4">
        <v>92</v>
      </c>
      <c r="AG239" s="4">
        <v>18</v>
      </c>
      <c r="AH239" s="76">
        <f t="shared" si="1"/>
        <v>0</v>
      </c>
      <c r="AI239" s="76">
        <f t="shared" si="2"/>
        <v>5.1111111111111107</v>
      </c>
      <c r="AJ239" s="112">
        <v>42480</v>
      </c>
      <c r="AK239" s="76">
        <f t="shared" si="62"/>
        <v>35628.387096774197</v>
      </c>
      <c r="AL239" s="79">
        <v>9540</v>
      </c>
      <c r="AM239" s="80" t="str">
        <f t="shared" si="4"/>
        <v/>
      </c>
      <c r="AN239" s="76" t="str">
        <f t="shared" si="5"/>
        <v/>
      </c>
      <c r="AO239" s="102" t="str">
        <f t="shared" si="134"/>
        <v/>
      </c>
      <c r="AP239" s="82">
        <v>0</v>
      </c>
      <c r="AQ239" s="4">
        <v>0</v>
      </c>
      <c r="AR239" s="4">
        <v>135</v>
      </c>
      <c r="AS239" s="4">
        <v>589.04999999999995</v>
      </c>
      <c r="AT239" s="4">
        <v>0</v>
      </c>
      <c r="AU239" s="4">
        <v>35</v>
      </c>
      <c r="AV239" s="1">
        <v>0</v>
      </c>
      <c r="AW239" s="1">
        <v>17</v>
      </c>
      <c r="AX239" s="1">
        <v>1</v>
      </c>
      <c r="AY239" s="86" t="str">
        <f>IFERROR(VLOOKUP(C239,#REF!,13,0),"")</f>
        <v/>
      </c>
      <c r="AZ239" s="87"/>
      <c r="BA239" s="1" t="str">
        <f t="shared" si="6"/>
        <v>Active</v>
      </c>
      <c r="BB239" s="1" t="e">
        <f t="shared" ca="1" si="7"/>
        <v>#NAME?</v>
      </c>
      <c r="BC239" s="1" t="e">
        <f t="shared" ca="1" si="123"/>
        <v>#NAME?</v>
      </c>
      <c r="BD239" s="118">
        <f>(31-5)/31</f>
        <v>0.83870967741935487</v>
      </c>
      <c r="BE239" s="88" t="str">
        <v/>
      </c>
      <c r="BF239" s="141"/>
      <c r="BG239" s="1" t="s">
        <v>428</v>
      </c>
      <c r="BH239" s="89"/>
      <c r="BI239" s="89"/>
      <c r="BJ239" s="140"/>
      <c r="BK239" s="91"/>
      <c r="BL239" s="91"/>
      <c r="BM239" s="91">
        <f t="shared" si="11"/>
        <v>0</v>
      </c>
      <c r="BN239" s="91"/>
      <c r="BO239" s="92" t="str">
        <f ca="1">IFERROR(__xludf.DUMMYFUNCTION("IFERROR(ArrayFormula(SUM(VLOOKUP($C239,importrange(""1MwNMVzWE3QBVOyJjKr3eFX-Sq1Ng0Q1sghWJbgbE_8g"",""ORDER BOOKING REPORT 2024-25!C:CV""),{16,23,30},0))))"),"")</f>
        <v/>
      </c>
      <c r="BP239" s="92" t="str">
        <f ca="1">IFERROR(__xludf.DUMMYFUNCTION("IFERROR(ArrayFormula(SUM(VLOOKUP($C239,importrange(""1MwNMVzWE3QBVOyJjKr3eFX-Sq1Ng0Q1sghWJbgbE_8g"",""ORDER BOOKING REPORT 2024-25!C:CV""),{37,44,51},0))))"),"")</f>
        <v/>
      </c>
      <c r="BQ239" s="92" t="str">
        <f ca="1">IFERROR(__xludf.DUMMYFUNCTION("IFERROR(ArrayFormula(SUM(VLOOKUP($C239,importrange(""1MwNMVzWE3QBVOyJjKr3eFX-Sq1Ng0Q1sghWJbgbE_8g"",""ORDER BOOKING REPORT 2024-25!C:CV""),{58,65,72},0))))"),"")</f>
        <v/>
      </c>
      <c r="BR239" s="92" t="str">
        <f ca="1">IFERROR(__xludf.DUMMYFUNCTION("IFERROR(ArrayFormula(SUM(VLOOKUP($C239,importrange(""1MwNMVzWE3QBVOyJjKr3eFX-Sq1Ng0Q1sghWJbgbE_8g"",""ORDER BOOKING REPORT 2024-25!C:CV""),{79,86,93},0))))"),"")</f>
        <v/>
      </c>
      <c r="BS239" s="93" t="str">
        <f t="shared" si="12"/>
        <v/>
      </c>
      <c r="BT239" s="93" t="str">
        <f t="shared" si="130"/>
        <v/>
      </c>
      <c r="BU239" s="37">
        <f t="shared" si="14"/>
        <v>0</v>
      </c>
      <c r="BV239" s="94"/>
      <c r="BW239" s="94"/>
      <c r="BX239" s="94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93"/>
      <c r="CJ239" s="105">
        <f ca="1">IFERROR(__xludf.DUMMYFUNCTION("""COMPUTED_VALUE"""),0)</f>
        <v>0</v>
      </c>
      <c r="CK239" s="105">
        <f ca="1">IFERROR(__xludf.DUMMYFUNCTION("""COMPUTED_VALUE"""),29)</f>
        <v>29</v>
      </c>
      <c r="CL239" s="105">
        <f ca="1">IFERROR(__xludf.DUMMYFUNCTION("""COMPUTED_VALUE"""),0)</f>
        <v>0</v>
      </c>
      <c r="CM239" s="96">
        <f t="shared" ca="1" si="20"/>
        <v>0</v>
      </c>
      <c r="CN239" s="106"/>
      <c r="CO239" s="93"/>
      <c r="CP239" s="107"/>
      <c r="CQ239" s="110"/>
      <c r="CR239" s="93"/>
      <c r="CS239" s="93"/>
      <c r="CT239" s="93"/>
      <c r="CU239" s="93"/>
      <c r="CV239" s="93"/>
      <c r="CW239" s="110"/>
      <c r="CX239" s="51"/>
      <c r="CY239" s="93"/>
      <c r="CZ239" s="93"/>
    </row>
    <row r="240" spans="1:104" ht="15.6">
      <c r="A240" s="1" t="s">
        <v>118</v>
      </c>
      <c r="B240" s="1" t="s">
        <v>484</v>
      </c>
      <c r="C240" s="1" t="s">
        <v>352</v>
      </c>
      <c r="D240" s="1" t="s">
        <v>673</v>
      </c>
      <c r="E240" s="1" t="s">
        <v>674</v>
      </c>
      <c r="F240" s="48">
        <v>46093</v>
      </c>
      <c r="G240" s="76">
        <v>0</v>
      </c>
      <c r="H240" s="76">
        <v>0</v>
      </c>
      <c r="I240" s="77">
        <v>0</v>
      </c>
      <c r="J240" s="77">
        <v>0</v>
      </c>
      <c r="K240" s="4">
        <v>19</v>
      </c>
      <c r="L240" s="4">
        <v>19</v>
      </c>
      <c r="M240" s="4">
        <v>0</v>
      </c>
      <c r="N240" s="4">
        <v>19</v>
      </c>
      <c r="O240" s="4">
        <v>0</v>
      </c>
      <c r="P240" s="77">
        <v>0</v>
      </c>
      <c r="Q240" s="77">
        <v>0</v>
      </c>
      <c r="R240" s="4">
        <v>0</v>
      </c>
      <c r="S240" s="4">
        <v>0</v>
      </c>
      <c r="T240" s="4">
        <v>0</v>
      </c>
      <c r="U240" s="4">
        <v>0</v>
      </c>
      <c r="V240" s="4">
        <v>23</v>
      </c>
      <c r="W240" s="4">
        <v>30</v>
      </c>
      <c r="X240" s="4">
        <v>4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19</v>
      </c>
      <c r="AF240" s="4">
        <v>53</v>
      </c>
      <c r="AG240" s="4">
        <v>16</v>
      </c>
      <c r="AH240" s="76">
        <f t="shared" si="1"/>
        <v>0</v>
      </c>
      <c r="AI240" s="76">
        <f t="shared" si="2"/>
        <v>3.3125</v>
      </c>
      <c r="AJ240" s="112">
        <v>20000</v>
      </c>
      <c r="AK240" s="76">
        <f t="shared" si="62"/>
        <v>12903.225806451612</v>
      </c>
      <c r="AL240" s="79"/>
      <c r="AM240" s="80" t="str">
        <f t="shared" si="4"/>
        <v/>
      </c>
      <c r="AN240" s="76" t="str">
        <f t="shared" si="5"/>
        <v/>
      </c>
      <c r="AO240" s="102" t="str">
        <f t="shared" si="134"/>
        <v/>
      </c>
      <c r="AP240" s="82">
        <v>0</v>
      </c>
      <c r="AQ240" s="4">
        <v>0</v>
      </c>
      <c r="AR240" s="4">
        <v>147</v>
      </c>
      <c r="AS240" s="4">
        <v>773.05</v>
      </c>
      <c r="AT240" s="4">
        <v>0</v>
      </c>
      <c r="AU240" s="4">
        <v>41</v>
      </c>
      <c r="AV240" s="1">
        <v>0</v>
      </c>
      <c r="AW240" s="1">
        <v>19</v>
      </c>
      <c r="AX240" s="1">
        <v>1</v>
      </c>
      <c r="AY240" s="86" t="str">
        <f>IFERROR(VLOOKUP(C240,#REF!,13,0),"")</f>
        <v/>
      </c>
      <c r="AZ240" s="87"/>
      <c r="BA240" s="1" t="str">
        <f t="shared" si="6"/>
        <v>Active</v>
      </c>
      <c r="BB240" s="1" t="e">
        <f t="shared" ca="1" si="7"/>
        <v>#NAME?</v>
      </c>
      <c r="BC240" s="1" t="e">
        <f t="shared" ca="1" si="123"/>
        <v>#NAME?</v>
      </c>
      <c r="BD240" s="118">
        <f>(31-11)/31</f>
        <v>0.64516129032258063</v>
      </c>
      <c r="BE240" s="88" t="str">
        <v/>
      </c>
      <c r="BF240" s="141"/>
      <c r="BG240" s="1" t="s">
        <v>428</v>
      </c>
      <c r="BH240" s="89"/>
      <c r="BI240" s="89"/>
      <c r="BJ240" s="140"/>
      <c r="BK240" s="91"/>
      <c r="BL240" s="91"/>
      <c r="BM240" s="91">
        <f t="shared" si="11"/>
        <v>0</v>
      </c>
      <c r="BN240" s="91"/>
      <c r="BO240" s="92" t="str">
        <f ca="1">IFERROR(__xludf.DUMMYFUNCTION("IFERROR(ArrayFormula(SUM(VLOOKUP($C240,importrange(""1MwNMVzWE3QBVOyJjKr3eFX-Sq1Ng0Q1sghWJbgbE_8g"",""ORDER BOOKING REPORT 2024-25!C:CV""),{16,23,30},0))))"),"")</f>
        <v/>
      </c>
      <c r="BP240" s="92" t="str">
        <f ca="1">IFERROR(__xludf.DUMMYFUNCTION("IFERROR(ArrayFormula(SUM(VLOOKUP($C240,importrange(""1MwNMVzWE3QBVOyJjKr3eFX-Sq1Ng0Q1sghWJbgbE_8g"",""ORDER BOOKING REPORT 2024-25!C:CV""),{37,44,51},0))))"),"")</f>
        <v/>
      </c>
      <c r="BQ240" s="92" t="str">
        <f ca="1">IFERROR(__xludf.DUMMYFUNCTION("IFERROR(ArrayFormula(SUM(VLOOKUP($C240,importrange(""1MwNMVzWE3QBVOyJjKr3eFX-Sq1Ng0Q1sghWJbgbE_8g"",""ORDER BOOKING REPORT 2024-25!C:CV""),{58,65,72},0))))"),"")</f>
        <v/>
      </c>
      <c r="BR240" s="92" t="str">
        <f ca="1">IFERROR(__xludf.DUMMYFUNCTION("IFERROR(ArrayFormula(SUM(VLOOKUP($C240,importrange(""1MwNMVzWE3QBVOyJjKr3eFX-Sq1Ng0Q1sghWJbgbE_8g"",""ORDER BOOKING REPORT 2024-25!C:CV""),{79,86,93},0))))"),"")</f>
        <v/>
      </c>
      <c r="BS240" s="93" t="str">
        <f t="shared" si="12"/>
        <v/>
      </c>
      <c r="BT240" s="93" t="str">
        <f t="shared" si="130"/>
        <v/>
      </c>
      <c r="BU240" s="37">
        <f t="shared" si="14"/>
        <v>0</v>
      </c>
      <c r="BV240" s="94"/>
      <c r="BW240" s="94"/>
      <c r="BX240" s="94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93"/>
      <c r="CJ240" s="105">
        <f ca="1">IFERROR(__xludf.DUMMYFUNCTION("""COMPUTED_VALUE"""),0)</f>
        <v>0</v>
      </c>
      <c r="CK240" s="105">
        <f ca="1">IFERROR(__xludf.DUMMYFUNCTION("""COMPUTED_VALUE"""),19)</f>
        <v>19</v>
      </c>
      <c r="CL240" s="105">
        <f ca="1">IFERROR(__xludf.DUMMYFUNCTION("""COMPUTED_VALUE"""),0)</f>
        <v>0</v>
      </c>
      <c r="CM240" s="96">
        <f t="shared" ca="1" si="20"/>
        <v>0</v>
      </c>
      <c r="CN240" s="106"/>
      <c r="CO240" s="93"/>
      <c r="CP240" s="107"/>
      <c r="CQ240" s="110"/>
      <c r="CR240" s="93"/>
      <c r="CS240" s="93"/>
      <c r="CT240" s="93"/>
      <c r="CU240" s="93"/>
      <c r="CV240" s="93"/>
      <c r="CW240" s="110"/>
      <c r="CX240" s="51"/>
      <c r="CY240" s="93"/>
      <c r="CZ240" s="93"/>
    </row>
    <row r="241" spans="1:104" ht="15.6">
      <c r="A241" s="1" t="s">
        <v>160</v>
      </c>
      <c r="B241" s="1" t="s">
        <v>460</v>
      </c>
      <c r="C241" s="1" t="s">
        <v>353</v>
      </c>
      <c r="D241" s="1" t="s">
        <v>615</v>
      </c>
      <c r="E241" s="1" t="s">
        <v>675</v>
      </c>
      <c r="F241" s="48">
        <v>46090</v>
      </c>
      <c r="G241" s="76">
        <v>0</v>
      </c>
      <c r="H241" s="76">
        <v>0</v>
      </c>
      <c r="I241" s="77">
        <v>0</v>
      </c>
      <c r="J241" s="77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77">
        <v>0</v>
      </c>
      <c r="Q241" s="77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8</v>
      </c>
      <c r="AD241" s="4">
        <v>25</v>
      </c>
      <c r="AE241" s="4">
        <v>0</v>
      </c>
      <c r="AF241" s="4">
        <v>25</v>
      </c>
      <c r="AG241" s="4">
        <v>11</v>
      </c>
      <c r="AH241" s="76">
        <f t="shared" si="1"/>
        <v>0</v>
      </c>
      <c r="AI241" s="76">
        <f t="shared" si="2"/>
        <v>2.2727272727272729</v>
      </c>
      <c r="AJ241" s="112">
        <v>38810</v>
      </c>
      <c r="AK241" s="76">
        <f t="shared" si="62"/>
        <v>28794.516129032258</v>
      </c>
      <c r="AL241" s="49">
        <v>2988</v>
      </c>
      <c r="AM241" s="80" t="str">
        <f t="shared" si="4"/>
        <v/>
      </c>
      <c r="AN241" s="76" t="str">
        <f t="shared" si="5"/>
        <v/>
      </c>
      <c r="AO241" s="102" t="str">
        <f t="shared" si="134"/>
        <v/>
      </c>
      <c r="AP241" s="82">
        <v>0</v>
      </c>
      <c r="AQ241" s="4">
        <v>0</v>
      </c>
      <c r="AR241" s="4">
        <v>150</v>
      </c>
      <c r="AS241" s="4">
        <v>318.37</v>
      </c>
      <c r="AT241" s="4">
        <v>0</v>
      </c>
      <c r="AU241" s="4">
        <v>0</v>
      </c>
      <c r="AV241" s="1">
        <v>0</v>
      </c>
      <c r="AW241" s="1">
        <v>0</v>
      </c>
      <c r="AX241" s="1">
        <v>0</v>
      </c>
      <c r="AY241" s="86" t="str">
        <f>IFERROR(VLOOKUP(C241,#REF!,13,0),"")</f>
        <v/>
      </c>
      <c r="AZ241" s="87"/>
      <c r="BA241" s="1" t="str">
        <f t="shared" si="6"/>
        <v>Active</v>
      </c>
      <c r="BB241" s="1" t="e">
        <f t="shared" ca="1" si="7"/>
        <v>#NAME?</v>
      </c>
      <c r="BC241" s="1" t="e">
        <f t="shared" ca="1" si="123"/>
        <v>#NAME?</v>
      </c>
      <c r="BD241" s="118">
        <f>(31-8)/31</f>
        <v>0.74193548387096775</v>
      </c>
      <c r="BE241" s="88" t="str">
        <v/>
      </c>
      <c r="BF241" s="141"/>
      <c r="BG241" s="1" t="s">
        <v>428</v>
      </c>
      <c r="BH241" s="89"/>
      <c r="BI241" s="89"/>
      <c r="BJ241" s="140"/>
      <c r="BK241" s="91"/>
      <c r="BL241" s="91"/>
      <c r="BM241" s="91">
        <f t="shared" si="11"/>
        <v>0</v>
      </c>
      <c r="BN241" s="91"/>
      <c r="BO241" s="92" t="str">
        <f ca="1">IFERROR(__xludf.DUMMYFUNCTION("IFERROR(ArrayFormula(SUM(VLOOKUP($C241,importrange(""1MwNMVzWE3QBVOyJjKr3eFX-Sq1Ng0Q1sghWJbgbE_8g"",""ORDER BOOKING REPORT 2024-25!C:CV""),{16,23,30},0))))"),"")</f>
        <v/>
      </c>
      <c r="BP241" s="92" t="str">
        <f ca="1">IFERROR(__xludf.DUMMYFUNCTION("IFERROR(ArrayFormula(SUM(VLOOKUP($C241,importrange(""1MwNMVzWE3QBVOyJjKr3eFX-Sq1Ng0Q1sghWJbgbE_8g"",""ORDER BOOKING REPORT 2024-25!C:CV""),{37,44,51},0))))"),"")</f>
        <v/>
      </c>
      <c r="BQ241" s="92" t="str">
        <f ca="1">IFERROR(__xludf.DUMMYFUNCTION("IFERROR(ArrayFormula(SUM(VLOOKUP($C241,importrange(""1MwNMVzWE3QBVOyJjKr3eFX-Sq1Ng0Q1sghWJbgbE_8g"",""ORDER BOOKING REPORT 2024-25!C:CV""),{58,65,72},0))))"),"")</f>
        <v/>
      </c>
      <c r="BR241" s="92" t="str">
        <f ca="1">IFERROR(__xludf.DUMMYFUNCTION("IFERROR(ArrayFormula(SUM(VLOOKUP($C241,importrange(""1MwNMVzWE3QBVOyJjKr3eFX-Sq1Ng0Q1sghWJbgbE_8g"",""ORDER BOOKING REPORT 2024-25!C:CV""),{79,86,93},0))))"),"")</f>
        <v/>
      </c>
      <c r="BS241" s="93" t="str">
        <f t="shared" si="12"/>
        <v/>
      </c>
      <c r="BT241" s="93" t="str">
        <f t="shared" si="130"/>
        <v/>
      </c>
      <c r="BU241" s="37">
        <f t="shared" si="14"/>
        <v>0</v>
      </c>
      <c r="BV241" s="94"/>
      <c r="BW241" s="94"/>
      <c r="BX241" s="94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93"/>
      <c r="CJ241" s="105"/>
      <c r="CK241" s="105"/>
      <c r="CL241" s="105"/>
      <c r="CM241" s="96">
        <f t="shared" si="20"/>
        <v>0</v>
      </c>
      <c r="CN241" s="106"/>
      <c r="CO241" s="93"/>
      <c r="CP241" s="107"/>
      <c r="CQ241" s="110"/>
      <c r="CR241" s="93"/>
      <c r="CS241" s="93"/>
      <c r="CT241" s="93"/>
      <c r="CU241" s="93"/>
      <c r="CV241" s="93"/>
      <c r="CW241" s="93"/>
      <c r="CX241" s="51"/>
      <c r="CY241" s="93"/>
      <c r="CZ241" s="93"/>
    </row>
    <row r="242" spans="1:104" ht="15.6">
      <c r="A242" s="1" t="s">
        <v>154</v>
      </c>
      <c r="B242" s="1" t="s">
        <v>370</v>
      </c>
      <c r="C242" s="1" t="s">
        <v>354</v>
      </c>
      <c r="D242" s="1" t="s">
        <v>542</v>
      </c>
      <c r="E242" s="1" t="s">
        <v>374</v>
      </c>
      <c r="F242" s="48">
        <v>46099</v>
      </c>
      <c r="G242" s="76">
        <v>0</v>
      </c>
      <c r="H242" s="76">
        <v>200000</v>
      </c>
      <c r="I242" s="77">
        <v>0</v>
      </c>
      <c r="J242" s="77">
        <v>0</v>
      </c>
      <c r="K242" s="4">
        <v>11</v>
      </c>
      <c r="L242" s="4">
        <v>9</v>
      </c>
      <c r="M242" s="4">
        <v>0</v>
      </c>
      <c r="N242" s="4">
        <v>11</v>
      </c>
      <c r="O242" s="4">
        <v>2</v>
      </c>
      <c r="P242" s="77">
        <v>0</v>
      </c>
      <c r="Q242" s="77">
        <v>0</v>
      </c>
      <c r="R242" s="4">
        <v>0</v>
      </c>
      <c r="S242" s="4">
        <v>0</v>
      </c>
      <c r="T242" s="4">
        <v>0</v>
      </c>
      <c r="U242" s="4">
        <v>0</v>
      </c>
      <c r="V242" s="4">
        <v>32</v>
      </c>
      <c r="W242" s="4">
        <v>32</v>
      </c>
      <c r="X242" s="4">
        <v>26</v>
      </c>
      <c r="Y242" s="4">
        <v>1</v>
      </c>
      <c r="Z242" s="4">
        <v>1</v>
      </c>
      <c r="AA242" s="4">
        <v>0</v>
      </c>
      <c r="AB242" s="4">
        <v>0</v>
      </c>
      <c r="AC242" s="4">
        <v>1</v>
      </c>
      <c r="AD242" s="4">
        <v>1</v>
      </c>
      <c r="AE242" s="4">
        <v>9</v>
      </c>
      <c r="AF242" s="4">
        <v>43</v>
      </c>
      <c r="AG242" s="4">
        <v>7</v>
      </c>
      <c r="AH242" s="76">
        <f t="shared" si="1"/>
        <v>0</v>
      </c>
      <c r="AI242" s="76">
        <f t="shared" si="2"/>
        <v>6.1428571428571432</v>
      </c>
      <c r="AJ242" s="112">
        <v>33050</v>
      </c>
      <c r="AK242" s="76">
        <f t="shared" si="62"/>
        <v>14925.806451612903</v>
      </c>
      <c r="AL242" s="49">
        <v>8652</v>
      </c>
      <c r="AM242" s="80" t="str">
        <f t="shared" si="4"/>
        <v/>
      </c>
      <c r="AN242" s="76" t="str">
        <f t="shared" si="5"/>
        <v/>
      </c>
      <c r="AO242" s="102">
        <f t="shared" si="134"/>
        <v>0</v>
      </c>
      <c r="AP242" s="82">
        <v>0</v>
      </c>
      <c r="AQ242" s="4">
        <v>0</v>
      </c>
      <c r="AR242" s="4">
        <v>68</v>
      </c>
      <c r="AS242" s="4">
        <v>909.81</v>
      </c>
      <c r="AT242" s="4">
        <v>0</v>
      </c>
      <c r="AU242" s="4">
        <v>101</v>
      </c>
      <c r="AV242" s="1">
        <v>0</v>
      </c>
      <c r="AW242" s="1">
        <v>9</v>
      </c>
      <c r="AX242" s="1">
        <v>2</v>
      </c>
      <c r="AY242" s="86" t="str">
        <f>IFERROR(VLOOKUP(C242,#REF!,13,0),"")</f>
        <v/>
      </c>
      <c r="AZ242" s="87"/>
      <c r="BA242" s="1" t="str">
        <f t="shared" si="6"/>
        <v>Active</v>
      </c>
      <c r="BB242" s="1" t="e">
        <f t="shared" ca="1" si="7"/>
        <v>#NAME?</v>
      </c>
      <c r="BC242" s="1" t="e">
        <f t="shared" ca="1" si="123"/>
        <v>#NAME?</v>
      </c>
      <c r="BD242" s="118">
        <f>(31-17)/31</f>
        <v>0.45161290322580644</v>
      </c>
      <c r="BE242" s="88" t="str">
        <v/>
      </c>
      <c r="BF242" s="141"/>
      <c r="BG242" s="1" t="s">
        <v>428</v>
      </c>
      <c r="BH242" s="89"/>
      <c r="BI242" s="89"/>
      <c r="BJ242" s="140"/>
      <c r="BK242" s="91"/>
      <c r="BL242" s="91"/>
      <c r="BM242" s="91">
        <f t="shared" si="11"/>
        <v>200000</v>
      </c>
      <c r="BN242" s="91"/>
      <c r="BO242" s="92" t="str">
        <f ca="1">IFERROR(__xludf.DUMMYFUNCTION("IFERROR(ArrayFormula(SUM(VLOOKUP($C242,importrange(""1MwNMVzWE3QBVOyJjKr3eFX-Sq1Ng0Q1sghWJbgbE_8g"",""ORDER BOOKING REPORT 2024-25!C:CV""),{16,23,30},0))))"),"")</f>
        <v/>
      </c>
      <c r="BP242" s="92" t="str">
        <f ca="1">IFERROR(__xludf.DUMMYFUNCTION("IFERROR(ArrayFormula(SUM(VLOOKUP($C242,importrange(""1MwNMVzWE3QBVOyJjKr3eFX-Sq1Ng0Q1sghWJbgbE_8g"",""ORDER BOOKING REPORT 2024-25!C:CV""),{37,44,51},0))))"),"")</f>
        <v/>
      </c>
      <c r="BQ242" s="92" t="str">
        <f ca="1">IFERROR(__xludf.DUMMYFUNCTION("IFERROR(ArrayFormula(SUM(VLOOKUP($C242,importrange(""1MwNMVzWE3QBVOyJjKr3eFX-Sq1Ng0Q1sghWJbgbE_8g"",""ORDER BOOKING REPORT 2024-25!C:CV""),{58,65,72},0))))"),"")</f>
        <v/>
      </c>
      <c r="BR242" s="92" t="str">
        <f ca="1">IFERROR(__xludf.DUMMYFUNCTION("IFERROR(ArrayFormula(SUM(VLOOKUP($C242,importrange(""1MwNMVzWE3QBVOyJjKr3eFX-Sq1Ng0Q1sghWJbgbE_8g"",""ORDER BOOKING REPORT 2024-25!C:CV""),{79,86,93},0))))"),"")</f>
        <v/>
      </c>
      <c r="BS242" s="93" t="str">
        <f t="shared" si="12"/>
        <v/>
      </c>
      <c r="BT242" s="93" t="str">
        <f t="shared" si="130"/>
        <v/>
      </c>
      <c r="BU242" s="37">
        <f t="shared" si="14"/>
        <v>0</v>
      </c>
      <c r="BV242" s="94"/>
      <c r="BW242" s="94"/>
      <c r="BX242" s="94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93"/>
      <c r="CJ242" s="105">
        <f ca="1">IFERROR(__xludf.DUMMYFUNCTION("""COMPUTED_VALUE"""),0)</f>
        <v>0</v>
      </c>
      <c r="CK242" s="105">
        <f ca="1">IFERROR(__xludf.DUMMYFUNCTION("""COMPUTED_VALUE"""),9)</f>
        <v>9</v>
      </c>
      <c r="CL242" s="105">
        <f ca="1">IFERROR(__xludf.DUMMYFUNCTION("""COMPUTED_VALUE"""),0)</f>
        <v>0</v>
      </c>
      <c r="CM242" s="96">
        <f t="shared" ca="1" si="20"/>
        <v>0</v>
      </c>
      <c r="CN242" s="106"/>
      <c r="CO242" s="93"/>
      <c r="CP242" s="107"/>
      <c r="CQ242" s="110"/>
      <c r="CR242" s="93"/>
      <c r="CS242" s="93"/>
      <c r="CT242" s="93"/>
      <c r="CU242" s="93"/>
      <c r="CV242" s="93"/>
      <c r="CW242" s="93"/>
      <c r="CX242" s="51"/>
      <c r="CY242" s="93"/>
      <c r="CZ242" s="93"/>
    </row>
    <row r="243" spans="1:104" ht="15.6">
      <c r="A243" s="1" t="s">
        <v>118</v>
      </c>
      <c r="B243" s="1" t="s">
        <v>362</v>
      </c>
      <c r="C243" s="1" t="s">
        <v>355</v>
      </c>
      <c r="D243" s="1" t="s">
        <v>419</v>
      </c>
      <c r="E243" s="1" t="s">
        <v>676</v>
      </c>
      <c r="F243" s="48">
        <v>46101</v>
      </c>
      <c r="G243" s="76">
        <v>0</v>
      </c>
      <c r="H243" s="76">
        <v>0</v>
      </c>
      <c r="I243" s="77">
        <v>0</v>
      </c>
      <c r="J243" s="77">
        <v>0</v>
      </c>
      <c r="K243" s="4">
        <v>0</v>
      </c>
      <c r="L243" s="4">
        <v>0</v>
      </c>
      <c r="M243" s="4">
        <v>0</v>
      </c>
      <c r="N243" s="4">
        <v>14</v>
      </c>
      <c r="O243" s="4">
        <v>14</v>
      </c>
      <c r="P243" s="77">
        <v>0</v>
      </c>
      <c r="Q243" s="77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1</v>
      </c>
      <c r="Z243" s="4">
        <v>1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10</v>
      </c>
      <c r="AH243" s="76">
        <f t="shared" si="1"/>
        <v>0</v>
      </c>
      <c r="AI243" s="76">
        <f t="shared" si="2"/>
        <v>0</v>
      </c>
      <c r="AJ243" s="112">
        <v>36715</v>
      </c>
      <c r="AK243" s="76">
        <f t="shared" si="62"/>
        <v>14212.258064516129</v>
      </c>
      <c r="AL243" s="79">
        <v>5285</v>
      </c>
      <c r="AM243" s="80" t="str">
        <f t="shared" si="4"/>
        <v/>
      </c>
      <c r="AN243" s="76" t="str">
        <f t="shared" si="5"/>
        <v/>
      </c>
      <c r="AO243" s="102" t="str">
        <f t="shared" si="134"/>
        <v/>
      </c>
      <c r="AP243" s="82">
        <v>0</v>
      </c>
      <c r="AQ243" s="4">
        <v>0</v>
      </c>
      <c r="AR243" s="4">
        <v>28</v>
      </c>
      <c r="AS243" s="4">
        <v>305.61</v>
      </c>
      <c r="AT243" s="4">
        <v>0</v>
      </c>
      <c r="AU243" s="4">
        <v>0</v>
      </c>
      <c r="AV243" s="1">
        <v>0</v>
      </c>
      <c r="AW243" s="1">
        <v>0</v>
      </c>
      <c r="AX243" s="1">
        <v>14</v>
      </c>
      <c r="AY243" s="86" t="str">
        <f>IFERROR(VLOOKUP(C243,#REF!,13,0),"")</f>
        <v/>
      </c>
      <c r="AZ243" s="87"/>
      <c r="BA243" s="1" t="str">
        <f t="shared" si="6"/>
        <v>Active</v>
      </c>
      <c r="BB243" s="1" t="e">
        <f t="shared" ca="1" si="7"/>
        <v>#NAME?</v>
      </c>
      <c r="BC243" s="1" t="e">
        <f t="shared" ca="1" si="123"/>
        <v>#NAME?</v>
      </c>
      <c r="BD243" s="118">
        <f>(31-19)/31</f>
        <v>0.38709677419354838</v>
      </c>
      <c r="BE243" s="88" t="str">
        <v/>
      </c>
      <c r="BF243" s="141"/>
      <c r="BG243" s="1" t="s">
        <v>428</v>
      </c>
      <c r="BH243" s="89"/>
      <c r="BI243" s="89"/>
      <c r="BJ243" s="140"/>
      <c r="BK243" s="91"/>
      <c r="BL243" s="91"/>
      <c r="BM243" s="91">
        <f t="shared" si="11"/>
        <v>0</v>
      </c>
      <c r="BN243" s="91"/>
      <c r="BO243" s="92" t="str">
        <f ca="1">IFERROR(__xludf.DUMMYFUNCTION("IFERROR(ArrayFormula(SUM(VLOOKUP($C243,importrange(""1MwNMVzWE3QBVOyJjKr3eFX-Sq1Ng0Q1sghWJbgbE_8g"",""ORDER BOOKING REPORT 2024-25!C:CV""),{16,23,30},0))))"),"")</f>
        <v/>
      </c>
      <c r="BP243" s="92" t="str">
        <f ca="1">IFERROR(__xludf.DUMMYFUNCTION("IFERROR(ArrayFormula(SUM(VLOOKUP($C243,importrange(""1MwNMVzWE3QBVOyJjKr3eFX-Sq1Ng0Q1sghWJbgbE_8g"",""ORDER BOOKING REPORT 2024-25!C:CV""),{37,44,51},0))))"),"")</f>
        <v/>
      </c>
      <c r="BQ243" s="92" t="str">
        <f ca="1">IFERROR(__xludf.DUMMYFUNCTION("IFERROR(ArrayFormula(SUM(VLOOKUP($C243,importrange(""1MwNMVzWE3QBVOyJjKr3eFX-Sq1Ng0Q1sghWJbgbE_8g"",""ORDER BOOKING REPORT 2024-25!C:CV""),{58,65,72},0))))"),"")</f>
        <v/>
      </c>
      <c r="BR243" s="92" t="str">
        <f ca="1">IFERROR(__xludf.DUMMYFUNCTION("IFERROR(ArrayFormula(SUM(VLOOKUP($C243,importrange(""1MwNMVzWE3QBVOyJjKr3eFX-Sq1Ng0Q1sghWJbgbE_8g"",""ORDER BOOKING REPORT 2024-25!C:CV""),{79,86,93},0))))"),"")</f>
        <v/>
      </c>
      <c r="BS243" s="93" t="str">
        <f t="shared" si="12"/>
        <v/>
      </c>
      <c r="BT243" s="93" t="str">
        <f t="shared" si="130"/>
        <v/>
      </c>
      <c r="BU243" s="37">
        <f t="shared" si="14"/>
        <v>0</v>
      </c>
      <c r="BV243" s="94"/>
      <c r="BW243" s="94"/>
      <c r="BX243" s="94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93"/>
      <c r="CJ243" s="105">
        <f ca="1">IFERROR(__xludf.DUMMYFUNCTION("""COMPUTED_VALUE"""),0)</f>
        <v>0</v>
      </c>
      <c r="CK243" s="105">
        <f ca="1">IFERROR(__xludf.DUMMYFUNCTION("""COMPUTED_VALUE"""),0)</f>
        <v>0</v>
      </c>
      <c r="CL243" s="105">
        <f ca="1">IFERROR(__xludf.DUMMYFUNCTION("""COMPUTED_VALUE"""),0)</f>
        <v>0</v>
      </c>
      <c r="CM243" s="96">
        <f t="shared" ca="1" si="20"/>
        <v>0</v>
      </c>
      <c r="CN243" s="106"/>
      <c r="CO243" s="93"/>
      <c r="CP243" s="107"/>
      <c r="CQ243" s="110"/>
      <c r="CR243" s="93"/>
      <c r="CS243" s="93"/>
      <c r="CT243" s="93"/>
      <c r="CU243" s="93"/>
      <c r="CV243" s="93"/>
      <c r="CW243" s="110"/>
      <c r="CX243" s="51"/>
      <c r="CY243" s="93"/>
      <c r="CZ243" s="93"/>
    </row>
  </sheetData>
  <customSheetViews>
    <customSheetView guid="{ED5EF540-630D-443D-A338-F098B1CA87AA}" filter="1" showAutoFilter="1">
      <pageMargins left="0.7" right="0.7" top="0.75" bottom="0.75" header="0.3" footer="0.3"/>
      <autoFilter ref="A2:CF243" xr:uid="{2EC903BF-F38A-41C5-A028-35074F649C30}">
        <filterColumn colId="1">
          <filters>
            <filter val="Andhra Pradesh"/>
            <filter val="Bihar"/>
            <filter val="Chattisgarh"/>
            <filter val="Delhi"/>
            <filter val="Delhi NCR"/>
            <filter val="East U.P"/>
            <filter val="Gujarat"/>
            <filter val="Haryana"/>
            <filter val="Himachal Pradesh"/>
            <filter val="JAMMU AND KASHMIR"/>
            <filter val="Jharkhand"/>
            <filter val="Karnataka"/>
            <filter val="Madhya Pradesh"/>
            <filter val="Maharashtra"/>
            <filter val="Maharashtra 2"/>
            <filter val="North East"/>
            <filter val="Odisha"/>
            <filter val="Punjab"/>
            <filter val="Rajasthan"/>
            <filter val="Tamil Nadu"/>
            <filter val="Telangana"/>
            <filter val="Uttarakhand"/>
            <filter val="West Bengal"/>
            <filter val="West U.P"/>
          </filters>
        </filterColumn>
        <filterColumn colId="51">
          <filters blank="1">
            <filter val="05-Jan-26"/>
            <filter val="07-Apr-25"/>
            <filter val="08-Jan-26"/>
            <filter val="08-May-25"/>
            <filter val="08-Oct-25"/>
            <filter val="10-Mar-26"/>
            <filter val="10-Nov-25"/>
            <filter val="11-Jun-25"/>
            <filter val="11-Nov-25"/>
            <filter val="12-Apr-25"/>
            <filter val="13-Jan-26"/>
            <filter val="13-Oct-25"/>
            <filter val="13-Sep-25"/>
            <filter val="14-Jul-25"/>
            <filter val="14-Oct-25"/>
            <filter val="15-Apr-25"/>
            <filter val="16-Dec-25"/>
            <filter val="17-Dec-25"/>
            <filter val="17-May-25"/>
            <filter val="18-Dec-25"/>
            <filter val="18-Jul-25"/>
            <filter val="19-Dec-25"/>
            <filter val="19-Sep-25"/>
            <filter val="20-Nov-25"/>
            <filter val="21-Aug-25"/>
            <filter val="23-Jun-25"/>
            <filter val="23-Mar-26"/>
            <filter val="24-Apr-25"/>
            <filter val="24-Feb-26"/>
            <filter val="24-May-25"/>
            <filter val="24-Nov-25"/>
            <filter val="27-Apr-25"/>
            <filter val="27-May-25"/>
            <filter val="28-Feb-26"/>
            <filter val="30-Apr-25"/>
            <filter val="30-Nov-25"/>
            <filter val="31-Dec-25"/>
            <filter val="31-Jan-26"/>
            <filter val="31-Mar-26"/>
            <filter val="31-Oct-25"/>
          </filters>
        </filterColumn>
        <filterColumn colId="83">
          <filters blank="1">
            <filter val="164"/>
            <filter val="170"/>
            <filter val="174"/>
            <filter val="179"/>
            <filter val="181"/>
            <filter val="183"/>
            <filter val="184"/>
            <filter val="197"/>
          </filters>
        </filterColumn>
      </autoFilter>
    </customSheetView>
    <customSheetView guid="{77513249-E480-461D-BF4F-964A556FE2E7}" filter="1" showAutoFilter="1">
      <pageMargins left="0.7" right="0.7" top="0.75" bottom="0.75" header="0.3" footer="0.3"/>
      <autoFilter ref="A2:BM243" xr:uid="{CB606E88-1538-4BC3-AC0C-A76655A9FD1C}">
        <filterColumn colId="5">
          <filters>
            <filter val="01-Dec-25"/>
            <filter val="01-Jan-26"/>
            <filter val="01-May-25"/>
            <filter val="02-Jun-25"/>
            <filter val="03-Nov-25"/>
            <filter val="03-Oct-25"/>
            <filter val="04-Apr-25"/>
            <filter val="04-Aug-25"/>
            <filter val="04-Jul-25"/>
            <filter val="04-Jun-25"/>
            <filter val="05-Jan-26"/>
            <filter val="05-Jul-25"/>
            <filter val="05-May-25"/>
            <filter val="06-Oct-25"/>
            <filter val="07-Aug-25"/>
            <filter val="07-Jul-25"/>
            <filter val="07-May-25"/>
            <filter val="08-Dec-25"/>
            <filter val="09-Jun-25"/>
            <filter val="10-Nov-25"/>
            <filter val="10-Sep-25"/>
            <filter val="11-Dec-25"/>
            <filter val="12-Mar-26"/>
            <filter val="12-May-25"/>
            <filter val="14-Apr-25"/>
            <filter val="14-Oct-25"/>
            <filter val="16-Feb-26"/>
            <filter val="16-Jun-25"/>
            <filter val="16-May-25"/>
            <filter val="17-Jul-25"/>
            <filter val="17-Sep-25"/>
            <filter val="18-Apr-25"/>
            <filter val="18-Aug-25"/>
            <filter val="18-Mar-26"/>
            <filter val="18-Nov-25"/>
            <filter val="19-Jan-26"/>
            <filter val="19-May-25"/>
            <filter val="20-Jun-25"/>
            <filter val="20-Mar-25"/>
            <filter val="20-Mar-26"/>
            <filter val="20-May-25"/>
            <filter val="21-Jan-26"/>
            <filter val="21-Jul-25"/>
            <filter val="22-Sep-25"/>
            <filter val="23-Jul-25"/>
            <filter val="23-Jun-25"/>
            <filter val="24-Jul-25"/>
            <filter val="25-Aug-25"/>
            <filter val="3-Mar-26"/>
            <filter val="5-Mar-26"/>
            <filter val="6-Mar-26"/>
            <filter val="9-Mar-26"/>
          </filters>
        </filterColumn>
      </autoFilter>
    </customSheetView>
    <customSheetView guid="{B8BEF3FC-0223-4067-AB1E-2440D7EDAF72}" filter="1" showAutoFilter="1">
      <pageMargins left="0.7" right="0.7" top="0.75" bottom="0.75" header="0.3" footer="0.3"/>
      <autoFilter ref="A2:CF243" xr:uid="{0A6D9547-3740-42B1-AD71-EA27951A4D4D}">
        <filterColumn colId="51">
          <filters blank="1">
            <filter val="05-Jan-26"/>
            <filter val="08-Jan-26"/>
            <filter val="08-Oct-25"/>
            <filter val="10-Mar-26"/>
            <filter val="10-Nov-25"/>
            <filter val="11-Nov-25"/>
            <filter val="13-Jan-26"/>
            <filter val="13-Oct-25"/>
            <filter val="14-Oct-25"/>
            <filter val="16-Dec-25"/>
            <filter val="17-Dec-25"/>
            <filter val="18-Dec-25"/>
            <filter val="19-Dec-25"/>
            <filter val="20-Nov-25"/>
            <filter val="23-Mar-26"/>
            <filter val="24-Feb-26"/>
            <filter val="24-Nov-25"/>
            <filter val="28-Feb-26"/>
            <filter val="30-Nov-25"/>
            <filter val="31-Dec-25"/>
            <filter val="31-Jan-26"/>
            <filter val="31-Mar-26"/>
            <filter val="31-Oct-25"/>
          </filters>
        </filterColumn>
      </autoFilter>
    </customSheetView>
    <customSheetView guid="{92CD37AD-D298-4713-A064-9CDD9BB2086C}" filter="1" showAutoFilter="1">
      <pageMargins left="0.7" right="0.7" top="0.75" bottom="0.75" header="0.3" footer="0.3"/>
      <autoFilter ref="A1:CF243" xr:uid="{839BDD08-A993-46ED-B481-B172C22CB2B6}"/>
    </customSheetView>
    <customSheetView guid="{01CA77FA-292F-41FF-84D5-68D4695CAC6C}" filter="1" showAutoFilter="1">
      <pageMargins left="0.7" right="0.7" top="0.75" bottom="0.75" header="0.3" footer="0.3"/>
      <autoFilter ref="A2:CF243" xr:uid="{42DBA2A8-B9BC-4E15-936B-FED728E74BE6}">
        <filterColumn colId="1">
          <filters>
            <filter val="Andhra Pradesh"/>
            <filter val="Bihar"/>
            <filter val="Chattisgarh"/>
            <filter val="Delhi"/>
            <filter val="Delhi NCR"/>
            <filter val="East U.P"/>
            <filter val="Gujarat"/>
            <filter val="Haryana"/>
            <filter val="JAMMU AND KASHMIR"/>
            <filter val="Jharkhand"/>
            <filter val="Karnataka"/>
            <filter val="Madhya Pradesh"/>
            <filter val="Maharashtra"/>
            <filter val="Maharashtra 2"/>
            <filter val="North East"/>
            <filter val="Odisha"/>
            <filter val="Rajasthan"/>
            <filter val="Tamil Nadu"/>
            <filter val="Telangana"/>
            <filter val="Uttarakhand"/>
            <filter val="West Bengal"/>
            <filter val="West U.P"/>
          </filters>
        </filterColumn>
        <filterColumn colId="7">
          <filters>
            <filter val="0"/>
            <filter val="102000000"/>
            <filter val="10500000"/>
            <filter val="11200000"/>
            <filter val="11800000"/>
            <filter val="12500004"/>
            <filter val="12650000"/>
            <filter val="12665002"/>
            <filter val="14000004"/>
            <filter val="1412903"/>
            <filter val="14324000"/>
            <filter val="14400000"/>
            <filter val="14850000"/>
            <filter val="1500000"/>
            <filter val="150000000"/>
            <filter val="15000003"/>
            <filter val="15200000"/>
            <filter val="15599997"/>
            <filter val="15600000"/>
            <filter val="15860000"/>
            <filter val="16000000"/>
            <filter val="16500000"/>
            <filter val="16666670"/>
            <filter val="16800000"/>
            <filter val="1714286"/>
            <filter val="17500000"/>
            <filter val="17800000"/>
            <filter val="18000000"/>
            <filter val="18999996"/>
            <filter val="19599996"/>
            <filter val="19800000"/>
            <filter val="200000"/>
            <filter val="2000000"/>
            <filter val="20000004"/>
            <filter val="20400000"/>
            <filter val="21120000"/>
            <filter val="21500004"/>
            <filter val="21600000"/>
            <filter val="21999996"/>
            <filter val="22299996"/>
            <filter val="23375000"/>
            <filter val="23400000"/>
            <filter val="23499996"/>
            <filter val="23600004"/>
            <filter val="24999996"/>
            <filter val="2500000"/>
            <filter val="25200000"/>
            <filter val="26499996"/>
            <filter val="27500000"/>
            <filter val="27999996"/>
            <filter val="29799996"/>
            <filter val="30000000"/>
            <filter val="31500000"/>
            <filter val="32472000"/>
            <filter val="3800000"/>
            <filter val="39999996"/>
            <filter val="4000002"/>
            <filter val="40599996"/>
            <filter val="42000000"/>
            <filter val="4355555"/>
            <filter val="4374194"/>
            <filter val="45600000"/>
            <filter val="45999996"/>
            <filter val="46400004"/>
            <filter val="48000000"/>
            <filter val="4900000"/>
            <filter val="54000000"/>
            <filter val="5833331"/>
            <filter val="60600000"/>
            <filter val="63999996"/>
            <filter val="6400000"/>
            <filter val="6520000"/>
            <filter val="700000"/>
            <filter val="7000000"/>
            <filter val="78696000"/>
            <filter val="8000000"/>
            <filter val="8164000"/>
            <filter val="81999996"/>
            <filter val="89000004"/>
            <filter val="8903226"/>
            <filter val="9940000"/>
            <filter val="9999996"/>
          </filters>
        </filterColumn>
        <filterColumn colId="51">
          <filters blank="1">
            <filter val="05-Jan-26"/>
            <filter val="06-Aug-25"/>
            <filter val="08-Aug-25"/>
            <filter val="08-Jan-26"/>
            <filter val="08-Oct-25"/>
            <filter val="10-Mar-26"/>
            <filter val="10-Nov-25"/>
            <filter val="11-Jul-25"/>
            <filter val="11-Nov-25"/>
            <filter val="11-Sep-25"/>
            <filter val="12-Aug-25"/>
            <filter val="13-Aug-25"/>
            <filter val="13-Jan-26"/>
            <filter val="13-Oct-25"/>
            <filter val="13-Sep-25"/>
            <filter val="14-Oct-25"/>
            <filter val="15-Jul-25"/>
            <filter val="16-Dec-25"/>
            <filter val="17-Dec-25"/>
            <filter val="18-Aug-25"/>
            <filter val="18-Dec-25"/>
            <filter val="19-Dec-25"/>
            <filter val="20-Nov-25"/>
            <filter val="23-Mar-26"/>
            <filter val="24-Feb-26"/>
            <filter val="24-Nov-25"/>
            <filter val="28-Feb-26"/>
            <filter val="30-Jun-25"/>
            <filter val="30-Nov-25"/>
            <filter val="31-Aug-25"/>
            <filter val="31-Dec-25"/>
            <filter val="31-Jan-26"/>
            <filter val="31-Mar-26"/>
            <filter val="31-May-25"/>
            <filter val="31-Oct-25"/>
          </filters>
        </filterColumn>
        <filterColumn colId="58">
          <filters>
            <filter val="Secondary"/>
          </filters>
        </filterColumn>
      </autoFilter>
    </customSheetView>
  </customSheetViews>
  <mergeCells count="2">
    <mergeCell ref="BO1:BR1"/>
    <mergeCell ref="CD1:CE1"/>
  </mergeCells>
  <conditionalFormatting sqref="BS2">
    <cfRule type="cellIs" dxfId="14" priority="1" operator="lessThan">
      <formula>"50%"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  <outlinePr summaryBelow="0" summaryRight="0"/>
  </sheetPr>
  <dimension ref="A1:M1503"/>
  <sheetViews>
    <sheetView tabSelected="1" workbookViewId="0">
      <pane ySplit="5" topLeftCell="A6" activePane="bottomLeft" state="frozen"/>
      <selection pane="bottomLeft" activeCell="E10" sqref="E10"/>
    </sheetView>
  </sheetViews>
  <sheetFormatPr defaultColWidth="12.6640625" defaultRowHeight="15.75" customHeight="1"/>
  <cols>
    <col min="1" max="1" width="5.109375" customWidth="1"/>
    <col min="2" max="2" width="44.109375" customWidth="1"/>
    <col min="3" max="3" width="14.88671875" customWidth="1"/>
    <col min="4" max="4" width="12.44140625" customWidth="1"/>
    <col min="7" max="7" width="12" customWidth="1"/>
    <col min="8" max="8" width="10.109375" customWidth="1"/>
    <col min="9" max="9" width="11" bestFit="1" customWidth="1"/>
    <col min="10" max="10" width="21.88671875" customWidth="1"/>
    <col min="11" max="11" width="13.44140625" customWidth="1"/>
    <col min="12" max="12" width="8.109375" customWidth="1"/>
  </cols>
  <sheetData>
    <row r="1" spans="1:13" ht="15.75" customHeight="1">
      <c r="A1" s="208" t="s">
        <v>589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</row>
    <row r="2" spans="1:13">
      <c r="A2" s="120"/>
      <c r="B2" s="121" t="s">
        <v>590</v>
      </c>
      <c r="C2" s="121"/>
      <c r="I2" s="46"/>
      <c r="J2" s="121" t="s">
        <v>592</v>
      </c>
      <c r="K2" s="121">
        <f ca="1">COUNTA(B6:B1503)</f>
        <v>256</v>
      </c>
      <c r="L2" s="5"/>
    </row>
    <row r="3" spans="1:13">
      <c r="I3" s="46"/>
      <c r="J3" s="46"/>
      <c r="L3" s="5"/>
    </row>
    <row r="4" spans="1:13">
      <c r="B4" s="122" t="s">
        <v>102</v>
      </c>
      <c r="C4" s="123">
        <f t="shared" ref="C4:I4" ca="1" si="0">SUM(C6:C1503)</f>
        <v>2310913869</v>
      </c>
      <c r="D4" s="123">
        <f t="shared" ca="1" si="0"/>
        <v>436</v>
      </c>
      <c r="E4" s="123">
        <f t="shared" ca="1" si="0"/>
        <v>0</v>
      </c>
      <c r="F4" s="123">
        <f t="shared" ca="1" si="0"/>
        <v>0</v>
      </c>
      <c r="G4" s="123">
        <f t="shared" ca="1" si="0"/>
        <v>957431671.42301571</v>
      </c>
      <c r="H4" s="123">
        <f t="shared" ca="1" si="0"/>
        <v>79785972.618584558</v>
      </c>
      <c r="I4" s="123">
        <f t="shared" ca="1" si="0"/>
        <v>2636015483</v>
      </c>
      <c r="J4" s="124"/>
      <c r="K4" s="125">
        <f ca="1">(C4-I4)</f>
        <v>-325101614</v>
      </c>
      <c r="L4" s="126">
        <f ca="1">K4/C4</f>
        <v>-0.14068097403417332</v>
      </c>
    </row>
    <row r="5" spans="1:13">
      <c r="A5" s="127" t="s">
        <v>595</v>
      </c>
      <c r="B5" s="127" t="s">
        <v>596</v>
      </c>
      <c r="C5" s="128" t="s">
        <v>25</v>
      </c>
      <c r="D5" s="129" t="s">
        <v>597</v>
      </c>
      <c r="E5" s="130" t="s">
        <v>598</v>
      </c>
      <c r="F5" s="130" t="s">
        <v>31</v>
      </c>
      <c r="G5" s="131" t="s">
        <v>599</v>
      </c>
      <c r="H5" s="130" t="s">
        <v>600</v>
      </c>
      <c r="I5" s="9" t="s">
        <v>601</v>
      </c>
      <c r="J5" s="124" t="s">
        <v>416</v>
      </c>
      <c r="K5" s="124" t="s">
        <v>602</v>
      </c>
      <c r="L5" s="124" t="s">
        <v>603</v>
      </c>
    </row>
    <row r="6" spans="1:13">
      <c r="A6" s="21" t="e">
        <f t="array" aca="1" ref="A6:A261" ca="1">_xludf.SEQUENCE(COUNTA(B6:B1503),1)</f>
        <v>#NAME?</v>
      </c>
      <c r="B6" s="21" t="str">
        <f ca="1">IFERROR(__xludf.DUMMYFUNCTION("query(Sheet98!A3:J1503,""SELECT B,C,D,E,F,G,H,I,J WHERE F CONTAINS '""&amp;C2&amp;""'"")"),"360.INC")</f>
        <v>360.INC</v>
      </c>
      <c r="C6" s="132">
        <f ca="1">IFERROR(__xludf.DUMMYFUNCTION("""COMPUTED_VALUE"""),29853)</f>
        <v>29853</v>
      </c>
      <c r="D6" s="132">
        <f ca="1">IFERROR(__xludf.DUMMYFUNCTION("""COMPUTED_VALUE"""),1)</f>
        <v>1</v>
      </c>
      <c r="E6" s="132" t="str">
        <f ca="1">IFERROR(__xludf.DUMMYFUNCTION("""COMPUTED_VALUE"""),"Arun kumar.S")</f>
        <v>Arun kumar.S</v>
      </c>
      <c r="F6" s="132" t="str">
        <f ca="1">IFERROR(__xludf.DUMMYFUNCTION("""COMPUTED_VALUE"""),"TAMIL NADU")</f>
        <v>TAMIL NADU</v>
      </c>
      <c r="G6" s="133">
        <f ca="1">IFERROR(__xludf.DUMMYFUNCTION("""COMPUTED_VALUE"""),29853)</f>
        <v>29853</v>
      </c>
      <c r="H6" s="28">
        <f ca="1">IFERROR(__xludf.DUMMYFUNCTION("""COMPUTED_VALUE"""),2487.75)</f>
        <v>2487.75</v>
      </c>
      <c r="I6" s="41">
        <f ca="1">IFERROR(__xludf.DUMMYFUNCTION("""COMPUTED_VALUE"""),0)</f>
        <v>0</v>
      </c>
      <c r="J6" s="41"/>
      <c r="K6" s="21">
        <f t="shared" ref="K6:K223" ca="1" si="1">IFERROR(C6-I6,"")</f>
        <v>29853</v>
      </c>
      <c r="L6" s="116">
        <f t="shared" ref="L6:L223" ca="1" si="2">K6/C6</f>
        <v>1</v>
      </c>
    </row>
    <row r="7" spans="1:13">
      <c r="A7" s="21" t="e">
        <f ca="1"/>
        <v>#NAME?</v>
      </c>
      <c r="B7" s="21" t="str">
        <f ca="1">IFERROR(__xludf.DUMMYFUNCTION("""COMPUTED_VALUE"""),"A N Marketing")</f>
        <v>A N Marketing</v>
      </c>
      <c r="C7" s="132">
        <f ca="1">IFERROR(__xludf.DUMMYFUNCTION("""COMPUTED_VALUE"""),13202741)</f>
        <v>13202741</v>
      </c>
      <c r="D7" s="132">
        <f ca="1">IFERROR(__xludf.DUMMYFUNCTION("""COMPUTED_VALUE"""),2)</f>
        <v>2</v>
      </c>
      <c r="E7" s="132" t="str">
        <f ca="1">IFERROR(__xludf.DUMMYFUNCTION("""COMPUTED_VALUE"""),"Ashok Kumar, Ravi Kumar Verma")</f>
        <v>Ashok Kumar, Ravi Kumar Verma</v>
      </c>
      <c r="F7" s="132" t="str">
        <f ca="1">IFERROR(__xludf.DUMMYFUNCTION("""COMPUTED_VALUE"""),"East U.P")</f>
        <v>East U.P</v>
      </c>
      <c r="G7" s="133">
        <f ca="1">IFERROR(__xludf.DUMMYFUNCTION("""COMPUTED_VALUE"""),6601370.5)</f>
        <v>6601370.5</v>
      </c>
      <c r="H7" s="28">
        <f ca="1">IFERROR(__xludf.DUMMYFUNCTION("""COMPUTED_VALUE"""),550114.208333333)</f>
        <v>550114.20833333302</v>
      </c>
      <c r="I7" s="41">
        <f ca="1">IFERROR(__xludf.DUMMYFUNCTION("""COMPUTED_VALUE"""),14632903)</f>
        <v>14632903</v>
      </c>
      <c r="J7" s="41"/>
      <c r="K7" s="21">
        <f t="shared" ca="1" si="1"/>
        <v>-1430162</v>
      </c>
      <c r="L7" s="116">
        <f t="shared" ca="1" si="2"/>
        <v>-0.1083231126021483</v>
      </c>
    </row>
    <row r="8" spans="1:13">
      <c r="A8" s="21" t="e">
        <f ca="1"/>
        <v>#NAME?</v>
      </c>
      <c r="B8" s="21" t="str">
        <f ca="1">IFERROR(__xludf.DUMMYFUNCTION("""COMPUTED_VALUE"""),"A.V Traders")</f>
        <v>A.V Traders</v>
      </c>
      <c r="C8" s="132">
        <f ca="1">IFERROR(__xludf.DUMMYFUNCTION("""COMPUTED_VALUE"""),134033)</f>
        <v>134033</v>
      </c>
      <c r="D8" s="132">
        <f ca="1">IFERROR(__xludf.DUMMYFUNCTION("""COMPUTED_VALUE"""),1)</f>
        <v>1</v>
      </c>
      <c r="E8" s="132" t="str">
        <f ca="1">IFERROR(__xludf.DUMMYFUNCTION("""COMPUTED_VALUE"""),"Karuppasamy R")</f>
        <v>Karuppasamy R</v>
      </c>
      <c r="F8" s="132" t="str">
        <f ca="1">IFERROR(__xludf.DUMMYFUNCTION("""COMPUTED_VALUE"""),"TAMIL NADU")</f>
        <v>TAMIL NADU</v>
      </c>
      <c r="G8" s="133">
        <f ca="1">IFERROR(__xludf.DUMMYFUNCTION("""COMPUTED_VALUE"""),134033)</f>
        <v>134033</v>
      </c>
      <c r="H8" s="28">
        <f ca="1">IFERROR(__xludf.DUMMYFUNCTION("""COMPUTED_VALUE"""),11169.4166666666)</f>
        <v>11169.416666666601</v>
      </c>
      <c r="I8" s="41">
        <f ca="1">IFERROR(__xludf.DUMMYFUNCTION("""COMPUTED_VALUE"""),0)</f>
        <v>0</v>
      </c>
      <c r="J8" s="41"/>
      <c r="K8" s="21">
        <f t="shared" ca="1" si="1"/>
        <v>134033</v>
      </c>
      <c r="L8" s="116">
        <f t="shared" ca="1" si="2"/>
        <v>1</v>
      </c>
    </row>
    <row r="9" spans="1:13">
      <c r="A9" s="21" t="e">
        <f ca="1"/>
        <v>#NAME?</v>
      </c>
      <c r="B9" s="21" t="str">
        <f ca="1">IFERROR(__xludf.DUMMYFUNCTION("""COMPUTED_VALUE"""),"Aarya Agro Industries")</f>
        <v>Aarya Agro Industries</v>
      </c>
      <c r="C9" s="132">
        <f ca="1">IFERROR(__xludf.DUMMYFUNCTION("""COMPUTED_VALUE"""),1363370)</f>
        <v>1363370</v>
      </c>
      <c r="D9" s="132">
        <f ca="1">IFERROR(__xludf.DUMMYFUNCTION("""COMPUTED_VALUE"""),1)</f>
        <v>1</v>
      </c>
      <c r="E9" s="132" t="str">
        <f ca="1">IFERROR(__xludf.DUMMYFUNCTION("""COMPUTED_VALUE"""),"Syed Sohel Hashmi")</f>
        <v>Syed Sohel Hashmi</v>
      </c>
      <c r="F9" s="132" t="str">
        <f ca="1">IFERROR(__xludf.DUMMYFUNCTION("""COMPUTED_VALUE"""),"MAHARASHTRA")</f>
        <v>MAHARASHTRA</v>
      </c>
      <c r="G9" s="133">
        <f ca="1">IFERROR(__xludf.DUMMYFUNCTION("""COMPUTED_VALUE"""),1363370)</f>
        <v>1363370</v>
      </c>
      <c r="H9" s="28">
        <f ca="1">IFERROR(__xludf.DUMMYFUNCTION("""COMPUTED_VALUE"""),113614.166666666)</f>
        <v>113614.166666666</v>
      </c>
      <c r="I9" s="41">
        <f ca="1">IFERROR(__xludf.DUMMYFUNCTION("""COMPUTED_VALUE"""),3791318)</f>
        <v>3791318</v>
      </c>
      <c r="J9" s="41"/>
      <c r="K9" s="21">
        <f t="shared" ca="1" si="1"/>
        <v>-2427948</v>
      </c>
      <c r="L9" s="116">
        <f t="shared" ca="1" si="2"/>
        <v>-1.7808430580106647</v>
      </c>
    </row>
    <row r="10" spans="1:13">
      <c r="A10" s="21" t="e">
        <f ca="1"/>
        <v>#NAME?</v>
      </c>
      <c r="B10" s="21" t="str">
        <f ca="1">IFERROR(__xludf.DUMMYFUNCTION("""COMPUTED_VALUE"""),"Adinath Enterprises")</f>
        <v>Adinath Enterprises</v>
      </c>
      <c r="C10" s="132">
        <f ca="1">IFERROR(__xludf.DUMMYFUNCTION("""COMPUTED_VALUE"""),1227277)</f>
        <v>1227277</v>
      </c>
      <c r="D10" s="132">
        <f ca="1">IFERROR(__xludf.DUMMYFUNCTION("""COMPUTED_VALUE"""),2)</f>
        <v>2</v>
      </c>
      <c r="E10" s="132" t="str">
        <f ca="1">IFERROR(__xludf.DUMMYFUNCTION("""COMPUTED_VALUE"""),"Tejas Lunawat, ANAND BHAGWAN MORE")</f>
        <v>Tejas Lunawat, ANAND BHAGWAN MORE</v>
      </c>
      <c r="F10" s="132" t="str">
        <f ca="1">IFERROR(__xludf.DUMMYFUNCTION("""COMPUTED_VALUE"""),"MAHARASHTRA")</f>
        <v>MAHARASHTRA</v>
      </c>
      <c r="G10" s="133">
        <f ca="1">IFERROR(__xludf.DUMMYFUNCTION("""COMPUTED_VALUE"""),613638.5)</f>
        <v>613638.5</v>
      </c>
      <c r="H10" s="28">
        <f ca="1">IFERROR(__xludf.DUMMYFUNCTION("""COMPUTED_VALUE"""),51136.5416666666)</f>
        <v>51136.541666666599</v>
      </c>
      <c r="I10" s="41">
        <f ca="1">IFERROR(__xludf.DUMMYFUNCTION("""COMPUTED_VALUE"""),2638056)</f>
        <v>2638056</v>
      </c>
      <c r="J10" s="41"/>
      <c r="K10" s="21">
        <f t="shared" ca="1" si="1"/>
        <v>-1410779</v>
      </c>
      <c r="L10" s="116">
        <f t="shared" ca="1" si="2"/>
        <v>-1.1495196275983335</v>
      </c>
    </row>
    <row r="11" spans="1:13">
      <c r="A11" s="21" t="e">
        <f ca="1"/>
        <v>#NAME?</v>
      </c>
      <c r="B11" s="21" t="str">
        <f ca="1">IFERROR(__xludf.DUMMYFUNCTION("""COMPUTED_VALUE"""),"Aditi Enterprise")</f>
        <v>Aditi Enterprise</v>
      </c>
      <c r="C11" s="132">
        <f ca="1">IFERROR(__xludf.DUMMYFUNCTION("""COMPUTED_VALUE"""),611952)</f>
        <v>611952</v>
      </c>
      <c r="D11" s="132">
        <f ca="1">IFERROR(__xludf.DUMMYFUNCTION("""COMPUTED_VALUE"""),1)</f>
        <v>1</v>
      </c>
      <c r="E11" s="132" t="str">
        <f ca="1">IFERROR(__xludf.DUMMYFUNCTION("""COMPUTED_VALUE"""),"Arvind Kumar")</f>
        <v>Arvind Kumar</v>
      </c>
      <c r="F11" s="132" t="str">
        <f ca="1">IFERROR(__xludf.DUMMYFUNCTION("""COMPUTED_VALUE"""),"HIMACHAL PRADESH")</f>
        <v>HIMACHAL PRADESH</v>
      </c>
      <c r="G11" s="133">
        <f ca="1">IFERROR(__xludf.DUMMYFUNCTION("""COMPUTED_VALUE"""),611952)</f>
        <v>611952</v>
      </c>
      <c r="H11" s="28">
        <f ca="1">IFERROR(__xludf.DUMMYFUNCTION("""COMPUTED_VALUE"""),50996)</f>
        <v>50996</v>
      </c>
      <c r="I11" s="41">
        <f ca="1">IFERROR(__xludf.DUMMYFUNCTION("""COMPUTED_VALUE"""),3215982)</f>
        <v>3215982</v>
      </c>
      <c r="J11" s="41"/>
      <c r="K11" s="21">
        <f t="shared" ca="1" si="1"/>
        <v>-2604030</v>
      </c>
      <c r="L11" s="116">
        <f t="shared" ca="1" si="2"/>
        <v>-4.2552847282139776</v>
      </c>
    </row>
    <row r="12" spans="1:13">
      <c r="A12" s="21" t="e">
        <f ca="1"/>
        <v>#NAME?</v>
      </c>
      <c r="B12" s="41" t="str">
        <f ca="1">IFERROR(__xludf.DUMMYFUNCTION("""COMPUTED_VALUE"""),"Aggarwal sales agency")</f>
        <v>Aggarwal sales agency</v>
      </c>
      <c r="C12" s="132">
        <f ca="1">IFERROR(__xludf.DUMMYFUNCTION("""COMPUTED_VALUE"""),2662773)</f>
        <v>2662773</v>
      </c>
      <c r="D12" s="132">
        <f ca="1">IFERROR(__xludf.DUMMYFUNCTION("""COMPUTED_VALUE"""),1)</f>
        <v>1</v>
      </c>
      <c r="E12" s="132" t="str">
        <f ca="1">IFERROR(__xludf.DUMMYFUNCTION("""COMPUTED_VALUE"""),"Amit Tangri")</f>
        <v>Amit Tangri</v>
      </c>
      <c r="F12" s="132" t="str">
        <f ca="1">IFERROR(__xludf.DUMMYFUNCTION("""COMPUTED_VALUE"""),"PUNJAB")</f>
        <v>PUNJAB</v>
      </c>
      <c r="G12" s="133">
        <f ca="1">IFERROR(__xludf.DUMMYFUNCTION("""COMPUTED_VALUE"""),2662773)</f>
        <v>2662773</v>
      </c>
      <c r="H12" s="28">
        <f ca="1">IFERROR(__xludf.DUMMYFUNCTION("""COMPUTED_VALUE"""),221897.75)</f>
        <v>221897.75</v>
      </c>
      <c r="I12" s="41">
        <f ca="1">IFERROR(__xludf.DUMMYFUNCTION("""COMPUTED_VALUE"""),3474582)</f>
        <v>3474582</v>
      </c>
      <c r="J12" s="41"/>
      <c r="K12" s="21">
        <f t="shared" ca="1" si="1"/>
        <v>-811809</v>
      </c>
      <c r="L12" s="116">
        <f t="shared" ca="1" si="2"/>
        <v>-0.30487352846074373</v>
      </c>
    </row>
    <row r="13" spans="1:13">
      <c r="A13" s="21" t="e">
        <f ca="1"/>
        <v>#NAME?</v>
      </c>
      <c r="B13" s="21" t="str">
        <f ca="1">IFERROR(__xludf.DUMMYFUNCTION("""COMPUTED_VALUE"""),"Agrasen Trading Corporation")</f>
        <v>Agrasen Trading Corporation</v>
      </c>
      <c r="C13" s="132">
        <f ca="1">IFERROR(__xludf.DUMMYFUNCTION("""COMPUTED_VALUE"""),11935496)</f>
        <v>11935496</v>
      </c>
      <c r="D13" s="132">
        <f ca="1">IFERROR(__xludf.DUMMYFUNCTION("""COMPUTED_VALUE"""),3)</f>
        <v>3</v>
      </c>
      <c r="E13" s="132" t="str">
        <f ca="1">IFERROR(__xludf.DUMMYFUNCTION("""COMPUTED_VALUE"""),"Rajan Srivastava, Sandeep Kanaujiya, Roshan Srivastava")</f>
        <v>Rajan Srivastava, Sandeep Kanaujiya, Roshan Srivastava</v>
      </c>
      <c r="F13" s="132" t="str">
        <f ca="1">IFERROR(__xludf.DUMMYFUNCTION("""COMPUTED_VALUE"""),"East U.P")</f>
        <v>East U.P</v>
      </c>
      <c r="G13" s="133">
        <f ca="1">IFERROR(__xludf.DUMMYFUNCTION("""COMPUTED_VALUE"""),3978498.66666666)</f>
        <v>3978498.66666666</v>
      </c>
      <c r="H13" s="28">
        <f ca="1">IFERROR(__xludf.DUMMYFUNCTION("""COMPUTED_VALUE"""),331541.555555555)</f>
        <v>331541.55555555498</v>
      </c>
      <c r="I13" s="41">
        <f ca="1">IFERROR(__xludf.DUMMYFUNCTION("""COMPUTED_VALUE"""),9511528)</f>
        <v>9511528</v>
      </c>
      <c r="J13" s="41"/>
      <c r="K13" s="21">
        <f t="shared" ca="1" si="1"/>
        <v>2423968</v>
      </c>
      <c r="L13" s="116">
        <f t="shared" ca="1" si="2"/>
        <v>0.20308900442847116</v>
      </c>
    </row>
    <row r="14" spans="1:13">
      <c r="A14" s="21" t="e">
        <f ca="1"/>
        <v>#NAME?</v>
      </c>
      <c r="B14" s="21" t="str">
        <f ca="1">IFERROR(__xludf.DUMMYFUNCTION("""COMPUTED_VALUE"""),"Ajit Trading co")</f>
        <v>Ajit Trading co</v>
      </c>
      <c r="C14" s="132">
        <f ca="1">IFERROR(__xludf.DUMMYFUNCTION("""COMPUTED_VALUE"""),1576832)</f>
        <v>1576832</v>
      </c>
      <c r="D14" s="132">
        <f ca="1">IFERROR(__xludf.DUMMYFUNCTION("""COMPUTED_VALUE"""),2)</f>
        <v>2</v>
      </c>
      <c r="E14" s="132" t="str">
        <f ca="1">IFERROR(__xludf.DUMMYFUNCTION("""COMPUTED_VALUE"""),"Jagdish Palani, Dhaval Parmar")</f>
        <v>Jagdish Palani, Dhaval Parmar</v>
      </c>
      <c r="F14" s="132" t="str">
        <f ca="1">IFERROR(__xludf.DUMMYFUNCTION("""COMPUTED_VALUE"""),"GUJARAT")</f>
        <v>GUJARAT</v>
      </c>
      <c r="G14" s="133">
        <f ca="1">IFERROR(__xludf.DUMMYFUNCTION("""COMPUTED_VALUE"""),788416)</f>
        <v>788416</v>
      </c>
      <c r="H14" s="28">
        <f ca="1">IFERROR(__xludf.DUMMYFUNCTION("""COMPUTED_VALUE"""),65701.3333333333)</f>
        <v>65701.333333333299</v>
      </c>
      <c r="I14" s="41">
        <f ca="1">IFERROR(__xludf.DUMMYFUNCTION("""COMPUTED_VALUE"""),2784239)</f>
        <v>2784239</v>
      </c>
      <c r="J14" s="41"/>
      <c r="K14" s="21">
        <f t="shared" ca="1" si="1"/>
        <v>-1207407</v>
      </c>
      <c r="L14" s="116">
        <f t="shared" ca="1" si="2"/>
        <v>-0.7657169565305626</v>
      </c>
    </row>
    <row r="15" spans="1:13">
      <c r="A15" s="21" t="e">
        <f ca="1"/>
        <v>#NAME?</v>
      </c>
      <c r="B15" s="21" t="str">
        <f ca="1">IFERROR(__xludf.DUMMYFUNCTION("""COMPUTED_VALUE"""),"ALLIED TRADES CORPORATION")</f>
        <v>ALLIED TRADES CORPORATION</v>
      </c>
      <c r="C15" s="132">
        <f ca="1">IFERROR(__xludf.DUMMYFUNCTION("""COMPUTED_VALUE"""),1146093)</f>
        <v>1146093</v>
      </c>
      <c r="D15" s="132">
        <f ca="1">IFERROR(__xludf.DUMMYFUNCTION("""COMPUTED_VALUE"""),1)</f>
        <v>1</v>
      </c>
      <c r="E15" s="132" t="str">
        <f ca="1">IFERROR(__xludf.DUMMYFUNCTION("""COMPUTED_VALUE"""),"Litan Saha")</f>
        <v>Litan Saha</v>
      </c>
      <c r="F15" s="132" t="str">
        <f ca="1">IFERROR(__xludf.DUMMYFUNCTION("""COMPUTED_VALUE"""),"TRIPURA")</f>
        <v>TRIPURA</v>
      </c>
      <c r="G15" s="133">
        <f ca="1">IFERROR(__xludf.DUMMYFUNCTION("""COMPUTED_VALUE"""),1146093)</f>
        <v>1146093</v>
      </c>
      <c r="H15" s="28">
        <f ca="1">IFERROR(__xludf.DUMMYFUNCTION("""COMPUTED_VALUE"""),95507.75)</f>
        <v>95507.75</v>
      </c>
      <c r="I15" s="41">
        <f ca="1">IFERROR(__xludf.DUMMYFUNCTION("""COMPUTED_VALUE"""),1931048)</f>
        <v>1931048</v>
      </c>
      <c r="J15" s="41"/>
      <c r="K15" s="21">
        <f t="shared" ca="1" si="1"/>
        <v>-784955</v>
      </c>
      <c r="L15" s="116">
        <f t="shared" ca="1" si="2"/>
        <v>-0.68489642638075621</v>
      </c>
    </row>
    <row r="16" spans="1:13">
      <c r="A16" s="21" t="e">
        <f ca="1"/>
        <v>#NAME?</v>
      </c>
      <c r="B16" s="21" t="str">
        <f ca="1">IFERROR(__xludf.DUMMYFUNCTION("""COMPUTED_VALUE"""),"Anand Sanitaryware")</f>
        <v>Anand Sanitaryware</v>
      </c>
      <c r="C16" s="132">
        <f ca="1">IFERROR(__xludf.DUMMYFUNCTION("""COMPUTED_VALUE"""),83087607)</f>
        <v>83087607</v>
      </c>
      <c r="D16" s="132">
        <f ca="1">IFERROR(__xludf.DUMMYFUNCTION("""COMPUTED_VALUE"""),2)</f>
        <v>2</v>
      </c>
      <c r="E16" s="132" t="str">
        <f ca="1">IFERROR(__xludf.DUMMYFUNCTION("""COMPUTED_VALUE"""),"Pramod Kumar, Vijay Kumar")</f>
        <v>Pramod Kumar, Vijay Kumar</v>
      </c>
      <c r="F16" s="132" t="str">
        <f ca="1">IFERROR(__xludf.DUMMYFUNCTION("""COMPUTED_VALUE"""),"BIHAR")</f>
        <v>BIHAR</v>
      </c>
      <c r="G16" s="133">
        <f ca="1">IFERROR(__xludf.DUMMYFUNCTION("""COMPUTED_VALUE"""),41543803.5)</f>
        <v>41543803.5</v>
      </c>
      <c r="H16" s="28">
        <f ca="1">IFERROR(__xludf.DUMMYFUNCTION("""COMPUTED_VALUE"""),3461983.625)</f>
        <v>3461983.625</v>
      </c>
      <c r="I16" s="41">
        <f ca="1">IFERROR(__xludf.DUMMYFUNCTION("""COMPUTED_VALUE"""),94814985)</f>
        <v>94814985</v>
      </c>
      <c r="J16" s="41"/>
      <c r="K16" s="21">
        <f t="shared" ca="1" si="1"/>
        <v>-11727378</v>
      </c>
      <c r="L16" s="116">
        <f t="shared" ca="1" si="2"/>
        <v>-0.14114473172876432</v>
      </c>
    </row>
    <row r="17" spans="1:12">
      <c r="A17" s="21" t="e">
        <f ca="1"/>
        <v>#NAME?</v>
      </c>
      <c r="B17" s="21" t="str">
        <f ca="1">IFERROR(__xludf.DUMMYFUNCTION("""COMPUTED_VALUE"""),"Anik Traders")</f>
        <v>Anik Traders</v>
      </c>
      <c r="C17" s="132">
        <f ca="1">IFERROR(__xludf.DUMMYFUNCTION("""COMPUTED_VALUE"""),4368644)</f>
        <v>4368644</v>
      </c>
      <c r="D17" s="132">
        <f ca="1">IFERROR(__xludf.DUMMYFUNCTION("""COMPUTED_VALUE"""),1)</f>
        <v>1</v>
      </c>
      <c r="E17" s="132" t="str">
        <f ca="1">IFERROR(__xludf.DUMMYFUNCTION("""COMPUTED_VALUE"""),"Ravi (Faridabad)")</f>
        <v>Ravi (Faridabad)</v>
      </c>
      <c r="F17" s="132" t="str">
        <f ca="1">IFERROR(__xludf.DUMMYFUNCTION("""COMPUTED_VALUE"""),"Delhi NCR")</f>
        <v>Delhi NCR</v>
      </c>
      <c r="G17" s="133">
        <f ca="1">IFERROR(__xludf.DUMMYFUNCTION("""COMPUTED_VALUE"""),4368644)</f>
        <v>4368644</v>
      </c>
      <c r="H17" s="28">
        <f ca="1">IFERROR(__xludf.DUMMYFUNCTION("""COMPUTED_VALUE"""),364053.666666666)</f>
        <v>364053.66666666599</v>
      </c>
      <c r="I17" s="41">
        <f ca="1">IFERROR(__xludf.DUMMYFUNCTION("""COMPUTED_VALUE"""),4161737)</f>
        <v>4161737</v>
      </c>
      <c r="J17" s="41"/>
      <c r="K17" s="21">
        <f t="shared" ca="1" si="1"/>
        <v>206907</v>
      </c>
      <c r="L17" s="116">
        <f t="shared" ca="1" si="2"/>
        <v>4.7361835846546435E-2</v>
      </c>
    </row>
    <row r="18" spans="1:12">
      <c r="A18" s="21" t="e">
        <f ca="1"/>
        <v>#NAME?</v>
      </c>
      <c r="B18" s="21" t="str">
        <f ca="1">IFERROR(__xludf.DUMMYFUNCTION("""COMPUTED_VALUE"""),"ANISH ENTERPRISE")</f>
        <v>ANISH ENTERPRISE</v>
      </c>
      <c r="C18" s="132">
        <f ca="1">IFERROR(__xludf.DUMMYFUNCTION("""COMPUTED_VALUE"""),281552)</f>
        <v>281552</v>
      </c>
      <c r="D18" s="132">
        <f ca="1">IFERROR(__xludf.DUMMYFUNCTION("""COMPUTED_VALUE"""),1)</f>
        <v>1</v>
      </c>
      <c r="E18" s="132" t="str">
        <f ca="1">IFERROR(__xludf.DUMMYFUNCTION("""COMPUTED_VALUE"""),"Sujan Ghata")</f>
        <v>Sujan Ghata</v>
      </c>
      <c r="F18" s="132" t="str">
        <f ca="1">IFERROR(__xludf.DUMMYFUNCTION("""COMPUTED_VALUE"""),"WEST BENGAL")</f>
        <v>WEST BENGAL</v>
      </c>
      <c r="G18" s="133">
        <f ca="1">IFERROR(__xludf.DUMMYFUNCTION("""COMPUTED_VALUE"""),281552)</f>
        <v>281552</v>
      </c>
      <c r="H18" s="28">
        <f ca="1">IFERROR(__xludf.DUMMYFUNCTION("""COMPUTED_VALUE"""),23462.6666666666)</f>
        <v>23462.666666666599</v>
      </c>
      <c r="I18" s="41">
        <f ca="1">IFERROR(__xludf.DUMMYFUNCTION("""COMPUTED_VALUE"""),165616)</f>
        <v>165616</v>
      </c>
      <c r="J18" s="41"/>
      <c r="K18" s="21">
        <f t="shared" ca="1" si="1"/>
        <v>115936</v>
      </c>
      <c r="L18" s="116">
        <f t="shared" ca="1" si="2"/>
        <v>0.41177473432971529</v>
      </c>
    </row>
    <row r="19" spans="1:12">
      <c r="A19" s="21" t="e">
        <f ca="1"/>
        <v>#NAME?</v>
      </c>
      <c r="B19" s="21" t="str">
        <f ca="1">IFERROR(__xludf.DUMMYFUNCTION("""COMPUTED_VALUE"""),"Ankit enterprise")</f>
        <v>Ankit enterprise</v>
      </c>
      <c r="C19" s="132">
        <f ca="1">IFERROR(__xludf.DUMMYFUNCTION("""COMPUTED_VALUE"""),197927)</f>
        <v>197927</v>
      </c>
      <c r="D19" s="132">
        <f ca="1">IFERROR(__xludf.DUMMYFUNCTION("""COMPUTED_VALUE"""),1)</f>
        <v>1</v>
      </c>
      <c r="E19" s="132" t="str">
        <f ca="1">IFERROR(__xludf.DUMMYFUNCTION("""COMPUTED_VALUE"""),"Arvind Kumar")</f>
        <v>Arvind Kumar</v>
      </c>
      <c r="F19" s="132" t="str">
        <f ca="1">IFERROR(__xludf.DUMMYFUNCTION("""COMPUTED_VALUE"""),"HIMACHAL PRADESH")</f>
        <v>HIMACHAL PRADESH</v>
      </c>
      <c r="G19" s="133">
        <f ca="1">IFERROR(__xludf.DUMMYFUNCTION("""COMPUTED_VALUE"""),197927)</f>
        <v>197927</v>
      </c>
      <c r="H19" s="28">
        <f ca="1">IFERROR(__xludf.DUMMYFUNCTION("""COMPUTED_VALUE"""),16493.9166666666)</f>
        <v>16493.916666666599</v>
      </c>
      <c r="I19" s="41">
        <f ca="1">IFERROR(__xludf.DUMMYFUNCTION("""COMPUTED_VALUE"""),888252)</f>
        <v>888252</v>
      </c>
      <c r="J19" s="41"/>
      <c r="K19" s="21">
        <f t="shared" ca="1" si="1"/>
        <v>-690325</v>
      </c>
      <c r="L19" s="116">
        <f t="shared" ca="1" si="2"/>
        <v>-3.4877757961268547</v>
      </c>
    </row>
    <row r="20" spans="1:12">
      <c r="A20" s="21" t="e">
        <f ca="1"/>
        <v>#NAME?</v>
      </c>
      <c r="B20" s="21" t="str">
        <f ca="1">IFERROR(__xludf.DUMMYFUNCTION("""COMPUTED_VALUE"""),"Aradhana Enterprises")</f>
        <v>Aradhana Enterprises</v>
      </c>
      <c r="C20" s="132">
        <f ca="1">IFERROR(__xludf.DUMMYFUNCTION("""COMPUTED_VALUE"""),2191507)</f>
        <v>2191507</v>
      </c>
      <c r="D20" s="132">
        <f ca="1">IFERROR(__xludf.DUMMYFUNCTION("""COMPUTED_VALUE"""),2)</f>
        <v>2</v>
      </c>
      <c r="E20" s="132" t="str">
        <f ca="1">IFERROR(__xludf.DUMMYFUNCTION("""COMPUTED_VALUE"""),"Roshan Srivastava, Rajan Srivastava")</f>
        <v>Roshan Srivastava, Rajan Srivastava</v>
      </c>
      <c r="F20" s="132" t="str">
        <f ca="1">IFERROR(__xludf.DUMMYFUNCTION("""COMPUTED_VALUE"""),"East U.P")</f>
        <v>East U.P</v>
      </c>
      <c r="G20" s="133">
        <f ca="1">IFERROR(__xludf.DUMMYFUNCTION("""COMPUTED_VALUE"""),1095753.5)</f>
        <v>1095753.5</v>
      </c>
      <c r="H20" s="28">
        <f ca="1">IFERROR(__xludf.DUMMYFUNCTION("""COMPUTED_VALUE"""),91312.7916666666)</f>
        <v>91312.791666666599</v>
      </c>
      <c r="I20" s="41">
        <f ca="1">IFERROR(__xludf.DUMMYFUNCTION("""COMPUTED_VALUE"""),2224050)</f>
        <v>2224050</v>
      </c>
      <c r="J20" s="41"/>
      <c r="K20" s="21">
        <f t="shared" ca="1" si="1"/>
        <v>-32543</v>
      </c>
      <c r="L20" s="116">
        <f t="shared" ca="1" si="2"/>
        <v>-1.4849598928956194E-2</v>
      </c>
    </row>
    <row r="21" spans="1:12">
      <c r="A21" s="21" t="e">
        <f ca="1"/>
        <v>#NAME?</v>
      </c>
      <c r="B21" s="21" t="str">
        <f ca="1">IFERROR(__xludf.DUMMYFUNCTION("""COMPUTED_VALUE"""),"ARADHYA KEDIA DISTRIBUTION HOUSE PVT. LTD. (Closed)")</f>
        <v>ARADHYA KEDIA DISTRIBUTION HOUSE PVT. LTD. (Closed)</v>
      </c>
      <c r="C21" s="132">
        <f ca="1">IFERROR(__xludf.DUMMYFUNCTION("""COMPUTED_VALUE"""),215337040)</f>
        <v>215337040</v>
      </c>
      <c r="D21" s="132">
        <f ca="1">IFERROR(__xludf.DUMMYFUNCTION("""COMPUTED_VALUE"""),12)</f>
        <v>12</v>
      </c>
      <c r="E21" s="132" t="str">
        <f ca="1">IFERROR(__xludf.DUMMYFUNCTION("""COMPUTED_VALUE"""),"Akash Santra, Biswajit Roy, Christopher Swamy, Gonesh Dey, Rajesh Chakraborty, Roni Gupta, Sarbjit Singh Chawla, Sudip Guha Roy, Sudipta Thom, Sujit Das, Surojit Mondal, Sudip Sarkar")</f>
        <v>Akash Santra, Biswajit Roy, Christopher Swamy, Gonesh Dey, Rajesh Chakraborty, Roni Gupta, Sarbjit Singh Chawla, Sudip Guha Roy, Sudipta Thom, Sujit Das, Surojit Mondal, Sudip Sarkar</v>
      </c>
      <c r="F21" s="132" t="str">
        <f ca="1">IFERROR(__xludf.DUMMYFUNCTION("""COMPUTED_VALUE"""),"WEST BENGAL")</f>
        <v>WEST BENGAL</v>
      </c>
      <c r="G21" s="133">
        <f ca="1">IFERROR(__xludf.DUMMYFUNCTION("""COMPUTED_VALUE"""),17944753.3333333)</f>
        <v>17944753.333333299</v>
      </c>
      <c r="H21" s="28">
        <f ca="1">IFERROR(__xludf.DUMMYFUNCTION("""COMPUTED_VALUE"""),1495396.11111111)</f>
        <v>1495396.1111111101</v>
      </c>
      <c r="I21" s="41">
        <f ca="1">IFERROR(__xludf.DUMMYFUNCTION("""COMPUTED_VALUE"""),53596782)</f>
        <v>53596782</v>
      </c>
      <c r="J21" s="41"/>
      <c r="K21" s="21">
        <f t="shared" ca="1" si="1"/>
        <v>161740258</v>
      </c>
      <c r="L21" s="116">
        <f t="shared" ca="1" si="2"/>
        <v>0.75110282002576056</v>
      </c>
    </row>
    <row r="22" spans="1:12">
      <c r="A22" s="21" t="e">
        <f ca="1"/>
        <v>#NAME?</v>
      </c>
      <c r="B22" s="21" t="str">
        <f ca="1">IFERROR(__xludf.DUMMYFUNCTION("""COMPUTED_VALUE"""),"ARIHANT TILES &amp; SANITATION")</f>
        <v>ARIHANT TILES &amp; SANITATION</v>
      </c>
      <c r="C22" s="132">
        <f ca="1">IFERROR(__xludf.DUMMYFUNCTION("""COMPUTED_VALUE"""),2796317)</f>
        <v>2796317</v>
      </c>
      <c r="D22" s="132">
        <f ca="1">IFERROR(__xludf.DUMMYFUNCTION("""COMPUTED_VALUE"""),7)</f>
        <v>7</v>
      </c>
      <c r="E22" s="132" t="str">
        <f ca="1">IFERROR(__xludf.DUMMYFUNCTION("""COMPUTED_VALUE"""),"Monmon Paul, Mrityunjoy Das, Sujan Ghata, Sushanta Barman, Vikash Kumar Paswan, Sudip Banerjee, Anirban Biswas")</f>
        <v>Monmon Paul, Mrityunjoy Das, Sujan Ghata, Sushanta Barman, Vikash Kumar Paswan, Sudip Banerjee, Anirban Biswas</v>
      </c>
      <c r="F22" s="132" t="str">
        <f ca="1">IFERROR(__xludf.DUMMYFUNCTION("""COMPUTED_VALUE"""),"WEST BENGAL")</f>
        <v>WEST BENGAL</v>
      </c>
      <c r="G22" s="133">
        <f ca="1">IFERROR(__xludf.DUMMYFUNCTION("""COMPUTED_VALUE"""),399473.857142857)</f>
        <v>399473.85714285698</v>
      </c>
      <c r="H22" s="28">
        <f ca="1">IFERROR(__xludf.DUMMYFUNCTION("""COMPUTED_VALUE"""),33289.4880952381)</f>
        <v>33289.488095238099</v>
      </c>
      <c r="I22" s="41">
        <f ca="1">IFERROR(__xludf.DUMMYFUNCTION("""COMPUTED_VALUE"""),10464984)</f>
        <v>10464984</v>
      </c>
      <c r="J22" s="41"/>
      <c r="K22" s="21">
        <f t="shared" ca="1" si="1"/>
        <v>-7668667</v>
      </c>
      <c r="L22" s="116">
        <f t="shared" ca="1" si="2"/>
        <v>-2.7424169005159285</v>
      </c>
    </row>
    <row r="23" spans="1:12">
      <c r="A23" s="21" t="e">
        <f ca="1"/>
        <v>#NAME?</v>
      </c>
      <c r="B23" s="21" t="str">
        <f ca="1">IFERROR(__xludf.DUMMYFUNCTION("""COMPUTED_VALUE"""),"Arora hardware store")</f>
        <v>Arora hardware store</v>
      </c>
      <c r="C23" s="132">
        <f ca="1">IFERROR(__xludf.DUMMYFUNCTION("""COMPUTED_VALUE"""),1037017)</f>
        <v>1037017</v>
      </c>
      <c r="D23" s="132">
        <f ca="1">IFERROR(__xludf.DUMMYFUNCTION("""COMPUTED_VALUE"""),1)</f>
        <v>1</v>
      </c>
      <c r="E23" s="132" t="str">
        <f ca="1">IFERROR(__xludf.DUMMYFUNCTION("""COMPUTED_VALUE"""),"Ashutosh Kumar (Rudrapur)")</f>
        <v>Ashutosh Kumar (Rudrapur)</v>
      </c>
      <c r="F23" s="132" t="str">
        <f ca="1">IFERROR(__xludf.DUMMYFUNCTION("""COMPUTED_VALUE"""),"UTTARAKHAND")</f>
        <v>UTTARAKHAND</v>
      </c>
      <c r="G23" s="133">
        <f ca="1">IFERROR(__xludf.DUMMYFUNCTION("""COMPUTED_VALUE"""),1037017)</f>
        <v>1037017</v>
      </c>
      <c r="H23" s="28">
        <f ca="1">IFERROR(__xludf.DUMMYFUNCTION("""COMPUTED_VALUE"""),86418.0833333333)</f>
        <v>86418.083333333299</v>
      </c>
      <c r="I23" s="41">
        <f ca="1">IFERROR(__xludf.DUMMYFUNCTION("""COMPUTED_VALUE"""),184950)</f>
        <v>184950</v>
      </c>
      <c r="J23" s="41"/>
      <c r="K23" s="21">
        <f t="shared" ca="1" si="1"/>
        <v>852067</v>
      </c>
      <c r="L23" s="116">
        <f t="shared" ca="1" si="2"/>
        <v>0.82165191120299863</v>
      </c>
    </row>
    <row r="24" spans="1:12">
      <c r="A24" s="21" t="e">
        <f ca="1"/>
        <v>#NAME?</v>
      </c>
      <c r="B24" s="21" t="str">
        <f ca="1">IFERROR(__xludf.DUMMYFUNCTION("""COMPUTED_VALUE"""),"Asheema Trading Co.")</f>
        <v>Asheema Trading Co.</v>
      </c>
      <c r="C24" s="132">
        <f ca="1">IFERROR(__xludf.DUMMYFUNCTION("""COMPUTED_VALUE"""),8112650)</f>
        <v>8112650</v>
      </c>
      <c r="D24" s="132">
        <f ca="1">IFERROR(__xludf.DUMMYFUNCTION("""COMPUTED_VALUE"""),2)</f>
        <v>2</v>
      </c>
      <c r="E24" s="132" t="str">
        <f ca="1">IFERROR(__xludf.DUMMYFUNCTION("""COMPUTED_VALUE"""),"Siddharth Srivastava, Vishal Dheer")</f>
        <v>Siddharth Srivastava, Vishal Dheer</v>
      </c>
      <c r="F24" s="132" t="str">
        <f ca="1">IFERROR(__xludf.DUMMYFUNCTION("""COMPUTED_VALUE"""),"East U.P")</f>
        <v>East U.P</v>
      </c>
      <c r="G24" s="133">
        <f ca="1">IFERROR(__xludf.DUMMYFUNCTION("""COMPUTED_VALUE"""),4056325)</f>
        <v>4056325</v>
      </c>
      <c r="H24" s="28">
        <f ca="1">IFERROR(__xludf.DUMMYFUNCTION("""COMPUTED_VALUE"""),338027.083333333)</f>
        <v>338027.08333333302</v>
      </c>
      <c r="I24" s="41">
        <f ca="1">IFERROR(__xludf.DUMMYFUNCTION("""COMPUTED_VALUE"""),4458418)</f>
        <v>4458418</v>
      </c>
      <c r="J24" s="41"/>
      <c r="K24" s="21">
        <f t="shared" ca="1" si="1"/>
        <v>3654232</v>
      </c>
      <c r="L24" s="116">
        <f t="shared" ca="1" si="2"/>
        <v>0.45043629393601353</v>
      </c>
    </row>
    <row r="25" spans="1:12">
      <c r="A25" s="21" t="e">
        <f ca="1"/>
        <v>#NAME?</v>
      </c>
      <c r="B25" s="21" t="str">
        <f ca="1">IFERROR(__xludf.DUMMYFUNCTION("""COMPUTED_VALUE"""),"ASHISH BATH GALAXY")</f>
        <v>ASHISH BATH GALAXY</v>
      </c>
      <c r="C25" s="132">
        <f ca="1">IFERROR(__xludf.DUMMYFUNCTION("""COMPUTED_VALUE"""),250417)</f>
        <v>250417</v>
      </c>
      <c r="D25" s="132">
        <f ca="1">IFERROR(__xludf.DUMMYFUNCTION("""COMPUTED_VALUE"""),2)</f>
        <v>2</v>
      </c>
      <c r="E25" s="132" t="str">
        <f ca="1">IFERROR(__xludf.DUMMYFUNCTION("""COMPUTED_VALUE"""),"Sudip Guha Roy, Sujit Das")</f>
        <v>Sudip Guha Roy, Sujit Das</v>
      </c>
      <c r="F25" s="132" t="str">
        <f ca="1">IFERROR(__xludf.DUMMYFUNCTION("""COMPUTED_VALUE"""),"WEST BENGAL")</f>
        <v>WEST BENGAL</v>
      </c>
      <c r="G25" s="133">
        <f ca="1">IFERROR(__xludf.DUMMYFUNCTION("""COMPUTED_VALUE"""),125208.5)</f>
        <v>125208.5</v>
      </c>
      <c r="H25" s="28">
        <f ca="1">IFERROR(__xludf.DUMMYFUNCTION("""COMPUTED_VALUE"""),10434.0416666666)</f>
        <v>10434.041666666601</v>
      </c>
      <c r="I25" s="41">
        <f ca="1">IFERROR(__xludf.DUMMYFUNCTION("""COMPUTED_VALUE"""),34187182)</f>
        <v>34187182</v>
      </c>
      <c r="J25" s="41"/>
      <c r="K25" s="21">
        <f t="shared" ca="1" si="1"/>
        <v>-33936765</v>
      </c>
      <c r="L25" s="116">
        <f t="shared" ca="1" si="2"/>
        <v>-135.52101095372919</v>
      </c>
    </row>
    <row r="26" spans="1:12">
      <c r="A26" s="21" t="e">
        <f ca="1"/>
        <v>#NAME?</v>
      </c>
      <c r="B26" s="21" t="str">
        <f ca="1">IFERROR(__xludf.DUMMYFUNCTION("""COMPUTED_VALUE"""),"Ashu sales corporation")</f>
        <v>Ashu sales corporation</v>
      </c>
      <c r="C26" s="132">
        <f ca="1">IFERROR(__xludf.DUMMYFUNCTION("""COMPUTED_VALUE"""),234193)</f>
        <v>234193</v>
      </c>
      <c r="D26" s="132">
        <f ca="1">IFERROR(__xludf.DUMMYFUNCTION("""COMPUTED_VALUE"""),2)</f>
        <v>2</v>
      </c>
      <c r="E26" s="132" t="str">
        <f ca="1">IFERROR(__xludf.DUMMYFUNCTION("""COMPUTED_VALUE"""),"prashant Singh Chauhan, Vikas Kumar (Bareilly)")</f>
        <v>prashant Singh Chauhan, Vikas Kumar (Bareilly)</v>
      </c>
      <c r="F26" s="132" t="str">
        <f ca="1">IFERROR(__xludf.DUMMYFUNCTION("""COMPUTED_VALUE"""),"East U.P")</f>
        <v>East U.P</v>
      </c>
      <c r="G26" s="133">
        <f ca="1">IFERROR(__xludf.DUMMYFUNCTION("""COMPUTED_VALUE"""),117096.5)</f>
        <v>117096.5</v>
      </c>
      <c r="H26" s="28">
        <f ca="1">IFERROR(__xludf.DUMMYFUNCTION("""COMPUTED_VALUE"""),9758.04166666666)</f>
        <v>9758.0416666666606</v>
      </c>
      <c r="I26" s="41">
        <f ca="1">IFERROR(__xludf.DUMMYFUNCTION("""COMPUTED_VALUE"""),226632)</f>
        <v>226632</v>
      </c>
      <c r="J26" s="41"/>
      <c r="K26" s="21">
        <f t="shared" ca="1" si="1"/>
        <v>7561</v>
      </c>
      <c r="L26" s="116">
        <f t="shared" ca="1" si="2"/>
        <v>3.228533730726367E-2</v>
      </c>
    </row>
    <row r="27" spans="1:12">
      <c r="A27" s="21" t="e">
        <f ca="1"/>
        <v>#NAME?</v>
      </c>
      <c r="B27" s="21" t="str">
        <f ca="1">IFERROR(__xludf.DUMMYFUNCTION("""COMPUTED_VALUE"""),"Avanti sales and agencies")</f>
        <v>Avanti sales and agencies</v>
      </c>
      <c r="C27" s="132">
        <f ca="1">IFERROR(__xludf.DUMMYFUNCTION("""COMPUTED_VALUE"""),10588063)</f>
        <v>10588063</v>
      </c>
      <c r="D27" s="132">
        <f ca="1">IFERROR(__xludf.DUMMYFUNCTION("""COMPUTED_VALUE"""),1)</f>
        <v>1</v>
      </c>
      <c r="E27" s="132" t="str">
        <f ca="1">IFERROR(__xludf.DUMMYFUNCTION("""COMPUTED_VALUE"""),"Rinku")</f>
        <v>Rinku</v>
      </c>
      <c r="F27" s="132" t="str">
        <f ca="1">IFERROR(__xludf.DUMMYFUNCTION("""COMPUTED_VALUE"""),"West U.P")</f>
        <v>West U.P</v>
      </c>
      <c r="G27" s="133">
        <f ca="1">IFERROR(__xludf.DUMMYFUNCTION("""COMPUTED_VALUE"""),10588063)</f>
        <v>10588063</v>
      </c>
      <c r="H27" s="28">
        <f ca="1">IFERROR(__xludf.DUMMYFUNCTION("""COMPUTED_VALUE"""),882338.583333333)</f>
        <v>882338.58333333302</v>
      </c>
      <c r="I27" s="41">
        <f ca="1">IFERROR(__xludf.DUMMYFUNCTION("""COMPUTED_VALUE"""),8994899)</f>
        <v>8994899</v>
      </c>
      <c r="J27" s="41"/>
      <c r="K27" s="21">
        <f t="shared" ca="1" si="1"/>
        <v>1593164</v>
      </c>
      <c r="L27" s="116">
        <f t="shared" ca="1" si="2"/>
        <v>0.15046793733660255</v>
      </c>
    </row>
    <row r="28" spans="1:12">
      <c r="A28" s="21" t="e">
        <f ca="1"/>
        <v>#NAME?</v>
      </c>
      <c r="B28" s="21" t="str">
        <f ca="1">IFERROR(__xludf.DUMMYFUNCTION("""COMPUTED_VALUE"""),"Avirasico International")</f>
        <v>Avirasico International</v>
      </c>
      <c r="C28" s="132">
        <f ca="1">IFERROR(__xludf.DUMMYFUNCTION("""COMPUTED_VALUE"""),167976175)</f>
        <v>167976175</v>
      </c>
      <c r="D28" s="132">
        <f ca="1">IFERROR(__xludf.DUMMYFUNCTION("""COMPUTED_VALUE"""),9)</f>
        <v>9</v>
      </c>
      <c r="E28" s="132" t="str">
        <f ca="1">IFERROR(__xludf.DUMMYFUNCTION("""COMPUTED_VALUE"""),"Debasish Adhikary, Monmon Paul, Mrityunjoy Das, Sujan Ghata, Sushanta Barman, Suven Sengupta, Vikash Kumar Paswan, Sudip Banerjee, Anirban Biswas")</f>
        <v>Debasish Adhikary, Monmon Paul, Mrityunjoy Das, Sujan Ghata, Sushanta Barman, Suven Sengupta, Vikash Kumar Paswan, Sudip Banerjee, Anirban Biswas</v>
      </c>
      <c r="F28" s="132" t="str">
        <f ca="1">IFERROR(__xludf.DUMMYFUNCTION("""COMPUTED_VALUE"""),"WEST BENGAL")</f>
        <v>WEST BENGAL</v>
      </c>
      <c r="G28" s="133">
        <f ca="1">IFERROR(__xludf.DUMMYFUNCTION("""COMPUTED_VALUE"""),18664019.4444444)</f>
        <v>18664019.444444399</v>
      </c>
      <c r="H28" s="28">
        <f ca="1">IFERROR(__xludf.DUMMYFUNCTION("""COMPUTED_VALUE"""),1555334.9537037)</f>
        <v>1555334.9537037001</v>
      </c>
      <c r="I28" s="41">
        <f ca="1">IFERROR(__xludf.DUMMYFUNCTION("""COMPUTED_VALUE"""),158578020)</f>
        <v>158578020</v>
      </c>
      <c r="J28" s="41"/>
      <c r="K28" s="21">
        <f t="shared" ca="1" si="1"/>
        <v>9398155</v>
      </c>
      <c r="L28" s="116">
        <f t="shared" ca="1" si="2"/>
        <v>5.5949333290866994E-2</v>
      </c>
    </row>
    <row r="29" spans="1:12">
      <c r="A29" s="21" t="e">
        <f ca="1"/>
        <v>#NAME?</v>
      </c>
      <c r="B29" s="21" t="str">
        <f ca="1">IFERROR(__xludf.DUMMYFUNCTION("""COMPUTED_VALUE"""),"AYAN ENTERPRISE")</f>
        <v>AYAN ENTERPRISE</v>
      </c>
      <c r="C29" s="132">
        <f ca="1">IFERROR(__xludf.DUMMYFUNCTION("""COMPUTED_VALUE"""),17561)</f>
        <v>17561</v>
      </c>
      <c r="D29" s="132">
        <f ca="1">IFERROR(__xludf.DUMMYFUNCTION("""COMPUTED_VALUE"""),1)</f>
        <v>1</v>
      </c>
      <c r="E29" s="132" t="str">
        <f ca="1">IFERROR(__xludf.DUMMYFUNCTION("""COMPUTED_VALUE"""),"Debasish Adhikary")</f>
        <v>Debasish Adhikary</v>
      </c>
      <c r="F29" s="132" t="str">
        <f ca="1">IFERROR(__xludf.DUMMYFUNCTION("""COMPUTED_VALUE"""),"WEST BENGAL")</f>
        <v>WEST BENGAL</v>
      </c>
      <c r="G29" s="133">
        <f ca="1">IFERROR(__xludf.DUMMYFUNCTION("""COMPUTED_VALUE"""),17561)</f>
        <v>17561</v>
      </c>
      <c r="H29" s="28">
        <f ca="1">IFERROR(__xludf.DUMMYFUNCTION("""COMPUTED_VALUE"""),1463.41666666666)</f>
        <v>1463.4166666666599</v>
      </c>
      <c r="I29" s="41">
        <f ca="1">IFERROR(__xludf.DUMMYFUNCTION("""COMPUTED_VALUE"""),1560856)</f>
        <v>1560856</v>
      </c>
      <c r="J29" s="41"/>
      <c r="K29" s="21">
        <f t="shared" ca="1" si="1"/>
        <v>-1543295</v>
      </c>
      <c r="L29" s="116">
        <f t="shared" ca="1" si="2"/>
        <v>-87.881954330618981</v>
      </c>
    </row>
    <row r="30" spans="1:12">
      <c r="A30" s="21" t="e">
        <f ca="1"/>
        <v>#NAME?</v>
      </c>
      <c r="B30" s="21" t="str">
        <f ca="1">IFERROR(__xludf.DUMMYFUNCTION("""COMPUTED_VALUE"""),"B S Enterprises")</f>
        <v>B S Enterprises</v>
      </c>
      <c r="C30" s="132">
        <f ca="1">IFERROR(__xludf.DUMMYFUNCTION("""COMPUTED_VALUE"""),4892846)</f>
        <v>4892846</v>
      </c>
      <c r="D30" s="132">
        <f ca="1">IFERROR(__xludf.DUMMYFUNCTION("""COMPUTED_VALUE"""),1)</f>
        <v>1</v>
      </c>
      <c r="E30" s="132" t="str">
        <f ca="1">IFERROR(__xludf.DUMMYFUNCTION("""COMPUTED_VALUE"""),"Rajan Srivastava")</f>
        <v>Rajan Srivastava</v>
      </c>
      <c r="F30" s="132" t="str">
        <f ca="1">IFERROR(__xludf.DUMMYFUNCTION("""COMPUTED_VALUE"""),"East U.P")</f>
        <v>East U.P</v>
      </c>
      <c r="G30" s="133">
        <f ca="1">IFERROR(__xludf.DUMMYFUNCTION("""COMPUTED_VALUE"""),4892846)</f>
        <v>4892846</v>
      </c>
      <c r="H30" s="28">
        <f ca="1">IFERROR(__xludf.DUMMYFUNCTION("""COMPUTED_VALUE"""),407737.166666666)</f>
        <v>407737.16666666599</v>
      </c>
      <c r="I30" s="41">
        <f ca="1">IFERROR(__xludf.DUMMYFUNCTION("""COMPUTED_VALUE"""),4690240)</f>
        <v>4690240</v>
      </c>
      <c r="J30" s="41"/>
      <c r="K30" s="21">
        <f t="shared" ca="1" si="1"/>
        <v>202606</v>
      </c>
      <c r="L30" s="116">
        <f t="shared" ca="1" si="2"/>
        <v>4.1408619850287542E-2</v>
      </c>
    </row>
    <row r="31" spans="1:12">
      <c r="A31" s="21" t="e">
        <f ca="1"/>
        <v>#NAME?</v>
      </c>
      <c r="B31" s="21" t="str">
        <f ca="1">IFERROR(__xludf.DUMMYFUNCTION("""COMPUTED_VALUE"""),"B.R. Associate")</f>
        <v>B.R. Associate</v>
      </c>
      <c r="C31" s="132">
        <f ca="1">IFERROR(__xludf.DUMMYFUNCTION("""COMPUTED_VALUE"""),6961370)</f>
        <v>6961370</v>
      </c>
      <c r="D31" s="132">
        <f ca="1">IFERROR(__xludf.DUMMYFUNCTION("""COMPUTED_VALUE"""),2)</f>
        <v>2</v>
      </c>
      <c r="E31" s="132" t="str">
        <f ca="1">IFERROR(__xludf.DUMMYFUNCTION("""COMPUTED_VALUE"""),"Akash kumar gulhare, Pradeep Rajak")</f>
        <v>Akash kumar gulhare, Pradeep Rajak</v>
      </c>
      <c r="F31" s="132" t="str">
        <f ca="1">IFERROR(__xludf.DUMMYFUNCTION("""COMPUTED_VALUE"""),"CHATTISGARH")</f>
        <v>CHATTISGARH</v>
      </c>
      <c r="G31" s="133">
        <f ca="1">IFERROR(__xludf.DUMMYFUNCTION("""COMPUTED_VALUE"""),3480685)</f>
        <v>3480685</v>
      </c>
      <c r="H31" s="28">
        <f ca="1">IFERROR(__xludf.DUMMYFUNCTION("""COMPUTED_VALUE"""),290057.083333333)</f>
        <v>290057.08333333302</v>
      </c>
      <c r="I31" s="41">
        <f ca="1">IFERROR(__xludf.DUMMYFUNCTION("""COMPUTED_VALUE"""),7709321)</f>
        <v>7709321</v>
      </c>
      <c r="J31" s="41"/>
      <c r="K31" s="21">
        <f t="shared" ca="1" si="1"/>
        <v>-747951</v>
      </c>
      <c r="L31" s="116">
        <f t="shared" ca="1" si="2"/>
        <v>-0.10744307514181835</v>
      </c>
    </row>
    <row r="32" spans="1:12">
      <c r="A32" s="21" t="e">
        <f ca="1"/>
        <v>#NAME?</v>
      </c>
      <c r="B32" s="21" t="str">
        <f ca="1">IFERROR(__xludf.DUMMYFUNCTION("""COMPUTED_VALUE"""),"Baba Enterprises")</f>
        <v>Baba Enterprises</v>
      </c>
      <c r="C32" s="132">
        <f ca="1">IFERROR(__xludf.DUMMYFUNCTION("""COMPUTED_VALUE"""),17398744)</f>
        <v>17398744</v>
      </c>
      <c r="D32" s="132">
        <f ca="1">IFERROR(__xludf.DUMMYFUNCTION("""COMPUTED_VALUE"""),1)</f>
        <v>1</v>
      </c>
      <c r="E32" s="132" t="str">
        <f ca="1">IFERROR(__xludf.DUMMYFUNCTION("""COMPUTED_VALUE"""),"Ashutosh Kumar")</f>
        <v>Ashutosh Kumar</v>
      </c>
      <c r="F32" s="132" t="str">
        <f ca="1">IFERROR(__xludf.DUMMYFUNCTION("""COMPUTED_VALUE"""),"JHARKHAND")</f>
        <v>JHARKHAND</v>
      </c>
      <c r="G32" s="133">
        <f ca="1">IFERROR(__xludf.DUMMYFUNCTION("""COMPUTED_VALUE"""),17398744)</f>
        <v>17398744</v>
      </c>
      <c r="H32" s="28">
        <f ca="1">IFERROR(__xludf.DUMMYFUNCTION("""COMPUTED_VALUE"""),1449895.33333333)</f>
        <v>1449895.33333333</v>
      </c>
      <c r="I32" s="41">
        <f ca="1">IFERROR(__xludf.DUMMYFUNCTION("""COMPUTED_VALUE"""),29805293)</f>
        <v>29805293</v>
      </c>
      <c r="J32" s="41"/>
      <c r="K32" s="21">
        <f t="shared" ca="1" si="1"/>
        <v>-12406549</v>
      </c>
      <c r="L32" s="116">
        <f t="shared" ca="1" si="2"/>
        <v>-0.71307152976099886</v>
      </c>
    </row>
    <row r="33" spans="1:12" ht="13.2">
      <c r="A33" s="21" t="e">
        <f ca="1"/>
        <v>#NAME?</v>
      </c>
      <c r="B33" s="21" t="str">
        <f ca="1">IFERROR(__xludf.DUMMYFUNCTION("""COMPUTED_VALUE"""),"Bajrang Home Innovations")</f>
        <v>Bajrang Home Innovations</v>
      </c>
      <c r="C33" s="132">
        <f ca="1">IFERROR(__xludf.DUMMYFUNCTION("""COMPUTED_VALUE"""),13733298)</f>
        <v>13733298</v>
      </c>
      <c r="D33" s="132">
        <f ca="1">IFERROR(__xludf.DUMMYFUNCTION("""COMPUTED_VALUE"""),2)</f>
        <v>2</v>
      </c>
      <c r="E33" s="132" t="str">
        <f ca="1">IFERROR(__xludf.DUMMYFUNCTION("""COMPUTED_VALUE"""),"Dasari Adiseshu, Jithender Reddy Katukuri")</f>
        <v>Dasari Adiseshu, Jithender Reddy Katukuri</v>
      </c>
      <c r="F33" s="132" t="str">
        <f ca="1">IFERROR(__xludf.DUMMYFUNCTION("""COMPUTED_VALUE"""),"TELANGANA")</f>
        <v>TELANGANA</v>
      </c>
      <c r="G33" s="133">
        <f ca="1">IFERROR(__xludf.DUMMYFUNCTION("""COMPUTED_VALUE"""),6866649)</f>
        <v>6866649</v>
      </c>
      <c r="H33" s="28">
        <f ca="1">IFERROR(__xludf.DUMMYFUNCTION("""COMPUTED_VALUE"""),572220.75)</f>
        <v>572220.75</v>
      </c>
      <c r="I33" s="41">
        <f ca="1">IFERROR(__xludf.DUMMYFUNCTION("""COMPUTED_VALUE"""),20710844)</f>
        <v>20710844</v>
      </c>
      <c r="J33" s="41"/>
      <c r="K33" s="21">
        <f t="shared" ca="1" si="1"/>
        <v>-6977546</v>
      </c>
      <c r="L33" s="116">
        <f t="shared" ca="1" si="2"/>
        <v>-0.50807504504744605</v>
      </c>
    </row>
    <row r="34" spans="1:12" ht="13.2">
      <c r="A34" s="21" t="e">
        <f ca="1"/>
        <v>#NAME?</v>
      </c>
      <c r="B34" s="21" t="str">
        <f ca="1">IFERROR(__xludf.DUMMYFUNCTION("""COMPUTED_VALUE"""),"Balaji Enterprises")</f>
        <v>Balaji Enterprises</v>
      </c>
      <c r="C34" s="132">
        <f ca="1">IFERROR(__xludf.DUMMYFUNCTION("""COMPUTED_VALUE"""),249956)</f>
        <v>249956</v>
      </c>
      <c r="D34" s="132">
        <f ca="1">IFERROR(__xludf.DUMMYFUNCTION("""COMPUTED_VALUE"""),1)</f>
        <v>1</v>
      </c>
      <c r="E34" s="132" t="str">
        <f ca="1">IFERROR(__xludf.DUMMYFUNCTION("""COMPUTED_VALUE"""),"Vikash Gour")</f>
        <v>Vikash Gour</v>
      </c>
      <c r="F34" s="132" t="str">
        <f ca="1">IFERROR(__xludf.DUMMYFUNCTION("""COMPUTED_VALUE"""),"RAJASTHAN")</f>
        <v>RAJASTHAN</v>
      </c>
      <c r="G34" s="133">
        <f ca="1">IFERROR(__xludf.DUMMYFUNCTION("""COMPUTED_VALUE"""),249956)</f>
        <v>249956</v>
      </c>
      <c r="H34" s="28">
        <f ca="1">IFERROR(__xludf.DUMMYFUNCTION("""COMPUTED_VALUE"""),20829.6666666666)</f>
        <v>20829.666666666599</v>
      </c>
      <c r="I34" s="41">
        <f ca="1">IFERROR(__xludf.DUMMYFUNCTION("""COMPUTED_VALUE"""),1531583)</f>
        <v>1531583</v>
      </c>
      <c r="J34" s="41"/>
      <c r="K34" s="21">
        <f t="shared" ca="1" si="1"/>
        <v>-1281627</v>
      </c>
      <c r="L34" s="116">
        <f t="shared" ca="1" si="2"/>
        <v>-5.1274104242346654</v>
      </c>
    </row>
    <row r="35" spans="1:12" ht="13.2">
      <c r="A35" s="21" t="e">
        <f ca="1"/>
        <v>#NAME?</v>
      </c>
      <c r="B35" s="21" t="str">
        <f ca="1">IFERROR(__xludf.DUMMYFUNCTION("""COMPUTED_VALUE"""),"Basuki Comotrade Pvt Ltd")</f>
        <v>Basuki Comotrade Pvt Ltd</v>
      </c>
      <c r="C35" s="132">
        <f ca="1">IFERROR(__xludf.DUMMYFUNCTION("""COMPUTED_VALUE"""),31816176)</f>
        <v>31816176</v>
      </c>
      <c r="D35" s="132">
        <f ca="1">IFERROR(__xludf.DUMMYFUNCTION("""COMPUTED_VALUE"""),1)</f>
        <v>1</v>
      </c>
      <c r="E35" s="132" t="str">
        <f ca="1">IFERROR(__xludf.DUMMYFUNCTION("""COMPUTED_VALUE"""),"SHYAM KUMAR MISHRA")</f>
        <v>SHYAM KUMAR MISHRA</v>
      </c>
      <c r="F35" s="132" t="str">
        <f ca="1">IFERROR(__xludf.DUMMYFUNCTION("""COMPUTED_VALUE"""),"JHARKHAND")</f>
        <v>JHARKHAND</v>
      </c>
      <c r="G35" s="133">
        <f ca="1">IFERROR(__xludf.DUMMYFUNCTION("""COMPUTED_VALUE"""),31816176)</f>
        <v>31816176</v>
      </c>
      <c r="H35" s="28">
        <f ca="1">IFERROR(__xludf.DUMMYFUNCTION("""COMPUTED_VALUE"""),2651348)</f>
        <v>2651348</v>
      </c>
      <c r="I35" s="41">
        <f ca="1">IFERROR(__xludf.DUMMYFUNCTION("""COMPUTED_VALUE"""),35301275)</f>
        <v>35301275</v>
      </c>
      <c r="J35" s="41"/>
      <c r="K35" s="21">
        <f t="shared" ca="1" si="1"/>
        <v>-3485099</v>
      </c>
      <c r="L35" s="116">
        <f t="shared" ca="1" si="2"/>
        <v>-0.10953858816974107</v>
      </c>
    </row>
    <row r="36" spans="1:12" ht="13.2">
      <c r="A36" s="21" t="e">
        <f ca="1"/>
        <v>#NAME?</v>
      </c>
      <c r="B36" s="21" t="str">
        <f ca="1">IFERROR(__xludf.DUMMYFUNCTION("""COMPUTED_VALUE"""),"Batra Enterprises")</f>
        <v>Batra Enterprises</v>
      </c>
      <c r="C36" s="132">
        <f ca="1">IFERROR(__xludf.DUMMYFUNCTION("""COMPUTED_VALUE"""),212905)</f>
        <v>212905</v>
      </c>
      <c r="D36" s="132">
        <f ca="1">IFERROR(__xludf.DUMMYFUNCTION("""COMPUTED_VALUE"""),1)</f>
        <v>1</v>
      </c>
      <c r="E36" s="132" t="str">
        <f ca="1">IFERROR(__xludf.DUMMYFUNCTION("""COMPUTED_VALUE"""),"Prashant Kumar")</f>
        <v>Prashant Kumar</v>
      </c>
      <c r="F36" s="132" t="str">
        <f ca="1">IFERROR(__xludf.DUMMYFUNCTION("""COMPUTED_VALUE"""),"West U.P")</f>
        <v>West U.P</v>
      </c>
      <c r="G36" s="133">
        <f ca="1">IFERROR(__xludf.DUMMYFUNCTION("""COMPUTED_VALUE"""),212905)</f>
        <v>212905</v>
      </c>
      <c r="H36" s="28">
        <f ca="1">IFERROR(__xludf.DUMMYFUNCTION("""COMPUTED_VALUE"""),17742.0833333333)</f>
        <v>17742.083333333299</v>
      </c>
      <c r="I36" s="41">
        <f ca="1">IFERROR(__xludf.DUMMYFUNCTION("""COMPUTED_VALUE"""),0)</f>
        <v>0</v>
      </c>
      <c r="J36" s="41" t="str">
        <f ca="1">IFERROR(__xludf.DUMMYFUNCTION("""COMPUTED_VALUE"""),"OLD STOCK")</f>
        <v>OLD STOCK</v>
      </c>
      <c r="K36" s="21">
        <f t="shared" ca="1" si="1"/>
        <v>212905</v>
      </c>
      <c r="L36" s="116">
        <f t="shared" ca="1" si="2"/>
        <v>1</v>
      </c>
    </row>
    <row r="37" spans="1:12" ht="13.2">
      <c r="A37" s="21" t="e">
        <f ca="1"/>
        <v>#NAME?</v>
      </c>
      <c r="B37" s="21" t="str">
        <f ca="1">IFERROR(__xludf.DUMMYFUNCTION("""COMPUTED_VALUE"""),"Beharilall Madanlall")</f>
        <v>Beharilall Madanlall</v>
      </c>
      <c r="C37" s="132">
        <f ca="1">IFERROR(__xludf.DUMMYFUNCTION("""COMPUTED_VALUE"""),8333)</f>
        <v>8333</v>
      </c>
      <c r="D37" s="132">
        <f ca="1">IFERROR(__xludf.DUMMYFUNCTION("""COMPUTED_VALUE"""),1)</f>
        <v>1</v>
      </c>
      <c r="E37" s="132" t="str">
        <f ca="1">IFERROR(__xludf.DUMMYFUNCTION("""COMPUTED_VALUE"""),"Malay Paul")</f>
        <v>Malay Paul</v>
      </c>
      <c r="F37" s="132" t="str">
        <f ca="1">IFERROR(__xludf.DUMMYFUNCTION("""COMPUTED_VALUE"""),"WEST BENGAL")</f>
        <v>WEST BENGAL</v>
      </c>
      <c r="G37" s="133">
        <f ca="1">IFERROR(__xludf.DUMMYFUNCTION("""COMPUTED_VALUE"""),8333)</f>
        <v>8333</v>
      </c>
      <c r="H37" s="28">
        <f ca="1">IFERROR(__xludf.DUMMYFUNCTION("""COMPUTED_VALUE"""),694.416666666666)</f>
        <v>694.41666666666595</v>
      </c>
      <c r="I37" s="41">
        <f ca="1">IFERROR(__xludf.DUMMYFUNCTION("""COMPUTED_VALUE"""),1709375)</f>
        <v>1709375</v>
      </c>
      <c r="J37" s="41"/>
      <c r="K37" s="21">
        <f t="shared" ca="1" si="1"/>
        <v>-1701042</v>
      </c>
      <c r="L37" s="116">
        <f t="shared" ca="1" si="2"/>
        <v>-204.13320532821314</v>
      </c>
    </row>
    <row r="38" spans="1:12" ht="13.2">
      <c r="A38" s="21" t="e">
        <f ca="1"/>
        <v>#NAME?</v>
      </c>
      <c r="B38" s="21" t="str">
        <f ca="1">IFERROR(__xludf.DUMMYFUNCTION("""COMPUTED_VALUE"""),"Bhagwati Enterprise")</f>
        <v>Bhagwati Enterprise</v>
      </c>
      <c r="C38" s="132">
        <f ca="1">IFERROR(__xludf.DUMMYFUNCTION("""COMPUTED_VALUE"""),122055)</f>
        <v>122055</v>
      </c>
      <c r="D38" s="132">
        <f ca="1">IFERROR(__xludf.DUMMYFUNCTION("""COMPUTED_VALUE"""),2)</f>
        <v>2</v>
      </c>
      <c r="E38" s="132" t="str">
        <f ca="1">IFERROR(__xludf.DUMMYFUNCTION("""COMPUTED_VALUE"""),"Arif Khan, Durgesh Kumar Jangid")</f>
        <v>Arif Khan, Durgesh Kumar Jangid</v>
      </c>
      <c r="F38" s="132" t="str">
        <f ca="1">IFERROR(__xludf.DUMMYFUNCTION("""COMPUTED_VALUE"""),"RAJASTHAN")</f>
        <v>RAJASTHAN</v>
      </c>
      <c r="G38" s="133">
        <f ca="1">IFERROR(__xludf.DUMMYFUNCTION("""COMPUTED_VALUE"""),61027.5)</f>
        <v>61027.5</v>
      </c>
      <c r="H38" s="28">
        <f ca="1">IFERROR(__xludf.DUMMYFUNCTION("""COMPUTED_VALUE"""),5085.625)</f>
        <v>5085.625</v>
      </c>
      <c r="I38" s="41">
        <f ca="1">IFERROR(__xludf.DUMMYFUNCTION("""COMPUTED_VALUE"""),0)</f>
        <v>0</v>
      </c>
      <c r="J38" s="41"/>
      <c r="K38" s="21">
        <f t="shared" ca="1" si="1"/>
        <v>122055</v>
      </c>
      <c r="L38" s="116">
        <f t="shared" ca="1" si="2"/>
        <v>1</v>
      </c>
    </row>
    <row r="39" spans="1:12" ht="13.2">
      <c r="A39" s="21" t="e">
        <f ca="1"/>
        <v>#NAME?</v>
      </c>
      <c r="B39" s="21" t="str">
        <f ca="1">IFERROR(__xludf.DUMMYFUNCTION("""COMPUTED_VALUE"""),"Bir gita enterprises")</f>
        <v>Bir gita enterprises</v>
      </c>
      <c r="C39" s="132">
        <f ca="1">IFERROR(__xludf.DUMMYFUNCTION("""COMPUTED_VALUE"""),217852)</f>
        <v>217852</v>
      </c>
      <c r="D39" s="132">
        <f ca="1">IFERROR(__xludf.DUMMYFUNCTION("""COMPUTED_VALUE"""),1)</f>
        <v>1</v>
      </c>
      <c r="E39" s="132" t="str">
        <f ca="1">IFERROR(__xludf.DUMMYFUNCTION("""COMPUTED_VALUE"""),"Gaurav Kumar")</f>
        <v>Gaurav Kumar</v>
      </c>
      <c r="F39" s="132" t="str">
        <f ca="1">IFERROR(__xludf.DUMMYFUNCTION("""COMPUTED_VALUE"""),"BIHAR")</f>
        <v>BIHAR</v>
      </c>
      <c r="G39" s="133">
        <f ca="1">IFERROR(__xludf.DUMMYFUNCTION("""COMPUTED_VALUE"""),217852)</f>
        <v>217852</v>
      </c>
      <c r="H39" s="28">
        <f ca="1">IFERROR(__xludf.DUMMYFUNCTION("""COMPUTED_VALUE"""),18154.3333333333)</f>
        <v>18154.333333333299</v>
      </c>
      <c r="I39" s="41">
        <f ca="1">IFERROR(__xludf.DUMMYFUNCTION("""COMPUTED_VALUE"""),0)</f>
        <v>0</v>
      </c>
      <c r="J39" s="41"/>
      <c r="K39" s="21">
        <f t="shared" ca="1" si="1"/>
        <v>217852</v>
      </c>
      <c r="L39" s="116">
        <f t="shared" ca="1" si="2"/>
        <v>1</v>
      </c>
    </row>
    <row r="40" spans="1:12" ht="13.2">
      <c r="A40" s="21" t="e">
        <f ca="1"/>
        <v>#NAME?</v>
      </c>
      <c r="B40" s="21" t="str">
        <f ca="1">IFERROR(__xludf.DUMMYFUNCTION("""COMPUTED_VALUE"""),"Brothers Hardware")</f>
        <v>Brothers Hardware</v>
      </c>
      <c r="C40" s="132">
        <f ca="1">IFERROR(__xludf.DUMMYFUNCTION("""COMPUTED_VALUE"""),44969)</f>
        <v>44969</v>
      </c>
      <c r="D40" s="132">
        <f ca="1">IFERROR(__xludf.DUMMYFUNCTION("""COMPUTED_VALUE"""),1)</f>
        <v>1</v>
      </c>
      <c r="E40" s="132" t="str">
        <f ca="1">IFERROR(__xludf.DUMMYFUNCTION("""COMPUTED_VALUE"""),"Malay Paul")</f>
        <v>Malay Paul</v>
      </c>
      <c r="F40" s="132" t="str">
        <f ca="1">IFERROR(__xludf.DUMMYFUNCTION("""COMPUTED_VALUE"""),"WEST BENGAL")</f>
        <v>WEST BENGAL</v>
      </c>
      <c r="G40" s="133">
        <f ca="1">IFERROR(__xludf.DUMMYFUNCTION("""COMPUTED_VALUE"""),44969)</f>
        <v>44969</v>
      </c>
      <c r="H40" s="28">
        <f ca="1">IFERROR(__xludf.DUMMYFUNCTION("""COMPUTED_VALUE"""),3747.41666666666)</f>
        <v>3747.4166666666601</v>
      </c>
      <c r="I40" s="41">
        <f ca="1">IFERROR(__xludf.DUMMYFUNCTION("""COMPUTED_VALUE"""),0)</f>
        <v>0</v>
      </c>
      <c r="J40" s="41"/>
      <c r="K40" s="21">
        <f t="shared" ca="1" si="1"/>
        <v>44969</v>
      </c>
      <c r="L40" s="116">
        <f t="shared" ca="1" si="2"/>
        <v>1</v>
      </c>
    </row>
    <row r="41" spans="1:12" ht="13.2">
      <c r="A41" s="21" t="e">
        <f ca="1"/>
        <v>#NAME?</v>
      </c>
      <c r="B41" s="21" t="str">
        <f ca="1">IFERROR(__xludf.DUMMYFUNCTION("""COMPUTED_VALUE"""),"C K Trading Company")</f>
        <v>C K Trading Company</v>
      </c>
      <c r="C41" s="132">
        <f ca="1">IFERROR(__xludf.DUMMYFUNCTION("""COMPUTED_VALUE"""),1224093)</f>
        <v>1224093</v>
      </c>
      <c r="D41" s="132">
        <f ca="1">IFERROR(__xludf.DUMMYFUNCTION("""COMPUTED_VALUE"""),1)</f>
        <v>1</v>
      </c>
      <c r="E41" s="132" t="str">
        <f ca="1">IFERROR(__xludf.DUMMYFUNCTION("""COMPUTED_VALUE"""),"Siddharth Shanker Singh")</f>
        <v>Siddharth Shanker Singh</v>
      </c>
      <c r="F41" s="132" t="str">
        <f ca="1">IFERROR(__xludf.DUMMYFUNCTION("""COMPUTED_VALUE"""),"East U.P")</f>
        <v>East U.P</v>
      </c>
      <c r="G41" s="133">
        <f ca="1">IFERROR(__xludf.DUMMYFUNCTION("""COMPUTED_VALUE"""),1224093)</f>
        <v>1224093</v>
      </c>
      <c r="H41" s="28">
        <f ca="1">IFERROR(__xludf.DUMMYFUNCTION("""COMPUTED_VALUE"""),102007.75)</f>
        <v>102007.75</v>
      </c>
      <c r="I41" s="41">
        <f ca="1">IFERROR(__xludf.DUMMYFUNCTION("""COMPUTED_VALUE"""),6331650)</f>
        <v>6331650</v>
      </c>
      <c r="J41" s="41"/>
      <c r="K41" s="21">
        <f t="shared" ca="1" si="1"/>
        <v>-5107557</v>
      </c>
      <c r="L41" s="116">
        <f t="shared" ca="1" si="2"/>
        <v>-4.1725236562908208</v>
      </c>
    </row>
    <row r="42" spans="1:12" ht="13.2">
      <c r="A42" s="21" t="e">
        <f ca="1"/>
        <v>#NAME?</v>
      </c>
      <c r="B42" s="21" t="str">
        <f ca="1">IFERROR(__xludf.DUMMYFUNCTION("""COMPUTED_VALUE"""),"C S Salve Enterprises")</f>
        <v>C S Salve Enterprises</v>
      </c>
      <c r="C42" s="132">
        <f ca="1">IFERROR(__xludf.DUMMYFUNCTION("""COMPUTED_VALUE"""),59645)</f>
        <v>59645</v>
      </c>
      <c r="D42" s="132">
        <f ca="1">IFERROR(__xludf.DUMMYFUNCTION("""COMPUTED_VALUE"""),1)</f>
        <v>1</v>
      </c>
      <c r="E42" s="132" t="str">
        <f ca="1">IFERROR(__xludf.DUMMYFUNCTION("""COMPUTED_VALUE"""),"ANAND BHAGWAN MORE")</f>
        <v>ANAND BHAGWAN MORE</v>
      </c>
      <c r="F42" s="132" t="str">
        <f ca="1">IFERROR(__xludf.DUMMYFUNCTION("""COMPUTED_VALUE"""),"MAHARASHTRA")</f>
        <v>MAHARASHTRA</v>
      </c>
      <c r="G42" s="133">
        <f ca="1">IFERROR(__xludf.DUMMYFUNCTION("""COMPUTED_VALUE"""),59645)</f>
        <v>59645</v>
      </c>
      <c r="H42" s="28">
        <f ca="1">IFERROR(__xludf.DUMMYFUNCTION("""COMPUTED_VALUE"""),4970.41666666666)</f>
        <v>4970.4166666666597</v>
      </c>
      <c r="I42" s="41">
        <f ca="1">IFERROR(__xludf.DUMMYFUNCTION("""COMPUTED_VALUE"""),0)</f>
        <v>0</v>
      </c>
      <c r="J42" s="41"/>
      <c r="K42" s="21">
        <f t="shared" ca="1" si="1"/>
        <v>59645</v>
      </c>
      <c r="L42" s="116">
        <f t="shared" ca="1" si="2"/>
        <v>1</v>
      </c>
    </row>
    <row r="43" spans="1:12" ht="13.2">
      <c r="A43" s="21" t="e">
        <f ca="1"/>
        <v>#NAME?</v>
      </c>
      <c r="B43" s="21" t="str">
        <f ca="1">IFERROR(__xludf.DUMMYFUNCTION("""COMPUTED_VALUE"""),"Century Hardware")</f>
        <v>Century Hardware</v>
      </c>
      <c r="C43" s="132">
        <f ca="1">IFERROR(__xludf.DUMMYFUNCTION("""COMPUTED_VALUE"""),362791)</f>
        <v>362791</v>
      </c>
      <c r="D43" s="132">
        <f ca="1">IFERROR(__xludf.DUMMYFUNCTION("""COMPUTED_VALUE"""),1)</f>
        <v>1</v>
      </c>
      <c r="E43" s="132" t="str">
        <f ca="1">IFERROR(__xludf.DUMMYFUNCTION("""COMPUTED_VALUE"""),"Dinesh Kumar Kaushik")</f>
        <v>Dinesh Kumar Kaushik</v>
      </c>
      <c r="F43" s="132" t="str">
        <f ca="1">IFERROR(__xludf.DUMMYFUNCTION("""COMPUTED_VALUE"""),"RAJASTHAN")</f>
        <v>RAJASTHAN</v>
      </c>
      <c r="G43" s="133">
        <f ca="1">IFERROR(__xludf.DUMMYFUNCTION("""COMPUTED_VALUE"""),362791)</f>
        <v>362791</v>
      </c>
      <c r="H43" s="28">
        <f ca="1">IFERROR(__xludf.DUMMYFUNCTION("""COMPUTED_VALUE"""),30232.5833333333)</f>
        <v>30232.583333333299</v>
      </c>
      <c r="I43" s="41">
        <f ca="1">IFERROR(__xludf.DUMMYFUNCTION("""COMPUTED_VALUE"""),701767)</f>
        <v>701767</v>
      </c>
      <c r="J43" s="41"/>
      <c r="K43" s="21">
        <f t="shared" ca="1" si="1"/>
        <v>-338976</v>
      </c>
      <c r="L43" s="116">
        <f t="shared" ca="1" si="2"/>
        <v>-0.93435614444680271</v>
      </c>
    </row>
    <row r="44" spans="1:12" ht="13.2">
      <c r="A44" s="21" t="e">
        <f ca="1"/>
        <v>#NAME?</v>
      </c>
      <c r="B44" s="21" t="str">
        <f ca="1">IFERROR(__xludf.DUMMYFUNCTION("""COMPUTED_VALUE"""),"Chabra hardware and bath assets")</f>
        <v>Chabra hardware and bath assets</v>
      </c>
      <c r="C44" s="132">
        <f ca="1">IFERROR(__xludf.DUMMYFUNCTION("""COMPUTED_VALUE"""),1012674)</f>
        <v>1012674</v>
      </c>
      <c r="D44" s="132">
        <f ca="1">IFERROR(__xludf.DUMMYFUNCTION("""COMPUTED_VALUE"""),1)</f>
        <v>1</v>
      </c>
      <c r="E44" s="132" t="str">
        <f ca="1">IFERROR(__xludf.DUMMYFUNCTION("""COMPUTED_VALUE"""),"Ashutosh Kumar (Rudrapur)")</f>
        <v>Ashutosh Kumar (Rudrapur)</v>
      </c>
      <c r="F44" s="132" t="str">
        <f ca="1">IFERROR(__xludf.DUMMYFUNCTION("""COMPUTED_VALUE"""),"UTTARAKHAND")</f>
        <v>UTTARAKHAND</v>
      </c>
      <c r="G44" s="133">
        <f ca="1">IFERROR(__xludf.DUMMYFUNCTION("""COMPUTED_VALUE"""),1012674)</f>
        <v>1012674</v>
      </c>
      <c r="H44" s="28">
        <f ca="1">IFERROR(__xludf.DUMMYFUNCTION("""COMPUTED_VALUE"""),84389.5)</f>
        <v>84389.5</v>
      </c>
      <c r="I44" s="41">
        <f ca="1">IFERROR(__xludf.DUMMYFUNCTION("""COMPUTED_VALUE"""),328029)</f>
        <v>328029</v>
      </c>
      <c r="J44" s="41"/>
      <c r="K44" s="21">
        <f t="shared" ca="1" si="1"/>
        <v>684645</v>
      </c>
      <c r="L44" s="116">
        <f t="shared" ca="1" si="2"/>
        <v>0.67607640760995147</v>
      </c>
    </row>
    <row r="45" spans="1:12" ht="13.2">
      <c r="A45" s="21" t="e">
        <f ca="1"/>
        <v>#NAME?</v>
      </c>
      <c r="B45" s="21" t="str">
        <f ca="1">IFERROR(__xludf.DUMMYFUNCTION("""COMPUTED_VALUE"""),"Chaitanya enterprises")</f>
        <v>Chaitanya enterprises</v>
      </c>
      <c r="C45" s="132">
        <f ca="1">IFERROR(__xludf.DUMMYFUNCTION("""COMPUTED_VALUE"""),823091)</f>
        <v>823091</v>
      </c>
      <c r="D45" s="132">
        <f ca="1">IFERROR(__xludf.DUMMYFUNCTION("""COMPUTED_VALUE"""),1)</f>
        <v>1</v>
      </c>
      <c r="E45" s="132" t="str">
        <f ca="1">IFERROR(__xludf.DUMMYFUNCTION("""COMPUTED_VALUE"""),"Shubham Shukla")</f>
        <v>Shubham Shukla</v>
      </c>
      <c r="F45" s="132" t="str">
        <f ca="1">IFERROR(__xludf.DUMMYFUNCTION("""COMPUTED_VALUE"""),"MADHYA PRADESH")</f>
        <v>MADHYA PRADESH</v>
      </c>
      <c r="G45" s="133">
        <f ca="1">IFERROR(__xludf.DUMMYFUNCTION("""COMPUTED_VALUE"""),823091)</f>
        <v>823091</v>
      </c>
      <c r="H45" s="28">
        <f ca="1">IFERROR(__xludf.DUMMYFUNCTION("""COMPUTED_VALUE"""),68590.9166666666)</f>
        <v>68590.916666666599</v>
      </c>
      <c r="I45" s="41">
        <f ca="1">IFERROR(__xludf.DUMMYFUNCTION("""COMPUTED_VALUE"""),3562649)</f>
        <v>3562649</v>
      </c>
      <c r="J45" s="41"/>
      <c r="K45" s="21">
        <f t="shared" ca="1" si="1"/>
        <v>-2739558</v>
      </c>
      <c r="L45" s="116">
        <f t="shared" ca="1" si="2"/>
        <v>-3.3283780286748366</v>
      </c>
    </row>
    <row r="46" spans="1:12" ht="13.2">
      <c r="A46" s="21" t="e">
        <f ca="1"/>
        <v>#NAME?</v>
      </c>
      <c r="B46" s="21" t="str">
        <f ca="1">IFERROR(__xludf.DUMMYFUNCTION("""COMPUTED_VALUE"""),"CHANDIMATA ENTERPRISE")</f>
        <v>CHANDIMATA ENTERPRISE</v>
      </c>
      <c r="C46" s="132">
        <f ca="1">IFERROR(__xludf.DUMMYFUNCTION("""COMPUTED_VALUE"""),3797967)</f>
        <v>3797967</v>
      </c>
      <c r="D46" s="132">
        <f ca="1">IFERROR(__xludf.DUMMYFUNCTION("""COMPUTED_VALUE"""),1)</f>
        <v>1</v>
      </c>
      <c r="E46" s="132" t="str">
        <f ca="1">IFERROR(__xludf.DUMMYFUNCTION("""COMPUTED_VALUE"""),"Litan Saha")</f>
        <v>Litan Saha</v>
      </c>
      <c r="F46" s="132" t="str">
        <f ca="1">IFERROR(__xludf.DUMMYFUNCTION("""COMPUTED_VALUE"""),"TRIPURA")</f>
        <v>TRIPURA</v>
      </c>
      <c r="G46" s="133">
        <f ca="1">IFERROR(__xludf.DUMMYFUNCTION("""COMPUTED_VALUE"""),3797967)</f>
        <v>3797967</v>
      </c>
      <c r="H46" s="28">
        <f ca="1">IFERROR(__xludf.DUMMYFUNCTION("""COMPUTED_VALUE"""),316497.25)</f>
        <v>316497.25</v>
      </c>
      <c r="I46" s="41">
        <f ca="1">IFERROR(__xludf.DUMMYFUNCTION("""COMPUTED_VALUE"""),1676552)</f>
        <v>1676552</v>
      </c>
      <c r="J46" s="41"/>
      <c r="K46" s="21">
        <f t="shared" ca="1" si="1"/>
        <v>2121415</v>
      </c>
      <c r="L46" s="116">
        <f t="shared" ca="1" si="2"/>
        <v>0.55856593804000931</v>
      </c>
    </row>
    <row r="47" spans="1:12" ht="13.2">
      <c r="A47" s="21" t="e">
        <f ca="1"/>
        <v>#NAME?</v>
      </c>
      <c r="B47" s="21" t="str">
        <f ca="1">IFERROR(__xludf.DUMMYFUNCTION("""COMPUTED_VALUE"""),"CHANDRA SANITARY")</f>
        <v>CHANDRA SANITARY</v>
      </c>
      <c r="C47" s="132">
        <f ca="1">IFERROR(__xludf.DUMMYFUNCTION("""COMPUTED_VALUE"""),4918952)</f>
        <v>4918952</v>
      </c>
      <c r="D47" s="132">
        <f ca="1">IFERROR(__xludf.DUMMYFUNCTION("""COMPUTED_VALUE"""),1)</f>
        <v>1</v>
      </c>
      <c r="E47" s="132" t="str">
        <f ca="1">IFERROR(__xludf.DUMMYFUNCTION("""COMPUTED_VALUE"""),"Sandeep Mishra")</f>
        <v>Sandeep Mishra</v>
      </c>
      <c r="F47" s="132" t="str">
        <f ca="1">IFERROR(__xludf.DUMMYFUNCTION("""COMPUTED_VALUE"""),"CHATTISGARH")</f>
        <v>CHATTISGARH</v>
      </c>
      <c r="G47" s="133">
        <f ca="1">IFERROR(__xludf.DUMMYFUNCTION("""COMPUTED_VALUE"""),4918952)</f>
        <v>4918952</v>
      </c>
      <c r="H47" s="28">
        <f ca="1">IFERROR(__xludf.DUMMYFUNCTION("""COMPUTED_VALUE"""),409912.666666666)</f>
        <v>409912.66666666599</v>
      </c>
      <c r="I47" s="41">
        <f ca="1">IFERROR(__xludf.DUMMYFUNCTION("""COMPUTED_VALUE"""),4095760)</f>
        <v>4095760</v>
      </c>
      <c r="J47" s="41"/>
      <c r="K47" s="21">
        <f t="shared" ca="1" si="1"/>
        <v>823192</v>
      </c>
      <c r="L47" s="116">
        <f t="shared" ca="1" si="2"/>
        <v>0.16735109429813505</v>
      </c>
    </row>
    <row r="48" spans="1:12" ht="13.2">
      <c r="A48" s="21" t="e">
        <f ca="1"/>
        <v>#NAME?</v>
      </c>
      <c r="B48" s="21" t="str">
        <f ca="1">IFERROR(__xludf.DUMMYFUNCTION("""COMPUTED_VALUE"""),"Chandra Sen Kesharwani")</f>
        <v>Chandra Sen Kesharwani</v>
      </c>
      <c r="C48" s="132">
        <f ca="1">IFERROR(__xludf.DUMMYFUNCTION("""COMPUTED_VALUE"""),11330364)</f>
        <v>11330364</v>
      </c>
      <c r="D48" s="132">
        <f ca="1">IFERROR(__xludf.DUMMYFUNCTION("""COMPUTED_VALUE"""),1)</f>
        <v>1</v>
      </c>
      <c r="E48" s="132" t="str">
        <f ca="1">IFERROR(__xludf.DUMMYFUNCTION("""COMPUTED_VALUE"""),"Siddharth Shanker Singh")</f>
        <v>Siddharth Shanker Singh</v>
      </c>
      <c r="F48" s="132" t="str">
        <f ca="1">IFERROR(__xludf.DUMMYFUNCTION("""COMPUTED_VALUE"""),"East U.P")</f>
        <v>East U.P</v>
      </c>
      <c r="G48" s="133">
        <f ca="1">IFERROR(__xludf.DUMMYFUNCTION("""COMPUTED_VALUE"""),11330364)</f>
        <v>11330364</v>
      </c>
      <c r="H48" s="28">
        <f ca="1">IFERROR(__xludf.DUMMYFUNCTION("""COMPUTED_VALUE"""),944197)</f>
        <v>944197</v>
      </c>
      <c r="I48" s="41">
        <f ca="1">IFERROR(__xludf.DUMMYFUNCTION("""COMPUTED_VALUE"""),4886804)</f>
        <v>4886804</v>
      </c>
      <c r="J48" s="41"/>
      <c r="K48" s="21">
        <f t="shared" ca="1" si="1"/>
        <v>6443560</v>
      </c>
      <c r="L48" s="116">
        <f t="shared" ca="1" si="2"/>
        <v>0.56869841074832195</v>
      </c>
    </row>
    <row r="49" spans="1:12" ht="13.2">
      <c r="A49" s="21" t="e">
        <f ca="1"/>
        <v>#NAME?</v>
      </c>
      <c r="B49" s="21" t="str">
        <f ca="1">IFERROR(__xludf.DUMMYFUNCTION("""COMPUTED_VALUE"""),"CHARBHUJA ELECTRIC HARDWARE AND PLUMBING")</f>
        <v>CHARBHUJA ELECTRIC HARDWARE AND PLUMBING</v>
      </c>
      <c r="C49" s="132">
        <f ca="1">IFERROR(__xludf.DUMMYFUNCTION("""COMPUTED_VALUE"""),773635)</f>
        <v>773635</v>
      </c>
      <c r="D49" s="132">
        <f ca="1">IFERROR(__xludf.DUMMYFUNCTION("""COMPUTED_VALUE"""),2)</f>
        <v>2</v>
      </c>
      <c r="E49" s="132" t="str">
        <f ca="1">IFERROR(__xludf.DUMMYFUNCTION("""COMPUTED_VALUE"""),"Chandrakant Mandave, Praveen Pandey")</f>
        <v>Chandrakant Mandave, Praveen Pandey</v>
      </c>
      <c r="F49" s="132" t="str">
        <f ca="1">IFERROR(__xludf.DUMMYFUNCTION("""COMPUTED_VALUE"""),"MAHARASHTRA")</f>
        <v>MAHARASHTRA</v>
      </c>
      <c r="G49" s="133">
        <f ca="1">IFERROR(__xludf.DUMMYFUNCTION("""COMPUTED_VALUE"""),386817.5)</f>
        <v>386817.5</v>
      </c>
      <c r="H49" s="28">
        <f ca="1">IFERROR(__xludf.DUMMYFUNCTION("""COMPUTED_VALUE"""),32234.7916666666)</f>
        <v>32234.791666666599</v>
      </c>
      <c r="I49" s="41">
        <f ca="1">IFERROR(__xludf.DUMMYFUNCTION("""COMPUTED_VALUE"""),938197)</f>
        <v>938197</v>
      </c>
      <c r="J49" s="41"/>
      <c r="K49" s="21">
        <f t="shared" ca="1" si="1"/>
        <v>-164562</v>
      </c>
      <c r="L49" s="116">
        <f t="shared" ca="1" si="2"/>
        <v>-0.21271271335965927</v>
      </c>
    </row>
    <row r="50" spans="1:12" ht="13.2">
      <c r="A50" s="21" t="e">
        <f ca="1"/>
        <v>#NAME?</v>
      </c>
      <c r="B50" s="21" t="str">
        <f ca="1">IFERROR(__xludf.DUMMYFUNCTION("""COMPUTED_VALUE"""),"Chawla ispat pvt.ltd")</f>
        <v>Chawla ispat pvt.ltd</v>
      </c>
      <c r="C50" s="132">
        <f ca="1">IFERROR(__xludf.DUMMYFUNCTION("""COMPUTED_VALUE"""),494517)</f>
        <v>494517</v>
      </c>
      <c r="D50" s="132">
        <f ca="1">IFERROR(__xludf.DUMMYFUNCTION("""COMPUTED_VALUE"""),1)</f>
        <v>1</v>
      </c>
      <c r="E50" s="132" t="str">
        <f ca="1">IFERROR(__xludf.DUMMYFUNCTION("""COMPUTED_VALUE"""),"Ashutosh Kumar (Rudrapur)")</f>
        <v>Ashutosh Kumar (Rudrapur)</v>
      </c>
      <c r="F50" s="132" t="str">
        <f ca="1">IFERROR(__xludf.DUMMYFUNCTION("""COMPUTED_VALUE"""),"UTTARAKHAND")</f>
        <v>UTTARAKHAND</v>
      </c>
      <c r="G50" s="133">
        <f ca="1">IFERROR(__xludf.DUMMYFUNCTION("""COMPUTED_VALUE"""),494517)</f>
        <v>494517</v>
      </c>
      <c r="H50" s="28">
        <f ca="1">IFERROR(__xludf.DUMMYFUNCTION("""COMPUTED_VALUE"""),41209.75)</f>
        <v>41209.75</v>
      </c>
      <c r="I50" s="41">
        <f ca="1">IFERROR(__xludf.DUMMYFUNCTION("""COMPUTED_VALUE"""),1550168)</f>
        <v>1550168</v>
      </c>
      <c r="J50" s="41"/>
      <c r="K50" s="21">
        <f t="shared" ca="1" si="1"/>
        <v>-1055651</v>
      </c>
      <c r="L50" s="116">
        <f t="shared" ca="1" si="2"/>
        <v>-2.134711243496179</v>
      </c>
    </row>
    <row r="51" spans="1:12" ht="13.2">
      <c r="A51" s="21" t="e">
        <f ca="1"/>
        <v>#NAME?</v>
      </c>
      <c r="B51" s="21" t="str">
        <f ca="1">IFERROR(__xludf.DUMMYFUNCTION("""COMPUTED_VALUE"""),"CHHINAMASTIKE SANITATION PVT. LTD. ( PREVIOUSLY BALAJEE ENT., DEOGHAR)")</f>
        <v>CHHINAMASTIKE SANITATION PVT. LTD. ( PREVIOUSLY BALAJEE ENT., DEOGHAR)</v>
      </c>
      <c r="C51" s="132">
        <f ca="1">IFERROR(__xludf.DUMMYFUNCTION("""COMPUTED_VALUE"""),68777079)</f>
        <v>68777079</v>
      </c>
      <c r="D51" s="132">
        <f ca="1">IFERROR(__xludf.DUMMYFUNCTION("""COMPUTED_VALUE"""),2)</f>
        <v>2</v>
      </c>
      <c r="E51" s="132" t="str">
        <f ca="1">IFERROR(__xludf.DUMMYFUNCTION("""COMPUTED_VALUE"""),"Rakesh Kumar Sinha, SRAVAN KUMAR SHARMA")</f>
        <v>Rakesh Kumar Sinha, SRAVAN KUMAR SHARMA</v>
      </c>
      <c r="F51" s="132" t="str">
        <f ca="1">IFERROR(__xludf.DUMMYFUNCTION("""COMPUTED_VALUE"""),"JHARKHAND")</f>
        <v>JHARKHAND</v>
      </c>
      <c r="G51" s="133">
        <f ca="1">IFERROR(__xludf.DUMMYFUNCTION("""COMPUTED_VALUE"""),34388539.5)</f>
        <v>34388539.5</v>
      </c>
      <c r="H51" s="28">
        <f ca="1">IFERROR(__xludf.DUMMYFUNCTION("""COMPUTED_VALUE"""),2865711.625)</f>
        <v>2865711.625</v>
      </c>
      <c r="I51" s="41">
        <f ca="1">IFERROR(__xludf.DUMMYFUNCTION("""COMPUTED_VALUE"""),100419690)</f>
        <v>100419690</v>
      </c>
      <c r="J51" s="41"/>
      <c r="K51" s="21">
        <f t="shared" ca="1" si="1"/>
        <v>-31642611</v>
      </c>
      <c r="L51" s="116">
        <f t="shared" ca="1" si="2"/>
        <v>-0.46007494735273652</v>
      </c>
    </row>
    <row r="52" spans="1:12" ht="13.2">
      <c r="A52" s="21" t="e">
        <f ca="1"/>
        <v>#NAME?</v>
      </c>
      <c r="B52" s="21" t="str">
        <f ca="1">IFERROR(__xludf.DUMMYFUNCTION("""COMPUTED_VALUE"""),"COOCH BEHAR STORES")</f>
        <v>COOCH BEHAR STORES</v>
      </c>
      <c r="C52" s="132">
        <f ca="1">IFERROR(__xludf.DUMMYFUNCTION("""COMPUTED_VALUE"""),335900)</f>
        <v>335900</v>
      </c>
      <c r="D52" s="132">
        <f ca="1">IFERROR(__xludf.DUMMYFUNCTION("""COMPUTED_VALUE"""),1)</f>
        <v>1</v>
      </c>
      <c r="E52" s="132" t="str">
        <f ca="1">IFERROR(__xludf.DUMMYFUNCTION("""COMPUTED_VALUE"""),"Malay Paul")</f>
        <v>Malay Paul</v>
      </c>
      <c r="F52" s="132" t="str">
        <f ca="1">IFERROR(__xludf.DUMMYFUNCTION("""COMPUTED_VALUE"""),"WEST BENGAL")</f>
        <v>WEST BENGAL</v>
      </c>
      <c r="G52" s="133">
        <f ca="1">IFERROR(__xludf.DUMMYFUNCTION("""COMPUTED_VALUE"""),335900)</f>
        <v>335900</v>
      </c>
      <c r="H52" s="28">
        <f ca="1">IFERROR(__xludf.DUMMYFUNCTION("""COMPUTED_VALUE"""),27991.6666666666)</f>
        <v>27991.666666666599</v>
      </c>
      <c r="I52" s="41">
        <f ca="1">IFERROR(__xludf.DUMMYFUNCTION("""COMPUTED_VALUE"""),1065762)</f>
        <v>1065762</v>
      </c>
      <c r="J52" s="41"/>
      <c r="K52" s="21">
        <f t="shared" ca="1" si="1"/>
        <v>-729862</v>
      </c>
      <c r="L52" s="116">
        <f t="shared" ca="1" si="2"/>
        <v>-2.1728550163739206</v>
      </c>
    </row>
    <row r="53" spans="1:12" ht="13.2">
      <c r="A53" s="21" t="e">
        <f ca="1"/>
        <v>#NAME?</v>
      </c>
      <c r="B53" s="21" t="str">
        <f ca="1">IFERROR(__xludf.DUMMYFUNCTION("""COMPUTED_VALUE"""),"Daksh Polymers")</f>
        <v>Daksh Polymers</v>
      </c>
      <c r="C53" s="132">
        <f ca="1">IFERROR(__xludf.DUMMYFUNCTION("""COMPUTED_VALUE"""),371000)</f>
        <v>371000</v>
      </c>
      <c r="D53" s="132">
        <f ca="1">IFERROR(__xludf.DUMMYFUNCTION("""COMPUTED_VALUE"""),2)</f>
        <v>2</v>
      </c>
      <c r="E53" s="132" t="str">
        <f ca="1">IFERROR(__xludf.DUMMYFUNCTION("""COMPUTED_VALUE"""),"Arif Khan, Durgesh Kumar Jangid")</f>
        <v>Arif Khan, Durgesh Kumar Jangid</v>
      </c>
      <c r="F53" s="132" t="str">
        <f ca="1">IFERROR(__xludf.DUMMYFUNCTION("""COMPUTED_VALUE"""),"RAJASTHAN")</f>
        <v>RAJASTHAN</v>
      </c>
      <c r="G53" s="133">
        <f ca="1">IFERROR(__xludf.DUMMYFUNCTION("""COMPUTED_VALUE"""),185500)</f>
        <v>185500</v>
      </c>
      <c r="H53" s="28">
        <f ca="1">IFERROR(__xludf.DUMMYFUNCTION("""COMPUTED_VALUE"""),15458.3333333333)</f>
        <v>15458.333333333299</v>
      </c>
      <c r="I53" s="41">
        <f ca="1">IFERROR(__xludf.DUMMYFUNCTION("""COMPUTED_VALUE"""),286475)</f>
        <v>286475</v>
      </c>
      <c r="J53" s="41"/>
      <c r="K53" s="21">
        <f t="shared" ca="1" si="1"/>
        <v>84525</v>
      </c>
      <c r="L53" s="116">
        <f t="shared" ca="1" si="2"/>
        <v>0.22783018867924529</v>
      </c>
    </row>
    <row r="54" spans="1:12" ht="13.2">
      <c r="A54" s="21" t="e">
        <f ca="1"/>
        <v>#NAME?</v>
      </c>
      <c r="B54" s="21" t="str">
        <f ca="1">IFERROR(__xludf.DUMMYFUNCTION("""COMPUTED_VALUE"""),"Dakshita Enterprises")</f>
        <v>Dakshita Enterprises</v>
      </c>
      <c r="C54" s="132">
        <f ca="1">IFERROR(__xludf.DUMMYFUNCTION("""COMPUTED_VALUE"""),6613036)</f>
        <v>6613036</v>
      </c>
      <c r="D54" s="132">
        <f ca="1">IFERROR(__xludf.DUMMYFUNCTION("""COMPUTED_VALUE"""),2)</f>
        <v>2</v>
      </c>
      <c r="E54" s="132" t="str">
        <f ca="1">IFERROR(__xludf.DUMMYFUNCTION("""COMPUTED_VALUE"""),"Siddharth Srivastava, Vishal Dheer")</f>
        <v>Siddharth Srivastava, Vishal Dheer</v>
      </c>
      <c r="F54" s="132" t="str">
        <f ca="1">IFERROR(__xludf.DUMMYFUNCTION("""COMPUTED_VALUE"""),"East U.P")</f>
        <v>East U.P</v>
      </c>
      <c r="G54" s="133">
        <f ca="1">IFERROR(__xludf.DUMMYFUNCTION("""COMPUTED_VALUE"""),3306518)</f>
        <v>3306518</v>
      </c>
      <c r="H54" s="28">
        <f ca="1">IFERROR(__xludf.DUMMYFUNCTION("""COMPUTED_VALUE"""),275543.166666666)</f>
        <v>275543.16666666599</v>
      </c>
      <c r="I54" s="41">
        <f ca="1">IFERROR(__xludf.DUMMYFUNCTION("""COMPUTED_VALUE"""),5675158)</f>
        <v>5675158</v>
      </c>
      <c r="J54" s="41"/>
      <c r="K54" s="21">
        <f t="shared" ca="1" si="1"/>
        <v>937878</v>
      </c>
      <c r="L54" s="116">
        <f t="shared" ca="1" si="2"/>
        <v>0.14182260613733239</v>
      </c>
    </row>
    <row r="55" spans="1:12" ht="13.2">
      <c r="A55" s="21" t="e">
        <f ca="1"/>
        <v>#NAME?</v>
      </c>
      <c r="B55" s="21" t="str">
        <f ca="1">IFERROR(__xludf.DUMMYFUNCTION("""COMPUTED_VALUE"""),"Das Enterprise")</f>
        <v>Das Enterprise</v>
      </c>
      <c r="C55" s="132">
        <f ca="1">IFERROR(__xludf.DUMMYFUNCTION("""COMPUTED_VALUE"""),4449517)</f>
        <v>4449517</v>
      </c>
      <c r="D55" s="132">
        <f ca="1">IFERROR(__xludf.DUMMYFUNCTION("""COMPUTED_VALUE"""),2)</f>
        <v>2</v>
      </c>
      <c r="E55" s="132" t="str">
        <f ca="1">IFERROR(__xludf.DUMMYFUNCTION("""COMPUTED_VALUE"""),"Rajat Chowdhury, Vikash Kumar Paswan")</f>
        <v>Rajat Chowdhury, Vikash Kumar Paswan</v>
      </c>
      <c r="F55" s="132" t="str">
        <f ca="1">IFERROR(__xludf.DUMMYFUNCTION("""COMPUTED_VALUE"""),"WEST BENGAL")</f>
        <v>WEST BENGAL</v>
      </c>
      <c r="G55" s="133">
        <f ca="1">IFERROR(__xludf.DUMMYFUNCTION("""COMPUTED_VALUE"""),2224758.5)</f>
        <v>2224758.5</v>
      </c>
      <c r="H55" s="28">
        <f ca="1">IFERROR(__xludf.DUMMYFUNCTION("""COMPUTED_VALUE"""),185396.541666666)</f>
        <v>185396.54166666599</v>
      </c>
      <c r="I55" s="41">
        <f ca="1">IFERROR(__xludf.DUMMYFUNCTION("""COMPUTED_VALUE"""),23703489)</f>
        <v>23703489</v>
      </c>
      <c r="J55" s="41"/>
      <c r="K55" s="21">
        <f t="shared" ca="1" si="1"/>
        <v>-19253972</v>
      </c>
      <c r="L55" s="116">
        <f t="shared" ca="1" si="2"/>
        <v>-4.3272049528072376</v>
      </c>
    </row>
    <row r="56" spans="1:12" ht="13.2">
      <c r="A56" s="21" t="e">
        <f ca="1"/>
        <v>#NAME?</v>
      </c>
      <c r="B56" s="21" t="str">
        <f ca="1">IFERROR(__xludf.DUMMYFUNCTION("""COMPUTED_VALUE"""),"DD PRAYAG POLYMERS")</f>
        <v>DD PRAYAG POLYMERS</v>
      </c>
      <c r="C56" s="132">
        <f ca="1">IFERROR(__xludf.DUMMYFUNCTION("""COMPUTED_VALUE"""),15141)</f>
        <v>15141</v>
      </c>
      <c r="D56" s="132">
        <f ca="1">IFERROR(__xludf.DUMMYFUNCTION("""COMPUTED_VALUE"""),1)</f>
        <v>1</v>
      </c>
      <c r="E56" s="132" t="str">
        <f ca="1">IFERROR(__xludf.DUMMYFUNCTION("""COMPUTED_VALUE"""),"Arun kumar.S")</f>
        <v>Arun kumar.S</v>
      </c>
      <c r="F56" s="132" t="str">
        <f ca="1">IFERROR(__xludf.DUMMYFUNCTION("""COMPUTED_VALUE"""),"TAMIL NADU")</f>
        <v>TAMIL NADU</v>
      </c>
      <c r="G56" s="133">
        <f ca="1">IFERROR(__xludf.DUMMYFUNCTION("""COMPUTED_VALUE"""),15141)</f>
        <v>15141</v>
      </c>
      <c r="H56" s="28">
        <f ca="1">IFERROR(__xludf.DUMMYFUNCTION("""COMPUTED_VALUE"""),1261.75)</f>
        <v>1261.75</v>
      </c>
      <c r="I56" s="41">
        <f ca="1">IFERROR(__xludf.DUMMYFUNCTION("""COMPUTED_VALUE"""),0)</f>
        <v>0</v>
      </c>
      <c r="J56" s="41"/>
      <c r="K56" s="21">
        <f t="shared" ca="1" si="1"/>
        <v>15141</v>
      </c>
      <c r="L56" s="116">
        <f t="shared" ca="1" si="2"/>
        <v>1</v>
      </c>
    </row>
    <row r="57" spans="1:12" ht="13.2">
      <c r="A57" s="21" t="e">
        <f ca="1"/>
        <v>#NAME?</v>
      </c>
      <c r="B57" s="21" t="str">
        <f ca="1">IFERROR(__xludf.DUMMYFUNCTION("""COMPUTED_VALUE"""),"Deepak Sanitary &amp; Electric store")</f>
        <v>Deepak Sanitary &amp; Electric store</v>
      </c>
      <c r="C57" s="132">
        <f ca="1">IFERROR(__xludf.DUMMYFUNCTION("""COMPUTED_VALUE"""),260406)</f>
        <v>260406</v>
      </c>
      <c r="D57" s="132">
        <f ca="1">IFERROR(__xludf.DUMMYFUNCTION("""COMPUTED_VALUE"""),2)</f>
        <v>2</v>
      </c>
      <c r="E57" s="132" t="str">
        <f ca="1">IFERROR(__xludf.DUMMYFUNCTION("""COMPUTED_VALUE"""),"Prashant Kumar, Tarun Giri")</f>
        <v>Prashant Kumar, Tarun Giri</v>
      </c>
      <c r="F57" s="132" t="str">
        <f ca="1">IFERROR(__xludf.DUMMYFUNCTION("""COMPUTED_VALUE"""),"West U.P")</f>
        <v>West U.P</v>
      </c>
      <c r="G57" s="133">
        <f ca="1">IFERROR(__xludf.DUMMYFUNCTION("""COMPUTED_VALUE"""),130203)</f>
        <v>130203</v>
      </c>
      <c r="H57" s="28">
        <f ca="1">IFERROR(__xludf.DUMMYFUNCTION("""COMPUTED_VALUE"""),10850.25)</f>
        <v>10850.25</v>
      </c>
      <c r="I57" s="41">
        <f ca="1">IFERROR(__xludf.DUMMYFUNCTION("""COMPUTED_VALUE"""),706480)</f>
        <v>706480</v>
      </c>
      <c r="J57" s="41"/>
      <c r="K57" s="21">
        <f t="shared" ca="1" si="1"/>
        <v>-446074</v>
      </c>
      <c r="L57" s="116">
        <f t="shared" ca="1" si="2"/>
        <v>-1.7129943242475212</v>
      </c>
    </row>
    <row r="58" spans="1:12" ht="13.2">
      <c r="A58" s="21" t="e">
        <f ca="1"/>
        <v>#NAME?</v>
      </c>
      <c r="B58" s="21" t="str">
        <f ca="1">IFERROR(__xludf.DUMMYFUNCTION("""COMPUTED_VALUE"""),"Deepak trading company")</f>
        <v>Deepak trading company</v>
      </c>
      <c r="C58" s="132">
        <f ca="1">IFERROR(__xludf.DUMMYFUNCTION("""COMPUTED_VALUE"""),135424)</f>
        <v>135424</v>
      </c>
      <c r="D58" s="132">
        <f ca="1">IFERROR(__xludf.DUMMYFUNCTION("""COMPUTED_VALUE"""),1)</f>
        <v>1</v>
      </c>
      <c r="E58" s="132" t="str">
        <f ca="1">IFERROR(__xludf.DUMMYFUNCTION("""COMPUTED_VALUE"""),"Rounak Mehla")</f>
        <v>Rounak Mehla</v>
      </c>
      <c r="F58" s="132" t="str">
        <f ca="1">IFERROR(__xludf.DUMMYFUNCTION("""COMPUTED_VALUE"""),"HARYANA")</f>
        <v>HARYANA</v>
      </c>
      <c r="G58" s="133">
        <f ca="1">IFERROR(__xludf.DUMMYFUNCTION("""COMPUTED_VALUE"""),135424)</f>
        <v>135424</v>
      </c>
      <c r="H58" s="28">
        <f ca="1">IFERROR(__xludf.DUMMYFUNCTION("""COMPUTED_VALUE"""),11285.3333333333)</f>
        <v>11285.333333333299</v>
      </c>
      <c r="I58" s="41">
        <f ca="1">IFERROR(__xludf.DUMMYFUNCTION("""COMPUTED_VALUE"""),924444)</f>
        <v>924444</v>
      </c>
      <c r="J58" s="41"/>
      <c r="K58" s="21">
        <f t="shared" ca="1" si="1"/>
        <v>-789020</v>
      </c>
      <c r="L58" s="116">
        <f t="shared" ca="1" si="2"/>
        <v>-5.8262937145557654</v>
      </c>
    </row>
    <row r="59" spans="1:12" ht="13.2">
      <c r="A59" s="21" t="e">
        <f ca="1"/>
        <v>#NAME?</v>
      </c>
      <c r="B59" s="21" t="str">
        <f ca="1">IFERROR(__xludf.DUMMYFUNCTION("""COMPUTED_VALUE"""),"Dev Trading")</f>
        <v>Dev Trading</v>
      </c>
      <c r="C59" s="132">
        <f ca="1">IFERROR(__xludf.DUMMYFUNCTION("""COMPUTED_VALUE"""),281928)</f>
        <v>281928</v>
      </c>
      <c r="D59" s="132">
        <f ca="1">IFERROR(__xludf.DUMMYFUNCTION("""COMPUTED_VALUE"""),1)</f>
        <v>1</v>
      </c>
      <c r="E59" s="132" t="str">
        <f ca="1">IFERROR(__xludf.DUMMYFUNCTION("""COMPUTED_VALUE"""),"Jagdish Palani")</f>
        <v>Jagdish Palani</v>
      </c>
      <c r="F59" s="132" t="str">
        <f ca="1">IFERROR(__xludf.DUMMYFUNCTION("""COMPUTED_VALUE"""),"GUJARAT")</f>
        <v>GUJARAT</v>
      </c>
      <c r="G59" s="133">
        <f ca="1">IFERROR(__xludf.DUMMYFUNCTION("""COMPUTED_VALUE"""),281928)</f>
        <v>281928</v>
      </c>
      <c r="H59" s="28">
        <f ca="1">IFERROR(__xludf.DUMMYFUNCTION("""COMPUTED_VALUE"""),23494)</f>
        <v>23494</v>
      </c>
      <c r="I59" s="41">
        <f ca="1">IFERROR(__xludf.DUMMYFUNCTION("""COMPUTED_VALUE"""),0)</f>
        <v>0</v>
      </c>
      <c r="J59" s="41"/>
      <c r="K59" s="21">
        <f t="shared" ca="1" si="1"/>
        <v>281928</v>
      </c>
      <c r="L59" s="116">
        <f t="shared" ca="1" si="2"/>
        <v>1</v>
      </c>
    </row>
    <row r="60" spans="1:12" ht="13.2">
      <c r="A60" s="21" t="e">
        <f ca="1"/>
        <v>#NAME?</v>
      </c>
      <c r="B60" s="21" t="str">
        <f ca="1">IFERROR(__xludf.DUMMYFUNCTION("""COMPUTED_VALUE"""),"Devender Iron Store")</f>
        <v>Devender Iron Store</v>
      </c>
      <c r="C60" s="132">
        <f ca="1">IFERROR(__xludf.DUMMYFUNCTION("""COMPUTED_VALUE"""),993727)</f>
        <v>993727</v>
      </c>
      <c r="D60" s="132">
        <f ca="1">IFERROR(__xludf.DUMMYFUNCTION("""COMPUTED_VALUE"""),1)</f>
        <v>1</v>
      </c>
      <c r="E60" s="132" t="str">
        <f ca="1">IFERROR(__xludf.DUMMYFUNCTION("""COMPUTED_VALUE"""),"RAVI KUMAR .")</f>
        <v>RAVI KUMAR .</v>
      </c>
      <c r="F60" s="132" t="str">
        <f ca="1">IFERROR(__xludf.DUMMYFUNCTION("""COMPUTED_VALUE"""),"HARYANA")</f>
        <v>HARYANA</v>
      </c>
      <c r="G60" s="133">
        <f ca="1">IFERROR(__xludf.DUMMYFUNCTION("""COMPUTED_VALUE"""),993727)</f>
        <v>993727</v>
      </c>
      <c r="H60" s="28">
        <f ca="1">IFERROR(__xludf.DUMMYFUNCTION("""COMPUTED_VALUE"""),82810.5833333333)</f>
        <v>82810.583333333299</v>
      </c>
      <c r="I60" s="41">
        <f ca="1">IFERROR(__xludf.DUMMYFUNCTION("""COMPUTED_VALUE"""),1543844)</f>
        <v>1543844</v>
      </c>
      <c r="J60" s="41"/>
      <c r="K60" s="21">
        <f t="shared" ca="1" si="1"/>
        <v>-550117</v>
      </c>
      <c r="L60" s="116">
        <f t="shared" ca="1" si="2"/>
        <v>-0.55358966798728426</v>
      </c>
    </row>
    <row r="61" spans="1:12" ht="13.2">
      <c r="A61" s="21" t="e">
        <f ca="1"/>
        <v>#NAME?</v>
      </c>
      <c r="B61" s="21" t="str">
        <f ca="1">IFERROR(__xludf.DUMMYFUNCTION("""COMPUTED_VALUE"""),"Divekar Marketing Associates")</f>
        <v>Divekar Marketing Associates</v>
      </c>
      <c r="C61" s="132">
        <f ca="1">IFERROR(__xludf.DUMMYFUNCTION("""COMPUTED_VALUE"""),26863056)</f>
        <v>26863056</v>
      </c>
      <c r="D61" s="132">
        <f ca="1">IFERROR(__xludf.DUMMYFUNCTION("""COMPUTED_VALUE"""),3)</f>
        <v>3</v>
      </c>
      <c r="E61" s="132" t="str">
        <f ca="1">IFERROR(__xludf.DUMMYFUNCTION("""COMPUTED_VALUE"""),"Amey Deodhar, Kunal Sanjay Sasane, RAMESH PARSHURAM OAK")</f>
        <v>Amey Deodhar, Kunal Sanjay Sasane, RAMESH PARSHURAM OAK</v>
      </c>
      <c r="F61" s="132" t="str">
        <f ca="1">IFERROR(__xludf.DUMMYFUNCTION("""COMPUTED_VALUE"""),"MAHARASHTRA")</f>
        <v>MAHARASHTRA</v>
      </c>
      <c r="G61" s="133">
        <f ca="1">IFERROR(__xludf.DUMMYFUNCTION("""COMPUTED_VALUE"""),8954352)</f>
        <v>8954352</v>
      </c>
      <c r="H61" s="28">
        <f ca="1">IFERROR(__xludf.DUMMYFUNCTION("""COMPUTED_VALUE"""),746196)</f>
        <v>746196</v>
      </c>
      <c r="I61" s="41">
        <f ca="1">IFERROR(__xludf.DUMMYFUNCTION("""COMPUTED_VALUE"""),23677113)</f>
        <v>23677113</v>
      </c>
      <c r="J61" s="41"/>
      <c r="K61" s="21">
        <f t="shared" ca="1" si="1"/>
        <v>3185943</v>
      </c>
      <c r="L61" s="116">
        <f t="shared" ca="1" si="2"/>
        <v>0.11859942517336822</v>
      </c>
    </row>
    <row r="62" spans="1:12" ht="13.2">
      <c r="A62" s="21" t="e">
        <f ca="1"/>
        <v>#NAME?</v>
      </c>
      <c r="B62" s="21" t="str">
        <f ca="1">IFERROR(__xludf.DUMMYFUNCTION("""COMPUTED_VALUE"""),"DIVEKAR SALES CORPORATION")</f>
        <v>DIVEKAR SALES CORPORATION</v>
      </c>
      <c r="C62" s="132">
        <f ca="1">IFERROR(__xludf.DUMMYFUNCTION("""COMPUTED_VALUE"""),522924)</f>
        <v>522924</v>
      </c>
      <c r="D62" s="132">
        <f ca="1">IFERROR(__xludf.DUMMYFUNCTION("""COMPUTED_VALUE"""),2)</f>
        <v>2</v>
      </c>
      <c r="E62" s="132" t="str">
        <f ca="1">IFERROR(__xludf.DUMMYFUNCTION("""COMPUTED_VALUE"""),"Amey Deodhar, Kunal Sanjay Sasane")</f>
        <v>Amey Deodhar, Kunal Sanjay Sasane</v>
      </c>
      <c r="F62" s="132" t="str">
        <f ca="1">IFERROR(__xludf.DUMMYFUNCTION("""COMPUTED_VALUE"""),"MAHARASHTRA")</f>
        <v>MAHARASHTRA</v>
      </c>
      <c r="G62" s="133">
        <f ca="1">IFERROR(__xludf.DUMMYFUNCTION("""COMPUTED_VALUE"""),261462)</f>
        <v>261462</v>
      </c>
      <c r="H62" s="28">
        <f ca="1">IFERROR(__xludf.DUMMYFUNCTION("""COMPUTED_VALUE"""),21788.5)</f>
        <v>21788.5</v>
      </c>
      <c r="I62" s="41">
        <f ca="1">IFERROR(__xludf.DUMMYFUNCTION("""COMPUTED_VALUE"""),0)</f>
        <v>0</v>
      </c>
      <c r="J62" s="41"/>
      <c r="K62" s="21">
        <f t="shared" ca="1" si="1"/>
        <v>522924</v>
      </c>
      <c r="L62" s="116">
        <f t="shared" ca="1" si="2"/>
        <v>1</v>
      </c>
    </row>
    <row r="63" spans="1:12" ht="13.2">
      <c r="A63" s="21" t="e">
        <f ca="1"/>
        <v>#NAME?</v>
      </c>
      <c r="B63" s="21" t="str">
        <f ca="1">IFERROR(__xludf.DUMMYFUNCTION("""COMPUTED_VALUE"""),"Divya Enterprises")</f>
        <v>Divya Enterprises</v>
      </c>
      <c r="C63" s="132">
        <f ca="1">IFERROR(__xludf.DUMMYFUNCTION("""COMPUTED_VALUE"""),2349271)</f>
        <v>2349271</v>
      </c>
      <c r="D63" s="132">
        <f ca="1">IFERROR(__xludf.DUMMYFUNCTION("""COMPUTED_VALUE"""),2)</f>
        <v>2</v>
      </c>
      <c r="E63" s="132" t="str">
        <f ca="1">IFERROR(__xludf.DUMMYFUNCTION("""COMPUTED_VALUE"""),"Shiv Kumar Patel, Pradeep Kumar Dwivedi")</f>
        <v>Shiv Kumar Patel, Pradeep Kumar Dwivedi</v>
      </c>
      <c r="F63" s="132" t="str">
        <f ca="1">IFERROR(__xludf.DUMMYFUNCTION("""COMPUTED_VALUE"""),"MADHYA PRADESH")</f>
        <v>MADHYA PRADESH</v>
      </c>
      <c r="G63" s="133">
        <f ca="1">IFERROR(__xludf.DUMMYFUNCTION("""COMPUTED_VALUE"""),1174635.5)</f>
        <v>1174635.5</v>
      </c>
      <c r="H63" s="28">
        <f ca="1">IFERROR(__xludf.DUMMYFUNCTION("""COMPUTED_VALUE"""),97886.2916666666)</f>
        <v>97886.291666666599</v>
      </c>
      <c r="I63" s="41">
        <f ca="1">IFERROR(__xludf.DUMMYFUNCTION("""COMPUTED_VALUE"""),3998197)</f>
        <v>3998197</v>
      </c>
      <c r="J63" s="41"/>
      <c r="K63" s="21">
        <f t="shared" ca="1" si="1"/>
        <v>-1648926</v>
      </c>
      <c r="L63" s="116">
        <f t="shared" ca="1" si="2"/>
        <v>-0.70188837303146379</v>
      </c>
    </row>
    <row r="64" spans="1:12" ht="13.2">
      <c r="A64" s="21" t="e">
        <f ca="1"/>
        <v>#NAME?</v>
      </c>
      <c r="B64" s="21" t="str">
        <f ca="1">IFERROR(__xludf.DUMMYFUNCTION("""COMPUTED_VALUE"""),"Dreamwall colours")</f>
        <v>Dreamwall colours</v>
      </c>
      <c r="C64" s="132">
        <f ca="1">IFERROR(__xludf.DUMMYFUNCTION("""COMPUTED_VALUE"""),5808691)</f>
        <v>5808691</v>
      </c>
      <c r="D64" s="132">
        <f ca="1">IFERROR(__xludf.DUMMYFUNCTION("""COMPUTED_VALUE"""),1)</f>
        <v>1</v>
      </c>
      <c r="E64" s="132" t="str">
        <f ca="1">IFERROR(__xludf.DUMMYFUNCTION("""COMPUTED_VALUE"""),"Manish Gupta")</f>
        <v>Manish Gupta</v>
      </c>
      <c r="F64" s="132" t="str">
        <f ca="1">IFERROR(__xludf.DUMMYFUNCTION("""COMPUTED_VALUE"""),"DELHI")</f>
        <v>DELHI</v>
      </c>
      <c r="G64" s="133">
        <f ca="1">IFERROR(__xludf.DUMMYFUNCTION("""COMPUTED_VALUE"""),5808691)</f>
        <v>5808691</v>
      </c>
      <c r="H64" s="28">
        <f ca="1">IFERROR(__xludf.DUMMYFUNCTION("""COMPUTED_VALUE"""),484057.583333333)</f>
        <v>484057.58333333302</v>
      </c>
      <c r="I64" s="41">
        <f ca="1">IFERROR(__xludf.DUMMYFUNCTION("""COMPUTED_VALUE"""),4179570)</f>
        <v>4179570</v>
      </c>
      <c r="J64" s="41"/>
      <c r="K64" s="21">
        <f t="shared" ca="1" si="1"/>
        <v>1629121</v>
      </c>
      <c r="L64" s="116">
        <f t="shared" ca="1" si="2"/>
        <v>0.28046267222684079</v>
      </c>
    </row>
    <row r="65" spans="1:12" ht="13.2">
      <c r="A65" s="21" t="e">
        <f ca="1"/>
        <v>#NAME?</v>
      </c>
      <c r="B65" s="21" t="str">
        <f ca="1">IFERROR(__xludf.DUMMYFUNCTION("""COMPUTED_VALUE"""),"Durga Mechinery Store")</f>
        <v>Durga Mechinery Store</v>
      </c>
      <c r="C65" s="132">
        <f ca="1">IFERROR(__xludf.DUMMYFUNCTION("""COMPUTED_VALUE"""),1823166)</f>
        <v>1823166</v>
      </c>
      <c r="D65" s="132">
        <f ca="1">IFERROR(__xludf.DUMMYFUNCTION("""COMPUTED_VALUE"""),1)</f>
        <v>1</v>
      </c>
      <c r="E65" s="132" t="str">
        <f ca="1">IFERROR(__xludf.DUMMYFUNCTION("""COMPUTED_VALUE"""),"Ravi Kumar Verma")</f>
        <v>Ravi Kumar Verma</v>
      </c>
      <c r="F65" s="132" t="str">
        <f ca="1">IFERROR(__xludf.DUMMYFUNCTION("""COMPUTED_VALUE"""),"East U.P")</f>
        <v>East U.P</v>
      </c>
      <c r="G65" s="133">
        <f ca="1">IFERROR(__xludf.DUMMYFUNCTION("""COMPUTED_VALUE"""),1823166)</f>
        <v>1823166</v>
      </c>
      <c r="H65" s="28">
        <f ca="1">IFERROR(__xludf.DUMMYFUNCTION("""COMPUTED_VALUE"""),151930.5)</f>
        <v>151930.5</v>
      </c>
      <c r="I65" s="41">
        <f ca="1">IFERROR(__xludf.DUMMYFUNCTION("""COMPUTED_VALUE"""),1863251)</f>
        <v>1863251</v>
      </c>
      <c r="J65" s="41"/>
      <c r="K65" s="21">
        <f t="shared" ca="1" si="1"/>
        <v>-40085</v>
      </c>
      <c r="L65" s="116">
        <f t="shared" ca="1" si="2"/>
        <v>-2.1986478466579567E-2</v>
      </c>
    </row>
    <row r="66" spans="1:12" ht="13.2">
      <c r="A66" s="21" t="e">
        <f ca="1"/>
        <v>#NAME?</v>
      </c>
      <c r="B66" s="21" t="str">
        <f ca="1">IFERROR(__xludf.DUMMYFUNCTION("""COMPUTED_VALUE"""),"Durga sanitary and tiles")</f>
        <v>Durga sanitary and tiles</v>
      </c>
      <c r="C66" s="132">
        <f ca="1">IFERROR(__xludf.DUMMYFUNCTION("""COMPUTED_VALUE"""),75318)</f>
        <v>75318</v>
      </c>
      <c r="D66" s="132">
        <f ca="1">IFERROR(__xludf.DUMMYFUNCTION("""COMPUTED_VALUE"""),1)</f>
        <v>1</v>
      </c>
      <c r="E66" s="132" t="str">
        <f ca="1">IFERROR(__xludf.DUMMYFUNCTION("""COMPUTED_VALUE"""),"Rounak Mehla")</f>
        <v>Rounak Mehla</v>
      </c>
      <c r="F66" s="132" t="str">
        <f ca="1">IFERROR(__xludf.DUMMYFUNCTION("""COMPUTED_VALUE"""),"HARYANA")</f>
        <v>HARYANA</v>
      </c>
      <c r="G66" s="133">
        <f ca="1">IFERROR(__xludf.DUMMYFUNCTION("""COMPUTED_VALUE"""),75318)</f>
        <v>75318</v>
      </c>
      <c r="H66" s="28">
        <f ca="1">IFERROR(__xludf.DUMMYFUNCTION("""COMPUTED_VALUE"""),6276.5)</f>
        <v>6276.5</v>
      </c>
      <c r="I66" s="41">
        <f ca="1">IFERROR(__xludf.DUMMYFUNCTION("""COMPUTED_VALUE"""),286709)</f>
        <v>286709</v>
      </c>
      <c r="J66" s="41"/>
      <c r="K66" s="21">
        <f t="shared" ca="1" si="1"/>
        <v>-211391</v>
      </c>
      <c r="L66" s="116">
        <f t="shared" ca="1" si="2"/>
        <v>-2.806646485567859</v>
      </c>
    </row>
    <row r="67" spans="1:12" ht="13.2">
      <c r="A67" s="21" t="e">
        <f ca="1"/>
        <v>#NAME?</v>
      </c>
      <c r="B67" s="21" t="str">
        <f ca="1">IFERROR(__xludf.DUMMYFUNCTION("""COMPUTED_VALUE"""),"FRIENDS ELECTRICALS AND PLUMBING")</f>
        <v>FRIENDS ELECTRICALS AND PLUMBING</v>
      </c>
      <c r="C67" s="132">
        <f ca="1">IFERROR(__xludf.DUMMYFUNCTION("""COMPUTED_VALUE"""),812155)</f>
        <v>812155</v>
      </c>
      <c r="D67" s="132">
        <f ca="1">IFERROR(__xludf.DUMMYFUNCTION("""COMPUTED_VALUE"""),1)</f>
        <v>1</v>
      </c>
      <c r="E67" s="132" t="str">
        <f ca="1">IFERROR(__xludf.DUMMYFUNCTION("""COMPUTED_VALUE"""),"D. Chand Basha")</f>
        <v>D. Chand Basha</v>
      </c>
      <c r="F67" s="132" t="str">
        <f ca="1">IFERROR(__xludf.DUMMYFUNCTION("""COMPUTED_VALUE"""),"ANDHRA PRADESH")</f>
        <v>ANDHRA PRADESH</v>
      </c>
      <c r="G67" s="133">
        <f ca="1">IFERROR(__xludf.DUMMYFUNCTION("""COMPUTED_VALUE"""),812155)</f>
        <v>812155</v>
      </c>
      <c r="H67" s="28">
        <f ca="1">IFERROR(__xludf.DUMMYFUNCTION("""COMPUTED_VALUE"""),67679.5833333333)</f>
        <v>67679.583333333299</v>
      </c>
      <c r="I67" s="41">
        <f ca="1">IFERROR(__xludf.DUMMYFUNCTION("""COMPUTED_VALUE"""),2800163)</f>
        <v>2800163</v>
      </c>
      <c r="J67" s="41"/>
      <c r="K67" s="21">
        <f t="shared" ca="1" si="1"/>
        <v>-1988008</v>
      </c>
      <c r="L67" s="116">
        <f t="shared" ca="1" si="2"/>
        <v>-2.4478184582992162</v>
      </c>
    </row>
    <row r="68" spans="1:12" ht="13.2">
      <c r="A68" s="21" t="e">
        <f ca="1"/>
        <v>#NAME?</v>
      </c>
      <c r="B68" s="21" t="str">
        <f ca="1">IFERROR(__xludf.DUMMYFUNCTION("""COMPUTED_VALUE"""),"G S TRADERS")</f>
        <v>G S TRADERS</v>
      </c>
      <c r="C68" s="132">
        <f ca="1">IFERROR(__xludf.DUMMYFUNCTION("""COMPUTED_VALUE"""),1875168)</f>
        <v>1875168</v>
      </c>
      <c r="D68" s="132">
        <f ca="1">IFERROR(__xludf.DUMMYFUNCTION("""COMPUTED_VALUE"""),1)</f>
        <v>1</v>
      </c>
      <c r="E68" s="132" t="str">
        <f ca="1">IFERROR(__xludf.DUMMYFUNCTION("""COMPUTED_VALUE"""),"Tafazul Nazir")</f>
        <v>Tafazul Nazir</v>
      </c>
      <c r="F68" s="132" t="str">
        <f ca="1">IFERROR(__xludf.DUMMYFUNCTION("""COMPUTED_VALUE"""),"JAMMU AND KASHMIR")</f>
        <v>JAMMU AND KASHMIR</v>
      </c>
      <c r="G68" s="133">
        <f ca="1">IFERROR(__xludf.DUMMYFUNCTION("""COMPUTED_VALUE"""),1875168)</f>
        <v>1875168</v>
      </c>
      <c r="H68" s="28">
        <f ca="1">IFERROR(__xludf.DUMMYFUNCTION("""COMPUTED_VALUE"""),156264)</f>
        <v>156264</v>
      </c>
      <c r="I68" s="41">
        <f ca="1">IFERROR(__xludf.DUMMYFUNCTION("""COMPUTED_VALUE"""),3214047)</f>
        <v>3214047</v>
      </c>
      <c r="J68" s="41"/>
      <c r="K68" s="21">
        <f t="shared" ca="1" si="1"/>
        <v>-1338879</v>
      </c>
      <c r="L68" s="116">
        <f t="shared" ca="1" si="2"/>
        <v>-0.71400482516766495</v>
      </c>
    </row>
    <row r="69" spans="1:12" ht="13.2">
      <c r="A69" s="21" t="e">
        <f ca="1"/>
        <v>#NAME?</v>
      </c>
      <c r="B69" s="21" t="str">
        <f ca="1">IFERROR(__xludf.DUMMYFUNCTION("""COMPUTED_VALUE"""),"G.H. BROTHERS")</f>
        <v>G.H. BROTHERS</v>
      </c>
      <c r="C69" s="132">
        <f ca="1">IFERROR(__xludf.DUMMYFUNCTION("""COMPUTED_VALUE"""),6072)</f>
        <v>6072</v>
      </c>
      <c r="D69" s="132">
        <f ca="1">IFERROR(__xludf.DUMMYFUNCTION("""COMPUTED_VALUE"""),1)</f>
        <v>1</v>
      </c>
      <c r="E69" s="132" t="str">
        <f ca="1">IFERROR(__xludf.DUMMYFUNCTION("""COMPUTED_VALUE"""),"Basit Ahmad Pala")</f>
        <v>Basit Ahmad Pala</v>
      </c>
      <c r="F69" s="132" t="str">
        <f ca="1">IFERROR(__xludf.DUMMYFUNCTION("""COMPUTED_VALUE"""),"JAMMU AND KASHMIR")</f>
        <v>JAMMU AND KASHMIR</v>
      </c>
      <c r="G69" s="133">
        <f ca="1">IFERROR(__xludf.DUMMYFUNCTION("""COMPUTED_VALUE"""),6072)</f>
        <v>6072</v>
      </c>
      <c r="H69" s="28">
        <f ca="1">IFERROR(__xludf.DUMMYFUNCTION("""COMPUTED_VALUE"""),506)</f>
        <v>506</v>
      </c>
      <c r="I69" s="41">
        <f ca="1">IFERROR(__xludf.DUMMYFUNCTION("""COMPUTED_VALUE"""),0)</f>
        <v>0</v>
      </c>
      <c r="J69" s="41"/>
      <c r="K69" s="21">
        <f t="shared" ca="1" si="1"/>
        <v>6072</v>
      </c>
      <c r="L69" s="116">
        <f t="shared" ca="1" si="2"/>
        <v>1</v>
      </c>
    </row>
    <row r="70" spans="1:12" ht="13.2">
      <c r="A70" s="21" t="e">
        <f ca="1"/>
        <v>#NAME?</v>
      </c>
      <c r="B70" s="21" t="str">
        <f ca="1">IFERROR(__xludf.DUMMYFUNCTION("""COMPUTED_VALUE"""),"GANIE TRADING HUB")</f>
        <v>GANIE TRADING HUB</v>
      </c>
      <c r="C70" s="132">
        <f ca="1">IFERROR(__xludf.DUMMYFUNCTION("""COMPUTED_VALUE"""),498473)</f>
        <v>498473</v>
      </c>
      <c r="D70" s="132">
        <f ca="1">IFERROR(__xludf.DUMMYFUNCTION("""COMPUTED_VALUE"""),2)</f>
        <v>2</v>
      </c>
      <c r="E70" s="132" t="str">
        <f ca="1">IFERROR(__xludf.DUMMYFUNCTION("""COMPUTED_VALUE"""),"Irfan Ahmad Wani, Basit Ahmad Pala")</f>
        <v>Irfan Ahmad Wani, Basit Ahmad Pala</v>
      </c>
      <c r="F70" s="132" t="str">
        <f ca="1">IFERROR(__xludf.DUMMYFUNCTION("""COMPUTED_VALUE"""),"JAMMU AND KASHMIR")</f>
        <v>JAMMU AND KASHMIR</v>
      </c>
      <c r="G70" s="133">
        <f ca="1">IFERROR(__xludf.DUMMYFUNCTION("""COMPUTED_VALUE"""),249236.5)</f>
        <v>249236.5</v>
      </c>
      <c r="H70" s="28">
        <f ca="1">IFERROR(__xludf.DUMMYFUNCTION("""COMPUTED_VALUE"""),20769.7083333333)</f>
        <v>20769.708333333299</v>
      </c>
      <c r="I70" s="41">
        <f ca="1">IFERROR(__xludf.DUMMYFUNCTION("""COMPUTED_VALUE"""),650534)</f>
        <v>650534</v>
      </c>
      <c r="J70" s="41"/>
      <c r="K70" s="21">
        <f t="shared" ca="1" si="1"/>
        <v>-152061</v>
      </c>
      <c r="L70" s="116">
        <f t="shared" ca="1" si="2"/>
        <v>-0.30505363379761791</v>
      </c>
    </row>
    <row r="71" spans="1:12" ht="13.2">
      <c r="A71" s="21" t="e">
        <f ca="1"/>
        <v>#NAME?</v>
      </c>
      <c r="B71" s="21" t="str">
        <f ca="1">IFERROR(__xludf.DUMMYFUNCTION("""COMPUTED_VALUE"""),"Godara traders")</f>
        <v>Godara traders</v>
      </c>
      <c r="C71" s="132">
        <f ca="1">IFERROR(__xludf.DUMMYFUNCTION("""COMPUTED_VALUE"""),19908)</f>
        <v>19908</v>
      </c>
      <c r="D71" s="132">
        <f ca="1">IFERROR(__xludf.DUMMYFUNCTION("""COMPUTED_VALUE"""),1)</f>
        <v>1</v>
      </c>
      <c r="E71" s="132" t="str">
        <f ca="1">IFERROR(__xludf.DUMMYFUNCTION("""COMPUTED_VALUE"""),"Ranveer Singh")</f>
        <v>Ranveer Singh</v>
      </c>
      <c r="F71" s="132" t="str">
        <f ca="1">IFERROR(__xludf.DUMMYFUNCTION("""COMPUTED_VALUE"""),"RAJASTHAN")</f>
        <v>RAJASTHAN</v>
      </c>
      <c r="G71" s="133">
        <f ca="1">IFERROR(__xludf.DUMMYFUNCTION("""COMPUTED_VALUE"""),19908)</f>
        <v>19908</v>
      </c>
      <c r="H71" s="28">
        <f ca="1">IFERROR(__xludf.DUMMYFUNCTION("""COMPUTED_VALUE"""),1659)</f>
        <v>1659</v>
      </c>
      <c r="I71" s="41">
        <f ca="1">IFERROR(__xludf.DUMMYFUNCTION("""COMPUTED_VALUE"""),0)</f>
        <v>0</v>
      </c>
      <c r="J71" s="41"/>
      <c r="K71" s="21">
        <f t="shared" ca="1" si="1"/>
        <v>19908</v>
      </c>
      <c r="L71" s="116">
        <f t="shared" ca="1" si="2"/>
        <v>1</v>
      </c>
    </row>
    <row r="72" spans="1:12" ht="13.2">
      <c r="A72" s="21" t="e">
        <f ca="1"/>
        <v>#NAME?</v>
      </c>
      <c r="B72" s="21" t="str">
        <f ca="1">IFERROR(__xludf.DUMMYFUNCTION("""COMPUTED_VALUE"""),"GOLDKINGSON WELMADE PVT LTD")</f>
        <v>GOLDKINGSON WELMADE PVT LTD</v>
      </c>
      <c r="C72" s="132">
        <f ca="1">IFERROR(__xludf.DUMMYFUNCTION("""COMPUTED_VALUE"""),4233284)</f>
        <v>4233284</v>
      </c>
      <c r="D72" s="132">
        <f ca="1">IFERROR(__xludf.DUMMYFUNCTION("""COMPUTED_VALUE"""),2)</f>
        <v>2</v>
      </c>
      <c r="E72" s="132" t="str">
        <f ca="1">IFERROR(__xludf.DUMMYFUNCTION("""COMPUTED_VALUE"""),"Ashokraj A., M. Raman")</f>
        <v>Ashokraj A., M. Raman</v>
      </c>
      <c r="F72" s="132" t="str">
        <f ca="1">IFERROR(__xludf.DUMMYFUNCTION("""COMPUTED_VALUE"""),"TAMIL NADU")</f>
        <v>TAMIL NADU</v>
      </c>
      <c r="G72" s="133">
        <f ca="1">IFERROR(__xludf.DUMMYFUNCTION("""COMPUTED_VALUE"""),2116642)</f>
        <v>2116642</v>
      </c>
      <c r="H72" s="28">
        <f ca="1">IFERROR(__xludf.DUMMYFUNCTION("""COMPUTED_VALUE"""),176386.833333333)</f>
        <v>176386.83333333299</v>
      </c>
      <c r="I72" s="41">
        <f ca="1">IFERROR(__xludf.DUMMYFUNCTION("""COMPUTED_VALUE"""),0)</f>
        <v>0</v>
      </c>
      <c r="J72" s="41"/>
      <c r="K72" s="21">
        <f t="shared" ca="1" si="1"/>
        <v>4233284</v>
      </c>
      <c r="L72" s="116">
        <f t="shared" ca="1" si="2"/>
        <v>1</v>
      </c>
    </row>
    <row r="73" spans="1:12" ht="13.2">
      <c r="A73" s="21" t="e">
        <f ca="1"/>
        <v>#NAME?</v>
      </c>
      <c r="B73" s="21" t="str">
        <f ca="1">IFERROR(__xludf.DUMMYFUNCTION("""COMPUTED_VALUE"""),"Gopal Pipe Corporation")</f>
        <v>Gopal Pipe Corporation</v>
      </c>
      <c r="C73" s="132">
        <f ca="1">IFERROR(__xludf.DUMMYFUNCTION("""COMPUTED_VALUE"""),4666)</f>
        <v>4666</v>
      </c>
      <c r="D73" s="132">
        <f ca="1">IFERROR(__xludf.DUMMYFUNCTION("""COMPUTED_VALUE"""),1)</f>
        <v>1</v>
      </c>
      <c r="E73" s="132" t="str">
        <f ca="1">IFERROR(__xludf.DUMMYFUNCTION("""COMPUTED_VALUE"""),"AMAN KHAN")</f>
        <v>AMAN KHAN</v>
      </c>
      <c r="F73" s="132" t="str">
        <f ca="1">IFERROR(__xludf.DUMMYFUNCTION("""COMPUTED_VALUE"""),"East U.P")</f>
        <v>East U.P</v>
      </c>
      <c r="G73" s="133">
        <f ca="1">IFERROR(__xludf.DUMMYFUNCTION("""COMPUTED_VALUE"""),4666)</f>
        <v>4666</v>
      </c>
      <c r="H73" s="28">
        <f ca="1">IFERROR(__xludf.DUMMYFUNCTION("""COMPUTED_VALUE"""),388.833333333333)</f>
        <v>388.83333333333297</v>
      </c>
      <c r="I73" s="41">
        <f ca="1">IFERROR(__xludf.DUMMYFUNCTION("""COMPUTED_VALUE"""),1579409)</f>
        <v>1579409</v>
      </c>
      <c r="J73" s="41"/>
      <c r="K73" s="21">
        <f t="shared" ca="1" si="1"/>
        <v>-1574743</v>
      </c>
      <c r="L73" s="116">
        <f t="shared" ca="1" si="2"/>
        <v>-337.49314187741106</v>
      </c>
    </row>
    <row r="74" spans="1:12" ht="13.2">
      <c r="A74" s="21" t="e">
        <f ca="1"/>
        <v>#NAME?</v>
      </c>
      <c r="B74" s="21" t="str">
        <f ca="1">IFERROR(__xludf.DUMMYFUNCTION("""COMPUTED_VALUE"""),"Gorakhpur Marble Woks")</f>
        <v>Gorakhpur Marble Woks</v>
      </c>
      <c r="C74" s="132">
        <f ca="1">IFERROR(__xludf.DUMMYFUNCTION("""COMPUTED_VALUE"""),22044599)</f>
        <v>22044599</v>
      </c>
      <c r="D74" s="132">
        <f ca="1">IFERROR(__xludf.DUMMYFUNCTION("""COMPUTED_VALUE"""),2)</f>
        <v>2</v>
      </c>
      <c r="E74" s="132" t="str">
        <f ca="1">IFERROR(__xludf.DUMMYFUNCTION("""COMPUTED_VALUE"""),"Hemant kumar srivastava, Rohit Kumar")</f>
        <v>Hemant kumar srivastava, Rohit Kumar</v>
      </c>
      <c r="F74" s="132" t="str">
        <f ca="1">IFERROR(__xludf.DUMMYFUNCTION("""COMPUTED_VALUE"""),"East U.P")</f>
        <v>East U.P</v>
      </c>
      <c r="G74" s="133">
        <f ca="1">IFERROR(__xludf.DUMMYFUNCTION("""COMPUTED_VALUE"""),11022299.5)</f>
        <v>11022299.5</v>
      </c>
      <c r="H74" s="28">
        <f ca="1">IFERROR(__xludf.DUMMYFUNCTION("""COMPUTED_VALUE"""),918524.958333333)</f>
        <v>918524.95833333302</v>
      </c>
      <c r="I74" s="41">
        <f ca="1">IFERROR(__xludf.DUMMYFUNCTION("""COMPUTED_VALUE"""),20803397)</f>
        <v>20803397</v>
      </c>
      <c r="J74" s="41"/>
      <c r="K74" s="21">
        <f t="shared" ca="1" si="1"/>
        <v>1241202</v>
      </c>
      <c r="L74" s="116">
        <f t="shared" ca="1" si="2"/>
        <v>5.6304131456417057E-2</v>
      </c>
    </row>
    <row r="75" spans="1:12" ht="13.2">
      <c r="A75" s="21" t="e">
        <f ca="1"/>
        <v>#NAME?</v>
      </c>
      <c r="B75" s="21" t="str">
        <f ca="1">IFERROR(__xludf.DUMMYFUNCTION("""COMPUTED_VALUE"""),"Govind Hardware")</f>
        <v>Govind Hardware</v>
      </c>
      <c r="C75" s="132">
        <f ca="1">IFERROR(__xludf.DUMMYFUNCTION("""COMPUTED_VALUE"""),1231220)</f>
        <v>1231220</v>
      </c>
      <c r="D75" s="132">
        <f ca="1">IFERROR(__xludf.DUMMYFUNCTION("""COMPUTED_VALUE"""),2)</f>
        <v>2</v>
      </c>
      <c r="E75" s="132" t="str">
        <f ca="1">IFERROR(__xludf.DUMMYFUNCTION("""COMPUTED_VALUE"""),"Rajan Srivastava, Sandeep Kanaujiya")</f>
        <v>Rajan Srivastava, Sandeep Kanaujiya</v>
      </c>
      <c r="F75" s="132" t="str">
        <f ca="1">IFERROR(__xludf.DUMMYFUNCTION("""COMPUTED_VALUE"""),"East U.P")</f>
        <v>East U.P</v>
      </c>
      <c r="G75" s="133">
        <f ca="1">IFERROR(__xludf.DUMMYFUNCTION("""COMPUTED_VALUE"""),615610)</f>
        <v>615610</v>
      </c>
      <c r="H75" s="28">
        <f ca="1">IFERROR(__xludf.DUMMYFUNCTION("""COMPUTED_VALUE"""),51300.8333333333)</f>
        <v>51300.833333333299</v>
      </c>
      <c r="I75" s="41">
        <f ca="1">IFERROR(__xludf.DUMMYFUNCTION("""COMPUTED_VALUE"""),3293298)</f>
        <v>3293298</v>
      </c>
      <c r="J75" s="41"/>
      <c r="K75" s="21">
        <f t="shared" ca="1" si="1"/>
        <v>-2062078</v>
      </c>
      <c r="L75" s="116">
        <f t="shared" ca="1" si="2"/>
        <v>-1.6748249703546076</v>
      </c>
    </row>
    <row r="76" spans="1:12" ht="13.2">
      <c r="A76" s="21" t="e">
        <f ca="1"/>
        <v>#NAME?</v>
      </c>
      <c r="B76" s="21" t="str">
        <f ca="1">IFERROR(__xludf.DUMMYFUNCTION("""COMPUTED_VALUE"""),"Goyal Sanitation")</f>
        <v>Goyal Sanitation</v>
      </c>
      <c r="C76" s="132">
        <f ca="1">IFERROR(__xludf.DUMMYFUNCTION("""COMPUTED_VALUE"""),4235901)</f>
        <v>4235901</v>
      </c>
      <c r="D76" s="132">
        <f ca="1">IFERROR(__xludf.DUMMYFUNCTION("""COMPUTED_VALUE"""),1)</f>
        <v>1</v>
      </c>
      <c r="E76" s="132" t="str">
        <f ca="1">IFERROR(__xludf.DUMMYFUNCTION("""COMPUTED_VALUE"""),"Amit Tangri")</f>
        <v>Amit Tangri</v>
      </c>
      <c r="F76" s="132" t="str">
        <f ca="1">IFERROR(__xludf.DUMMYFUNCTION("""COMPUTED_VALUE"""),"PUNJAB")</f>
        <v>PUNJAB</v>
      </c>
      <c r="G76" s="133">
        <f ca="1">IFERROR(__xludf.DUMMYFUNCTION("""COMPUTED_VALUE"""),4235901)</f>
        <v>4235901</v>
      </c>
      <c r="H76" s="28">
        <f ca="1">IFERROR(__xludf.DUMMYFUNCTION("""COMPUTED_VALUE"""),352991.75)</f>
        <v>352991.75</v>
      </c>
      <c r="I76" s="41">
        <f ca="1">IFERROR(__xludf.DUMMYFUNCTION("""COMPUTED_VALUE"""),4758273)</f>
        <v>4758273</v>
      </c>
      <c r="J76" s="41"/>
      <c r="K76" s="21">
        <f t="shared" ca="1" si="1"/>
        <v>-522372</v>
      </c>
      <c r="L76" s="116">
        <f t="shared" ca="1" si="2"/>
        <v>-0.12332016258170339</v>
      </c>
    </row>
    <row r="77" spans="1:12" ht="13.2">
      <c r="A77" s="21" t="e">
        <f ca="1"/>
        <v>#NAME?</v>
      </c>
      <c r="B77" s="21" t="str">
        <f ca="1">IFERROR(__xludf.DUMMYFUNCTION("""COMPUTED_VALUE"""),"Grahaa Priya enterprise")</f>
        <v>Grahaa Priya enterprise</v>
      </c>
      <c r="C77" s="132">
        <f ca="1">IFERROR(__xludf.DUMMYFUNCTION("""COMPUTED_VALUE"""),10612589)</f>
        <v>10612589</v>
      </c>
      <c r="D77" s="132">
        <f ca="1">IFERROR(__xludf.DUMMYFUNCTION("""COMPUTED_VALUE"""),5)</f>
        <v>5</v>
      </c>
      <c r="E77" s="132" t="str">
        <f ca="1">IFERROR(__xludf.DUMMYFUNCTION("""COMPUTED_VALUE"""),"Ganesh Kumar, Karuppasamy R, Saibulla S., V. Rajesh, K Suresh Kumar")</f>
        <v>Ganesh Kumar, Karuppasamy R, Saibulla S., V. Rajesh, K Suresh Kumar</v>
      </c>
      <c r="F77" s="132" t="str">
        <f ca="1">IFERROR(__xludf.DUMMYFUNCTION("""COMPUTED_VALUE"""),"TAMIL NADU")</f>
        <v>TAMIL NADU</v>
      </c>
      <c r="G77" s="133">
        <f ca="1">IFERROR(__xludf.DUMMYFUNCTION("""COMPUTED_VALUE"""),2122517.8)</f>
        <v>2122517.7999999998</v>
      </c>
      <c r="H77" s="28">
        <f ca="1">IFERROR(__xludf.DUMMYFUNCTION("""COMPUTED_VALUE"""),176876.483333333)</f>
        <v>176876.48333333299</v>
      </c>
      <c r="I77" s="41">
        <f ca="1">IFERROR(__xludf.DUMMYFUNCTION("""COMPUTED_VALUE"""),94031480)</f>
        <v>94031480</v>
      </c>
      <c r="J77" s="41"/>
      <c r="K77" s="21">
        <f t="shared" ca="1" si="1"/>
        <v>-83418891</v>
      </c>
      <c r="L77" s="116">
        <f t="shared" ca="1" si="2"/>
        <v>-7.8603713947652167</v>
      </c>
    </row>
    <row r="78" spans="1:12" ht="13.2">
      <c r="A78" s="21" t="e">
        <f ca="1"/>
        <v>#NAME?</v>
      </c>
      <c r="B78" s="21" t="str">
        <f ca="1">IFERROR(__xludf.DUMMYFUNCTION("""COMPUTED_VALUE"""),"Gupta hardware store")</f>
        <v>Gupta hardware store</v>
      </c>
      <c r="C78" s="132">
        <f ca="1">IFERROR(__xludf.DUMMYFUNCTION("""COMPUTED_VALUE"""),530952)</f>
        <v>530952</v>
      </c>
      <c r="D78" s="132">
        <f ca="1">IFERROR(__xludf.DUMMYFUNCTION("""COMPUTED_VALUE"""),1)</f>
        <v>1</v>
      </c>
      <c r="E78" s="132" t="str">
        <f ca="1">IFERROR(__xludf.DUMMYFUNCTION("""COMPUTED_VALUE"""),"NIkhil Patial")</f>
        <v>NIkhil Patial</v>
      </c>
      <c r="F78" s="132" t="str">
        <f ca="1">IFERROR(__xludf.DUMMYFUNCTION("""COMPUTED_VALUE"""),"HIMACHAL PRADESH")</f>
        <v>HIMACHAL PRADESH</v>
      </c>
      <c r="G78" s="133">
        <f ca="1">IFERROR(__xludf.DUMMYFUNCTION("""COMPUTED_VALUE"""),530952)</f>
        <v>530952</v>
      </c>
      <c r="H78" s="28">
        <f ca="1">IFERROR(__xludf.DUMMYFUNCTION("""COMPUTED_VALUE"""),44246)</f>
        <v>44246</v>
      </c>
      <c r="I78" s="41">
        <f ca="1">IFERROR(__xludf.DUMMYFUNCTION("""COMPUTED_VALUE"""),581768)</f>
        <v>581768</v>
      </c>
      <c r="J78" s="41"/>
      <c r="K78" s="21">
        <f t="shared" ca="1" si="1"/>
        <v>-50816</v>
      </c>
      <c r="L78" s="116">
        <f t="shared" ca="1" si="2"/>
        <v>-9.5707333242929682E-2</v>
      </c>
    </row>
    <row r="79" spans="1:12" ht="13.2">
      <c r="A79" s="21" t="e">
        <f ca="1"/>
        <v>#NAME?</v>
      </c>
      <c r="B79" s="21" t="str">
        <f ca="1">IFERROR(__xludf.DUMMYFUNCTION("""COMPUTED_VALUE"""),"Gupta Traders")</f>
        <v>Gupta Traders</v>
      </c>
      <c r="C79" s="132">
        <f ca="1">IFERROR(__xludf.DUMMYFUNCTION("""COMPUTED_VALUE"""),1214994)</f>
        <v>1214994</v>
      </c>
      <c r="D79" s="132">
        <f ca="1">IFERROR(__xludf.DUMMYFUNCTION("""COMPUTED_VALUE"""),1)</f>
        <v>1</v>
      </c>
      <c r="E79" s="132" t="str">
        <f ca="1">IFERROR(__xludf.DUMMYFUNCTION("""COMPUTED_VALUE"""),"Pradeep Kumar")</f>
        <v>Pradeep Kumar</v>
      </c>
      <c r="F79" s="132" t="str">
        <f ca="1">IFERROR(__xludf.DUMMYFUNCTION("""COMPUTED_VALUE"""),"BIHAR")</f>
        <v>BIHAR</v>
      </c>
      <c r="G79" s="133">
        <f ca="1">IFERROR(__xludf.DUMMYFUNCTION("""COMPUTED_VALUE"""),1214994)</f>
        <v>1214994</v>
      </c>
      <c r="H79" s="28">
        <f ca="1">IFERROR(__xludf.DUMMYFUNCTION("""COMPUTED_VALUE"""),101249.5)</f>
        <v>101249.5</v>
      </c>
      <c r="I79" s="41">
        <f ca="1">IFERROR(__xludf.DUMMYFUNCTION("""COMPUTED_VALUE"""),3223644)</f>
        <v>3223644</v>
      </c>
      <c r="J79" s="41"/>
      <c r="K79" s="21">
        <f t="shared" ca="1" si="1"/>
        <v>-2008650</v>
      </c>
      <c r="L79" s="116">
        <f t="shared" ca="1" si="2"/>
        <v>-1.6532180405829164</v>
      </c>
    </row>
    <row r="80" spans="1:12" ht="79.2">
      <c r="A80" s="21" t="e">
        <f ca="1"/>
        <v>#NAME?</v>
      </c>
      <c r="B80" s="21" t="str">
        <f ca="1">IFERROR(__xludf.DUMMYFUNCTION("""COMPUTED_VALUE"""),"Gupta tube company")</f>
        <v>Gupta tube company</v>
      </c>
      <c r="C80" s="132">
        <f ca="1">IFERROR(__xludf.DUMMYFUNCTION("""COMPUTED_VALUE"""),91031)</f>
        <v>91031</v>
      </c>
      <c r="D80" s="132">
        <f ca="1">IFERROR(__xludf.DUMMYFUNCTION("""COMPUTED_VALUE"""),1)</f>
        <v>1</v>
      </c>
      <c r="E80" s="132" t="str">
        <f ca="1">IFERROR(__xludf.DUMMYFUNCTION("""COMPUTED_VALUE"""),"Rounak Mehla")</f>
        <v>Rounak Mehla</v>
      </c>
      <c r="F80" s="132" t="str">
        <f ca="1">IFERROR(__xludf.DUMMYFUNCTION("""COMPUTED_VALUE"""),"HARYANA")</f>
        <v>HARYANA</v>
      </c>
      <c r="G80" s="133">
        <f ca="1">IFERROR(__xludf.DUMMYFUNCTION("""COMPUTED_VALUE"""),91031)</f>
        <v>91031</v>
      </c>
      <c r="H80" s="28">
        <f ca="1">IFERROR(__xludf.DUMMYFUNCTION("""COMPUTED_VALUE"""),7585.91666666666)</f>
        <v>7585.9166666666597</v>
      </c>
      <c r="I80" s="41">
        <f ca="1">IFERROR(__xludf.DUMMYFUNCTION("""COMPUTED_VALUE"""),0)</f>
        <v>0</v>
      </c>
      <c r="J80" s="41" t="str">
        <f ca="1">IFERROR(__xludf.DUMMYFUNCTION("""COMPUTED_VALUE"""),"As Discssed With Pawan Sir he informed that team members was updated wrong orders. Team member name Rounak Mehla")</f>
        <v>As Discssed With Pawan Sir he informed that team members was updated wrong orders. Team member name Rounak Mehla</v>
      </c>
      <c r="K80" s="21">
        <f t="shared" ca="1" si="1"/>
        <v>91031</v>
      </c>
      <c r="L80" s="116">
        <f t="shared" ca="1" si="2"/>
        <v>1</v>
      </c>
    </row>
    <row r="81" spans="1:12" ht="13.2">
      <c r="A81" s="21" t="e">
        <f ca="1"/>
        <v>#NAME?</v>
      </c>
      <c r="B81" s="21" t="str">
        <f ca="1">IFERROR(__xludf.DUMMYFUNCTION("""COMPUTED_VALUE"""),"Harsh trading company")</f>
        <v>Harsh trading company</v>
      </c>
      <c r="C81" s="132">
        <f ca="1">IFERROR(__xludf.DUMMYFUNCTION("""COMPUTED_VALUE"""),260220)</f>
        <v>260220</v>
      </c>
      <c r="D81" s="132">
        <f ca="1">IFERROR(__xludf.DUMMYFUNCTION("""COMPUTED_VALUE"""),1)</f>
        <v>1</v>
      </c>
      <c r="E81" s="132" t="str">
        <f ca="1">IFERROR(__xludf.DUMMYFUNCTION("""COMPUTED_VALUE"""),"Jagdev")</f>
        <v>Jagdev</v>
      </c>
      <c r="F81" s="132" t="str">
        <f ca="1">IFERROR(__xludf.DUMMYFUNCTION("""COMPUTED_VALUE"""),"West U.P")</f>
        <v>West U.P</v>
      </c>
      <c r="G81" s="133">
        <f ca="1">IFERROR(__xludf.DUMMYFUNCTION("""COMPUTED_VALUE"""),260220)</f>
        <v>260220</v>
      </c>
      <c r="H81" s="28">
        <f ca="1">IFERROR(__xludf.DUMMYFUNCTION("""COMPUTED_VALUE"""),21685)</f>
        <v>21685</v>
      </c>
      <c r="I81" s="41">
        <f ca="1">IFERROR(__xludf.DUMMYFUNCTION("""COMPUTED_VALUE"""),742855)</f>
        <v>742855</v>
      </c>
      <c r="J81" s="41"/>
      <c r="K81" s="21">
        <f t="shared" ca="1" si="1"/>
        <v>-482635</v>
      </c>
      <c r="L81" s="116">
        <f t="shared" ca="1" si="2"/>
        <v>-1.854719083852125</v>
      </c>
    </row>
    <row r="82" spans="1:12" ht="13.2">
      <c r="A82" s="21" t="e">
        <f ca="1"/>
        <v>#NAME?</v>
      </c>
      <c r="B82" s="21" t="str">
        <f ca="1">IFERROR(__xludf.DUMMYFUNCTION("""COMPUTED_VALUE"""),"Hemang Sales Agency")</f>
        <v>Hemang Sales Agency</v>
      </c>
      <c r="C82" s="132">
        <f ca="1">IFERROR(__xludf.DUMMYFUNCTION("""COMPUTED_VALUE"""),14305)</f>
        <v>14305</v>
      </c>
      <c r="D82" s="132">
        <f ca="1">IFERROR(__xludf.DUMMYFUNCTION("""COMPUTED_VALUE"""),1)</f>
        <v>1</v>
      </c>
      <c r="E82" s="132" t="str">
        <f ca="1">IFERROR(__xludf.DUMMYFUNCTION("""COMPUTED_VALUE"""),"Devdutt Joshi")</f>
        <v>Devdutt Joshi</v>
      </c>
      <c r="F82" s="132" t="str">
        <f ca="1">IFERROR(__xludf.DUMMYFUNCTION("""COMPUTED_VALUE"""),"GUJARAT")</f>
        <v>GUJARAT</v>
      </c>
      <c r="G82" s="133">
        <f ca="1">IFERROR(__xludf.DUMMYFUNCTION("""COMPUTED_VALUE"""),14305)</f>
        <v>14305</v>
      </c>
      <c r="H82" s="28">
        <f ca="1">IFERROR(__xludf.DUMMYFUNCTION("""COMPUTED_VALUE"""),1192.08333333333)</f>
        <v>1192.0833333333301</v>
      </c>
      <c r="I82" s="41">
        <f ca="1">IFERROR(__xludf.DUMMYFUNCTION("""COMPUTED_VALUE"""),1542587)</f>
        <v>1542587</v>
      </c>
      <c r="J82" s="41"/>
      <c r="K82" s="21">
        <f t="shared" ca="1" si="1"/>
        <v>-1528282</v>
      </c>
      <c r="L82" s="116">
        <f t="shared" ca="1" si="2"/>
        <v>-106.83551205872072</v>
      </c>
    </row>
    <row r="83" spans="1:12" ht="13.2">
      <c r="A83" s="21" t="e">
        <f ca="1"/>
        <v>#NAME?</v>
      </c>
      <c r="B83" s="21" t="str">
        <f ca="1">IFERROR(__xludf.DUMMYFUNCTION("""COMPUTED_VALUE"""),"HINDUSTAN ENTERPRISES")</f>
        <v>HINDUSTAN ENTERPRISES</v>
      </c>
      <c r="C83" s="132">
        <f ca="1">IFERROR(__xludf.DUMMYFUNCTION("""COMPUTED_VALUE"""),4884663)</f>
        <v>4884663</v>
      </c>
      <c r="D83" s="132">
        <f ca="1">IFERROR(__xludf.DUMMYFUNCTION("""COMPUTED_VALUE"""),1)</f>
        <v>1</v>
      </c>
      <c r="E83" s="132" t="str">
        <f ca="1">IFERROR(__xludf.DUMMYFUNCTION("""COMPUTED_VALUE"""),"Adarsh Gaurav")</f>
        <v>Adarsh Gaurav</v>
      </c>
      <c r="F83" s="132" t="str">
        <f ca="1">IFERROR(__xludf.DUMMYFUNCTION("""COMPUTED_VALUE"""),"BIHAR")</f>
        <v>BIHAR</v>
      </c>
      <c r="G83" s="133">
        <f ca="1">IFERROR(__xludf.DUMMYFUNCTION("""COMPUTED_VALUE"""),4884663)</f>
        <v>4884663</v>
      </c>
      <c r="H83" s="28">
        <f ca="1">IFERROR(__xludf.DUMMYFUNCTION("""COMPUTED_VALUE"""),407055.25)</f>
        <v>407055.25</v>
      </c>
      <c r="I83" s="41">
        <f ca="1">IFERROR(__xludf.DUMMYFUNCTION("""COMPUTED_VALUE"""),4318039)</f>
        <v>4318039</v>
      </c>
      <c r="J83" s="41"/>
      <c r="K83" s="21">
        <f t="shared" ca="1" si="1"/>
        <v>566624</v>
      </c>
      <c r="L83" s="116">
        <f t="shared" ca="1" si="2"/>
        <v>0.11600063300170349</v>
      </c>
    </row>
    <row r="84" spans="1:12" ht="13.2">
      <c r="A84" s="21" t="e">
        <f ca="1"/>
        <v>#NAME?</v>
      </c>
      <c r="B84" s="21" t="str">
        <f ca="1">IFERROR(__xludf.DUMMYFUNCTION("""COMPUTED_VALUE"""),"INDIRA ENTERPRISE")</f>
        <v>INDIRA ENTERPRISE</v>
      </c>
      <c r="C84" s="132">
        <f ca="1">IFERROR(__xludf.DUMMYFUNCTION("""COMPUTED_VALUE"""),12145243)</f>
        <v>12145243</v>
      </c>
      <c r="D84" s="132">
        <f ca="1">IFERROR(__xludf.DUMMYFUNCTION("""COMPUTED_VALUE"""),2)</f>
        <v>2</v>
      </c>
      <c r="E84" s="132" t="str">
        <f ca="1">IFERROR(__xludf.DUMMYFUNCTION("""COMPUTED_VALUE"""),"ATANU PAUL, Sushanta Barman")</f>
        <v>ATANU PAUL, Sushanta Barman</v>
      </c>
      <c r="F84" s="132" t="str">
        <f ca="1">IFERROR(__xludf.DUMMYFUNCTION("""COMPUTED_VALUE"""),"WEST BENGAL")</f>
        <v>WEST BENGAL</v>
      </c>
      <c r="G84" s="133">
        <f ca="1">IFERROR(__xludf.DUMMYFUNCTION("""COMPUTED_VALUE"""),6072621.5)</f>
        <v>6072621.5</v>
      </c>
      <c r="H84" s="28">
        <f ca="1">IFERROR(__xludf.DUMMYFUNCTION("""COMPUTED_VALUE"""),506051.791666666)</f>
        <v>506051.79166666599</v>
      </c>
      <c r="I84" s="41">
        <f ca="1">IFERROR(__xludf.DUMMYFUNCTION("""COMPUTED_VALUE"""),3677915)</f>
        <v>3677915</v>
      </c>
      <c r="J84" s="41"/>
      <c r="K84" s="21">
        <f t="shared" ca="1" si="1"/>
        <v>8467328</v>
      </c>
      <c r="L84" s="116">
        <f t="shared" ca="1" si="2"/>
        <v>0.69717238263573644</v>
      </c>
    </row>
    <row r="85" spans="1:12" ht="13.2">
      <c r="A85" s="21" t="e">
        <f ca="1"/>
        <v>#NAME?</v>
      </c>
      <c r="B85" s="21" t="str">
        <f ca="1">IFERROR(__xludf.DUMMYFUNCTION("""COMPUTED_VALUE"""),"Jagdamba Enterprises")</f>
        <v>Jagdamba Enterprises</v>
      </c>
      <c r="C85" s="132">
        <f ca="1">IFERROR(__xludf.DUMMYFUNCTION("""COMPUTED_VALUE"""),281486)</f>
        <v>281486</v>
      </c>
      <c r="D85" s="132">
        <f ca="1">IFERROR(__xludf.DUMMYFUNCTION("""COMPUTED_VALUE"""),1)</f>
        <v>1</v>
      </c>
      <c r="E85" s="132" t="str">
        <f ca="1">IFERROR(__xludf.DUMMYFUNCTION("""COMPUTED_VALUE"""),"KARAN SINGH PANWAR")</f>
        <v>KARAN SINGH PANWAR</v>
      </c>
      <c r="F85" s="132" t="str">
        <f ca="1">IFERROR(__xludf.DUMMYFUNCTION("""COMPUTED_VALUE"""),"RAJASTHAN")</f>
        <v>RAJASTHAN</v>
      </c>
      <c r="G85" s="133">
        <f ca="1">IFERROR(__xludf.DUMMYFUNCTION("""COMPUTED_VALUE"""),281486)</f>
        <v>281486</v>
      </c>
      <c r="H85" s="28">
        <f ca="1">IFERROR(__xludf.DUMMYFUNCTION("""COMPUTED_VALUE"""),23457.1666666666)</f>
        <v>23457.166666666599</v>
      </c>
      <c r="I85" s="41">
        <f ca="1">IFERROR(__xludf.DUMMYFUNCTION("""COMPUTED_VALUE"""),1062482)</f>
        <v>1062482</v>
      </c>
      <c r="J85" s="41"/>
      <c r="K85" s="21">
        <f t="shared" ca="1" si="1"/>
        <v>-780996</v>
      </c>
      <c r="L85" s="116">
        <f t="shared" ca="1" si="2"/>
        <v>-2.7745465138585934</v>
      </c>
    </row>
    <row r="86" spans="1:12" ht="13.2">
      <c r="A86" s="21" t="e">
        <f ca="1"/>
        <v>#NAME?</v>
      </c>
      <c r="B86" s="21" t="str">
        <f ca="1">IFERROR(__xludf.DUMMYFUNCTION("""COMPUTED_VALUE"""),"Jagdamba Traders")</f>
        <v>Jagdamba Traders</v>
      </c>
      <c r="C86" s="132">
        <f ca="1">IFERROR(__xludf.DUMMYFUNCTION("""COMPUTED_VALUE"""),6196995)</f>
        <v>6196995</v>
      </c>
      <c r="D86" s="132">
        <f ca="1">IFERROR(__xludf.DUMMYFUNCTION("""COMPUTED_VALUE"""),1)</f>
        <v>1</v>
      </c>
      <c r="E86" s="132" t="str">
        <f ca="1">IFERROR(__xludf.DUMMYFUNCTION("""COMPUTED_VALUE"""),"Prasun Chatterjee")</f>
        <v>Prasun Chatterjee</v>
      </c>
      <c r="F86" s="132" t="str">
        <f ca="1">IFERROR(__xludf.DUMMYFUNCTION("""COMPUTED_VALUE"""),"DELHI")</f>
        <v>DELHI</v>
      </c>
      <c r="G86" s="133">
        <f ca="1">IFERROR(__xludf.DUMMYFUNCTION("""COMPUTED_VALUE"""),6196995)</f>
        <v>6196995</v>
      </c>
      <c r="H86" s="28">
        <f ca="1">IFERROR(__xludf.DUMMYFUNCTION("""COMPUTED_VALUE"""),516416.25)</f>
        <v>516416.25</v>
      </c>
      <c r="I86" s="41">
        <f ca="1">IFERROR(__xludf.DUMMYFUNCTION("""COMPUTED_VALUE"""),3234997)</f>
        <v>3234997</v>
      </c>
      <c r="J86" s="41"/>
      <c r="K86" s="21">
        <f t="shared" ca="1" si="1"/>
        <v>2961998</v>
      </c>
      <c r="L86" s="116">
        <f t="shared" ca="1" si="2"/>
        <v>0.47797327575704029</v>
      </c>
    </row>
    <row r="87" spans="1:12" ht="13.2">
      <c r="A87" s="21" t="e">
        <f ca="1"/>
        <v>#NAME?</v>
      </c>
      <c r="B87" s="21" t="str">
        <f ca="1">IFERROR(__xludf.DUMMYFUNCTION("""COMPUTED_VALUE"""),"Jai Durga Traders")</f>
        <v>Jai Durga Traders</v>
      </c>
      <c r="C87" s="132">
        <f ca="1">IFERROR(__xludf.DUMMYFUNCTION("""COMPUTED_VALUE"""),14192565)</f>
        <v>14192565</v>
      </c>
      <c r="D87" s="132">
        <f ca="1">IFERROR(__xludf.DUMMYFUNCTION("""COMPUTED_VALUE"""),1)</f>
        <v>1</v>
      </c>
      <c r="E87" s="132" t="str">
        <f ca="1">IFERROR(__xludf.DUMMYFUNCTION("""COMPUTED_VALUE"""),"Nitin prasad baghel")</f>
        <v>Nitin prasad baghel</v>
      </c>
      <c r="F87" s="132" t="str">
        <f ca="1">IFERROR(__xludf.DUMMYFUNCTION("""COMPUTED_VALUE"""),"CHATTISGARH")</f>
        <v>CHATTISGARH</v>
      </c>
      <c r="G87" s="133">
        <f ca="1">IFERROR(__xludf.DUMMYFUNCTION("""COMPUTED_VALUE"""),14192565)</f>
        <v>14192565</v>
      </c>
      <c r="H87" s="28">
        <f ca="1">IFERROR(__xludf.DUMMYFUNCTION("""COMPUTED_VALUE"""),1182713.75)</f>
        <v>1182713.75</v>
      </c>
      <c r="I87" s="41">
        <f ca="1">IFERROR(__xludf.DUMMYFUNCTION("""COMPUTED_VALUE"""),19428874)</f>
        <v>19428874</v>
      </c>
      <c r="J87" s="41"/>
      <c r="K87" s="21">
        <f t="shared" ca="1" si="1"/>
        <v>-5236309</v>
      </c>
      <c r="L87" s="116">
        <f t="shared" ca="1" si="2"/>
        <v>-0.36894733263508039</v>
      </c>
    </row>
    <row r="88" spans="1:12" ht="13.2">
      <c r="A88" s="21" t="e">
        <f ca="1"/>
        <v>#NAME?</v>
      </c>
      <c r="B88" s="21" t="str">
        <f ca="1">IFERROR(__xludf.DUMMYFUNCTION("""COMPUTED_VALUE"""),"Jai Hanuman Piping Systems")</f>
        <v>Jai Hanuman Piping Systems</v>
      </c>
      <c r="C88" s="132">
        <f ca="1">IFERROR(__xludf.DUMMYFUNCTION("""COMPUTED_VALUE"""),12070659)</f>
        <v>12070659</v>
      </c>
      <c r="D88" s="132">
        <f ca="1">IFERROR(__xludf.DUMMYFUNCTION("""COMPUTED_VALUE"""),3)</f>
        <v>3</v>
      </c>
      <c r="E88" s="132" t="str">
        <f ca="1">IFERROR(__xludf.DUMMYFUNCTION("""COMPUTED_VALUE"""),"Rajan Srivastava, Sandeep Kanaujiya, Roshan Srivastava")</f>
        <v>Rajan Srivastava, Sandeep Kanaujiya, Roshan Srivastava</v>
      </c>
      <c r="F88" s="132" t="str">
        <f ca="1">IFERROR(__xludf.DUMMYFUNCTION("""COMPUTED_VALUE"""),"East U.P")</f>
        <v>East U.P</v>
      </c>
      <c r="G88" s="133">
        <f ca="1">IFERROR(__xludf.DUMMYFUNCTION("""COMPUTED_VALUE"""),4023553)</f>
        <v>4023553</v>
      </c>
      <c r="H88" s="28">
        <f ca="1">IFERROR(__xludf.DUMMYFUNCTION("""COMPUTED_VALUE"""),335296.083333333)</f>
        <v>335296.08333333302</v>
      </c>
      <c r="I88" s="41">
        <f ca="1">IFERROR(__xludf.DUMMYFUNCTION("""COMPUTED_VALUE"""),9304003)</f>
        <v>9304003</v>
      </c>
      <c r="J88" s="41"/>
      <c r="K88" s="21">
        <f t="shared" ca="1" si="1"/>
        <v>2766656</v>
      </c>
      <c r="L88" s="116">
        <f t="shared" ca="1" si="2"/>
        <v>0.22920505003082267</v>
      </c>
    </row>
    <row r="89" spans="1:12" ht="13.2">
      <c r="A89" s="21" t="e">
        <f ca="1"/>
        <v>#NAME?</v>
      </c>
      <c r="B89" s="21" t="str">
        <f ca="1">IFERROR(__xludf.DUMMYFUNCTION("""COMPUTED_VALUE"""),"Jain Agencies")</f>
        <v>Jain Agencies</v>
      </c>
      <c r="C89" s="132">
        <f ca="1">IFERROR(__xludf.DUMMYFUNCTION("""COMPUTED_VALUE"""),1081453)</f>
        <v>1081453</v>
      </c>
      <c r="D89" s="132">
        <f ca="1">IFERROR(__xludf.DUMMYFUNCTION("""COMPUTED_VALUE"""),2)</f>
        <v>2</v>
      </c>
      <c r="E89" s="132" t="str">
        <f ca="1">IFERROR(__xludf.DUMMYFUNCTION("""COMPUTED_VALUE"""),"Rajan Srivastava, Roshan Srivastava")</f>
        <v>Rajan Srivastava, Roshan Srivastava</v>
      </c>
      <c r="F89" s="132" t="str">
        <f ca="1">IFERROR(__xludf.DUMMYFUNCTION("""COMPUTED_VALUE"""),"East U.P")</f>
        <v>East U.P</v>
      </c>
      <c r="G89" s="133">
        <f ca="1">IFERROR(__xludf.DUMMYFUNCTION("""COMPUTED_VALUE"""),540726.5)</f>
        <v>540726.5</v>
      </c>
      <c r="H89" s="28">
        <f ca="1">IFERROR(__xludf.DUMMYFUNCTION("""COMPUTED_VALUE"""),45060.5416666666)</f>
        <v>45060.541666666599</v>
      </c>
      <c r="I89" s="41">
        <f ca="1">IFERROR(__xludf.DUMMYFUNCTION("""COMPUTED_VALUE"""),1090819)</f>
        <v>1090819</v>
      </c>
      <c r="J89" s="41"/>
      <c r="K89" s="21">
        <f t="shared" ca="1" si="1"/>
        <v>-9366</v>
      </c>
      <c r="L89" s="116">
        <f t="shared" ca="1" si="2"/>
        <v>-8.6605705472174929E-3</v>
      </c>
    </row>
    <row r="90" spans="1:12" ht="13.2">
      <c r="A90" s="21" t="e">
        <f ca="1"/>
        <v>#NAME?</v>
      </c>
      <c r="B90" s="21" t="str">
        <f ca="1">IFERROR(__xludf.DUMMYFUNCTION("""COMPUTED_VALUE"""),"Jaiswal Enterprise")</f>
        <v>Jaiswal Enterprise</v>
      </c>
      <c r="C90" s="132">
        <f ca="1">IFERROR(__xludf.DUMMYFUNCTION("""COMPUTED_VALUE"""),77738)</f>
        <v>77738</v>
      </c>
      <c r="D90" s="132">
        <f ca="1">IFERROR(__xludf.DUMMYFUNCTION("""COMPUTED_VALUE"""),1)</f>
        <v>1</v>
      </c>
      <c r="E90" s="132" t="str">
        <f ca="1">IFERROR(__xludf.DUMMYFUNCTION("""COMPUTED_VALUE"""),"Santanu Kalita")</f>
        <v>Santanu Kalita</v>
      </c>
      <c r="F90" s="132" t="str">
        <f ca="1">IFERROR(__xludf.DUMMYFUNCTION("""COMPUTED_VALUE"""),"ASSAM")</f>
        <v>ASSAM</v>
      </c>
      <c r="G90" s="133">
        <f ca="1">IFERROR(__xludf.DUMMYFUNCTION("""COMPUTED_VALUE"""),77738)</f>
        <v>77738</v>
      </c>
      <c r="H90" s="28">
        <f ca="1">IFERROR(__xludf.DUMMYFUNCTION("""COMPUTED_VALUE"""),6478.16666666666)</f>
        <v>6478.1666666666597</v>
      </c>
      <c r="I90" s="41">
        <f ca="1">IFERROR(__xludf.DUMMYFUNCTION("""COMPUTED_VALUE"""),0)</f>
        <v>0</v>
      </c>
      <c r="J90" s="41"/>
      <c r="K90" s="21">
        <f t="shared" ca="1" si="1"/>
        <v>77738</v>
      </c>
      <c r="L90" s="116">
        <f t="shared" ca="1" si="2"/>
        <v>1</v>
      </c>
    </row>
    <row r="91" spans="1:12" ht="13.2">
      <c r="A91" s="21" t="e">
        <f ca="1"/>
        <v>#NAME?</v>
      </c>
      <c r="B91" s="21" t="str">
        <f ca="1">IFERROR(__xludf.DUMMYFUNCTION("""COMPUTED_VALUE"""),"Jaiswal paint and sanitary store")</f>
        <v>Jaiswal paint and sanitary store</v>
      </c>
      <c r="C91" s="132">
        <f ca="1">IFERROR(__xludf.DUMMYFUNCTION("""COMPUTED_VALUE"""),12834544)</f>
        <v>12834544</v>
      </c>
      <c r="D91" s="132">
        <f ca="1">IFERROR(__xludf.DUMMYFUNCTION("""COMPUTED_VALUE"""),1)</f>
        <v>1</v>
      </c>
      <c r="E91" s="132" t="str">
        <f ca="1">IFERROR(__xludf.DUMMYFUNCTION("""COMPUTED_VALUE"""),"Vishal Kumar Gaurav")</f>
        <v>Vishal Kumar Gaurav</v>
      </c>
      <c r="F91" s="132" t="str">
        <f ca="1">IFERROR(__xludf.DUMMYFUNCTION("""COMPUTED_VALUE"""),"East U.P")</f>
        <v>East U.P</v>
      </c>
      <c r="G91" s="133">
        <f ca="1">IFERROR(__xludf.DUMMYFUNCTION("""COMPUTED_VALUE"""),12834544)</f>
        <v>12834544</v>
      </c>
      <c r="H91" s="28">
        <f ca="1">IFERROR(__xludf.DUMMYFUNCTION("""COMPUTED_VALUE"""),1069545.33333333)</f>
        <v>1069545.33333333</v>
      </c>
      <c r="I91" s="41">
        <f ca="1">IFERROR(__xludf.DUMMYFUNCTION("""COMPUTED_VALUE"""),16165894)</f>
        <v>16165894</v>
      </c>
      <c r="J91" s="41"/>
      <c r="K91" s="21">
        <f t="shared" ca="1" si="1"/>
        <v>-3331350</v>
      </c>
      <c r="L91" s="116">
        <f t="shared" ca="1" si="2"/>
        <v>-0.25956122788624203</v>
      </c>
    </row>
    <row r="92" spans="1:12" ht="13.2">
      <c r="A92" s="21" t="e">
        <f ca="1"/>
        <v>#NAME?</v>
      </c>
      <c r="B92" s="21" t="str">
        <f ca="1">IFERROR(__xludf.DUMMYFUNCTION("""COMPUTED_VALUE"""),"Jindal Enterprises")</f>
        <v>Jindal Enterprises</v>
      </c>
      <c r="C92" s="132">
        <f ca="1">IFERROR(__xludf.DUMMYFUNCTION("""COMPUTED_VALUE"""),3739110)</f>
        <v>3739110</v>
      </c>
      <c r="D92" s="132">
        <f ca="1">IFERROR(__xludf.DUMMYFUNCTION("""COMPUTED_VALUE"""),2)</f>
        <v>2</v>
      </c>
      <c r="E92" s="132" t="str">
        <f ca="1">IFERROR(__xludf.DUMMYFUNCTION("""COMPUTED_VALUE"""),"ANAND BHAGWAN MORE, Tejas Lunawat")</f>
        <v>ANAND BHAGWAN MORE, Tejas Lunawat</v>
      </c>
      <c r="F92" s="132" t="str">
        <f ca="1">IFERROR(__xludf.DUMMYFUNCTION("""COMPUTED_VALUE"""),"MAHARASHTRA")</f>
        <v>MAHARASHTRA</v>
      </c>
      <c r="G92" s="133">
        <f ca="1">IFERROR(__xludf.DUMMYFUNCTION("""COMPUTED_VALUE"""),1869555)</f>
        <v>1869555</v>
      </c>
      <c r="H92" s="28">
        <f ca="1">IFERROR(__xludf.DUMMYFUNCTION("""COMPUTED_VALUE"""),155796.25)</f>
        <v>155796.25</v>
      </c>
      <c r="I92" s="41">
        <f ca="1">IFERROR(__xludf.DUMMYFUNCTION("""COMPUTED_VALUE"""),5268262)</f>
        <v>5268262</v>
      </c>
      <c r="J92" s="41"/>
      <c r="K92" s="21">
        <f t="shared" ca="1" si="1"/>
        <v>-1529152</v>
      </c>
      <c r="L92" s="116">
        <f t="shared" ca="1" si="2"/>
        <v>-0.40896149083605454</v>
      </c>
    </row>
    <row r="93" spans="1:12" ht="13.2">
      <c r="A93" s="21" t="e">
        <f ca="1"/>
        <v>#NAME?</v>
      </c>
      <c r="B93" s="21" t="str">
        <f ca="1">IFERROR(__xludf.DUMMYFUNCTION("""COMPUTED_VALUE"""),"JK sanitaries")</f>
        <v>JK sanitaries</v>
      </c>
      <c r="C93" s="132">
        <f ca="1">IFERROR(__xludf.DUMMYFUNCTION("""COMPUTED_VALUE"""),1382205)</f>
        <v>1382205</v>
      </c>
      <c r="D93" s="132">
        <f ca="1">IFERROR(__xludf.DUMMYFUNCTION("""COMPUTED_VALUE"""),1)</f>
        <v>1</v>
      </c>
      <c r="E93" s="132" t="str">
        <f ca="1">IFERROR(__xludf.DUMMYFUNCTION("""COMPUTED_VALUE"""),"Tafazul Nazir")</f>
        <v>Tafazul Nazir</v>
      </c>
      <c r="F93" s="132" t="str">
        <f ca="1">IFERROR(__xludf.DUMMYFUNCTION("""COMPUTED_VALUE"""),"JAMMU AND KASHMIR")</f>
        <v>JAMMU AND KASHMIR</v>
      </c>
      <c r="G93" s="133">
        <f ca="1">IFERROR(__xludf.DUMMYFUNCTION("""COMPUTED_VALUE"""),1382205)</f>
        <v>1382205</v>
      </c>
      <c r="H93" s="28">
        <f ca="1">IFERROR(__xludf.DUMMYFUNCTION("""COMPUTED_VALUE"""),115183.75)</f>
        <v>115183.75</v>
      </c>
      <c r="I93" s="41">
        <f ca="1">IFERROR(__xludf.DUMMYFUNCTION("""COMPUTED_VALUE"""),901105)</f>
        <v>901105</v>
      </c>
      <c r="J93" s="41"/>
      <c r="K93" s="21">
        <f t="shared" ca="1" si="1"/>
        <v>481100</v>
      </c>
      <c r="L93" s="116">
        <f t="shared" ca="1" si="2"/>
        <v>0.34806703781277015</v>
      </c>
    </row>
    <row r="94" spans="1:12" ht="13.2">
      <c r="A94" s="21" t="e">
        <f ca="1"/>
        <v>#NAME?</v>
      </c>
      <c r="B94" s="21" t="str">
        <f ca="1">IFERROR(__xludf.DUMMYFUNCTION("""COMPUTED_VALUE"""),"JVM ENTERPRISES")</f>
        <v>JVM ENTERPRISES</v>
      </c>
      <c r="C94" s="132">
        <f ca="1">IFERROR(__xludf.DUMMYFUNCTION("""COMPUTED_VALUE"""),23418841)</f>
        <v>23418841</v>
      </c>
      <c r="D94" s="132">
        <f ca="1">IFERROR(__xludf.DUMMYFUNCTION("""COMPUTED_VALUE"""),4)</f>
        <v>4</v>
      </c>
      <c r="E94" s="132" t="str">
        <f ca="1">IFERROR(__xludf.DUMMYFUNCTION("""COMPUTED_VALUE"""),"Ajay Morthad, Dasari Adiseshu, Jithender Reddy Katukuri, Suresh Kumar Nair")</f>
        <v>Ajay Morthad, Dasari Adiseshu, Jithender Reddy Katukuri, Suresh Kumar Nair</v>
      </c>
      <c r="F94" s="132" t="str">
        <f ca="1">IFERROR(__xludf.DUMMYFUNCTION("""COMPUTED_VALUE"""),"TELANGANA")</f>
        <v>TELANGANA</v>
      </c>
      <c r="G94" s="133">
        <f ca="1">IFERROR(__xludf.DUMMYFUNCTION("""COMPUTED_VALUE"""),5854710.25)</f>
        <v>5854710.25</v>
      </c>
      <c r="H94" s="28">
        <f ca="1">IFERROR(__xludf.DUMMYFUNCTION("""COMPUTED_VALUE"""),487892.520833333)</f>
        <v>487892.52083333302</v>
      </c>
      <c r="I94" s="41">
        <f ca="1">IFERROR(__xludf.DUMMYFUNCTION("""COMPUTED_VALUE"""),20607921)</f>
        <v>20607921</v>
      </c>
      <c r="J94" s="41"/>
      <c r="K94" s="21">
        <f t="shared" ca="1" si="1"/>
        <v>2810920</v>
      </c>
      <c r="L94" s="116">
        <f t="shared" ca="1" si="2"/>
        <v>0.12002814315191772</v>
      </c>
    </row>
    <row r="95" spans="1:12" ht="13.2">
      <c r="A95" s="21" t="e">
        <f ca="1"/>
        <v>#NAME?</v>
      </c>
      <c r="B95" s="21" t="str">
        <f ca="1">IFERROR(__xludf.DUMMYFUNCTION("""COMPUTED_VALUE"""),"K T SUPPLIERS")</f>
        <v>K T SUPPLIERS</v>
      </c>
      <c r="C95" s="132">
        <f ca="1">IFERROR(__xludf.DUMMYFUNCTION("""COMPUTED_VALUE"""),117986)</f>
        <v>117986</v>
      </c>
      <c r="D95" s="132">
        <f ca="1">IFERROR(__xludf.DUMMYFUNCTION("""COMPUTED_VALUE"""),1)</f>
        <v>1</v>
      </c>
      <c r="E95" s="132" t="str">
        <f ca="1">IFERROR(__xludf.DUMMYFUNCTION("""COMPUTED_VALUE"""),"Malay Paul")</f>
        <v>Malay Paul</v>
      </c>
      <c r="F95" s="132" t="str">
        <f ca="1">IFERROR(__xludf.DUMMYFUNCTION("""COMPUTED_VALUE"""),"WEST BENGAL")</f>
        <v>WEST BENGAL</v>
      </c>
      <c r="G95" s="133">
        <f ca="1">IFERROR(__xludf.DUMMYFUNCTION("""COMPUTED_VALUE"""),117986)</f>
        <v>117986</v>
      </c>
      <c r="H95" s="28">
        <f ca="1">IFERROR(__xludf.DUMMYFUNCTION("""COMPUTED_VALUE"""),9832.16666666666)</f>
        <v>9832.1666666666606</v>
      </c>
      <c r="I95" s="41">
        <f ca="1">IFERROR(__xludf.DUMMYFUNCTION("""COMPUTED_VALUE"""),687755)</f>
        <v>687755</v>
      </c>
      <c r="J95" s="41"/>
      <c r="K95" s="21">
        <f t="shared" ca="1" si="1"/>
        <v>-569769</v>
      </c>
      <c r="L95" s="116">
        <f t="shared" ca="1" si="2"/>
        <v>-4.8291237943484822</v>
      </c>
    </row>
    <row r="96" spans="1:12" ht="13.2">
      <c r="A96" s="21" t="e">
        <f ca="1"/>
        <v>#NAME?</v>
      </c>
      <c r="B96" s="21" t="str">
        <f ca="1">IFERROR(__xludf.DUMMYFUNCTION("""COMPUTED_VALUE"""),"Kashmir sanitary &amp; cement")</f>
        <v>Kashmir sanitary &amp; cement</v>
      </c>
      <c r="C96" s="132">
        <f ca="1">IFERROR(__xludf.DUMMYFUNCTION("""COMPUTED_VALUE"""),1857778)</f>
        <v>1857778</v>
      </c>
      <c r="D96" s="132">
        <f ca="1">IFERROR(__xludf.DUMMYFUNCTION("""COMPUTED_VALUE"""),2)</f>
        <v>2</v>
      </c>
      <c r="E96" s="132" t="str">
        <f ca="1">IFERROR(__xludf.DUMMYFUNCTION("""COMPUTED_VALUE"""),"Irfan Ahmad Wani, Basit Ahmad Pala")</f>
        <v>Irfan Ahmad Wani, Basit Ahmad Pala</v>
      </c>
      <c r="F96" s="132" t="str">
        <f ca="1">IFERROR(__xludf.DUMMYFUNCTION("""COMPUTED_VALUE"""),"JAMMU AND KASHMIR")</f>
        <v>JAMMU AND KASHMIR</v>
      </c>
      <c r="G96" s="133">
        <f ca="1">IFERROR(__xludf.DUMMYFUNCTION("""COMPUTED_VALUE"""),928889)</f>
        <v>928889</v>
      </c>
      <c r="H96" s="28">
        <f ca="1">IFERROR(__xludf.DUMMYFUNCTION("""COMPUTED_VALUE"""),77407.4166666666)</f>
        <v>77407.416666666599</v>
      </c>
      <c r="I96" s="41">
        <f ca="1">IFERROR(__xludf.DUMMYFUNCTION("""COMPUTED_VALUE"""),1347096)</f>
        <v>1347096</v>
      </c>
      <c r="J96" s="41"/>
      <c r="K96" s="21">
        <f t="shared" ca="1" si="1"/>
        <v>510682</v>
      </c>
      <c r="L96" s="116">
        <f t="shared" ca="1" si="2"/>
        <v>0.27488860348222444</v>
      </c>
    </row>
    <row r="97" spans="1:12" ht="13.2">
      <c r="A97" s="21" t="e">
        <f ca="1"/>
        <v>#NAME?</v>
      </c>
      <c r="B97" s="21" t="str">
        <f ca="1">IFERROR(__xludf.DUMMYFUNCTION("""COMPUTED_VALUE"""),"Kaysons trading co")</f>
        <v>Kaysons trading co</v>
      </c>
      <c r="C97" s="132">
        <f ca="1">IFERROR(__xludf.DUMMYFUNCTION("""COMPUTED_VALUE"""),522491)</f>
        <v>522491</v>
      </c>
      <c r="D97" s="132">
        <f ca="1">IFERROR(__xludf.DUMMYFUNCTION("""COMPUTED_VALUE"""),1)</f>
        <v>1</v>
      </c>
      <c r="E97" s="132" t="str">
        <f ca="1">IFERROR(__xludf.DUMMYFUNCTION("""COMPUTED_VALUE"""),"Tafazul Nazir")</f>
        <v>Tafazul Nazir</v>
      </c>
      <c r="F97" s="132" t="str">
        <f ca="1">IFERROR(__xludf.DUMMYFUNCTION("""COMPUTED_VALUE"""),"JAMMU AND KASHMIR")</f>
        <v>JAMMU AND KASHMIR</v>
      </c>
      <c r="G97" s="133">
        <f ca="1">IFERROR(__xludf.DUMMYFUNCTION("""COMPUTED_VALUE"""),522491)</f>
        <v>522491</v>
      </c>
      <c r="H97" s="28">
        <f ca="1">IFERROR(__xludf.DUMMYFUNCTION("""COMPUTED_VALUE"""),43540.9166666666)</f>
        <v>43540.916666666599</v>
      </c>
      <c r="I97" s="41">
        <f ca="1">IFERROR(__xludf.DUMMYFUNCTION("""COMPUTED_VALUE"""),409756)</f>
        <v>409756</v>
      </c>
      <c r="J97" s="41"/>
      <c r="K97" s="21">
        <f t="shared" ca="1" si="1"/>
        <v>112735</v>
      </c>
      <c r="L97" s="116">
        <f t="shared" ca="1" si="2"/>
        <v>0.21576448206763371</v>
      </c>
    </row>
    <row r="98" spans="1:12" ht="13.2">
      <c r="A98" s="21" t="e">
        <f ca="1"/>
        <v>#NAME?</v>
      </c>
      <c r="B98" s="21" t="str">
        <f ca="1">IFERROR(__xludf.DUMMYFUNCTION("""COMPUTED_VALUE"""),"Kirodiwal Udhyog")</f>
        <v>Kirodiwal Udhyog</v>
      </c>
      <c r="C98" s="132">
        <f ca="1">IFERROR(__xludf.DUMMYFUNCTION("""COMPUTED_VALUE"""),2838606)</f>
        <v>2838606</v>
      </c>
      <c r="D98" s="132">
        <f ca="1">IFERROR(__xludf.DUMMYFUNCTION("""COMPUTED_VALUE"""),1)</f>
        <v>1</v>
      </c>
      <c r="E98" s="132" t="str">
        <f ca="1">IFERROR(__xludf.DUMMYFUNCTION("""COMPUTED_VALUE"""),"SHOYKARAN NAI")</f>
        <v>SHOYKARAN NAI</v>
      </c>
      <c r="F98" s="132" t="str">
        <f ca="1">IFERROR(__xludf.DUMMYFUNCTION("""COMPUTED_VALUE"""),"RAJASTHAN")</f>
        <v>RAJASTHAN</v>
      </c>
      <c r="G98" s="133">
        <f ca="1">IFERROR(__xludf.DUMMYFUNCTION("""COMPUTED_VALUE"""),2838606)</f>
        <v>2838606</v>
      </c>
      <c r="H98" s="28">
        <f ca="1">IFERROR(__xludf.DUMMYFUNCTION("""COMPUTED_VALUE"""),236550.5)</f>
        <v>236550.5</v>
      </c>
      <c r="I98" s="41">
        <f ca="1">IFERROR(__xludf.DUMMYFUNCTION("""COMPUTED_VALUE"""),4914537)</f>
        <v>4914537</v>
      </c>
      <c r="J98" s="41"/>
      <c r="K98" s="21">
        <f t="shared" ca="1" si="1"/>
        <v>-2075931</v>
      </c>
      <c r="L98" s="116">
        <f t="shared" ca="1" si="2"/>
        <v>-0.73132058482226836</v>
      </c>
    </row>
    <row r="99" spans="1:12" ht="13.2">
      <c r="A99" s="21" t="e">
        <f ca="1"/>
        <v>#NAME?</v>
      </c>
      <c r="B99" s="21" t="str">
        <f ca="1">IFERROR(__xludf.DUMMYFUNCTION("""COMPUTED_VALUE"""),"Kites Ceramic Zone")</f>
        <v>Kites Ceramic Zone</v>
      </c>
      <c r="C99" s="132">
        <f ca="1">IFERROR(__xludf.DUMMYFUNCTION("""COMPUTED_VALUE"""),2887832)</f>
        <v>2887832</v>
      </c>
      <c r="D99" s="132">
        <f ca="1">IFERROR(__xludf.DUMMYFUNCTION("""COMPUTED_VALUE"""),1)</f>
        <v>1</v>
      </c>
      <c r="E99" s="132" t="str">
        <f ca="1">IFERROR(__xludf.DUMMYFUNCTION("""COMPUTED_VALUE"""),"Kanhaiya Lal Salvi")</f>
        <v>Kanhaiya Lal Salvi</v>
      </c>
      <c r="F99" s="132" t="str">
        <f ca="1">IFERROR(__xludf.DUMMYFUNCTION("""COMPUTED_VALUE"""),"RAJASTHAN")</f>
        <v>RAJASTHAN</v>
      </c>
      <c r="G99" s="133">
        <f ca="1">IFERROR(__xludf.DUMMYFUNCTION("""COMPUTED_VALUE"""),2887832)</f>
        <v>2887832</v>
      </c>
      <c r="H99" s="28">
        <f ca="1">IFERROR(__xludf.DUMMYFUNCTION("""COMPUTED_VALUE"""),240652.666666666)</f>
        <v>240652.66666666599</v>
      </c>
      <c r="I99" s="41">
        <f ca="1">IFERROR(__xludf.DUMMYFUNCTION("""COMPUTED_VALUE"""),3236849)</f>
        <v>3236849</v>
      </c>
      <c r="J99" s="41"/>
      <c r="K99" s="21">
        <f t="shared" ca="1" si="1"/>
        <v>-349017</v>
      </c>
      <c r="L99" s="116">
        <f t="shared" ca="1" si="2"/>
        <v>-0.12085779228154546</v>
      </c>
    </row>
    <row r="100" spans="1:12" ht="13.2">
      <c r="A100" s="21" t="e">
        <f ca="1"/>
        <v>#NAME?</v>
      </c>
      <c r="B100" s="21" t="str">
        <f ca="1">IFERROR(__xludf.DUMMYFUNCTION("""COMPUTED_VALUE"""),"Kriestall Solvochem Pvt Ltd")</f>
        <v>Kriestall Solvochem Pvt Ltd</v>
      </c>
      <c r="C100" s="132">
        <f ca="1">IFERROR(__xludf.DUMMYFUNCTION("""COMPUTED_VALUE"""),586248)</f>
        <v>586248</v>
      </c>
      <c r="D100" s="132">
        <f ca="1">IFERROR(__xludf.DUMMYFUNCTION("""COMPUTED_VALUE"""),1)</f>
        <v>1</v>
      </c>
      <c r="E100" s="132" t="str">
        <f ca="1">IFERROR(__xludf.DUMMYFUNCTION("""COMPUTED_VALUE"""),"Sandeep Amrut Sonawane")</f>
        <v>Sandeep Amrut Sonawane</v>
      </c>
      <c r="F100" s="132" t="str">
        <f ca="1">IFERROR(__xludf.DUMMYFUNCTION("""COMPUTED_VALUE"""),"MAHARASHTRA")</f>
        <v>MAHARASHTRA</v>
      </c>
      <c r="G100" s="133">
        <f ca="1">IFERROR(__xludf.DUMMYFUNCTION("""COMPUTED_VALUE"""),586248)</f>
        <v>586248</v>
      </c>
      <c r="H100" s="28">
        <f ca="1">IFERROR(__xludf.DUMMYFUNCTION("""COMPUTED_VALUE"""),48854)</f>
        <v>48854</v>
      </c>
      <c r="I100" s="41">
        <f ca="1">IFERROR(__xludf.DUMMYFUNCTION("""COMPUTED_VALUE"""),26916)</f>
        <v>26916</v>
      </c>
      <c r="J100" s="41"/>
      <c r="K100" s="21">
        <f t="shared" ca="1" si="1"/>
        <v>559332</v>
      </c>
      <c r="L100" s="116">
        <f t="shared" ca="1" si="2"/>
        <v>0.95408768985139392</v>
      </c>
    </row>
    <row r="101" spans="1:12" ht="13.2">
      <c r="A101" s="21" t="e">
        <f ca="1"/>
        <v>#NAME?</v>
      </c>
      <c r="B101" s="21" t="str">
        <f ca="1">IFERROR(__xludf.DUMMYFUNCTION("""COMPUTED_VALUE"""),"Krishna Ply And Hardware")</f>
        <v>Krishna Ply And Hardware</v>
      </c>
      <c r="C101" s="132">
        <f ca="1">IFERROR(__xludf.DUMMYFUNCTION("""COMPUTED_VALUE"""),52315)</f>
        <v>52315</v>
      </c>
      <c r="D101" s="132">
        <f ca="1">IFERROR(__xludf.DUMMYFUNCTION("""COMPUTED_VALUE"""),1)</f>
        <v>1</v>
      </c>
      <c r="E101" s="132" t="str">
        <f ca="1">IFERROR(__xludf.DUMMYFUNCTION("""COMPUTED_VALUE"""),"Devdutt Joshi")</f>
        <v>Devdutt Joshi</v>
      </c>
      <c r="F101" s="132" t="str">
        <f ca="1">IFERROR(__xludf.DUMMYFUNCTION("""COMPUTED_VALUE"""),"GUJARAT")</f>
        <v>GUJARAT</v>
      </c>
      <c r="G101" s="133">
        <f ca="1">IFERROR(__xludf.DUMMYFUNCTION("""COMPUTED_VALUE"""),52315)</f>
        <v>52315</v>
      </c>
      <c r="H101" s="28">
        <f ca="1">IFERROR(__xludf.DUMMYFUNCTION("""COMPUTED_VALUE"""),4359.58333333333)</f>
        <v>4359.5833333333303</v>
      </c>
      <c r="I101" s="41">
        <f ca="1">IFERROR(__xludf.DUMMYFUNCTION("""COMPUTED_VALUE"""),188518)</f>
        <v>188518</v>
      </c>
      <c r="J101" s="41"/>
      <c r="K101" s="21">
        <f t="shared" ca="1" si="1"/>
        <v>-136203</v>
      </c>
      <c r="L101" s="116">
        <f t="shared" ca="1" si="2"/>
        <v>-2.6035171556914842</v>
      </c>
    </row>
    <row r="102" spans="1:12" ht="13.2">
      <c r="A102" s="21" t="e">
        <f ca="1"/>
        <v>#NAME?</v>
      </c>
      <c r="B102" s="21" t="str">
        <f ca="1">IFERROR(__xludf.DUMMYFUNCTION("""COMPUTED_VALUE"""),"Kriti marketing")</f>
        <v>Kriti marketing</v>
      </c>
      <c r="C102" s="132">
        <f ca="1">IFERROR(__xludf.DUMMYFUNCTION("""COMPUTED_VALUE"""),256772)</f>
        <v>256772</v>
      </c>
      <c r="D102" s="132">
        <f ca="1">IFERROR(__xludf.DUMMYFUNCTION("""COMPUTED_VALUE"""),2)</f>
        <v>2</v>
      </c>
      <c r="E102" s="132" t="str">
        <f ca="1">IFERROR(__xludf.DUMMYFUNCTION("""COMPUTED_VALUE"""),"Shiv Kumar Patel, Pradeep Kumar Dwivedi")</f>
        <v>Shiv Kumar Patel, Pradeep Kumar Dwivedi</v>
      </c>
      <c r="F102" s="132" t="str">
        <f ca="1">IFERROR(__xludf.DUMMYFUNCTION("""COMPUTED_VALUE"""),"MADHYA PRADESH")</f>
        <v>MADHYA PRADESH</v>
      </c>
      <c r="G102" s="133">
        <f ca="1">IFERROR(__xludf.DUMMYFUNCTION("""COMPUTED_VALUE"""),128386)</f>
        <v>128386</v>
      </c>
      <c r="H102" s="28">
        <f ca="1">IFERROR(__xludf.DUMMYFUNCTION("""COMPUTED_VALUE"""),10698.8333333333)</f>
        <v>10698.833333333299</v>
      </c>
      <c r="I102" s="41">
        <f ca="1">IFERROR(__xludf.DUMMYFUNCTION("""COMPUTED_VALUE"""),1005230)</f>
        <v>1005230</v>
      </c>
      <c r="J102" s="41"/>
      <c r="K102" s="21">
        <f t="shared" ca="1" si="1"/>
        <v>-748458</v>
      </c>
      <c r="L102" s="116">
        <f t="shared" ca="1" si="2"/>
        <v>-2.9148738959076534</v>
      </c>
    </row>
    <row r="103" spans="1:12" ht="13.2">
      <c r="A103" s="21" t="e">
        <f ca="1"/>
        <v>#NAME?</v>
      </c>
      <c r="B103" s="21" t="str">
        <f ca="1">IFERROR(__xludf.DUMMYFUNCTION("""COMPUTED_VALUE"""),"Kureshi Sanitaryware")</f>
        <v>Kureshi Sanitaryware</v>
      </c>
      <c r="C103" s="132">
        <f ca="1">IFERROR(__xludf.DUMMYFUNCTION("""COMPUTED_VALUE"""),14359)</f>
        <v>14359</v>
      </c>
      <c r="D103" s="132">
        <f ca="1">IFERROR(__xludf.DUMMYFUNCTION("""COMPUTED_VALUE"""),1)</f>
        <v>1</v>
      </c>
      <c r="E103" s="132" t="str">
        <f ca="1">IFERROR(__xludf.DUMMYFUNCTION("""COMPUTED_VALUE"""),"Pawan Kumar.")</f>
        <v>Pawan Kumar.</v>
      </c>
      <c r="F103" s="132" t="str">
        <f ca="1">IFERROR(__xludf.DUMMYFUNCTION("""COMPUTED_VALUE"""),"RAJASTHAN")</f>
        <v>RAJASTHAN</v>
      </c>
      <c r="G103" s="133">
        <f ca="1">IFERROR(__xludf.DUMMYFUNCTION("""COMPUTED_VALUE"""),14359)</f>
        <v>14359</v>
      </c>
      <c r="H103" s="28">
        <f ca="1">IFERROR(__xludf.DUMMYFUNCTION("""COMPUTED_VALUE"""),1196.58333333333)</f>
        <v>1196.5833333333301</v>
      </c>
      <c r="I103" s="41">
        <f ca="1">IFERROR(__xludf.DUMMYFUNCTION("""COMPUTED_VALUE"""),0)</f>
        <v>0</v>
      </c>
      <c r="J103" s="41"/>
      <c r="K103" s="21">
        <f t="shared" ca="1" si="1"/>
        <v>14359</v>
      </c>
      <c r="L103" s="116">
        <f t="shared" ca="1" si="2"/>
        <v>1</v>
      </c>
    </row>
    <row r="104" spans="1:12" ht="13.2">
      <c r="A104" s="21" t="e">
        <f ca="1"/>
        <v>#NAME?</v>
      </c>
      <c r="B104" s="21" t="str">
        <f ca="1">IFERROR(__xludf.DUMMYFUNCTION("""COMPUTED_VALUE"""),"Lakshmi engineering works")</f>
        <v>Lakshmi engineering works</v>
      </c>
      <c r="C104" s="132">
        <f ca="1">IFERROR(__xludf.DUMMYFUNCTION("""COMPUTED_VALUE"""),7212473)</f>
        <v>7212473</v>
      </c>
      <c r="D104" s="132">
        <f ca="1">IFERROR(__xludf.DUMMYFUNCTION("""COMPUTED_VALUE"""),1)</f>
        <v>1</v>
      </c>
      <c r="E104" s="132" t="str">
        <f ca="1">IFERROR(__xludf.DUMMYFUNCTION("""COMPUTED_VALUE"""),"Rajat Chowdhury")</f>
        <v>Rajat Chowdhury</v>
      </c>
      <c r="F104" s="132" t="str">
        <f ca="1">IFERROR(__xludf.DUMMYFUNCTION("""COMPUTED_VALUE"""),"WEST BENGAL")</f>
        <v>WEST BENGAL</v>
      </c>
      <c r="G104" s="133">
        <f ca="1">IFERROR(__xludf.DUMMYFUNCTION("""COMPUTED_VALUE"""),7212473)</f>
        <v>7212473</v>
      </c>
      <c r="H104" s="28">
        <f ca="1">IFERROR(__xludf.DUMMYFUNCTION("""COMPUTED_VALUE"""),601039.416666666)</f>
        <v>601039.41666666605</v>
      </c>
      <c r="I104" s="41">
        <f ca="1">IFERROR(__xludf.DUMMYFUNCTION("""COMPUTED_VALUE"""),13231693)</f>
        <v>13231693</v>
      </c>
      <c r="J104" s="41"/>
      <c r="K104" s="21">
        <f t="shared" ca="1" si="1"/>
        <v>-6019220</v>
      </c>
      <c r="L104" s="116">
        <f t="shared" ca="1" si="2"/>
        <v>-0.8345570236450105</v>
      </c>
    </row>
    <row r="105" spans="1:12" ht="13.2">
      <c r="A105" s="21" t="e">
        <f ca="1"/>
        <v>#NAME?</v>
      </c>
      <c r="B105" s="21" t="str">
        <f ca="1">IFERROR(__xludf.DUMMYFUNCTION("""COMPUTED_VALUE"""),"Lalta Prasad Ram Dayal")</f>
        <v>Lalta Prasad Ram Dayal</v>
      </c>
      <c r="C105" s="132">
        <f ca="1">IFERROR(__xludf.DUMMYFUNCTION("""COMPUTED_VALUE"""),51350587)</f>
        <v>51350587</v>
      </c>
      <c r="D105" s="132">
        <f ca="1">IFERROR(__xludf.DUMMYFUNCTION("""COMPUTED_VALUE"""),5)</f>
        <v>5</v>
      </c>
      <c r="E105" s="132" t="str">
        <f ca="1">IFERROR(__xludf.DUMMYFUNCTION("""COMPUTED_VALUE"""),"Arun Sharma, Deependra Singh, Om dutt Dwivedi, Ravi Kumar Verma, Jitendra Kumar Yadav")</f>
        <v>Arun Sharma, Deependra Singh, Om dutt Dwivedi, Ravi Kumar Verma, Jitendra Kumar Yadav</v>
      </c>
      <c r="F105" s="132" t="str">
        <f ca="1">IFERROR(__xludf.DUMMYFUNCTION("""COMPUTED_VALUE"""),"East U.P")</f>
        <v>East U.P</v>
      </c>
      <c r="G105" s="133">
        <f ca="1">IFERROR(__xludf.DUMMYFUNCTION("""COMPUTED_VALUE"""),10270117.4)</f>
        <v>10270117.4</v>
      </c>
      <c r="H105" s="28">
        <f ca="1">IFERROR(__xludf.DUMMYFUNCTION("""COMPUTED_VALUE"""),855843.116666666)</f>
        <v>855843.116666666</v>
      </c>
      <c r="I105" s="41">
        <f ca="1">IFERROR(__xludf.DUMMYFUNCTION("""COMPUTED_VALUE"""),54422822)</f>
        <v>54422822</v>
      </c>
      <c r="J105" s="41"/>
      <c r="K105" s="21">
        <f t="shared" ca="1" si="1"/>
        <v>-3072235</v>
      </c>
      <c r="L105" s="116">
        <f t="shared" ca="1" si="2"/>
        <v>-5.9828624743861254E-2</v>
      </c>
    </row>
    <row r="106" spans="1:12" ht="13.2">
      <c r="A106" s="21" t="e">
        <f ca="1"/>
        <v>#NAME?</v>
      </c>
      <c r="B106" s="21" t="str">
        <f ca="1">IFERROR(__xludf.DUMMYFUNCTION("""COMPUTED_VALUE"""),"LAXMI STORES")</f>
        <v>LAXMI STORES</v>
      </c>
      <c r="C106" s="132">
        <f ca="1">IFERROR(__xludf.DUMMYFUNCTION("""COMPUTED_VALUE"""),8138869)</f>
        <v>8138869</v>
      </c>
      <c r="D106" s="132">
        <f ca="1">IFERROR(__xludf.DUMMYFUNCTION("""COMPUTED_VALUE"""),2)</f>
        <v>2</v>
      </c>
      <c r="E106" s="132" t="str">
        <f ca="1">IFERROR(__xludf.DUMMYFUNCTION("""COMPUTED_VALUE"""),"Gonesh Dey, Rajesh Chakraborty")</f>
        <v>Gonesh Dey, Rajesh Chakraborty</v>
      </c>
      <c r="F106" s="132" t="str">
        <f ca="1">IFERROR(__xludf.DUMMYFUNCTION("""COMPUTED_VALUE"""),"WEST BENGAL")</f>
        <v>WEST BENGAL</v>
      </c>
      <c r="G106" s="133">
        <f ca="1">IFERROR(__xludf.DUMMYFUNCTION("""COMPUTED_VALUE"""),4069434.5)</f>
        <v>4069434.5</v>
      </c>
      <c r="H106" s="28">
        <f ca="1">IFERROR(__xludf.DUMMYFUNCTION("""COMPUTED_VALUE"""),339119.541666666)</f>
        <v>339119.54166666599</v>
      </c>
      <c r="I106" s="41">
        <f ca="1">IFERROR(__xludf.DUMMYFUNCTION("""COMPUTED_VALUE"""),12952764)</f>
        <v>12952764</v>
      </c>
      <c r="J106" s="41"/>
      <c r="K106" s="21">
        <f t="shared" ca="1" si="1"/>
        <v>-4813895</v>
      </c>
      <c r="L106" s="116">
        <f t="shared" ca="1" si="2"/>
        <v>-0.59146977301145898</v>
      </c>
    </row>
    <row r="107" spans="1:12" ht="13.2">
      <c r="A107" s="21" t="e">
        <f ca="1"/>
        <v>#NAME?</v>
      </c>
      <c r="B107" s="21" t="str">
        <f ca="1">IFERROR(__xludf.DUMMYFUNCTION("""COMPUTED_VALUE"""),"Liberty agencies")</f>
        <v>Liberty agencies</v>
      </c>
      <c r="C107" s="132">
        <f ca="1">IFERROR(__xludf.DUMMYFUNCTION("""COMPUTED_VALUE"""),4882722)</f>
        <v>4882722</v>
      </c>
      <c r="D107" s="132">
        <f ca="1">IFERROR(__xludf.DUMMYFUNCTION("""COMPUTED_VALUE"""),1)</f>
        <v>1</v>
      </c>
      <c r="E107" s="132" t="str">
        <f ca="1">IFERROR(__xludf.DUMMYFUNCTION("""COMPUTED_VALUE"""),"Shivam Chauhan")</f>
        <v>Shivam Chauhan</v>
      </c>
      <c r="F107" s="132" t="str">
        <f ca="1">IFERROR(__xludf.DUMMYFUNCTION("""COMPUTED_VALUE"""),"UTTARAKHAND")</f>
        <v>UTTARAKHAND</v>
      </c>
      <c r="G107" s="133">
        <f ca="1">IFERROR(__xludf.DUMMYFUNCTION("""COMPUTED_VALUE"""),4882722)</f>
        <v>4882722</v>
      </c>
      <c r="H107" s="28">
        <f ca="1">IFERROR(__xludf.DUMMYFUNCTION("""COMPUTED_VALUE"""),406893.5)</f>
        <v>406893.5</v>
      </c>
      <c r="I107" s="41">
        <f ca="1">IFERROR(__xludf.DUMMYFUNCTION("""COMPUTED_VALUE"""),4515144)</f>
        <v>4515144</v>
      </c>
      <c r="J107" s="41"/>
      <c r="K107" s="21">
        <f t="shared" ca="1" si="1"/>
        <v>367578</v>
      </c>
      <c r="L107" s="116">
        <f t="shared" ca="1" si="2"/>
        <v>7.5281369695018474E-2</v>
      </c>
    </row>
    <row r="108" spans="1:12" ht="13.2">
      <c r="A108" s="21" t="e">
        <f ca="1"/>
        <v>#NAME?</v>
      </c>
      <c r="B108" s="21" t="str">
        <f ca="1">IFERROR(__xludf.DUMMYFUNCTION("""COMPUTED_VALUE"""),"Lohia &amp; Sons")</f>
        <v>Lohia &amp; Sons</v>
      </c>
      <c r="C108" s="132">
        <f ca="1">IFERROR(__xludf.DUMMYFUNCTION("""COMPUTED_VALUE"""),25572235)</f>
        <v>25572235</v>
      </c>
      <c r="D108" s="132">
        <f ca="1">IFERROR(__xludf.DUMMYFUNCTION("""COMPUTED_VALUE"""),3)</f>
        <v>3</v>
      </c>
      <c r="E108" s="132" t="str">
        <f ca="1">IFERROR(__xludf.DUMMYFUNCTION("""COMPUTED_VALUE"""),"Prashant Kumar, Ravinder Puri, Tarun Giri")</f>
        <v>Prashant Kumar, Ravinder Puri, Tarun Giri</v>
      </c>
      <c r="F108" s="132" t="str">
        <f ca="1">IFERROR(__xludf.DUMMYFUNCTION("""COMPUTED_VALUE"""),"West U.P")</f>
        <v>West U.P</v>
      </c>
      <c r="G108" s="133">
        <f ca="1">IFERROR(__xludf.DUMMYFUNCTION("""COMPUTED_VALUE"""),8524078.33333333)</f>
        <v>8524078.3333333302</v>
      </c>
      <c r="H108" s="28">
        <f ca="1">IFERROR(__xludf.DUMMYFUNCTION("""COMPUTED_VALUE"""),710339.861111111)</f>
        <v>710339.86111111101</v>
      </c>
      <c r="I108" s="41">
        <f ca="1">IFERROR(__xludf.DUMMYFUNCTION("""COMPUTED_VALUE"""),24771644)</f>
        <v>24771644</v>
      </c>
      <c r="J108" s="41"/>
      <c r="K108" s="21">
        <f t="shared" ca="1" si="1"/>
        <v>800591</v>
      </c>
      <c r="L108" s="116">
        <f t="shared" ca="1" si="2"/>
        <v>3.1307040624333385E-2</v>
      </c>
    </row>
    <row r="109" spans="1:12" ht="13.2">
      <c r="A109" s="21" t="e">
        <f ca="1"/>
        <v>#NAME?</v>
      </c>
      <c r="B109" s="21" t="str">
        <f ca="1">IFERROR(__xludf.DUMMYFUNCTION("""COMPUTED_VALUE"""),"M K Trading Company")</f>
        <v>M K Trading Company</v>
      </c>
      <c r="C109" s="132">
        <f ca="1">IFERROR(__xludf.DUMMYFUNCTION("""COMPUTED_VALUE"""),5577985)</f>
        <v>5577985</v>
      </c>
      <c r="D109" s="132">
        <f ca="1">IFERROR(__xludf.DUMMYFUNCTION("""COMPUTED_VALUE"""),1)</f>
        <v>1</v>
      </c>
      <c r="E109" s="132" t="str">
        <f ca="1">IFERROR(__xludf.DUMMYFUNCTION("""COMPUTED_VALUE"""),"Rajan Srivastava")</f>
        <v>Rajan Srivastava</v>
      </c>
      <c r="F109" s="132" t="str">
        <f ca="1">IFERROR(__xludf.DUMMYFUNCTION("""COMPUTED_VALUE"""),"MADHYA PRADESH")</f>
        <v>MADHYA PRADESH</v>
      </c>
      <c r="G109" s="133">
        <f ca="1">IFERROR(__xludf.DUMMYFUNCTION("""COMPUTED_VALUE"""),5577985)</f>
        <v>5577985</v>
      </c>
      <c r="H109" s="28">
        <f ca="1">IFERROR(__xludf.DUMMYFUNCTION("""COMPUTED_VALUE"""),464832.083333333)</f>
        <v>464832.08333333302</v>
      </c>
      <c r="I109" s="41">
        <f ca="1">IFERROR(__xludf.DUMMYFUNCTION("""COMPUTED_VALUE"""),8318384)</f>
        <v>8318384</v>
      </c>
      <c r="J109" s="41"/>
      <c r="K109" s="21">
        <f t="shared" ca="1" si="1"/>
        <v>-2740399</v>
      </c>
      <c r="L109" s="116">
        <f t="shared" ca="1" si="2"/>
        <v>-0.49128834157854495</v>
      </c>
    </row>
    <row r="110" spans="1:12" ht="13.2">
      <c r="A110" s="21" t="e">
        <f ca="1"/>
        <v>#NAME?</v>
      </c>
      <c r="B110" s="21" t="str">
        <f ca="1">IFERROR(__xludf.DUMMYFUNCTION("""COMPUTED_VALUE"""),"Magadh Tubewell")</f>
        <v>Magadh Tubewell</v>
      </c>
      <c r="C110" s="132">
        <f ca="1">IFERROR(__xludf.DUMMYFUNCTION("""COMPUTED_VALUE"""),6585390)</f>
        <v>6585390</v>
      </c>
      <c r="D110" s="132">
        <f ca="1">IFERROR(__xludf.DUMMYFUNCTION("""COMPUTED_VALUE"""),1)</f>
        <v>1</v>
      </c>
      <c r="E110" s="132" t="str">
        <f ca="1">IFERROR(__xludf.DUMMYFUNCTION("""COMPUTED_VALUE"""),"AVINASH KUMAR")</f>
        <v>AVINASH KUMAR</v>
      </c>
      <c r="F110" s="132" t="str">
        <f ca="1">IFERROR(__xludf.DUMMYFUNCTION("""COMPUTED_VALUE"""),"BIHAR")</f>
        <v>BIHAR</v>
      </c>
      <c r="G110" s="133">
        <f ca="1">IFERROR(__xludf.DUMMYFUNCTION("""COMPUTED_VALUE"""),6585390)</f>
        <v>6585390</v>
      </c>
      <c r="H110" s="28">
        <f ca="1">IFERROR(__xludf.DUMMYFUNCTION("""COMPUTED_VALUE"""),548782.5)</f>
        <v>548782.5</v>
      </c>
      <c r="I110" s="41">
        <f ca="1">IFERROR(__xludf.DUMMYFUNCTION("""COMPUTED_VALUE"""),7016469)</f>
        <v>7016469</v>
      </c>
      <c r="J110" s="41"/>
      <c r="K110" s="21">
        <f t="shared" ca="1" si="1"/>
        <v>-431079</v>
      </c>
      <c r="L110" s="116">
        <f t="shared" ca="1" si="2"/>
        <v>-6.5459904424794893E-2</v>
      </c>
    </row>
    <row r="111" spans="1:12" ht="13.2">
      <c r="A111" s="21" t="e">
        <f ca="1"/>
        <v>#NAME?</v>
      </c>
      <c r="B111" s="21" t="str">
        <f ca="1">IFERROR(__xludf.DUMMYFUNCTION("""COMPUTED_VALUE"""),"Magic trading company")</f>
        <v>Magic trading company</v>
      </c>
      <c r="C111" s="132">
        <f ca="1">IFERROR(__xludf.DUMMYFUNCTION("""COMPUTED_VALUE"""),4047121)</f>
        <v>4047121</v>
      </c>
      <c r="D111" s="132">
        <f ca="1">IFERROR(__xludf.DUMMYFUNCTION("""COMPUTED_VALUE"""),2)</f>
        <v>2</v>
      </c>
      <c r="E111" s="132" t="str">
        <f ca="1">IFERROR(__xludf.DUMMYFUNCTION("""COMPUTED_VALUE"""),"Chandrakant Mandave, Praveen Pandey")</f>
        <v>Chandrakant Mandave, Praveen Pandey</v>
      </c>
      <c r="F111" s="132" t="str">
        <f ca="1">IFERROR(__xludf.DUMMYFUNCTION("""COMPUTED_VALUE"""),"MAHARASHTRA")</f>
        <v>MAHARASHTRA</v>
      </c>
      <c r="G111" s="133">
        <f ca="1">IFERROR(__xludf.DUMMYFUNCTION("""COMPUTED_VALUE"""),2023560.5)</f>
        <v>2023560.5</v>
      </c>
      <c r="H111" s="28">
        <f ca="1">IFERROR(__xludf.DUMMYFUNCTION("""COMPUTED_VALUE"""),168630.041666666)</f>
        <v>168630.04166666599</v>
      </c>
      <c r="I111" s="41">
        <f ca="1">IFERROR(__xludf.DUMMYFUNCTION("""COMPUTED_VALUE"""),1899990)</f>
        <v>1899990</v>
      </c>
      <c r="J111" s="41"/>
      <c r="K111" s="21">
        <f t="shared" ca="1" si="1"/>
        <v>2147131</v>
      </c>
      <c r="L111" s="116">
        <f t="shared" ca="1" si="2"/>
        <v>0.53053293934132439</v>
      </c>
    </row>
    <row r="112" spans="1:12" ht="13.2">
      <c r="A112" s="21" t="e">
        <f ca="1"/>
        <v>#NAME?</v>
      </c>
      <c r="B112" s="21" t="str">
        <f ca="1">IFERROR(__xludf.DUMMYFUNCTION("""COMPUTED_VALUE"""),"MAHABIR SALES CORPORATION")</f>
        <v>MAHABIR SALES CORPORATION</v>
      </c>
      <c r="C112" s="132">
        <f ca="1">IFERROR(__xludf.DUMMYFUNCTION("""COMPUTED_VALUE"""),26268083)</f>
        <v>26268083</v>
      </c>
      <c r="D112" s="132">
        <f ca="1">IFERROR(__xludf.DUMMYFUNCTION("""COMPUTED_VALUE"""),5)</f>
        <v>5</v>
      </c>
      <c r="E112" s="132" t="str">
        <f ca="1">IFERROR(__xludf.DUMMYFUNCTION("""COMPUTED_VALUE"""),"ATANU PAUL, Debasish Adhikary, Indrajit Ghosh, Sujan Ghata, Suven Sengupta")</f>
        <v>ATANU PAUL, Debasish Adhikary, Indrajit Ghosh, Sujan Ghata, Suven Sengupta</v>
      </c>
      <c r="F112" s="132" t="str">
        <f ca="1">IFERROR(__xludf.DUMMYFUNCTION("""COMPUTED_VALUE"""),"WEST BENGAL")</f>
        <v>WEST BENGAL</v>
      </c>
      <c r="G112" s="133">
        <f ca="1">IFERROR(__xludf.DUMMYFUNCTION("""COMPUTED_VALUE"""),5253616.6)</f>
        <v>5253616.5999999996</v>
      </c>
      <c r="H112" s="28">
        <f ca="1">IFERROR(__xludf.DUMMYFUNCTION("""COMPUTED_VALUE"""),437801.383333333)</f>
        <v>437801.38333333301</v>
      </c>
      <c r="I112" s="41">
        <f ca="1">IFERROR(__xludf.DUMMYFUNCTION("""COMPUTED_VALUE"""),34710851)</f>
        <v>34710851</v>
      </c>
      <c r="J112" s="41"/>
      <c r="K112" s="21">
        <f t="shared" ca="1" si="1"/>
        <v>-8442768</v>
      </c>
      <c r="L112" s="116">
        <f t="shared" ca="1" si="2"/>
        <v>-0.32140784692967506</v>
      </c>
    </row>
    <row r="113" spans="1:12" ht="13.2">
      <c r="A113" s="21" t="e">
        <f ca="1"/>
        <v>#NAME?</v>
      </c>
      <c r="B113" s="21" t="str">
        <f ca="1">IFERROR(__xludf.DUMMYFUNCTION("""COMPUTED_VALUE"""),"MAHADEV HARDWARE")</f>
        <v>MAHADEV HARDWARE</v>
      </c>
      <c r="C113" s="132">
        <f ca="1">IFERROR(__xludf.DUMMYFUNCTION("""COMPUTED_VALUE"""),8777500)</f>
        <v>8777500</v>
      </c>
      <c r="D113" s="132">
        <f ca="1">IFERROR(__xludf.DUMMYFUNCTION("""COMPUTED_VALUE"""),1)</f>
        <v>1</v>
      </c>
      <c r="E113" s="132" t="str">
        <f ca="1">IFERROR(__xludf.DUMMYFUNCTION("""COMPUTED_VALUE"""),"Pradeep Kumar")</f>
        <v>Pradeep Kumar</v>
      </c>
      <c r="F113" s="132" t="str">
        <f ca="1">IFERROR(__xludf.DUMMYFUNCTION("""COMPUTED_VALUE"""),"BIHAR")</f>
        <v>BIHAR</v>
      </c>
      <c r="G113" s="133">
        <f ca="1">IFERROR(__xludf.DUMMYFUNCTION("""COMPUTED_VALUE"""),8777500)</f>
        <v>8777500</v>
      </c>
      <c r="H113" s="28">
        <f ca="1">IFERROR(__xludf.DUMMYFUNCTION("""COMPUTED_VALUE"""),731458.333333333)</f>
        <v>731458.33333333302</v>
      </c>
      <c r="I113" s="41">
        <f ca="1">IFERROR(__xludf.DUMMYFUNCTION("""COMPUTED_VALUE"""),14295635)</f>
        <v>14295635</v>
      </c>
      <c r="J113" s="41"/>
      <c r="K113" s="21">
        <f t="shared" ca="1" si="1"/>
        <v>-5518135</v>
      </c>
      <c r="L113" s="116">
        <f t="shared" ca="1" si="2"/>
        <v>-0.62866818570207916</v>
      </c>
    </row>
    <row r="114" spans="1:12" ht="13.2">
      <c r="A114" s="21" t="e">
        <f ca="1"/>
        <v>#NAME?</v>
      </c>
      <c r="B114" s="21" t="str">
        <f ca="1">IFERROR(__xludf.DUMMYFUNCTION("""COMPUTED_VALUE"""),"MAHADEV TRADERS")</f>
        <v>MAHADEV TRADERS</v>
      </c>
      <c r="C114" s="132">
        <f ca="1">IFERROR(__xludf.DUMMYFUNCTION("""COMPUTED_VALUE"""),801558)</f>
        <v>801558</v>
      </c>
      <c r="D114" s="132">
        <f ca="1">IFERROR(__xludf.DUMMYFUNCTION("""COMPUTED_VALUE"""),1)</f>
        <v>1</v>
      </c>
      <c r="E114" s="132" t="str">
        <f ca="1">IFERROR(__xludf.DUMMYFUNCTION("""COMPUTED_VALUE"""),"Pawan Kumar.")</f>
        <v>Pawan Kumar.</v>
      </c>
      <c r="F114" s="132" t="str">
        <f ca="1">IFERROR(__xludf.DUMMYFUNCTION("""COMPUTED_VALUE"""),"RAJASTHAN")</f>
        <v>RAJASTHAN</v>
      </c>
      <c r="G114" s="133">
        <f ca="1">IFERROR(__xludf.DUMMYFUNCTION("""COMPUTED_VALUE"""),801558)</f>
        <v>801558</v>
      </c>
      <c r="H114" s="28">
        <f ca="1">IFERROR(__xludf.DUMMYFUNCTION("""COMPUTED_VALUE"""),66796.5)</f>
        <v>66796.5</v>
      </c>
      <c r="I114" s="41">
        <f ca="1">IFERROR(__xludf.DUMMYFUNCTION("""COMPUTED_VALUE"""),1436911)</f>
        <v>1436911</v>
      </c>
      <c r="J114" s="41"/>
      <c r="K114" s="21">
        <f t="shared" ca="1" si="1"/>
        <v>-635353</v>
      </c>
      <c r="L114" s="116">
        <f t="shared" ca="1" si="2"/>
        <v>-0.79264756885964582</v>
      </c>
    </row>
    <row r="115" spans="1:12" ht="13.2">
      <c r="A115" s="21" t="e">
        <f ca="1"/>
        <v>#NAME?</v>
      </c>
      <c r="B115" s="21" t="str">
        <f ca="1">IFERROR(__xludf.DUMMYFUNCTION("""COMPUTED_VALUE"""),"Mahaveer sanitary ware &amp; Hardware store")</f>
        <v>Mahaveer sanitary ware &amp; Hardware store</v>
      </c>
      <c r="C115" s="132">
        <f ca="1">IFERROR(__xludf.DUMMYFUNCTION("""COMPUTED_VALUE"""),1027714)</f>
        <v>1027714</v>
      </c>
      <c r="D115" s="132">
        <f ca="1">IFERROR(__xludf.DUMMYFUNCTION("""COMPUTED_VALUE"""),2)</f>
        <v>2</v>
      </c>
      <c r="E115" s="132" t="str">
        <f ca="1">IFERROR(__xludf.DUMMYFUNCTION("""COMPUTED_VALUE"""),"Prashant Kumar, Tarun Giri")</f>
        <v>Prashant Kumar, Tarun Giri</v>
      </c>
      <c r="F115" s="132" t="str">
        <f ca="1">IFERROR(__xludf.DUMMYFUNCTION("""COMPUTED_VALUE"""),"West U.P")</f>
        <v>West U.P</v>
      </c>
      <c r="G115" s="133">
        <f ca="1">IFERROR(__xludf.DUMMYFUNCTION("""COMPUTED_VALUE"""),513857)</f>
        <v>513857</v>
      </c>
      <c r="H115" s="28">
        <f ca="1">IFERROR(__xludf.DUMMYFUNCTION("""COMPUTED_VALUE"""),42821.4166666666)</f>
        <v>42821.416666666599</v>
      </c>
      <c r="I115" s="41">
        <f ca="1">IFERROR(__xludf.DUMMYFUNCTION("""COMPUTED_VALUE"""),3017580)</f>
        <v>3017580</v>
      </c>
      <c r="J115" s="41"/>
      <c r="K115" s="21">
        <f t="shared" ca="1" si="1"/>
        <v>-1989866</v>
      </c>
      <c r="L115" s="116">
        <f t="shared" ca="1" si="2"/>
        <v>-1.9362059872688315</v>
      </c>
    </row>
    <row r="116" spans="1:12" ht="13.2">
      <c r="A116" s="21" t="e">
        <f ca="1"/>
        <v>#NAME?</v>
      </c>
      <c r="B116" s="21" t="str">
        <f ca="1">IFERROR(__xludf.DUMMYFUNCTION("""COMPUTED_VALUE"""),"Mahesh pipe")</f>
        <v>Mahesh pipe</v>
      </c>
      <c r="C116" s="132">
        <f ca="1">IFERROR(__xludf.DUMMYFUNCTION("""COMPUTED_VALUE"""),546971)</f>
        <v>546971</v>
      </c>
      <c r="D116" s="132">
        <f ca="1">IFERROR(__xludf.DUMMYFUNCTION("""COMPUTED_VALUE"""),1)</f>
        <v>1</v>
      </c>
      <c r="E116" s="132" t="str">
        <f ca="1">IFERROR(__xludf.DUMMYFUNCTION("""COMPUTED_VALUE"""),"A.Prasath")</f>
        <v>A.Prasath</v>
      </c>
      <c r="F116" s="132" t="str">
        <f ca="1">IFERROR(__xludf.DUMMYFUNCTION("""COMPUTED_VALUE"""),"TAMIL NADU")</f>
        <v>TAMIL NADU</v>
      </c>
      <c r="G116" s="133">
        <f ca="1">IFERROR(__xludf.DUMMYFUNCTION("""COMPUTED_VALUE"""),546971)</f>
        <v>546971</v>
      </c>
      <c r="H116" s="28">
        <f ca="1">IFERROR(__xludf.DUMMYFUNCTION("""COMPUTED_VALUE"""),45580.9166666666)</f>
        <v>45580.916666666599</v>
      </c>
      <c r="I116" s="41">
        <f ca="1">IFERROR(__xludf.DUMMYFUNCTION("""COMPUTED_VALUE"""),0)</f>
        <v>0</v>
      </c>
      <c r="J116" s="41"/>
      <c r="K116" s="21">
        <f t="shared" ca="1" si="1"/>
        <v>546971</v>
      </c>
      <c r="L116" s="116">
        <f t="shared" ca="1" si="2"/>
        <v>1</v>
      </c>
    </row>
    <row r="117" spans="1:12" ht="13.2">
      <c r="A117" s="21" t="e">
        <f ca="1"/>
        <v>#NAME?</v>
      </c>
      <c r="B117" s="21" t="str">
        <f ca="1">IFERROR(__xludf.DUMMYFUNCTION("""COMPUTED_VALUE"""),"MAIYA HARDWARE STORE")</f>
        <v>MAIYA HARDWARE STORE</v>
      </c>
      <c r="C117" s="132">
        <f ca="1">IFERROR(__xludf.DUMMYFUNCTION("""COMPUTED_VALUE"""),2526864)</f>
        <v>2526864</v>
      </c>
      <c r="D117" s="132">
        <f ca="1">IFERROR(__xludf.DUMMYFUNCTION("""COMPUTED_VALUE"""),1)</f>
        <v>1</v>
      </c>
      <c r="E117" s="132" t="str">
        <f ca="1">IFERROR(__xludf.DUMMYFUNCTION("""COMPUTED_VALUE"""),"Vishant Bandhral")</f>
        <v>Vishant Bandhral</v>
      </c>
      <c r="F117" s="132" t="str">
        <f ca="1">IFERROR(__xludf.DUMMYFUNCTION("""COMPUTED_VALUE"""),"JAMMU AND KASHMIR")</f>
        <v>JAMMU AND KASHMIR</v>
      </c>
      <c r="G117" s="133">
        <f ca="1">IFERROR(__xludf.DUMMYFUNCTION("""COMPUTED_VALUE"""),2526864)</f>
        <v>2526864</v>
      </c>
      <c r="H117" s="28">
        <f ca="1">IFERROR(__xludf.DUMMYFUNCTION("""COMPUTED_VALUE"""),210572)</f>
        <v>210572</v>
      </c>
      <c r="I117" s="41">
        <f ca="1">IFERROR(__xludf.DUMMYFUNCTION("""COMPUTED_VALUE"""),3236117)</f>
        <v>3236117</v>
      </c>
      <c r="J117" s="41"/>
      <c r="K117" s="21">
        <f t="shared" ca="1" si="1"/>
        <v>-709253</v>
      </c>
      <c r="L117" s="116">
        <f t="shared" ca="1" si="2"/>
        <v>-0.28068507050636676</v>
      </c>
    </row>
    <row r="118" spans="1:12" ht="13.2">
      <c r="A118" s="21" t="e">
        <f ca="1"/>
        <v>#NAME?</v>
      </c>
      <c r="B118" s="21" t="str">
        <f ca="1">IFERROR(__xludf.DUMMYFUNCTION("""COMPUTED_VALUE"""),"Maji Trading")</f>
        <v>Maji Trading</v>
      </c>
      <c r="C118" s="132">
        <f ca="1">IFERROR(__xludf.DUMMYFUNCTION("""COMPUTED_VALUE"""),112256025)</f>
        <v>112256025</v>
      </c>
      <c r="D118" s="132">
        <f ca="1">IFERROR(__xludf.DUMMYFUNCTION("""COMPUTED_VALUE"""),6)</f>
        <v>6</v>
      </c>
      <c r="E118" s="132" t="str">
        <f ca="1">IFERROR(__xludf.DUMMYFUNCTION("""COMPUTED_VALUE"""),"Monmon Paul, Soumen Ghosh, Sourav Samanta, Subhajit Koley, Sujan Ghata, Susovan Singha")</f>
        <v>Monmon Paul, Soumen Ghosh, Sourav Samanta, Subhajit Koley, Sujan Ghata, Susovan Singha</v>
      </c>
      <c r="F118" s="132" t="str">
        <f ca="1">IFERROR(__xludf.DUMMYFUNCTION("""COMPUTED_VALUE"""),"WEST BENGAL")</f>
        <v>WEST BENGAL</v>
      </c>
      <c r="G118" s="133">
        <f ca="1">IFERROR(__xludf.DUMMYFUNCTION("""COMPUTED_VALUE"""),18709337.5)</f>
        <v>18709337.5</v>
      </c>
      <c r="H118" s="28">
        <f ca="1">IFERROR(__xludf.DUMMYFUNCTION("""COMPUTED_VALUE"""),1559111.45833333)</f>
        <v>1559111.45833333</v>
      </c>
      <c r="I118" s="41">
        <f ca="1">IFERROR(__xludf.DUMMYFUNCTION("""COMPUTED_VALUE"""),122640927)</f>
        <v>122640927</v>
      </c>
      <c r="J118" s="41"/>
      <c r="K118" s="21">
        <f t="shared" ca="1" si="1"/>
        <v>-10384902</v>
      </c>
      <c r="L118" s="116">
        <f t="shared" ca="1" si="2"/>
        <v>-9.2510865229728206E-2</v>
      </c>
    </row>
    <row r="119" spans="1:12" ht="13.2">
      <c r="A119" s="21" t="e">
        <f ca="1"/>
        <v>#NAME?</v>
      </c>
      <c r="B119" s="21" t="str">
        <f ca="1">IFERROR(__xludf.DUMMYFUNCTION("""COMPUTED_VALUE"""),"Makaan Group")</f>
        <v>Makaan Group</v>
      </c>
      <c r="C119" s="132">
        <f ca="1">IFERROR(__xludf.DUMMYFUNCTION("""COMPUTED_VALUE"""),105439)</f>
        <v>105439</v>
      </c>
      <c r="D119" s="132">
        <f ca="1">IFERROR(__xludf.DUMMYFUNCTION("""COMPUTED_VALUE"""),1)</f>
        <v>1</v>
      </c>
      <c r="E119" s="132" t="str">
        <f ca="1">IFERROR(__xludf.DUMMYFUNCTION("""COMPUTED_VALUE"""),"Dinesh Kumar Kaushik")</f>
        <v>Dinesh Kumar Kaushik</v>
      </c>
      <c r="F119" s="132" t="str">
        <f ca="1">IFERROR(__xludf.DUMMYFUNCTION("""COMPUTED_VALUE"""),"RAJASTHAN")</f>
        <v>RAJASTHAN</v>
      </c>
      <c r="G119" s="133">
        <f ca="1">IFERROR(__xludf.DUMMYFUNCTION("""COMPUTED_VALUE"""),105439)</f>
        <v>105439</v>
      </c>
      <c r="H119" s="28">
        <f ca="1">IFERROR(__xludf.DUMMYFUNCTION("""COMPUTED_VALUE"""),8786.58333333333)</f>
        <v>8786.5833333333303</v>
      </c>
      <c r="I119" s="41">
        <f ca="1">IFERROR(__xludf.DUMMYFUNCTION("""COMPUTED_VALUE"""),814919)</f>
        <v>814919</v>
      </c>
      <c r="J119" s="41"/>
      <c r="K119" s="21">
        <f t="shared" ca="1" si="1"/>
        <v>-709480</v>
      </c>
      <c r="L119" s="116">
        <f t="shared" ca="1" si="2"/>
        <v>-6.7288195070135339</v>
      </c>
    </row>
    <row r="120" spans="1:12" ht="13.2">
      <c r="A120" s="21" t="e">
        <f ca="1"/>
        <v>#NAME?</v>
      </c>
      <c r="B120" s="21" t="str">
        <f ca="1">IFERROR(__xludf.DUMMYFUNCTION("""COMPUTED_VALUE"""),"Manoj Enterprises")</f>
        <v>Manoj Enterprises</v>
      </c>
      <c r="C120" s="132">
        <f ca="1">IFERROR(__xludf.DUMMYFUNCTION("""COMPUTED_VALUE"""),35852493)</f>
        <v>35852493</v>
      </c>
      <c r="D120" s="132">
        <f ca="1">IFERROR(__xludf.DUMMYFUNCTION("""COMPUTED_VALUE"""),4)</f>
        <v>4</v>
      </c>
      <c r="E120" s="132" t="str">
        <f ca="1">IFERROR(__xludf.DUMMYFUNCTION("""COMPUTED_VALUE"""),"Ajeet Yadav, Paramjeet, Prasun Chatterjee, Rajan Srivastava")</f>
        <v>Ajeet Yadav, Paramjeet, Prasun Chatterjee, Rajan Srivastava</v>
      </c>
      <c r="F120" s="132" t="str">
        <f ca="1">IFERROR(__xludf.DUMMYFUNCTION("""COMPUTED_VALUE"""),"East U.P")</f>
        <v>East U.P</v>
      </c>
      <c r="G120" s="133">
        <f ca="1">IFERROR(__xludf.DUMMYFUNCTION("""COMPUTED_VALUE"""),8963123.25)</f>
        <v>8963123.25</v>
      </c>
      <c r="H120" s="28">
        <f ca="1">IFERROR(__xludf.DUMMYFUNCTION("""COMPUTED_VALUE"""),746926.9375)</f>
        <v>746926.9375</v>
      </c>
      <c r="I120" s="41">
        <f ca="1">IFERROR(__xludf.DUMMYFUNCTION("""COMPUTED_VALUE"""),38014938)</f>
        <v>38014938</v>
      </c>
      <c r="J120" s="41"/>
      <c r="K120" s="21">
        <f t="shared" ca="1" si="1"/>
        <v>-2162445</v>
      </c>
      <c r="L120" s="116">
        <f t="shared" ca="1" si="2"/>
        <v>-6.0315052568310941E-2</v>
      </c>
    </row>
    <row r="121" spans="1:12" ht="13.2">
      <c r="A121" s="21" t="e">
        <f ca="1"/>
        <v>#NAME?</v>
      </c>
      <c r="B121" s="21" t="str">
        <f ca="1">IFERROR(__xludf.DUMMYFUNCTION("""COMPUTED_VALUE"""),"Mansi trading company")</f>
        <v>Mansi trading company</v>
      </c>
      <c r="C121" s="132">
        <f ca="1">IFERROR(__xludf.DUMMYFUNCTION("""COMPUTED_VALUE"""),267354)</f>
        <v>267354</v>
      </c>
      <c r="D121" s="132">
        <f ca="1">IFERROR(__xludf.DUMMYFUNCTION("""COMPUTED_VALUE"""),1)</f>
        <v>1</v>
      </c>
      <c r="E121" s="132" t="str">
        <f ca="1">IFERROR(__xludf.DUMMYFUNCTION("""COMPUTED_VALUE"""),"Ravinder Puri")</f>
        <v>Ravinder Puri</v>
      </c>
      <c r="F121" s="132" t="str">
        <f ca="1">IFERROR(__xludf.DUMMYFUNCTION("""COMPUTED_VALUE"""),"West U.P")</f>
        <v>West U.P</v>
      </c>
      <c r="G121" s="133">
        <f ca="1">IFERROR(__xludf.DUMMYFUNCTION("""COMPUTED_VALUE"""),267354)</f>
        <v>267354</v>
      </c>
      <c r="H121" s="28">
        <f ca="1">IFERROR(__xludf.DUMMYFUNCTION("""COMPUTED_VALUE"""),22279.5)</f>
        <v>22279.5</v>
      </c>
      <c r="I121" s="41">
        <f ca="1">IFERROR(__xludf.DUMMYFUNCTION("""COMPUTED_VALUE"""),676675)</f>
        <v>676675</v>
      </c>
      <c r="J121" s="41"/>
      <c r="K121" s="21">
        <f t="shared" ca="1" si="1"/>
        <v>-409321</v>
      </c>
      <c r="L121" s="116">
        <f t="shared" ca="1" si="2"/>
        <v>-1.5310075779677881</v>
      </c>
    </row>
    <row r="122" spans="1:12" ht="13.2">
      <c r="A122" s="21" t="e">
        <f ca="1"/>
        <v>#NAME?</v>
      </c>
      <c r="B122" s="21" t="str">
        <f ca="1">IFERROR(__xludf.DUMMYFUNCTION("""COMPUTED_VALUE"""),"Master Plumbing and Hardware")</f>
        <v>Master Plumbing and Hardware</v>
      </c>
      <c r="C122" s="132">
        <f ca="1">IFERROR(__xludf.DUMMYFUNCTION("""COMPUTED_VALUE"""),60041)</f>
        <v>60041</v>
      </c>
      <c r="D122" s="132">
        <f ca="1">IFERROR(__xludf.DUMMYFUNCTION("""COMPUTED_VALUE"""),1)</f>
        <v>1</v>
      </c>
      <c r="E122" s="132" t="str">
        <f ca="1">IFERROR(__xludf.DUMMYFUNCTION("""COMPUTED_VALUE"""),"Chandrakant Mandave")</f>
        <v>Chandrakant Mandave</v>
      </c>
      <c r="F122" s="132" t="str">
        <f ca="1">IFERROR(__xludf.DUMMYFUNCTION("""COMPUTED_VALUE"""),"MAHARASHTRA")</f>
        <v>MAHARASHTRA</v>
      </c>
      <c r="G122" s="133">
        <f ca="1">IFERROR(__xludf.DUMMYFUNCTION("""COMPUTED_VALUE"""),60041)</f>
        <v>60041</v>
      </c>
      <c r="H122" s="28">
        <f ca="1">IFERROR(__xludf.DUMMYFUNCTION("""COMPUTED_VALUE"""),5003.41666666666)</f>
        <v>5003.4166666666597</v>
      </c>
      <c r="I122" s="41">
        <f ca="1">IFERROR(__xludf.DUMMYFUNCTION("""COMPUTED_VALUE"""),405924)</f>
        <v>405924</v>
      </c>
      <c r="J122" s="41"/>
      <c r="K122" s="21">
        <f t="shared" ca="1" si="1"/>
        <v>-345883</v>
      </c>
      <c r="L122" s="116">
        <f t="shared" ca="1" si="2"/>
        <v>-5.7607801335753903</v>
      </c>
    </row>
    <row r="123" spans="1:12" ht="13.2">
      <c r="A123" s="21" t="e">
        <f ca="1"/>
        <v>#NAME?</v>
      </c>
      <c r="B123" s="21" t="str">
        <f ca="1">IFERROR(__xludf.DUMMYFUNCTION("""COMPUTED_VALUE"""),"Meera Associates")</f>
        <v>Meera Associates</v>
      </c>
      <c r="C123" s="132">
        <f ca="1">IFERROR(__xludf.DUMMYFUNCTION("""COMPUTED_VALUE"""),6885325)</f>
        <v>6885325</v>
      </c>
      <c r="D123" s="132">
        <f ca="1">IFERROR(__xludf.DUMMYFUNCTION("""COMPUTED_VALUE"""),2)</f>
        <v>2</v>
      </c>
      <c r="E123" s="132" t="str">
        <f ca="1">IFERROR(__xludf.DUMMYFUNCTION("""COMPUTED_VALUE"""),"Arijit Roychowdhury, Hrusikesh Satapathy")</f>
        <v>Arijit Roychowdhury, Hrusikesh Satapathy</v>
      </c>
      <c r="F123" s="132" t="str">
        <f ca="1">IFERROR(__xludf.DUMMYFUNCTION("""COMPUTED_VALUE"""),"ODISHA")</f>
        <v>ODISHA</v>
      </c>
      <c r="G123" s="133">
        <f ca="1">IFERROR(__xludf.DUMMYFUNCTION("""COMPUTED_VALUE"""),3442662.5)</f>
        <v>3442662.5</v>
      </c>
      <c r="H123" s="28">
        <f ca="1">IFERROR(__xludf.DUMMYFUNCTION("""COMPUTED_VALUE"""),286888.541666666)</f>
        <v>286888.54166666599</v>
      </c>
      <c r="I123" s="41">
        <f ca="1">IFERROR(__xludf.DUMMYFUNCTION("""COMPUTED_VALUE"""),13106843)</f>
        <v>13106843</v>
      </c>
      <c r="J123" s="41"/>
      <c r="K123" s="21">
        <f t="shared" ca="1" si="1"/>
        <v>-6221518</v>
      </c>
      <c r="L123" s="116">
        <f t="shared" ca="1" si="2"/>
        <v>-0.90359104326956241</v>
      </c>
    </row>
    <row r="124" spans="1:12" ht="13.2">
      <c r="A124" s="21" t="e">
        <f ca="1"/>
        <v>#NAME?</v>
      </c>
      <c r="B124" s="21" t="str">
        <f ca="1">IFERROR(__xludf.DUMMYFUNCTION("""COMPUTED_VALUE"""),"Mehta Ceramics")</f>
        <v>Mehta Ceramics</v>
      </c>
      <c r="C124" s="132">
        <f ca="1">IFERROR(__xludf.DUMMYFUNCTION("""COMPUTED_VALUE"""),962155)</f>
        <v>962155</v>
      </c>
      <c r="D124" s="132">
        <f ca="1">IFERROR(__xludf.DUMMYFUNCTION("""COMPUTED_VALUE"""),1)</f>
        <v>1</v>
      </c>
      <c r="E124" s="132" t="str">
        <f ca="1">IFERROR(__xludf.DUMMYFUNCTION("""COMPUTED_VALUE"""),"Chandrakant Mandave")</f>
        <v>Chandrakant Mandave</v>
      </c>
      <c r="F124" s="132" t="str">
        <f ca="1">IFERROR(__xludf.DUMMYFUNCTION("""COMPUTED_VALUE"""),"MAHARASHTRA")</f>
        <v>MAHARASHTRA</v>
      </c>
      <c r="G124" s="133">
        <f ca="1">IFERROR(__xludf.DUMMYFUNCTION("""COMPUTED_VALUE"""),962155)</f>
        <v>962155</v>
      </c>
      <c r="H124" s="28">
        <f ca="1">IFERROR(__xludf.DUMMYFUNCTION("""COMPUTED_VALUE"""),80179.5833333333)</f>
        <v>80179.583333333299</v>
      </c>
      <c r="I124" s="41">
        <f ca="1">IFERROR(__xludf.DUMMYFUNCTION("""COMPUTED_VALUE"""),1015879)</f>
        <v>1015879</v>
      </c>
      <c r="J124" s="41"/>
      <c r="K124" s="21">
        <f t="shared" ca="1" si="1"/>
        <v>-53724</v>
      </c>
      <c r="L124" s="116">
        <f t="shared" ca="1" si="2"/>
        <v>-5.5837157214793876E-2</v>
      </c>
    </row>
    <row r="125" spans="1:12" ht="13.2">
      <c r="A125" s="21" t="e">
        <f ca="1"/>
        <v>#NAME?</v>
      </c>
      <c r="B125" s="21" t="str">
        <f ca="1">IFERROR(__xludf.DUMMYFUNCTION("""COMPUTED_VALUE"""),"Milan marketing")</f>
        <v>Milan marketing</v>
      </c>
      <c r="C125" s="132">
        <f ca="1">IFERROR(__xludf.DUMMYFUNCTION("""COMPUTED_VALUE"""),7713616)</f>
        <v>7713616</v>
      </c>
      <c r="D125" s="132">
        <f ca="1">IFERROR(__xludf.DUMMYFUNCTION("""COMPUTED_VALUE"""),1)</f>
        <v>1</v>
      </c>
      <c r="E125" s="132" t="str">
        <f ca="1">IFERROR(__xludf.DUMMYFUNCTION("""COMPUTED_VALUE"""),"J.Kamal Kishore")</f>
        <v>J.Kamal Kishore</v>
      </c>
      <c r="F125" s="132" t="str">
        <f ca="1">IFERROR(__xludf.DUMMYFUNCTION("""COMPUTED_VALUE"""),"ANDHRA PRADESH")</f>
        <v>ANDHRA PRADESH</v>
      </c>
      <c r="G125" s="133">
        <f ca="1">IFERROR(__xludf.DUMMYFUNCTION("""COMPUTED_VALUE"""),7713616)</f>
        <v>7713616</v>
      </c>
      <c r="H125" s="28">
        <f ca="1">IFERROR(__xludf.DUMMYFUNCTION("""COMPUTED_VALUE"""),642801.333333333)</f>
        <v>642801.33333333302</v>
      </c>
      <c r="I125" s="41">
        <f ca="1">IFERROR(__xludf.DUMMYFUNCTION("""COMPUTED_VALUE"""),6204669)</f>
        <v>6204669</v>
      </c>
      <c r="J125" s="41"/>
      <c r="K125" s="21">
        <f t="shared" ca="1" si="1"/>
        <v>1508947</v>
      </c>
      <c r="L125" s="116">
        <f t="shared" ca="1" si="2"/>
        <v>0.19562122356103803</v>
      </c>
    </row>
    <row r="126" spans="1:12" ht="13.2">
      <c r="A126" s="21" t="e">
        <f ca="1"/>
        <v>#NAME?</v>
      </c>
      <c r="B126" s="21" t="str">
        <f ca="1">IFERROR(__xludf.DUMMYFUNCTION("""COMPUTED_VALUE"""),"Mittal Agencies")</f>
        <v>Mittal Agencies</v>
      </c>
      <c r="C126" s="132">
        <f ca="1">IFERROR(__xludf.DUMMYFUNCTION("""COMPUTED_VALUE"""),40061292)</f>
        <v>40061292</v>
      </c>
      <c r="D126" s="132">
        <f ca="1">IFERROR(__xludf.DUMMYFUNCTION("""COMPUTED_VALUE"""),2)</f>
        <v>2</v>
      </c>
      <c r="E126" s="132" t="str">
        <f ca="1">IFERROR(__xludf.DUMMYFUNCTION("""COMPUTED_VALUE"""),"Prabhakar Pratap Singh, Saurav Kumar")</f>
        <v>Prabhakar Pratap Singh, Saurav Kumar</v>
      </c>
      <c r="F126" s="132" t="str">
        <f ca="1">IFERROR(__xludf.DUMMYFUNCTION("""COMPUTED_VALUE"""),"BIHAR")</f>
        <v>BIHAR</v>
      </c>
      <c r="G126" s="133">
        <f ca="1">IFERROR(__xludf.DUMMYFUNCTION("""COMPUTED_VALUE"""),20030646)</f>
        <v>20030646</v>
      </c>
      <c r="H126" s="28">
        <f ca="1">IFERROR(__xludf.DUMMYFUNCTION("""COMPUTED_VALUE"""),1669220.5)</f>
        <v>1669220.5</v>
      </c>
      <c r="I126" s="41">
        <f ca="1">IFERROR(__xludf.DUMMYFUNCTION("""COMPUTED_VALUE"""),68321100)</f>
        <v>68321100</v>
      </c>
      <c r="J126" s="41"/>
      <c r="K126" s="21">
        <f t="shared" ca="1" si="1"/>
        <v>-28259808</v>
      </c>
      <c r="L126" s="116">
        <f t="shared" ca="1" si="2"/>
        <v>-0.70541429367779751</v>
      </c>
    </row>
    <row r="127" spans="1:12" ht="105.6">
      <c r="A127" s="21" t="e">
        <f ca="1"/>
        <v>#NAME?</v>
      </c>
      <c r="B127" s="21" t="str">
        <f ca="1">IFERROR(__xludf.DUMMYFUNCTION("""COMPUTED_VALUE"""),"MK Traders")</f>
        <v>MK Traders</v>
      </c>
      <c r="C127" s="132">
        <f ca="1">IFERROR(__xludf.DUMMYFUNCTION("""COMPUTED_VALUE"""),247176)</f>
        <v>247176</v>
      </c>
      <c r="D127" s="132">
        <f ca="1">IFERROR(__xludf.DUMMYFUNCTION("""COMPUTED_VALUE"""),2)</f>
        <v>2</v>
      </c>
      <c r="E127" s="132" t="str">
        <f ca="1">IFERROR(__xludf.DUMMYFUNCTION("""COMPUTED_VALUE"""),"RAVI KUMAR ., Shanker Singh")</f>
        <v>RAVI KUMAR ., Shanker Singh</v>
      </c>
      <c r="F127" s="132" t="str">
        <f ca="1">IFERROR(__xludf.DUMMYFUNCTION("""COMPUTED_VALUE"""),"HARYANA")</f>
        <v>HARYANA</v>
      </c>
      <c r="G127" s="133">
        <f ca="1">IFERROR(__xludf.DUMMYFUNCTION("""COMPUTED_VALUE"""),123588)</f>
        <v>123588</v>
      </c>
      <c r="H127" s="28">
        <f ca="1">IFERROR(__xludf.DUMMYFUNCTION("""COMPUTED_VALUE"""),10299)</f>
        <v>10299</v>
      </c>
      <c r="I127" s="41">
        <f ca="1">IFERROR(__xludf.DUMMYFUNCTION("""COMPUTED_VALUE"""),0)</f>
        <v>0</v>
      </c>
      <c r="J127" s="41" t="str">
        <f ca="1">IFERROR(__xludf.DUMMYFUNCTION("""COMPUTED_VALUE"""),"As Discssed With Pawan Sir he informed that team members was updated wrong orders. Team Member name Shanker Singh &amp; Ravi he has updated only 7000 rs orders")</f>
        <v>As Discssed With Pawan Sir he informed that team members was updated wrong orders. Team Member name Shanker Singh &amp; Ravi he has updated only 7000 rs orders</v>
      </c>
      <c r="K127" s="21">
        <f t="shared" ca="1" si="1"/>
        <v>247176</v>
      </c>
      <c r="L127" s="116">
        <f t="shared" ca="1" si="2"/>
        <v>1</v>
      </c>
    </row>
    <row r="128" spans="1:12" ht="13.2">
      <c r="A128" s="21" t="e">
        <f ca="1"/>
        <v>#NAME?</v>
      </c>
      <c r="B128" s="21" t="str">
        <f ca="1">IFERROR(__xludf.DUMMYFUNCTION("""COMPUTED_VALUE"""),"MOHAN LAL AND SONS")</f>
        <v>MOHAN LAL AND SONS</v>
      </c>
      <c r="C128" s="132">
        <f ca="1">IFERROR(__xludf.DUMMYFUNCTION("""COMPUTED_VALUE"""),223814)</f>
        <v>223814</v>
      </c>
      <c r="D128" s="132">
        <f ca="1">IFERROR(__xludf.DUMMYFUNCTION("""COMPUTED_VALUE"""),1)</f>
        <v>1</v>
      </c>
      <c r="E128" s="132" t="str">
        <f ca="1">IFERROR(__xludf.DUMMYFUNCTION("""COMPUTED_VALUE"""),"Shivam Chauhan")</f>
        <v>Shivam Chauhan</v>
      </c>
      <c r="F128" s="132" t="str">
        <f ca="1">IFERROR(__xludf.DUMMYFUNCTION("""COMPUTED_VALUE"""),"UTTARAKHAND")</f>
        <v>UTTARAKHAND</v>
      </c>
      <c r="G128" s="133">
        <f ca="1">IFERROR(__xludf.DUMMYFUNCTION("""COMPUTED_VALUE"""),223814)</f>
        <v>223814</v>
      </c>
      <c r="H128" s="28">
        <f ca="1">IFERROR(__xludf.DUMMYFUNCTION("""COMPUTED_VALUE"""),18651.1666666666)</f>
        <v>18651.166666666599</v>
      </c>
      <c r="I128" s="41">
        <f ca="1">IFERROR(__xludf.DUMMYFUNCTION("""COMPUTED_VALUE"""),0)</f>
        <v>0</v>
      </c>
      <c r="J128" s="41"/>
      <c r="K128" s="21">
        <f t="shared" ca="1" si="1"/>
        <v>223814</v>
      </c>
      <c r="L128" s="116">
        <f t="shared" ca="1" si="2"/>
        <v>1</v>
      </c>
    </row>
    <row r="129" spans="1:12" ht="13.2">
      <c r="A129" s="21" t="e">
        <f ca="1"/>
        <v>#NAME?</v>
      </c>
      <c r="B129" s="21" t="str">
        <f ca="1">IFERROR(__xludf.DUMMYFUNCTION("""COMPUTED_VALUE"""),"Ms AUM SAI ENTERPRISES")</f>
        <v>Ms AUM SAI ENTERPRISES</v>
      </c>
      <c r="C129" s="132">
        <f ca="1">IFERROR(__xludf.DUMMYFUNCTION("""COMPUTED_VALUE"""),67220)</f>
        <v>67220</v>
      </c>
      <c r="D129" s="132">
        <f ca="1">IFERROR(__xludf.DUMMYFUNCTION("""COMPUTED_VALUE"""),1)</f>
        <v>1</v>
      </c>
      <c r="E129" s="132" t="str">
        <f ca="1">IFERROR(__xludf.DUMMYFUNCTION("""COMPUTED_VALUE"""),"Vishant Bandhral")</f>
        <v>Vishant Bandhral</v>
      </c>
      <c r="F129" s="132" t="str">
        <f ca="1">IFERROR(__xludf.DUMMYFUNCTION("""COMPUTED_VALUE"""),"JAMMU AND KASHMIR")</f>
        <v>JAMMU AND KASHMIR</v>
      </c>
      <c r="G129" s="133">
        <f ca="1">IFERROR(__xludf.DUMMYFUNCTION("""COMPUTED_VALUE"""),67220)</f>
        <v>67220</v>
      </c>
      <c r="H129" s="28">
        <f ca="1">IFERROR(__xludf.DUMMYFUNCTION("""COMPUTED_VALUE"""),5601.66666666666)</f>
        <v>5601.6666666666597</v>
      </c>
      <c r="I129" s="41">
        <f ca="1">IFERROR(__xludf.DUMMYFUNCTION("""COMPUTED_VALUE"""),0)</f>
        <v>0</v>
      </c>
      <c r="J129" s="41" t="str">
        <f ca="1">IFERROR(__xludf.DUMMYFUNCTION("""COMPUTED_VALUE"""),"OLD STOCK")</f>
        <v>OLD STOCK</v>
      </c>
      <c r="K129" s="21">
        <f t="shared" ca="1" si="1"/>
        <v>67220</v>
      </c>
      <c r="L129" s="116">
        <f t="shared" ca="1" si="2"/>
        <v>1</v>
      </c>
    </row>
    <row r="130" spans="1:12" ht="13.2">
      <c r="A130" s="21" t="e">
        <f ca="1"/>
        <v>#NAME?</v>
      </c>
      <c r="B130" s="21" t="str">
        <f ca="1">IFERROR(__xludf.DUMMYFUNCTION("""COMPUTED_VALUE"""),"Ms Dimple sanitary and paint store")</f>
        <v>Ms Dimple sanitary and paint store</v>
      </c>
      <c r="C130" s="132">
        <f ca="1">IFERROR(__xludf.DUMMYFUNCTION("""COMPUTED_VALUE"""),2916876)</f>
        <v>2916876</v>
      </c>
      <c r="D130" s="132">
        <f ca="1">IFERROR(__xludf.DUMMYFUNCTION("""COMPUTED_VALUE"""),1)</f>
        <v>1</v>
      </c>
      <c r="E130" s="132" t="str">
        <f ca="1">IFERROR(__xludf.DUMMYFUNCTION("""COMPUTED_VALUE"""),"PAWAN KUMAR")</f>
        <v>PAWAN KUMAR</v>
      </c>
      <c r="F130" s="132" t="str">
        <f ca="1">IFERROR(__xludf.DUMMYFUNCTION("""COMPUTED_VALUE"""),"JAMMU AND KASHMIR")</f>
        <v>JAMMU AND KASHMIR</v>
      </c>
      <c r="G130" s="133">
        <f ca="1">IFERROR(__xludf.DUMMYFUNCTION("""COMPUTED_VALUE"""),2916876)</f>
        <v>2916876</v>
      </c>
      <c r="H130" s="28">
        <f ca="1">IFERROR(__xludf.DUMMYFUNCTION("""COMPUTED_VALUE"""),243073)</f>
        <v>243073</v>
      </c>
      <c r="I130" s="41">
        <f ca="1">IFERROR(__xludf.DUMMYFUNCTION("""COMPUTED_VALUE"""),0)</f>
        <v>0</v>
      </c>
      <c r="J130" s="41"/>
      <c r="K130" s="21">
        <f t="shared" ca="1" si="1"/>
        <v>2916876</v>
      </c>
      <c r="L130" s="116">
        <f t="shared" ca="1" si="2"/>
        <v>1</v>
      </c>
    </row>
    <row r="131" spans="1:12" ht="13.2">
      <c r="A131" s="21" t="e">
        <f ca="1"/>
        <v>#NAME?</v>
      </c>
      <c r="B131" s="21" t="str">
        <f ca="1">IFERROR(__xludf.DUMMYFUNCTION("""COMPUTED_VALUE"""),"MS Haider TRADING HUB")</f>
        <v>MS Haider TRADING HUB</v>
      </c>
      <c r="C131" s="132">
        <f ca="1">IFERROR(__xludf.DUMMYFUNCTION("""COMPUTED_VALUE"""),50843)</f>
        <v>50843</v>
      </c>
      <c r="D131" s="132">
        <f ca="1">IFERROR(__xludf.DUMMYFUNCTION("""COMPUTED_VALUE"""),1)</f>
        <v>1</v>
      </c>
      <c r="E131" s="132" t="str">
        <f ca="1">IFERROR(__xludf.DUMMYFUNCTION("""COMPUTED_VALUE"""),"Deep Kumar")</f>
        <v>Deep Kumar</v>
      </c>
      <c r="F131" s="132" t="str">
        <f ca="1">IFERROR(__xludf.DUMMYFUNCTION("""COMPUTED_VALUE"""),"JAMMU AND KASHMIR")</f>
        <v>JAMMU AND KASHMIR</v>
      </c>
      <c r="G131" s="133">
        <f ca="1">IFERROR(__xludf.DUMMYFUNCTION("""COMPUTED_VALUE"""),50843)</f>
        <v>50843</v>
      </c>
      <c r="H131" s="28">
        <f ca="1">IFERROR(__xludf.DUMMYFUNCTION("""COMPUTED_VALUE"""),4236.91666666666)</f>
        <v>4236.9166666666597</v>
      </c>
      <c r="I131" s="41">
        <f ca="1">IFERROR(__xludf.DUMMYFUNCTION("""COMPUTED_VALUE"""),951105)</f>
        <v>951105</v>
      </c>
      <c r="J131" s="41"/>
      <c r="K131" s="21">
        <f t="shared" ca="1" si="1"/>
        <v>-900262</v>
      </c>
      <c r="L131" s="116">
        <f t="shared" ca="1" si="2"/>
        <v>-17.706704954467675</v>
      </c>
    </row>
    <row r="132" spans="1:12" ht="13.2">
      <c r="A132" s="21" t="e">
        <f ca="1"/>
        <v>#NAME?</v>
      </c>
      <c r="B132" s="21" t="str">
        <f ca="1">IFERROR(__xludf.DUMMYFUNCTION("""COMPUTED_VALUE"""),"Ms vashnavi Enterprise")</f>
        <v>Ms vashnavi Enterprise</v>
      </c>
      <c r="C132" s="132">
        <f ca="1">IFERROR(__xludf.DUMMYFUNCTION("""COMPUTED_VALUE"""),5678294)</f>
        <v>5678294</v>
      </c>
      <c r="D132" s="132">
        <f ca="1">IFERROR(__xludf.DUMMYFUNCTION("""COMPUTED_VALUE"""),2)</f>
        <v>2</v>
      </c>
      <c r="E132" s="132" t="str">
        <f ca="1">IFERROR(__xludf.DUMMYFUNCTION("""COMPUTED_VALUE"""),"PAWAN KUMAR, Vishant Bandhral")</f>
        <v>PAWAN KUMAR, Vishant Bandhral</v>
      </c>
      <c r="F132" s="132" t="str">
        <f ca="1">IFERROR(__xludf.DUMMYFUNCTION("""COMPUTED_VALUE"""),"JAMMU AND KASHMIR")</f>
        <v>JAMMU AND KASHMIR</v>
      </c>
      <c r="G132" s="133">
        <f ca="1">IFERROR(__xludf.DUMMYFUNCTION("""COMPUTED_VALUE"""),2839147)</f>
        <v>2839147</v>
      </c>
      <c r="H132" s="28">
        <f ca="1">IFERROR(__xludf.DUMMYFUNCTION("""COMPUTED_VALUE"""),236595.583333333)</f>
        <v>236595.58333333299</v>
      </c>
      <c r="I132" s="41">
        <f ca="1">IFERROR(__xludf.DUMMYFUNCTION("""COMPUTED_VALUE"""),3528840)</f>
        <v>3528840</v>
      </c>
      <c r="J132" s="41"/>
      <c r="K132" s="21">
        <f t="shared" ca="1" si="1"/>
        <v>2149454</v>
      </c>
      <c r="L132" s="116">
        <f t="shared" ca="1" si="2"/>
        <v>0.37853869489674186</v>
      </c>
    </row>
    <row r="133" spans="1:12" ht="13.2">
      <c r="A133" s="21" t="e">
        <f ca="1"/>
        <v>#NAME?</v>
      </c>
      <c r="B133" s="21" t="str">
        <f ca="1">IFERROR(__xludf.DUMMYFUNCTION("""COMPUTED_VALUE"""),"N G Enterprises")</f>
        <v>N G Enterprises</v>
      </c>
      <c r="C133" s="132">
        <f ca="1">IFERROR(__xludf.DUMMYFUNCTION("""COMPUTED_VALUE"""),11807578)</f>
        <v>11807578</v>
      </c>
      <c r="D133" s="132">
        <f ca="1">IFERROR(__xludf.DUMMYFUNCTION("""COMPUTED_VALUE"""),1)</f>
        <v>1</v>
      </c>
      <c r="E133" s="132" t="str">
        <f ca="1">IFERROR(__xludf.DUMMYFUNCTION("""COMPUTED_VALUE"""),"Kumar Avinish")</f>
        <v>Kumar Avinish</v>
      </c>
      <c r="F133" s="132" t="str">
        <f ca="1">IFERROR(__xludf.DUMMYFUNCTION("""COMPUTED_VALUE"""),"BIHAR")</f>
        <v>BIHAR</v>
      </c>
      <c r="G133" s="133">
        <f ca="1">IFERROR(__xludf.DUMMYFUNCTION("""COMPUTED_VALUE"""),11807578)</f>
        <v>11807578</v>
      </c>
      <c r="H133" s="28">
        <f ca="1">IFERROR(__xludf.DUMMYFUNCTION("""COMPUTED_VALUE"""),983964.833333333)</f>
        <v>983964.83333333302</v>
      </c>
      <c r="I133" s="41">
        <f ca="1">IFERROR(__xludf.DUMMYFUNCTION("""COMPUTED_VALUE"""),13757445)</f>
        <v>13757445</v>
      </c>
      <c r="J133" s="41"/>
      <c r="K133" s="21">
        <f t="shared" ca="1" si="1"/>
        <v>-1949867</v>
      </c>
      <c r="L133" s="116">
        <f t="shared" ca="1" si="2"/>
        <v>-0.1651369146153428</v>
      </c>
    </row>
    <row r="134" spans="1:12" ht="13.2">
      <c r="A134" s="21" t="e">
        <f ca="1"/>
        <v>#NAME?</v>
      </c>
      <c r="B134" s="21" t="str">
        <f ca="1">IFERROR(__xludf.DUMMYFUNCTION("""COMPUTED_VALUE"""),"Narayan Machinery Stores")</f>
        <v>Narayan Machinery Stores</v>
      </c>
      <c r="C134" s="132">
        <f ca="1">IFERROR(__xludf.DUMMYFUNCTION("""COMPUTED_VALUE"""),429985)</f>
        <v>429985</v>
      </c>
      <c r="D134" s="132">
        <f ca="1">IFERROR(__xludf.DUMMYFUNCTION("""COMPUTED_VALUE"""),1)</f>
        <v>1</v>
      </c>
      <c r="E134" s="132" t="str">
        <f ca="1">IFERROR(__xludf.DUMMYFUNCTION("""COMPUTED_VALUE"""),"Siddharth Shanker Singh")</f>
        <v>Siddharth Shanker Singh</v>
      </c>
      <c r="F134" s="132" t="str">
        <f ca="1">IFERROR(__xludf.DUMMYFUNCTION("""COMPUTED_VALUE"""),"East U.P")</f>
        <v>East U.P</v>
      </c>
      <c r="G134" s="133">
        <f ca="1">IFERROR(__xludf.DUMMYFUNCTION("""COMPUTED_VALUE"""),429985)</f>
        <v>429985</v>
      </c>
      <c r="H134" s="28">
        <f ca="1">IFERROR(__xludf.DUMMYFUNCTION("""COMPUTED_VALUE"""),35832.0833333333)</f>
        <v>35832.083333333299</v>
      </c>
      <c r="I134" s="41">
        <f ca="1">IFERROR(__xludf.DUMMYFUNCTION("""COMPUTED_VALUE"""),265674)</f>
        <v>265674</v>
      </c>
      <c r="J134" s="41"/>
      <c r="K134" s="21">
        <f t="shared" ca="1" si="1"/>
        <v>164311</v>
      </c>
      <c r="L134" s="116">
        <f t="shared" ca="1" si="2"/>
        <v>0.38213193483493613</v>
      </c>
    </row>
    <row r="135" spans="1:12" ht="13.2">
      <c r="A135" s="21" t="e">
        <f ca="1"/>
        <v>#NAME?</v>
      </c>
      <c r="B135" s="21" t="str">
        <f ca="1">IFERROR(__xludf.DUMMYFUNCTION("""COMPUTED_VALUE"""),"National Casting &amp; Metals")</f>
        <v>National Casting &amp; Metals</v>
      </c>
      <c r="C135" s="132">
        <f ca="1">IFERROR(__xludf.DUMMYFUNCTION("""COMPUTED_VALUE"""),52797514)</f>
        <v>52797514</v>
      </c>
      <c r="D135" s="132">
        <f ca="1">IFERROR(__xludf.DUMMYFUNCTION("""COMPUTED_VALUE"""),3)</f>
        <v>3</v>
      </c>
      <c r="E135" s="132" t="str">
        <f ca="1">IFERROR(__xludf.DUMMYFUNCTION("""COMPUTED_VALUE"""),"Nikhil Kumar, Sudhanshu Kumar, Vikash Kumar Singh")</f>
        <v>Nikhil Kumar, Sudhanshu Kumar, Vikash Kumar Singh</v>
      </c>
      <c r="F135" s="132" t="str">
        <f ca="1">IFERROR(__xludf.DUMMYFUNCTION("""COMPUTED_VALUE"""),"JHARKHAND")</f>
        <v>JHARKHAND</v>
      </c>
      <c r="G135" s="133">
        <f ca="1">IFERROR(__xludf.DUMMYFUNCTION("""COMPUTED_VALUE"""),17599171.3333333)</f>
        <v>17599171.333333299</v>
      </c>
      <c r="H135" s="28">
        <f ca="1">IFERROR(__xludf.DUMMYFUNCTION("""COMPUTED_VALUE"""),1466597.61111111)</f>
        <v>1466597.6111111101</v>
      </c>
      <c r="I135" s="41">
        <f ca="1">IFERROR(__xludf.DUMMYFUNCTION("""COMPUTED_VALUE"""),66499737)</f>
        <v>66499737</v>
      </c>
      <c r="J135" s="41"/>
      <c r="K135" s="21">
        <f t="shared" ca="1" si="1"/>
        <v>-13702223</v>
      </c>
      <c r="L135" s="116">
        <f t="shared" ca="1" si="2"/>
        <v>-0.25952401849829521</v>
      </c>
    </row>
    <row r="136" spans="1:12" ht="13.2">
      <c r="A136" s="21" t="e">
        <f ca="1"/>
        <v>#NAME?</v>
      </c>
      <c r="B136" s="21" t="str">
        <f ca="1">IFERROR(__xludf.DUMMYFUNCTION("""COMPUTED_VALUE"""),"National Machinery Stores")</f>
        <v>National Machinery Stores</v>
      </c>
      <c r="C136" s="132">
        <f ca="1">IFERROR(__xludf.DUMMYFUNCTION("""COMPUTED_VALUE"""),100021)</f>
        <v>100021</v>
      </c>
      <c r="D136" s="132">
        <f ca="1">IFERROR(__xludf.DUMMYFUNCTION("""COMPUTED_VALUE"""),1)</f>
        <v>1</v>
      </c>
      <c r="E136" s="132" t="str">
        <f ca="1">IFERROR(__xludf.DUMMYFUNCTION("""COMPUTED_VALUE"""),"Prabhakar Pratap Singh")</f>
        <v>Prabhakar Pratap Singh</v>
      </c>
      <c r="F136" s="132" t="str">
        <f ca="1">IFERROR(__xludf.DUMMYFUNCTION("""COMPUTED_VALUE"""),"BIHAR")</f>
        <v>BIHAR</v>
      </c>
      <c r="G136" s="133">
        <f ca="1">IFERROR(__xludf.DUMMYFUNCTION("""COMPUTED_VALUE"""),100021)</f>
        <v>100021</v>
      </c>
      <c r="H136" s="28">
        <f ca="1">IFERROR(__xludf.DUMMYFUNCTION("""COMPUTED_VALUE"""),8335.08333333333)</f>
        <v>8335.0833333333303</v>
      </c>
      <c r="I136" s="41">
        <f ca="1">IFERROR(__xludf.DUMMYFUNCTION("""COMPUTED_VALUE"""),7162627)</f>
        <v>7162627</v>
      </c>
      <c r="J136" s="41"/>
      <c r="K136" s="21">
        <f t="shared" ca="1" si="1"/>
        <v>-7062606</v>
      </c>
      <c r="L136" s="116">
        <f t="shared" ca="1" si="2"/>
        <v>-70.611231641355317</v>
      </c>
    </row>
    <row r="137" spans="1:12" ht="13.2">
      <c r="A137" s="21" t="e">
        <f ca="1"/>
        <v>#NAME?</v>
      </c>
      <c r="B137" s="21" t="str">
        <f ca="1">IFERROR(__xludf.DUMMYFUNCTION("""COMPUTED_VALUE"""),"Naveen Enterprises")</f>
        <v>Naveen Enterprises</v>
      </c>
      <c r="C137" s="132">
        <f ca="1">IFERROR(__xludf.DUMMYFUNCTION("""COMPUTED_VALUE"""),156525)</f>
        <v>156525</v>
      </c>
      <c r="D137" s="132">
        <f ca="1">IFERROR(__xludf.DUMMYFUNCTION("""COMPUTED_VALUE"""),1)</f>
        <v>1</v>
      </c>
      <c r="E137" s="132" t="str">
        <f ca="1">IFERROR(__xludf.DUMMYFUNCTION("""COMPUTED_VALUE"""),"SHOYKARAN NAI")</f>
        <v>SHOYKARAN NAI</v>
      </c>
      <c r="F137" s="132" t="str">
        <f ca="1">IFERROR(__xludf.DUMMYFUNCTION("""COMPUTED_VALUE"""),"RAJASTHAN")</f>
        <v>RAJASTHAN</v>
      </c>
      <c r="G137" s="133">
        <f ca="1">IFERROR(__xludf.DUMMYFUNCTION("""COMPUTED_VALUE"""),156525)</f>
        <v>156525</v>
      </c>
      <c r="H137" s="28">
        <f ca="1">IFERROR(__xludf.DUMMYFUNCTION("""COMPUTED_VALUE"""),13043.75)</f>
        <v>13043.75</v>
      </c>
      <c r="I137" s="41">
        <f ca="1">IFERROR(__xludf.DUMMYFUNCTION("""COMPUTED_VALUE"""),0)</f>
        <v>0</v>
      </c>
      <c r="J137" s="41"/>
      <c r="K137" s="21">
        <f t="shared" ca="1" si="1"/>
        <v>156525</v>
      </c>
      <c r="L137" s="116">
        <f t="shared" ca="1" si="2"/>
        <v>1</v>
      </c>
    </row>
    <row r="138" spans="1:12" ht="13.2">
      <c r="A138" s="21" t="e">
        <f ca="1"/>
        <v>#NAME?</v>
      </c>
      <c r="B138" s="21" t="str">
        <f ca="1">IFERROR(__xludf.DUMMYFUNCTION("""COMPUTED_VALUE"""),"NAVRANG INDUSTRIES INDIA")</f>
        <v>NAVRANG INDUSTRIES INDIA</v>
      </c>
      <c r="C138" s="132">
        <f ca="1">IFERROR(__xludf.DUMMYFUNCTION("""COMPUTED_VALUE"""),81999)</f>
        <v>81999</v>
      </c>
      <c r="D138" s="132">
        <f ca="1">IFERROR(__xludf.DUMMYFUNCTION("""COMPUTED_VALUE"""),1)</f>
        <v>1</v>
      </c>
      <c r="E138" s="132" t="str">
        <f ca="1">IFERROR(__xludf.DUMMYFUNCTION("""COMPUTED_VALUE"""),"Siddharth Shanker Singh")</f>
        <v>Siddharth Shanker Singh</v>
      </c>
      <c r="F138" s="132" t="str">
        <f ca="1">IFERROR(__xludf.DUMMYFUNCTION("""COMPUTED_VALUE"""),"East U.P")</f>
        <v>East U.P</v>
      </c>
      <c r="G138" s="133">
        <f ca="1">IFERROR(__xludf.DUMMYFUNCTION("""COMPUTED_VALUE"""),81999)</f>
        <v>81999</v>
      </c>
      <c r="H138" s="28">
        <f ca="1">IFERROR(__xludf.DUMMYFUNCTION("""COMPUTED_VALUE"""),6833.25)</f>
        <v>6833.25</v>
      </c>
      <c r="I138" s="41">
        <f ca="1">IFERROR(__xludf.DUMMYFUNCTION("""COMPUTED_VALUE"""),0)</f>
        <v>0</v>
      </c>
      <c r="J138" s="41" t="str">
        <f ca="1">IFERROR(__xludf.DUMMYFUNCTION("""COMPUTED_VALUE"""),"OLD STOCK")</f>
        <v>OLD STOCK</v>
      </c>
      <c r="K138" s="21">
        <f t="shared" ca="1" si="1"/>
        <v>81999</v>
      </c>
      <c r="L138" s="116">
        <f t="shared" ca="1" si="2"/>
        <v>1</v>
      </c>
    </row>
    <row r="139" spans="1:12" ht="13.2">
      <c r="A139" s="21" t="e">
        <f ca="1"/>
        <v>#NAME?</v>
      </c>
      <c r="B139" s="21" t="str">
        <f ca="1">IFERROR(__xludf.DUMMYFUNCTION("""COMPUTED_VALUE"""),"NAYRA ENTERPRISES")</f>
        <v>NAYRA ENTERPRISES</v>
      </c>
      <c r="C139" s="132">
        <f ca="1">IFERROR(__xludf.DUMMYFUNCTION("""COMPUTED_VALUE"""),634223)</f>
        <v>634223</v>
      </c>
      <c r="D139" s="132">
        <f ca="1">IFERROR(__xludf.DUMMYFUNCTION("""COMPUTED_VALUE"""),1)</f>
        <v>1</v>
      </c>
      <c r="E139" s="132" t="str">
        <f ca="1">IFERROR(__xludf.DUMMYFUNCTION("""COMPUTED_VALUE"""),"Manish Kumar Trivedi")</f>
        <v>Manish Kumar Trivedi</v>
      </c>
      <c r="F139" s="132" t="str">
        <f ca="1">IFERROR(__xludf.DUMMYFUNCTION("""COMPUTED_VALUE"""),"RAJASTHAN")</f>
        <v>RAJASTHAN</v>
      </c>
      <c r="G139" s="133">
        <f ca="1">IFERROR(__xludf.DUMMYFUNCTION("""COMPUTED_VALUE"""),634223)</f>
        <v>634223</v>
      </c>
      <c r="H139" s="28">
        <f ca="1">IFERROR(__xludf.DUMMYFUNCTION("""COMPUTED_VALUE"""),52851.9166666666)</f>
        <v>52851.916666666599</v>
      </c>
      <c r="I139" s="41">
        <f ca="1">IFERROR(__xludf.DUMMYFUNCTION("""COMPUTED_VALUE"""),4556895)</f>
        <v>4556895</v>
      </c>
      <c r="J139" s="41"/>
      <c r="K139" s="21">
        <f t="shared" ca="1" si="1"/>
        <v>-3922672</v>
      </c>
      <c r="L139" s="116">
        <f t="shared" ca="1" si="2"/>
        <v>-6.1850043281306419</v>
      </c>
    </row>
    <row r="140" spans="1:12" ht="13.2">
      <c r="A140" s="21" t="e">
        <f ca="1"/>
        <v>#NAME?</v>
      </c>
      <c r="B140" s="21" t="str">
        <f ca="1">IFERROR(__xludf.DUMMYFUNCTION("""COMPUTED_VALUE"""),"Neelkanth Building Materials")</f>
        <v>Neelkanth Building Materials</v>
      </c>
      <c r="C140" s="132">
        <f ca="1">IFERROR(__xludf.DUMMYFUNCTION("""COMPUTED_VALUE"""),135738)</f>
        <v>135738</v>
      </c>
      <c r="D140" s="132">
        <f ca="1">IFERROR(__xludf.DUMMYFUNCTION("""COMPUTED_VALUE"""),2)</f>
        <v>2</v>
      </c>
      <c r="E140" s="132" t="str">
        <f ca="1">IFERROR(__xludf.DUMMYFUNCTION("""COMPUTED_VALUE"""),"Jagdish Palani, Dhaval Parmar")</f>
        <v>Jagdish Palani, Dhaval Parmar</v>
      </c>
      <c r="F140" s="132" t="str">
        <f ca="1">IFERROR(__xludf.DUMMYFUNCTION("""COMPUTED_VALUE"""),"GUJARAT")</f>
        <v>GUJARAT</v>
      </c>
      <c r="G140" s="133">
        <f ca="1">IFERROR(__xludf.DUMMYFUNCTION("""COMPUTED_VALUE"""),67869)</f>
        <v>67869</v>
      </c>
      <c r="H140" s="28">
        <f ca="1">IFERROR(__xludf.DUMMYFUNCTION("""COMPUTED_VALUE"""),5655.75)</f>
        <v>5655.75</v>
      </c>
      <c r="I140" s="41">
        <f ca="1">IFERROR(__xludf.DUMMYFUNCTION("""COMPUTED_VALUE"""),1022646)</f>
        <v>1022646</v>
      </c>
      <c r="J140" s="41"/>
      <c r="K140" s="21">
        <f t="shared" ca="1" si="1"/>
        <v>-886908</v>
      </c>
      <c r="L140" s="116">
        <f t="shared" ca="1" si="2"/>
        <v>-6.5339698536887241</v>
      </c>
    </row>
    <row r="141" spans="1:12" ht="13.2">
      <c r="A141" s="21" t="e">
        <f ca="1"/>
        <v>#NAME?</v>
      </c>
      <c r="B141" s="21" t="str">
        <f ca="1">IFERROR(__xludf.DUMMYFUNCTION("""COMPUTED_VALUE"""),"NEST MARKETING")</f>
        <v>NEST MARKETING</v>
      </c>
      <c r="C141" s="132">
        <f ca="1">IFERROR(__xludf.DUMMYFUNCTION("""COMPUTED_VALUE"""),3292530)</f>
        <v>3292530</v>
      </c>
      <c r="D141" s="132">
        <f ca="1">IFERROR(__xludf.DUMMYFUNCTION("""COMPUTED_VALUE"""),2)</f>
        <v>2</v>
      </c>
      <c r="E141" s="132" t="str">
        <f ca="1">IFERROR(__xludf.DUMMYFUNCTION("""COMPUTED_VALUE"""),"Mithun N., SREERAJ PV")</f>
        <v>Mithun N., SREERAJ PV</v>
      </c>
      <c r="F141" s="132" t="str">
        <f ca="1">IFERROR(__xludf.DUMMYFUNCTION("""COMPUTED_VALUE"""),"KERALA")</f>
        <v>KERALA</v>
      </c>
      <c r="G141" s="133">
        <f ca="1">IFERROR(__xludf.DUMMYFUNCTION("""COMPUTED_VALUE"""),1646265)</f>
        <v>1646265</v>
      </c>
      <c r="H141" s="28">
        <f ca="1">IFERROR(__xludf.DUMMYFUNCTION("""COMPUTED_VALUE"""),137188.75)</f>
        <v>137188.75</v>
      </c>
      <c r="I141" s="41">
        <f ca="1">IFERROR(__xludf.DUMMYFUNCTION("""COMPUTED_VALUE"""),5091021)</f>
        <v>5091021</v>
      </c>
      <c r="J141" s="41"/>
      <c r="K141" s="21">
        <f t="shared" ca="1" si="1"/>
        <v>-1798491</v>
      </c>
      <c r="L141" s="116">
        <f t="shared" ca="1" si="2"/>
        <v>-0.54623374730070795</v>
      </c>
    </row>
    <row r="142" spans="1:12" ht="13.2">
      <c r="A142" s="21" t="e">
        <f ca="1"/>
        <v>#NAME?</v>
      </c>
      <c r="B142" s="21" t="str">
        <f ca="1">IFERROR(__xludf.DUMMYFUNCTION("""COMPUTED_VALUE"""),"New Bharat Pipe")</f>
        <v>New Bharat Pipe</v>
      </c>
      <c r="C142" s="132">
        <f ca="1">IFERROR(__xludf.DUMMYFUNCTION("""COMPUTED_VALUE"""),24267827)</f>
        <v>24267827</v>
      </c>
      <c r="D142" s="132">
        <f ca="1">IFERROR(__xludf.DUMMYFUNCTION("""COMPUTED_VALUE"""),3)</f>
        <v>3</v>
      </c>
      <c r="E142" s="132" t="str">
        <f ca="1">IFERROR(__xludf.DUMMYFUNCTION("""COMPUTED_VALUE"""),"ARUPANANDA MANDAL, Rajkumar Dari, JAHIR ABBAS HALDER")</f>
        <v>ARUPANANDA MANDAL, Rajkumar Dari, JAHIR ABBAS HALDER</v>
      </c>
      <c r="F142" s="132" t="str">
        <f ca="1">IFERROR(__xludf.DUMMYFUNCTION("""COMPUTED_VALUE"""),"WEST BENGAL")</f>
        <v>WEST BENGAL</v>
      </c>
      <c r="G142" s="133">
        <f ca="1">IFERROR(__xludf.DUMMYFUNCTION("""COMPUTED_VALUE"""),8089275.66666666)</f>
        <v>8089275.6666666605</v>
      </c>
      <c r="H142" s="28">
        <f ca="1">IFERROR(__xludf.DUMMYFUNCTION("""COMPUTED_VALUE"""),674106.305555555)</f>
        <v>674106.30555555504</v>
      </c>
      <c r="I142" s="41">
        <f ca="1">IFERROR(__xludf.DUMMYFUNCTION("""COMPUTED_VALUE"""),11959312)</f>
        <v>11959312</v>
      </c>
      <c r="J142" s="41"/>
      <c r="K142" s="21">
        <f t="shared" ca="1" si="1"/>
        <v>12308515</v>
      </c>
      <c r="L142" s="116">
        <f t="shared" ca="1" si="2"/>
        <v>0.50719477273346314</v>
      </c>
    </row>
    <row r="143" spans="1:12" ht="13.2">
      <c r="A143" s="21" t="e">
        <f ca="1"/>
        <v>#NAME?</v>
      </c>
      <c r="B143" s="21" t="str">
        <f ca="1">IFERROR(__xludf.DUMMYFUNCTION("""COMPUTED_VALUE"""),"New Chirag Katna Traders")</f>
        <v>New Chirag Katna Traders</v>
      </c>
      <c r="C143" s="132">
        <f ca="1">IFERROR(__xludf.DUMMYFUNCTION("""COMPUTED_VALUE"""),2034320)</f>
        <v>2034320</v>
      </c>
      <c r="D143" s="132">
        <f ca="1">IFERROR(__xludf.DUMMYFUNCTION("""COMPUTED_VALUE"""),1)</f>
        <v>1</v>
      </c>
      <c r="E143" s="132" t="str">
        <f ca="1">IFERROR(__xludf.DUMMYFUNCTION("""COMPUTED_VALUE"""),"Jagdeep Singh")</f>
        <v>Jagdeep Singh</v>
      </c>
      <c r="F143" s="132" t="str">
        <f ca="1">IFERROR(__xludf.DUMMYFUNCTION("""COMPUTED_VALUE"""),"HIMACHAL PRADESH")</f>
        <v>HIMACHAL PRADESH</v>
      </c>
      <c r="G143" s="133">
        <f ca="1">IFERROR(__xludf.DUMMYFUNCTION("""COMPUTED_VALUE"""),2034320)</f>
        <v>2034320</v>
      </c>
      <c r="H143" s="28">
        <f ca="1">IFERROR(__xludf.DUMMYFUNCTION("""COMPUTED_VALUE"""),169526.666666666)</f>
        <v>169526.66666666599</v>
      </c>
      <c r="I143" s="41">
        <f ca="1">IFERROR(__xludf.DUMMYFUNCTION("""COMPUTED_VALUE"""),11256210)</f>
        <v>11256210</v>
      </c>
      <c r="J143" s="41"/>
      <c r="K143" s="21">
        <f t="shared" ca="1" si="1"/>
        <v>-9221890</v>
      </c>
      <c r="L143" s="116">
        <f t="shared" ca="1" si="2"/>
        <v>-4.5331560423138937</v>
      </c>
    </row>
    <row r="144" spans="1:12" ht="13.2">
      <c r="A144" s="21" t="e">
        <f ca="1"/>
        <v>#NAME?</v>
      </c>
      <c r="B144" s="21" t="str">
        <f ca="1">IFERROR(__xludf.DUMMYFUNCTION("""COMPUTED_VALUE"""),"New Ravi Trading Co.")</f>
        <v>New Ravi Trading Co.</v>
      </c>
      <c r="C144" s="132">
        <f ca="1">IFERROR(__xludf.DUMMYFUNCTION("""COMPUTED_VALUE"""),11788178)</f>
        <v>11788178</v>
      </c>
      <c r="D144" s="132">
        <f ca="1">IFERROR(__xludf.DUMMYFUNCTION("""COMPUTED_VALUE"""),1)</f>
        <v>1</v>
      </c>
      <c r="E144" s="132" t="str">
        <f ca="1">IFERROR(__xludf.DUMMYFUNCTION("""COMPUTED_VALUE"""),"Vishal Dheer")</f>
        <v>Vishal Dheer</v>
      </c>
      <c r="F144" s="132" t="str">
        <f ca="1">IFERROR(__xludf.DUMMYFUNCTION("""COMPUTED_VALUE"""),"East U.P")</f>
        <v>East U.P</v>
      </c>
      <c r="G144" s="133">
        <f ca="1">IFERROR(__xludf.DUMMYFUNCTION("""COMPUTED_VALUE"""),11788178)</f>
        <v>11788178</v>
      </c>
      <c r="H144" s="28">
        <f ca="1">IFERROR(__xludf.DUMMYFUNCTION("""COMPUTED_VALUE"""),982348.166666666)</f>
        <v>982348.16666666605</v>
      </c>
      <c r="I144" s="41">
        <f ca="1">IFERROR(__xludf.DUMMYFUNCTION("""COMPUTED_VALUE"""),20713818)</f>
        <v>20713818</v>
      </c>
      <c r="J144" s="41"/>
      <c r="K144" s="21">
        <f t="shared" ca="1" si="1"/>
        <v>-8925640</v>
      </c>
      <c r="L144" s="116">
        <f t="shared" ca="1" si="2"/>
        <v>-0.75716874991198813</v>
      </c>
    </row>
    <row r="145" spans="1:12" ht="13.2">
      <c r="A145" s="21" t="e">
        <f ca="1"/>
        <v>#NAME?</v>
      </c>
      <c r="B145" s="21" t="str">
        <f ca="1">IFERROR(__xludf.DUMMYFUNCTION("""COMPUTED_VALUE"""),"Nexus distributors")</f>
        <v>Nexus distributors</v>
      </c>
      <c r="C145" s="132">
        <f ca="1">IFERROR(__xludf.DUMMYFUNCTION("""COMPUTED_VALUE"""),4343991)</f>
        <v>4343991</v>
      </c>
      <c r="D145" s="132">
        <f ca="1">IFERROR(__xludf.DUMMYFUNCTION("""COMPUTED_VALUE"""),1)</f>
        <v>1</v>
      </c>
      <c r="E145" s="132" t="str">
        <f ca="1">IFERROR(__xludf.DUMMYFUNCTION("""COMPUTED_VALUE"""),"Girish B")</f>
        <v>Girish B</v>
      </c>
      <c r="F145" s="132" t="str">
        <f ca="1">IFERROR(__xludf.DUMMYFUNCTION("""COMPUTED_VALUE"""),"KERALA")</f>
        <v>KERALA</v>
      </c>
      <c r="G145" s="133">
        <f ca="1">IFERROR(__xludf.DUMMYFUNCTION("""COMPUTED_VALUE"""),4343991)</f>
        <v>4343991</v>
      </c>
      <c r="H145" s="28">
        <f ca="1">IFERROR(__xludf.DUMMYFUNCTION("""COMPUTED_VALUE"""),361999.25)</f>
        <v>361999.25</v>
      </c>
      <c r="I145" s="41">
        <f ca="1">IFERROR(__xludf.DUMMYFUNCTION("""COMPUTED_VALUE"""),12898025)</f>
        <v>12898025</v>
      </c>
      <c r="J145" s="41"/>
      <c r="K145" s="21">
        <f t="shared" ca="1" si="1"/>
        <v>-8554034</v>
      </c>
      <c r="L145" s="116">
        <f t="shared" ca="1" si="2"/>
        <v>-1.9691647611608771</v>
      </c>
    </row>
    <row r="146" spans="1:12" ht="13.2">
      <c r="A146" s="21" t="e">
        <f ca="1"/>
        <v>#NAME?</v>
      </c>
      <c r="B146" s="21" t="str">
        <f ca="1">IFERROR(__xludf.DUMMYFUNCTION("""COMPUTED_VALUE"""),"Nitin traders")</f>
        <v>Nitin traders</v>
      </c>
      <c r="C146" s="132">
        <f ca="1">IFERROR(__xludf.DUMMYFUNCTION("""COMPUTED_VALUE"""),10572078)</f>
        <v>10572078</v>
      </c>
      <c r="D146" s="132">
        <f ca="1">IFERROR(__xludf.DUMMYFUNCTION("""COMPUTED_VALUE"""),1)</f>
        <v>1</v>
      </c>
      <c r="E146" s="132" t="str">
        <f ca="1">IFERROR(__xludf.DUMMYFUNCTION("""COMPUTED_VALUE"""),"Jagdev")</f>
        <v>Jagdev</v>
      </c>
      <c r="F146" s="132" t="str">
        <f ca="1">IFERROR(__xludf.DUMMYFUNCTION("""COMPUTED_VALUE"""),"West U.P")</f>
        <v>West U.P</v>
      </c>
      <c r="G146" s="133">
        <f ca="1">IFERROR(__xludf.DUMMYFUNCTION("""COMPUTED_VALUE"""),10572078)</f>
        <v>10572078</v>
      </c>
      <c r="H146" s="28">
        <f ca="1">IFERROR(__xludf.DUMMYFUNCTION("""COMPUTED_VALUE"""),881006.5)</f>
        <v>881006.5</v>
      </c>
      <c r="I146" s="41">
        <f ca="1">IFERROR(__xludf.DUMMYFUNCTION("""COMPUTED_VALUE"""),10250536)</f>
        <v>10250536</v>
      </c>
      <c r="J146" s="41"/>
      <c r="K146" s="21">
        <f t="shared" ca="1" si="1"/>
        <v>321542</v>
      </c>
      <c r="L146" s="116">
        <f t="shared" ca="1" si="2"/>
        <v>3.0414266712750323E-2</v>
      </c>
    </row>
    <row r="147" spans="1:12" ht="13.2">
      <c r="A147" s="21" t="e">
        <f ca="1"/>
        <v>#NAME?</v>
      </c>
      <c r="B147" s="21" t="str">
        <f ca="1">IFERROR(__xludf.DUMMYFUNCTION("""COMPUTED_VALUE"""),"Nomani Hardware")</f>
        <v>Nomani Hardware</v>
      </c>
      <c r="C147" s="132">
        <f ca="1">IFERROR(__xludf.DUMMYFUNCTION("""COMPUTED_VALUE"""),296822)</f>
        <v>296822</v>
      </c>
      <c r="D147" s="132">
        <f ca="1">IFERROR(__xludf.DUMMYFUNCTION("""COMPUTED_VALUE"""),1)</f>
        <v>1</v>
      </c>
      <c r="E147" s="132" t="str">
        <f ca="1">IFERROR(__xludf.DUMMYFUNCTION("""COMPUTED_VALUE"""),"Sandeep Amrut Sonawane")</f>
        <v>Sandeep Amrut Sonawane</v>
      </c>
      <c r="F147" s="132" t="str">
        <f ca="1">IFERROR(__xludf.DUMMYFUNCTION("""COMPUTED_VALUE"""),"MAHARASHTRA")</f>
        <v>MAHARASHTRA</v>
      </c>
      <c r="G147" s="133">
        <f ca="1">IFERROR(__xludf.DUMMYFUNCTION("""COMPUTED_VALUE"""),296822)</f>
        <v>296822</v>
      </c>
      <c r="H147" s="28">
        <f ca="1">IFERROR(__xludf.DUMMYFUNCTION("""COMPUTED_VALUE"""),24735.1666666666)</f>
        <v>24735.166666666599</v>
      </c>
      <c r="I147" s="41">
        <f ca="1">IFERROR(__xludf.DUMMYFUNCTION("""COMPUTED_VALUE"""),0)</f>
        <v>0</v>
      </c>
      <c r="J147" s="41"/>
      <c r="K147" s="21">
        <f t="shared" ca="1" si="1"/>
        <v>296822</v>
      </c>
      <c r="L147" s="116">
        <f t="shared" ca="1" si="2"/>
        <v>1</v>
      </c>
    </row>
    <row r="148" spans="1:12" ht="13.2">
      <c r="A148" s="21" t="e">
        <f ca="1"/>
        <v>#NAME?</v>
      </c>
      <c r="B148" s="21" t="str">
        <f ca="1">IFERROR(__xludf.DUMMYFUNCTION("""COMPUTED_VALUE"""),"Om marketing")</f>
        <v>Om marketing</v>
      </c>
      <c r="C148" s="132">
        <f ca="1">IFERROR(__xludf.DUMMYFUNCTION("""COMPUTED_VALUE"""),503049)</f>
        <v>503049</v>
      </c>
      <c r="D148" s="132">
        <f ca="1">IFERROR(__xludf.DUMMYFUNCTION("""COMPUTED_VALUE"""),2)</f>
        <v>2</v>
      </c>
      <c r="E148" s="132" t="str">
        <f ca="1">IFERROR(__xludf.DUMMYFUNCTION("""COMPUTED_VALUE"""),"K.Hussain Babu, S.Tirumala Rao")</f>
        <v>K.Hussain Babu, S.Tirumala Rao</v>
      </c>
      <c r="F148" s="132" t="str">
        <f ca="1">IFERROR(__xludf.DUMMYFUNCTION("""COMPUTED_VALUE"""),"ANDHRA PRADESH")</f>
        <v>ANDHRA PRADESH</v>
      </c>
      <c r="G148" s="133">
        <f ca="1">IFERROR(__xludf.DUMMYFUNCTION("""COMPUTED_VALUE"""),251524.5)</f>
        <v>251524.5</v>
      </c>
      <c r="H148" s="28">
        <f ca="1">IFERROR(__xludf.DUMMYFUNCTION("""COMPUTED_VALUE"""),20960.375)</f>
        <v>20960.375</v>
      </c>
      <c r="I148" s="41">
        <f ca="1">IFERROR(__xludf.DUMMYFUNCTION("""COMPUTED_VALUE"""),0)</f>
        <v>0</v>
      </c>
      <c r="J148" s="41" t="str">
        <f ca="1">IFERROR(__xludf.DUMMYFUNCTION("""COMPUTED_VALUE"""),"OLD STOCK")</f>
        <v>OLD STOCK</v>
      </c>
      <c r="K148" s="21">
        <f t="shared" ca="1" si="1"/>
        <v>503049</v>
      </c>
      <c r="L148" s="116">
        <f t="shared" ca="1" si="2"/>
        <v>1</v>
      </c>
    </row>
    <row r="149" spans="1:12" ht="13.2">
      <c r="A149" s="21" t="e">
        <f ca="1"/>
        <v>#NAME?</v>
      </c>
      <c r="B149" s="21" t="str">
        <f ca="1">IFERROR(__xludf.DUMMYFUNCTION("""COMPUTED_VALUE"""),"Om Sales")</f>
        <v>Om Sales</v>
      </c>
      <c r="C149" s="132">
        <f ca="1">IFERROR(__xludf.DUMMYFUNCTION("""COMPUTED_VALUE"""),244185)</f>
        <v>244185</v>
      </c>
      <c r="D149" s="132">
        <f ca="1">IFERROR(__xludf.DUMMYFUNCTION("""COMPUTED_VALUE"""),1)</f>
        <v>1</v>
      </c>
      <c r="E149" s="132" t="str">
        <f ca="1">IFERROR(__xludf.DUMMYFUNCTION("""COMPUTED_VALUE"""),"Bhavesh N Ranpara")</f>
        <v>Bhavesh N Ranpara</v>
      </c>
      <c r="F149" s="132" t="str">
        <f ca="1">IFERROR(__xludf.DUMMYFUNCTION("""COMPUTED_VALUE"""),"GUJARAT")</f>
        <v>GUJARAT</v>
      </c>
      <c r="G149" s="133">
        <f ca="1">IFERROR(__xludf.DUMMYFUNCTION("""COMPUTED_VALUE"""),244185)</f>
        <v>244185</v>
      </c>
      <c r="H149" s="28">
        <f ca="1">IFERROR(__xludf.DUMMYFUNCTION("""COMPUTED_VALUE"""),20348.75)</f>
        <v>20348.75</v>
      </c>
      <c r="I149" s="41">
        <f ca="1">IFERROR(__xludf.DUMMYFUNCTION("""COMPUTED_VALUE"""),3315244)</f>
        <v>3315244</v>
      </c>
      <c r="J149" s="41"/>
      <c r="K149" s="21">
        <f t="shared" ca="1" si="1"/>
        <v>-3071059</v>
      </c>
      <c r="L149" s="116">
        <f t="shared" ca="1" si="2"/>
        <v>-12.576771709973995</v>
      </c>
    </row>
    <row r="150" spans="1:12" ht="13.2">
      <c r="A150" s="21" t="e">
        <f ca="1"/>
        <v>#NAME?</v>
      </c>
      <c r="B150" s="21" t="str">
        <f ca="1">IFERROR(__xludf.DUMMYFUNCTION("""COMPUTED_VALUE"""),"P S Corporation(Calicut)")</f>
        <v>P S Corporation(Calicut)</v>
      </c>
      <c r="C150" s="132">
        <f ca="1">IFERROR(__xludf.DUMMYFUNCTION("""COMPUTED_VALUE"""),12971351)</f>
        <v>12971351</v>
      </c>
      <c r="D150" s="132">
        <f ca="1">IFERROR(__xludf.DUMMYFUNCTION("""COMPUTED_VALUE"""),6)</f>
        <v>6</v>
      </c>
      <c r="E150" s="132" t="str">
        <f ca="1">IFERROR(__xludf.DUMMYFUNCTION("""COMPUTED_VALUE"""),"Ameerali Ek (Off Roll), Arjunkumar K M, Mithun N., Ravi Kumar P (Off Roll), Shafeeq Parengal, SREERAJ PV")</f>
        <v>Ameerali Ek (Off Roll), Arjunkumar K M, Mithun N., Ravi Kumar P (Off Roll), Shafeeq Parengal, SREERAJ PV</v>
      </c>
      <c r="F150" s="132" t="str">
        <f ca="1">IFERROR(__xludf.DUMMYFUNCTION("""COMPUTED_VALUE"""),"KERALA")</f>
        <v>KERALA</v>
      </c>
      <c r="G150" s="133">
        <f ca="1">IFERROR(__xludf.DUMMYFUNCTION("""COMPUTED_VALUE"""),2161891.83333333)</f>
        <v>2161891.8333333302</v>
      </c>
      <c r="H150" s="28">
        <f ca="1">IFERROR(__xludf.DUMMYFUNCTION("""COMPUTED_VALUE"""),180157.652777777)</f>
        <v>180157.652777777</v>
      </c>
      <c r="I150" s="41">
        <f ca="1">IFERROR(__xludf.DUMMYFUNCTION("""COMPUTED_VALUE"""),7781388)</f>
        <v>7781388</v>
      </c>
      <c r="J150" s="41"/>
      <c r="K150" s="21">
        <f t="shared" ca="1" si="1"/>
        <v>5189963</v>
      </c>
      <c r="L150" s="116">
        <f t="shared" ca="1" si="2"/>
        <v>0.40010967246202805</v>
      </c>
    </row>
    <row r="151" spans="1:12" ht="13.2">
      <c r="A151" s="21" t="e">
        <f ca="1"/>
        <v>#NAME?</v>
      </c>
      <c r="B151" s="21" t="str">
        <f ca="1">IFERROR(__xludf.DUMMYFUNCTION("""COMPUTED_VALUE"""),"Paras Agencies")</f>
        <v>Paras Agencies</v>
      </c>
      <c r="C151" s="132">
        <f ca="1">IFERROR(__xludf.DUMMYFUNCTION("""COMPUTED_VALUE"""),1132066)</f>
        <v>1132066</v>
      </c>
      <c r="D151" s="132">
        <f ca="1">IFERROR(__xludf.DUMMYFUNCTION("""COMPUTED_VALUE"""),1)</f>
        <v>1</v>
      </c>
      <c r="E151" s="132" t="str">
        <f ca="1">IFERROR(__xludf.DUMMYFUNCTION("""COMPUTED_VALUE"""),"Shivam Chauhan")</f>
        <v>Shivam Chauhan</v>
      </c>
      <c r="F151" s="132" t="str">
        <f ca="1">IFERROR(__xludf.DUMMYFUNCTION("""COMPUTED_VALUE"""),"UTTARAKHAND")</f>
        <v>UTTARAKHAND</v>
      </c>
      <c r="G151" s="133">
        <f ca="1">IFERROR(__xludf.DUMMYFUNCTION("""COMPUTED_VALUE"""),1132066)</f>
        <v>1132066</v>
      </c>
      <c r="H151" s="28">
        <f ca="1">IFERROR(__xludf.DUMMYFUNCTION("""COMPUTED_VALUE"""),94338.8333333333)</f>
        <v>94338.833333333299</v>
      </c>
      <c r="I151" s="41">
        <f ca="1">IFERROR(__xludf.DUMMYFUNCTION("""COMPUTED_VALUE"""),2346630)</f>
        <v>2346630</v>
      </c>
      <c r="J151" s="41"/>
      <c r="K151" s="21">
        <f t="shared" ca="1" si="1"/>
        <v>-1214564</v>
      </c>
      <c r="L151" s="116">
        <f t="shared" ca="1" si="2"/>
        <v>-1.0728738430444869</v>
      </c>
    </row>
    <row r="152" spans="1:12" ht="13.2">
      <c r="A152" s="21" t="e">
        <f ca="1"/>
        <v>#NAME?</v>
      </c>
      <c r="B152" s="21" t="str">
        <f ca="1">IFERROR(__xludf.DUMMYFUNCTION("""COMPUTED_VALUE"""),"Paras Traders")</f>
        <v>Paras Traders</v>
      </c>
      <c r="C152" s="132">
        <f ca="1">IFERROR(__xludf.DUMMYFUNCTION("""COMPUTED_VALUE"""),431142)</f>
        <v>431142</v>
      </c>
      <c r="D152" s="132">
        <f ca="1">IFERROR(__xludf.DUMMYFUNCTION("""COMPUTED_VALUE"""),1)</f>
        <v>1</v>
      </c>
      <c r="E152" s="132" t="str">
        <f ca="1">IFERROR(__xludf.DUMMYFUNCTION("""COMPUTED_VALUE"""),"Swapnil Rajput")</f>
        <v>Swapnil Rajput</v>
      </c>
      <c r="F152" s="132" t="str">
        <f ca="1">IFERROR(__xludf.DUMMYFUNCTION("""COMPUTED_VALUE"""),"MAHARASHTRA")</f>
        <v>MAHARASHTRA</v>
      </c>
      <c r="G152" s="133">
        <f ca="1">IFERROR(__xludf.DUMMYFUNCTION("""COMPUTED_VALUE"""),431142)</f>
        <v>431142</v>
      </c>
      <c r="H152" s="28">
        <f ca="1">IFERROR(__xludf.DUMMYFUNCTION("""COMPUTED_VALUE"""),35928.5)</f>
        <v>35928.5</v>
      </c>
      <c r="I152" s="41">
        <f ca="1">IFERROR(__xludf.DUMMYFUNCTION("""COMPUTED_VALUE"""),557461)</f>
        <v>557461</v>
      </c>
      <c r="J152" s="41"/>
      <c r="K152" s="21">
        <f t="shared" ca="1" si="1"/>
        <v>-126319</v>
      </c>
      <c r="L152" s="116">
        <f t="shared" ca="1" si="2"/>
        <v>-0.29298699732338768</v>
      </c>
    </row>
    <row r="153" spans="1:12" ht="13.2">
      <c r="A153" s="21" t="e">
        <f ca="1"/>
        <v>#NAME?</v>
      </c>
      <c r="B153" s="21" t="str">
        <f ca="1">IFERROR(__xludf.DUMMYFUNCTION("""COMPUTED_VALUE"""),"Parvarika sales private limited")</f>
        <v>Parvarika sales private limited</v>
      </c>
      <c r="C153" s="132">
        <f ca="1">IFERROR(__xludf.DUMMYFUNCTION("""COMPUTED_VALUE"""),163363)</f>
        <v>163363</v>
      </c>
      <c r="D153" s="132">
        <f ca="1">IFERROR(__xludf.DUMMYFUNCTION("""COMPUTED_VALUE"""),1)</f>
        <v>1</v>
      </c>
      <c r="E153" s="132" t="str">
        <f ca="1">IFERROR(__xludf.DUMMYFUNCTION("""COMPUTED_VALUE"""),"Tarun Giri")</f>
        <v>Tarun Giri</v>
      </c>
      <c r="F153" s="132" t="str">
        <f ca="1">IFERROR(__xludf.DUMMYFUNCTION("""COMPUTED_VALUE"""),"West U.P")</f>
        <v>West U.P</v>
      </c>
      <c r="G153" s="133">
        <f ca="1">IFERROR(__xludf.DUMMYFUNCTION("""COMPUTED_VALUE"""),163363)</f>
        <v>163363</v>
      </c>
      <c r="H153" s="28">
        <f ca="1">IFERROR(__xludf.DUMMYFUNCTION("""COMPUTED_VALUE"""),13613.5833333333)</f>
        <v>13613.583333333299</v>
      </c>
      <c r="I153" s="41">
        <f ca="1">IFERROR(__xludf.DUMMYFUNCTION("""COMPUTED_VALUE"""),809570)</f>
        <v>809570</v>
      </c>
      <c r="J153" s="41"/>
      <c r="K153" s="21">
        <f t="shared" ca="1" si="1"/>
        <v>-646207</v>
      </c>
      <c r="L153" s="116">
        <f t="shared" ca="1" si="2"/>
        <v>-3.9556509123853014</v>
      </c>
    </row>
    <row r="154" spans="1:12" ht="13.2">
      <c r="A154" s="21" t="e">
        <f ca="1"/>
        <v>#NAME?</v>
      </c>
      <c r="B154" s="21" t="str">
        <f ca="1">IFERROR(__xludf.DUMMYFUNCTION("""COMPUTED_VALUE"""),"Patel Associates")</f>
        <v>Patel Associates</v>
      </c>
      <c r="C154" s="132">
        <f ca="1">IFERROR(__xludf.DUMMYFUNCTION("""COMPUTED_VALUE"""),24003)</f>
        <v>24003</v>
      </c>
      <c r="D154" s="132">
        <f ca="1">IFERROR(__xludf.DUMMYFUNCTION("""COMPUTED_VALUE"""),1)</f>
        <v>1</v>
      </c>
      <c r="E154" s="132" t="str">
        <f ca="1">IFERROR(__xludf.DUMMYFUNCTION("""COMPUTED_VALUE"""),"Devdutt Joshi")</f>
        <v>Devdutt Joshi</v>
      </c>
      <c r="F154" s="132" t="str">
        <f ca="1">IFERROR(__xludf.DUMMYFUNCTION("""COMPUTED_VALUE"""),"GUJARAT")</f>
        <v>GUJARAT</v>
      </c>
      <c r="G154" s="133">
        <f ca="1">IFERROR(__xludf.DUMMYFUNCTION("""COMPUTED_VALUE"""),24003)</f>
        <v>24003</v>
      </c>
      <c r="H154" s="28">
        <f ca="1">IFERROR(__xludf.DUMMYFUNCTION("""COMPUTED_VALUE"""),2000.25)</f>
        <v>2000.25</v>
      </c>
      <c r="I154" s="41">
        <f ca="1">IFERROR(__xludf.DUMMYFUNCTION("""COMPUTED_VALUE"""),0)</f>
        <v>0</v>
      </c>
      <c r="J154" s="41"/>
      <c r="K154" s="21">
        <f t="shared" ca="1" si="1"/>
        <v>24003</v>
      </c>
      <c r="L154" s="116">
        <f t="shared" ca="1" si="2"/>
        <v>1</v>
      </c>
    </row>
    <row r="155" spans="1:12" ht="13.2">
      <c r="A155" s="21" t="e">
        <f ca="1"/>
        <v>#NAME?</v>
      </c>
      <c r="B155" s="21" t="str">
        <f ca="1">IFERROR(__xludf.DUMMYFUNCTION("""COMPUTED_VALUE"""),"Payal sanitations")</f>
        <v>Payal sanitations</v>
      </c>
      <c r="C155" s="132">
        <f ca="1">IFERROR(__xludf.DUMMYFUNCTION("""COMPUTED_VALUE"""),30216)</f>
        <v>30216</v>
      </c>
      <c r="D155" s="132">
        <f ca="1">IFERROR(__xludf.DUMMYFUNCTION("""COMPUTED_VALUE"""),1)</f>
        <v>1</v>
      </c>
      <c r="E155" s="132" t="str">
        <f ca="1">IFERROR(__xludf.DUMMYFUNCTION("""COMPUTED_VALUE"""),"Vikash Gour")</f>
        <v>Vikash Gour</v>
      </c>
      <c r="F155" s="132" t="str">
        <f ca="1">IFERROR(__xludf.DUMMYFUNCTION("""COMPUTED_VALUE"""),"RAJASTHAN")</f>
        <v>RAJASTHAN</v>
      </c>
      <c r="G155" s="133">
        <f ca="1">IFERROR(__xludf.DUMMYFUNCTION("""COMPUTED_VALUE"""),30216)</f>
        <v>30216</v>
      </c>
      <c r="H155" s="28">
        <f ca="1">IFERROR(__xludf.DUMMYFUNCTION("""COMPUTED_VALUE"""),2518)</f>
        <v>2518</v>
      </c>
      <c r="I155" s="41">
        <f ca="1">IFERROR(__xludf.DUMMYFUNCTION("""COMPUTED_VALUE"""),0)</f>
        <v>0</v>
      </c>
      <c r="J155" s="41"/>
      <c r="K155" s="21">
        <f t="shared" ca="1" si="1"/>
        <v>30216</v>
      </c>
      <c r="L155" s="116">
        <f t="shared" ca="1" si="2"/>
        <v>1</v>
      </c>
    </row>
    <row r="156" spans="1:12" ht="13.2">
      <c r="A156" s="21" t="e">
        <f ca="1"/>
        <v>#NAME?</v>
      </c>
      <c r="B156" s="21" t="str">
        <f ca="1">IFERROR(__xludf.DUMMYFUNCTION("""COMPUTED_VALUE"""),"Perfect Sanitary")</f>
        <v>Perfect Sanitary</v>
      </c>
      <c r="C156" s="132">
        <f ca="1">IFERROR(__xludf.DUMMYFUNCTION("""COMPUTED_VALUE"""),2939676)</f>
        <v>2939676</v>
      </c>
      <c r="D156" s="132">
        <f ca="1">IFERROR(__xludf.DUMMYFUNCTION("""COMPUTED_VALUE"""),1)</f>
        <v>1</v>
      </c>
      <c r="E156" s="132" t="str">
        <f ca="1">IFERROR(__xludf.DUMMYFUNCTION("""COMPUTED_VALUE"""),"Rathod Vijaybhai")</f>
        <v>Rathod Vijaybhai</v>
      </c>
      <c r="F156" s="132" t="str">
        <f ca="1">IFERROR(__xludf.DUMMYFUNCTION("""COMPUTED_VALUE"""),"GUJARAT")</f>
        <v>GUJARAT</v>
      </c>
      <c r="G156" s="133">
        <f ca="1">IFERROR(__xludf.DUMMYFUNCTION("""COMPUTED_VALUE"""),2939676)</f>
        <v>2939676</v>
      </c>
      <c r="H156" s="28">
        <f ca="1">IFERROR(__xludf.DUMMYFUNCTION("""COMPUTED_VALUE"""),244973)</f>
        <v>244973</v>
      </c>
      <c r="I156" s="41">
        <f ca="1">IFERROR(__xludf.DUMMYFUNCTION("""COMPUTED_VALUE"""),4525430)</f>
        <v>4525430</v>
      </c>
      <c r="J156" s="41"/>
      <c r="K156" s="21">
        <f t="shared" ca="1" si="1"/>
        <v>-1585754</v>
      </c>
      <c r="L156" s="116">
        <f t="shared" ca="1" si="2"/>
        <v>-0.53943155640281448</v>
      </c>
    </row>
    <row r="157" spans="1:12" ht="13.2">
      <c r="A157" s="21" t="e">
        <f ca="1"/>
        <v>#NAME?</v>
      </c>
      <c r="B157" s="21" t="str">
        <f ca="1">IFERROR(__xludf.DUMMYFUNCTION("""COMPUTED_VALUE"""),"Pooja Trading Company")</f>
        <v>Pooja Trading Company</v>
      </c>
      <c r="C157" s="132">
        <f ca="1">IFERROR(__xludf.DUMMYFUNCTION("""COMPUTED_VALUE"""),2666823)</f>
        <v>2666823</v>
      </c>
      <c r="D157" s="132">
        <f ca="1">IFERROR(__xludf.DUMMYFUNCTION("""COMPUTED_VALUE"""),1)</f>
        <v>1</v>
      </c>
      <c r="E157" s="132" t="str">
        <f ca="1">IFERROR(__xludf.DUMMYFUNCTION("""COMPUTED_VALUE"""),"Ashutosh Kumar (Rudrapur)")</f>
        <v>Ashutosh Kumar (Rudrapur)</v>
      </c>
      <c r="F157" s="132" t="str">
        <f ca="1">IFERROR(__xludf.DUMMYFUNCTION("""COMPUTED_VALUE"""),"UTTARAKHAND")</f>
        <v>UTTARAKHAND</v>
      </c>
      <c r="G157" s="133">
        <f ca="1">IFERROR(__xludf.DUMMYFUNCTION("""COMPUTED_VALUE"""),2666823)</f>
        <v>2666823</v>
      </c>
      <c r="H157" s="28">
        <f ca="1">IFERROR(__xludf.DUMMYFUNCTION("""COMPUTED_VALUE"""),222235.25)</f>
        <v>222235.25</v>
      </c>
      <c r="I157" s="41">
        <f ca="1">IFERROR(__xludf.DUMMYFUNCTION("""COMPUTED_VALUE"""),5906328)</f>
        <v>5906328</v>
      </c>
      <c r="J157" s="41"/>
      <c r="K157" s="21">
        <f t="shared" ca="1" si="1"/>
        <v>-3239505</v>
      </c>
      <c r="L157" s="116">
        <f t="shared" ca="1" si="2"/>
        <v>-1.214743160682205</v>
      </c>
    </row>
    <row r="158" spans="1:12" ht="13.2">
      <c r="A158" s="21" t="e">
        <f ca="1"/>
        <v>#NAME?</v>
      </c>
      <c r="B158" s="21" t="str">
        <f ca="1">IFERROR(__xludf.DUMMYFUNCTION("""COMPUTED_VALUE"""),"Pradeep traders")</f>
        <v>Pradeep traders</v>
      </c>
      <c r="C158" s="132">
        <f ca="1">IFERROR(__xludf.DUMMYFUNCTION("""COMPUTED_VALUE"""),4697439)</f>
        <v>4697439</v>
      </c>
      <c r="D158" s="132">
        <f ca="1">IFERROR(__xludf.DUMMYFUNCTION("""COMPUTED_VALUE"""),1)</f>
        <v>1</v>
      </c>
      <c r="E158" s="132" t="str">
        <f ca="1">IFERROR(__xludf.DUMMYFUNCTION("""COMPUTED_VALUE"""),"Om dutt Dwivedi")</f>
        <v>Om dutt Dwivedi</v>
      </c>
      <c r="F158" s="132" t="str">
        <f ca="1">IFERROR(__xludf.DUMMYFUNCTION("""COMPUTED_VALUE"""),"East U.P")</f>
        <v>East U.P</v>
      </c>
      <c r="G158" s="133">
        <f ca="1">IFERROR(__xludf.DUMMYFUNCTION("""COMPUTED_VALUE"""),4697439)</f>
        <v>4697439</v>
      </c>
      <c r="H158" s="28">
        <f ca="1">IFERROR(__xludf.DUMMYFUNCTION("""COMPUTED_VALUE"""),391453.25)</f>
        <v>391453.25</v>
      </c>
      <c r="I158" s="41">
        <f ca="1">IFERROR(__xludf.DUMMYFUNCTION("""COMPUTED_VALUE"""),4473560)</f>
        <v>4473560</v>
      </c>
      <c r="J158" s="41"/>
      <c r="K158" s="21">
        <f t="shared" ca="1" si="1"/>
        <v>223879</v>
      </c>
      <c r="L158" s="116">
        <f t="shared" ca="1" si="2"/>
        <v>4.7659799307665306E-2</v>
      </c>
    </row>
    <row r="159" spans="1:12" ht="13.2">
      <c r="A159" s="21" t="e">
        <f ca="1"/>
        <v>#NAME?</v>
      </c>
      <c r="B159" s="21" t="str">
        <f ca="1">IFERROR(__xludf.DUMMYFUNCTION("""COMPUTED_VALUE"""),"Prakash Agencies")</f>
        <v>Prakash Agencies</v>
      </c>
      <c r="C159" s="132">
        <f ca="1">IFERROR(__xludf.DUMMYFUNCTION("""COMPUTED_VALUE"""),728279)</f>
        <v>728279</v>
      </c>
      <c r="D159" s="132">
        <f ca="1">IFERROR(__xludf.DUMMYFUNCTION("""COMPUTED_VALUE"""),1)</f>
        <v>1</v>
      </c>
      <c r="E159" s="132" t="str">
        <f ca="1">IFERROR(__xludf.DUMMYFUNCTION("""COMPUTED_VALUE"""),"Sunil Kumar")</f>
        <v>Sunil Kumar</v>
      </c>
      <c r="F159" s="132" t="str">
        <f ca="1">IFERROR(__xludf.DUMMYFUNCTION("""COMPUTED_VALUE"""),"MADHYA PRADESH")</f>
        <v>MADHYA PRADESH</v>
      </c>
      <c r="G159" s="133">
        <f ca="1">IFERROR(__xludf.DUMMYFUNCTION("""COMPUTED_VALUE"""),728279)</f>
        <v>728279</v>
      </c>
      <c r="H159" s="28">
        <f ca="1">IFERROR(__xludf.DUMMYFUNCTION("""COMPUTED_VALUE"""),60689.9166666666)</f>
        <v>60689.916666666599</v>
      </c>
      <c r="I159" s="41">
        <f ca="1">IFERROR(__xludf.DUMMYFUNCTION("""COMPUTED_VALUE"""),2422955)</f>
        <v>2422955</v>
      </c>
      <c r="J159" s="41"/>
      <c r="K159" s="21">
        <f t="shared" ca="1" si="1"/>
        <v>-1694676</v>
      </c>
      <c r="L159" s="116">
        <f t="shared" ca="1" si="2"/>
        <v>-2.3269598601634813</v>
      </c>
    </row>
    <row r="160" spans="1:12" ht="13.2">
      <c r="A160" s="21" t="e">
        <f ca="1"/>
        <v>#NAME?</v>
      </c>
      <c r="B160" s="21" t="str">
        <f ca="1">IFERROR(__xludf.DUMMYFUNCTION("""COMPUTED_VALUE"""),"PRAYAG DISTRIBUTORS")</f>
        <v>PRAYAG DISTRIBUTORS</v>
      </c>
      <c r="C160" s="132">
        <f ca="1">IFERROR(__xludf.DUMMYFUNCTION("""COMPUTED_VALUE"""),12354780)</f>
        <v>12354780</v>
      </c>
      <c r="D160" s="132">
        <f ca="1">IFERROR(__xludf.DUMMYFUNCTION("""COMPUTED_VALUE"""),1)</f>
        <v>1</v>
      </c>
      <c r="E160" s="132" t="str">
        <f ca="1">IFERROR(__xludf.DUMMYFUNCTION("""COMPUTED_VALUE"""),"Gulab singh")</f>
        <v>Gulab singh</v>
      </c>
      <c r="F160" s="132" t="str">
        <f ca="1">IFERROR(__xludf.DUMMYFUNCTION("""COMPUTED_VALUE"""),"HARYANA")</f>
        <v>HARYANA</v>
      </c>
      <c r="G160" s="133">
        <f ca="1">IFERROR(__xludf.DUMMYFUNCTION("""COMPUTED_VALUE"""),12354780)</f>
        <v>12354780</v>
      </c>
      <c r="H160" s="28">
        <f ca="1">IFERROR(__xludf.DUMMYFUNCTION("""COMPUTED_VALUE"""),1029565)</f>
        <v>1029565</v>
      </c>
      <c r="I160" s="41">
        <f ca="1">IFERROR(__xludf.DUMMYFUNCTION("""COMPUTED_VALUE"""),31508554)</f>
        <v>31508554</v>
      </c>
      <c r="J160" s="41"/>
      <c r="K160" s="21">
        <f t="shared" ca="1" si="1"/>
        <v>-19153774</v>
      </c>
      <c r="L160" s="116">
        <f t="shared" ca="1" si="2"/>
        <v>-1.5503128343847483</v>
      </c>
    </row>
    <row r="161" spans="1:12" ht="13.2">
      <c r="A161" s="21" t="e">
        <f ca="1"/>
        <v>#NAME?</v>
      </c>
      <c r="B161" s="21" t="str">
        <f ca="1">IFERROR(__xludf.DUMMYFUNCTION("""COMPUTED_VALUE"""),"PRAYAG MARKETING")</f>
        <v>PRAYAG MARKETING</v>
      </c>
      <c r="C161" s="132">
        <f ca="1">IFERROR(__xludf.DUMMYFUNCTION("""COMPUTED_VALUE"""),5501183)</f>
        <v>5501183</v>
      </c>
      <c r="D161" s="132">
        <f ca="1">IFERROR(__xludf.DUMMYFUNCTION("""COMPUTED_VALUE"""),1)</f>
        <v>1</v>
      </c>
      <c r="E161" s="132" t="str">
        <f ca="1">IFERROR(__xludf.DUMMYFUNCTION("""COMPUTED_VALUE"""),"Ravi Kumar P (Off Roll)")</f>
        <v>Ravi Kumar P (Off Roll)</v>
      </c>
      <c r="F161" s="132" t="str">
        <f ca="1">IFERROR(__xludf.DUMMYFUNCTION("""COMPUTED_VALUE"""),"KERALA")</f>
        <v>KERALA</v>
      </c>
      <c r="G161" s="133">
        <f ca="1">IFERROR(__xludf.DUMMYFUNCTION("""COMPUTED_VALUE"""),5501183)</f>
        <v>5501183</v>
      </c>
      <c r="H161" s="28">
        <f ca="1">IFERROR(__xludf.DUMMYFUNCTION("""COMPUTED_VALUE"""),458431.916666666)</f>
        <v>458431.91666666599</v>
      </c>
      <c r="I161" s="41">
        <f ca="1">IFERROR(__xludf.DUMMYFUNCTION("""COMPUTED_VALUE"""),3542903)</f>
        <v>3542903</v>
      </c>
      <c r="J161" s="41"/>
      <c r="K161" s="21">
        <f t="shared" ca="1" si="1"/>
        <v>1958280</v>
      </c>
      <c r="L161" s="116">
        <f t="shared" ca="1" si="2"/>
        <v>0.35597434224602237</v>
      </c>
    </row>
    <row r="162" spans="1:12" ht="13.2">
      <c r="A162" s="21" t="e">
        <f ca="1"/>
        <v>#NAME?</v>
      </c>
      <c r="B162" s="21" t="str">
        <f ca="1">IFERROR(__xludf.DUMMYFUNCTION("""COMPUTED_VALUE"""),"PRAYAG SALE CORPORATION NE")</f>
        <v>PRAYAG SALE CORPORATION NE</v>
      </c>
      <c r="C162" s="132">
        <f ca="1">IFERROR(__xludf.DUMMYFUNCTION("""COMPUTED_VALUE"""),87379115)</f>
        <v>87379115</v>
      </c>
      <c r="D162" s="132">
        <f ca="1">IFERROR(__xludf.DUMMYFUNCTION("""COMPUTED_VALUE"""),6)</f>
        <v>6</v>
      </c>
      <c r="E162" s="132" t="str">
        <f ca="1">IFERROR(__xludf.DUMMYFUNCTION("""COMPUTED_VALUE"""),"Dikart Kumar Borah, Litan Saha, Santanu Kalita, Tankeswor Barman, NARAYAN BAISHYA, Dipak Sharma")</f>
        <v>Dikart Kumar Borah, Litan Saha, Santanu Kalita, Tankeswor Barman, NARAYAN BAISHYA, Dipak Sharma</v>
      </c>
      <c r="F162" s="132" t="str">
        <f ca="1">IFERROR(__xludf.DUMMYFUNCTION("""COMPUTED_VALUE"""),"ASSAM")</f>
        <v>ASSAM</v>
      </c>
      <c r="G162" s="133">
        <f ca="1">IFERROR(__xludf.DUMMYFUNCTION("""COMPUTED_VALUE"""),14563185.8333333)</f>
        <v>14563185.8333333</v>
      </c>
      <c r="H162" s="28">
        <f ca="1">IFERROR(__xludf.DUMMYFUNCTION("""COMPUTED_VALUE"""),1213598.81944444)</f>
        <v>1213598.8194444401</v>
      </c>
      <c r="I162" s="41">
        <f ca="1">IFERROR(__xludf.DUMMYFUNCTION("""COMPUTED_VALUE"""),88213972)</f>
        <v>88213972</v>
      </c>
      <c r="J162" s="41"/>
      <c r="K162" s="21">
        <f t="shared" ca="1" si="1"/>
        <v>-834857</v>
      </c>
      <c r="L162" s="116">
        <f t="shared" ca="1" si="2"/>
        <v>-9.5544227015803493E-3</v>
      </c>
    </row>
    <row r="163" spans="1:12" ht="13.2">
      <c r="A163" s="21" t="e">
        <f ca="1"/>
        <v>#NAME?</v>
      </c>
      <c r="B163" s="21" t="str">
        <f ca="1">IFERROR(__xludf.DUMMYFUNCTION("""COMPUTED_VALUE"""),"Prayag Sales Corporation")</f>
        <v>Prayag Sales Corporation</v>
      </c>
      <c r="C163" s="132">
        <f ca="1">IFERROR(__xludf.DUMMYFUNCTION("""COMPUTED_VALUE"""),62976466)</f>
        <v>62976466</v>
      </c>
      <c r="D163" s="132">
        <f ca="1">IFERROR(__xludf.DUMMYFUNCTION("""COMPUTED_VALUE"""),6)</f>
        <v>6</v>
      </c>
      <c r="E163" s="132" t="str">
        <f ca="1">IFERROR(__xludf.DUMMYFUNCTION("""COMPUTED_VALUE"""),"Arijit Roychowdhury, Hrusikesh Satapathy, Kailash Ch. Ghadei, Manas Ranjan Das, Pravat Kumar Dash, Sasikant Prasad")</f>
        <v>Arijit Roychowdhury, Hrusikesh Satapathy, Kailash Ch. Ghadei, Manas Ranjan Das, Pravat Kumar Dash, Sasikant Prasad</v>
      </c>
      <c r="F163" s="132" t="str">
        <f ca="1">IFERROR(__xludf.DUMMYFUNCTION("""COMPUTED_VALUE"""),"ODISHA")</f>
        <v>ODISHA</v>
      </c>
      <c r="G163" s="133">
        <f ca="1">IFERROR(__xludf.DUMMYFUNCTION("""COMPUTED_VALUE"""),10496077.6666666)</f>
        <v>10496077.666666601</v>
      </c>
      <c r="H163" s="28">
        <f ca="1">IFERROR(__xludf.DUMMYFUNCTION("""COMPUTED_VALUE"""),874673.138888888)</f>
        <v>874673.13888888794</v>
      </c>
      <c r="I163" s="41">
        <f ca="1">IFERROR(__xludf.DUMMYFUNCTION("""COMPUTED_VALUE"""),57962412)</f>
        <v>57962412</v>
      </c>
      <c r="J163" s="41"/>
      <c r="K163" s="21">
        <f t="shared" ca="1" si="1"/>
        <v>5014054</v>
      </c>
      <c r="L163" s="116">
        <f t="shared" ca="1" si="2"/>
        <v>7.9617900439189454E-2</v>
      </c>
    </row>
    <row r="164" spans="1:12" ht="13.2">
      <c r="A164" s="21" t="e">
        <f ca="1"/>
        <v>#NAME?</v>
      </c>
      <c r="B164" s="21" t="str">
        <f ca="1">IFERROR(__xludf.DUMMYFUNCTION("""COMPUTED_VALUE"""),"Prayag Syndicate")</f>
        <v>Prayag Syndicate</v>
      </c>
      <c r="C164" s="132">
        <f ca="1">IFERROR(__xludf.DUMMYFUNCTION("""COMPUTED_VALUE"""),47041650)</f>
        <v>47041650</v>
      </c>
      <c r="D164" s="132">
        <f ca="1">IFERROR(__xludf.DUMMYFUNCTION("""COMPUTED_VALUE"""),7)</f>
        <v>7</v>
      </c>
      <c r="E164" s="132" t="str">
        <f ca="1">IFERROR(__xludf.DUMMYFUNCTION("""COMPUTED_VALUE"""),"Ameerali Ek (Off Roll), Arjunkumar K M, MOHAMMED HASHIR PACHEERI, PRATHEESH CC, Riyas V, Shafeeq Parengal, Jijo")</f>
        <v>Ameerali Ek (Off Roll), Arjunkumar K M, MOHAMMED HASHIR PACHEERI, PRATHEESH CC, Riyas V, Shafeeq Parengal, Jijo</v>
      </c>
      <c r="F164" s="132" t="str">
        <f ca="1">IFERROR(__xludf.DUMMYFUNCTION("""COMPUTED_VALUE"""),"KERALA")</f>
        <v>KERALA</v>
      </c>
      <c r="G164" s="133">
        <f ca="1">IFERROR(__xludf.DUMMYFUNCTION("""COMPUTED_VALUE"""),6720235.71428571)</f>
        <v>6720235.7142857099</v>
      </c>
      <c r="H164" s="28">
        <f ca="1">IFERROR(__xludf.DUMMYFUNCTION("""COMPUTED_VALUE"""),560019.642857142)</f>
        <v>560019.64285714203</v>
      </c>
      <c r="I164" s="124">
        <f ca="1">IFERROR(__xludf.DUMMYFUNCTION("""COMPUTED_VALUE"""),46314657)</f>
        <v>46314657</v>
      </c>
      <c r="J164" s="41"/>
      <c r="K164" s="21">
        <f t="shared" ca="1" si="1"/>
        <v>726993</v>
      </c>
      <c r="L164" s="116">
        <f t="shared" ca="1" si="2"/>
        <v>1.5454241082104902E-2</v>
      </c>
    </row>
    <row r="165" spans="1:12" ht="13.2">
      <c r="A165" s="21" t="e">
        <f ca="1"/>
        <v>#NAME?</v>
      </c>
      <c r="B165" s="21" t="str">
        <f ca="1">IFERROR(__xludf.DUMMYFUNCTION("""COMPUTED_VALUE"""),"Prem Kumar &amp; Sons")</f>
        <v>Prem Kumar &amp; Sons</v>
      </c>
      <c r="C165" s="132">
        <f ca="1">IFERROR(__xludf.DUMMYFUNCTION("""COMPUTED_VALUE"""),6639261)</f>
        <v>6639261</v>
      </c>
      <c r="D165" s="132">
        <f ca="1">IFERROR(__xludf.DUMMYFUNCTION("""COMPUTED_VALUE"""),1)</f>
        <v>1</v>
      </c>
      <c r="E165" s="132" t="str">
        <f ca="1">IFERROR(__xludf.DUMMYFUNCTION("""COMPUTED_VALUE"""),"Ranjit Kumar")</f>
        <v>Ranjit Kumar</v>
      </c>
      <c r="F165" s="132" t="str">
        <f ca="1">IFERROR(__xludf.DUMMYFUNCTION("""COMPUTED_VALUE"""),"PUNJAB")</f>
        <v>PUNJAB</v>
      </c>
      <c r="G165" s="133">
        <f ca="1">IFERROR(__xludf.DUMMYFUNCTION("""COMPUTED_VALUE"""),6639261)</f>
        <v>6639261</v>
      </c>
      <c r="H165" s="28">
        <f ca="1">IFERROR(__xludf.DUMMYFUNCTION("""COMPUTED_VALUE"""),553271.75)</f>
        <v>553271.75</v>
      </c>
      <c r="I165" s="41">
        <f ca="1">IFERROR(__xludf.DUMMYFUNCTION("""COMPUTED_VALUE"""),8319260)</f>
        <v>8319260</v>
      </c>
      <c r="J165" s="41"/>
      <c r="K165" s="21">
        <f t="shared" ca="1" si="1"/>
        <v>-1679999</v>
      </c>
      <c r="L165" s="116">
        <f t="shared" ca="1" si="2"/>
        <v>-0.25304005972953919</v>
      </c>
    </row>
    <row r="166" spans="1:12" ht="13.2">
      <c r="A166" s="21" t="e">
        <f ca="1"/>
        <v>#NAME?</v>
      </c>
      <c r="B166" s="21" t="str">
        <f ca="1">IFERROR(__xludf.DUMMYFUNCTION("""COMPUTED_VALUE"""),"Premier Distributors")</f>
        <v>Premier Distributors</v>
      </c>
      <c r="C166" s="132">
        <f ca="1">IFERROR(__xludf.DUMMYFUNCTION("""COMPUTED_VALUE"""),940090)</f>
        <v>940090</v>
      </c>
      <c r="D166" s="132">
        <f ca="1">IFERROR(__xludf.DUMMYFUNCTION("""COMPUTED_VALUE"""),1)</f>
        <v>1</v>
      </c>
      <c r="E166" s="132" t="str">
        <f ca="1">IFERROR(__xludf.DUMMYFUNCTION("""COMPUTED_VALUE"""),"Ravi Kumar P (Off Roll)")</f>
        <v>Ravi Kumar P (Off Roll)</v>
      </c>
      <c r="F166" s="132" t="str">
        <f ca="1">IFERROR(__xludf.DUMMYFUNCTION("""COMPUTED_VALUE"""),"KERALA")</f>
        <v>KERALA</v>
      </c>
      <c r="G166" s="133">
        <f ca="1">IFERROR(__xludf.DUMMYFUNCTION("""COMPUTED_VALUE"""),940090)</f>
        <v>940090</v>
      </c>
      <c r="H166" s="28">
        <f ca="1">IFERROR(__xludf.DUMMYFUNCTION("""COMPUTED_VALUE"""),78340.8333333333)</f>
        <v>78340.833333333299</v>
      </c>
      <c r="I166" s="41">
        <f ca="1">IFERROR(__xludf.DUMMYFUNCTION("""COMPUTED_VALUE"""),0)</f>
        <v>0</v>
      </c>
      <c r="J166" s="41"/>
      <c r="K166" s="21">
        <f t="shared" ca="1" si="1"/>
        <v>940090</v>
      </c>
      <c r="L166" s="116">
        <f t="shared" ca="1" si="2"/>
        <v>1</v>
      </c>
    </row>
    <row r="167" spans="1:12" ht="13.2">
      <c r="A167" s="21" t="e">
        <f ca="1"/>
        <v>#NAME?</v>
      </c>
      <c r="B167" s="21" t="str">
        <f ca="1">IFERROR(__xludf.DUMMYFUNCTION("""COMPUTED_VALUE"""),"Progressive Marketing")</f>
        <v>Progressive Marketing</v>
      </c>
      <c r="C167" s="132">
        <f ca="1">IFERROR(__xludf.DUMMYFUNCTION("""COMPUTED_VALUE"""),74779191)</f>
        <v>74779191</v>
      </c>
      <c r="D167" s="132">
        <f ca="1">IFERROR(__xludf.DUMMYFUNCTION("""COMPUTED_VALUE"""),5)</f>
        <v>5</v>
      </c>
      <c r="E167" s="132" t="str">
        <f ca="1">IFERROR(__xludf.DUMMYFUNCTION("""COMPUTED_VALUE"""),"Faraz Khan, Jitender Birla, Manoj Yadav, Neel Kamal choure, Saqib juned")</f>
        <v>Faraz Khan, Jitender Birla, Manoj Yadav, Neel Kamal choure, Saqib juned</v>
      </c>
      <c r="F167" s="132" t="str">
        <f ca="1">IFERROR(__xludf.DUMMYFUNCTION("""COMPUTED_VALUE"""),"MADHYA PRADESH")</f>
        <v>MADHYA PRADESH</v>
      </c>
      <c r="G167" s="133">
        <f ca="1">IFERROR(__xludf.DUMMYFUNCTION("""COMPUTED_VALUE"""),14955838.2)</f>
        <v>14955838.199999999</v>
      </c>
      <c r="H167" s="28">
        <f ca="1">IFERROR(__xludf.DUMMYFUNCTION("""COMPUTED_VALUE"""),1246319.84999999)</f>
        <v>1246319.8499999901</v>
      </c>
      <c r="I167" s="41">
        <f ca="1">IFERROR(__xludf.DUMMYFUNCTION("""COMPUTED_VALUE"""),82622975)</f>
        <v>82622975</v>
      </c>
      <c r="J167" s="41"/>
      <c r="K167" s="21">
        <f t="shared" ca="1" si="1"/>
        <v>-7843784</v>
      </c>
      <c r="L167" s="116">
        <f t="shared" ca="1" si="2"/>
        <v>-0.10489260307723842</v>
      </c>
    </row>
    <row r="168" spans="1:12" ht="13.2">
      <c r="A168" s="21" t="e">
        <f ca="1"/>
        <v>#NAME?</v>
      </c>
      <c r="B168" s="21" t="str">
        <f ca="1">IFERROR(__xludf.DUMMYFUNCTION("""COMPUTED_VALUE"""),"R M D Traders")</f>
        <v>R M D Traders</v>
      </c>
      <c r="C168" s="132">
        <f ca="1">IFERROR(__xludf.DUMMYFUNCTION("""COMPUTED_VALUE"""),454622)</f>
        <v>454622</v>
      </c>
      <c r="D168" s="132">
        <f ca="1">IFERROR(__xludf.DUMMYFUNCTION("""COMPUTED_VALUE"""),1)</f>
        <v>1</v>
      </c>
      <c r="E168" s="132" t="str">
        <f ca="1">IFERROR(__xludf.DUMMYFUNCTION("""COMPUTED_VALUE"""),"Madan Joshi")</f>
        <v>Madan Joshi</v>
      </c>
      <c r="F168" s="132" t="str">
        <f ca="1">IFERROR(__xludf.DUMMYFUNCTION("""COMPUTED_VALUE"""),"RAJASTHAN")</f>
        <v>RAJASTHAN</v>
      </c>
      <c r="G168" s="133">
        <f ca="1">IFERROR(__xludf.DUMMYFUNCTION("""COMPUTED_VALUE"""),454622)</f>
        <v>454622</v>
      </c>
      <c r="H168" s="28">
        <f ca="1">IFERROR(__xludf.DUMMYFUNCTION("""COMPUTED_VALUE"""),37885.1666666666)</f>
        <v>37885.166666666599</v>
      </c>
      <c r="I168" s="41">
        <f ca="1">IFERROR(__xludf.DUMMYFUNCTION("""COMPUTED_VALUE"""),0)</f>
        <v>0</v>
      </c>
      <c r="J168" s="41"/>
      <c r="K168" s="21">
        <f t="shared" ca="1" si="1"/>
        <v>454622</v>
      </c>
      <c r="L168" s="116">
        <f t="shared" ca="1" si="2"/>
        <v>1</v>
      </c>
    </row>
    <row r="169" spans="1:12" ht="13.2">
      <c r="A169" s="21" t="e">
        <f ca="1"/>
        <v>#NAME?</v>
      </c>
      <c r="B169" s="21" t="str">
        <f ca="1">IFERROR(__xludf.DUMMYFUNCTION("""COMPUTED_VALUE"""),"R R Porwal And Sons")</f>
        <v>R R Porwal And Sons</v>
      </c>
      <c r="C169" s="132">
        <f ca="1">IFERROR(__xludf.DUMMYFUNCTION("""COMPUTED_VALUE"""),41577206)</f>
        <v>41577206</v>
      </c>
      <c r="D169" s="132">
        <f ca="1">IFERROR(__xludf.DUMMYFUNCTION("""COMPUTED_VALUE"""),7)</f>
        <v>7</v>
      </c>
      <c r="E169" s="132" t="str">
        <f ca="1">IFERROR(__xludf.DUMMYFUNCTION("""COMPUTED_VALUE"""),"ANAND BHAGWAN MORE, Chandrakant Mandave, Sandeep Amrut Sonawane, Tejas Lunawat, Tushar Ravindra Kanthale, Amey Deodhar, Praveen Pandey")</f>
        <v>ANAND BHAGWAN MORE, Chandrakant Mandave, Sandeep Amrut Sonawane, Tejas Lunawat, Tushar Ravindra Kanthale, Amey Deodhar, Praveen Pandey</v>
      </c>
      <c r="F169" s="132" t="str">
        <f ca="1">IFERROR(__xludf.DUMMYFUNCTION("""COMPUTED_VALUE"""),"MAHARASHTRA")</f>
        <v>MAHARASHTRA</v>
      </c>
      <c r="G169" s="133">
        <f ca="1">IFERROR(__xludf.DUMMYFUNCTION("""COMPUTED_VALUE"""),5939600.85714285)</f>
        <v>5939600.8571428498</v>
      </c>
      <c r="H169" s="28">
        <f ca="1">IFERROR(__xludf.DUMMYFUNCTION("""COMPUTED_VALUE"""),494966.738095238)</f>
        <v>494966.73809523799</v>
      </c>
      <c r="I169" s="41">
        <f ca="1">IFERROR(__xludf.DUMMYFUNCTION("""COMPUTED_VALUE"""),31594213)</f>
        <v>31594213</v>
      </c>
      <c r="J169" s="41"/>
      <c r="K169" s="21">
        <f t="shared" ca="1" si="1"/>
        <v>9982993</v>
      </c>
      <c r="L169" s="116">
        <f t="shared" ca="1" si="2"/>
        <v>0.24010735593921342</v>
      </c>
    </row>
    <row r="170" spans="1:12" ht="13.2">
      <c r="A170" s="21" t="e">
        <f ca="1"/>
        <v>#NAME?</v>
      </c>
      <c r="B170" s="21" t="str">
        <f ca="1">IFERROR(__xludf.DUMMYFUNCTION("""COMPUTED_VALUE"""),"R R Traders")</f>
        <v>R R Traders</v>
      </c>
      <c r="C170" s="132">
        <f ca="1">IFERROR(__xludf.DUMMYFUNCTION("""COMPUTED_VALUE"""),1227418)</f>
        <v>1227418</v>
      </c>
      <c r="D170" s="132">
        <f ca="1">IFERROR(__xludf.DUMMYFUNCTION("""COMPUTED_VALUE"""),1)</f>
        <v>1</v>
      </c>
      <c r="E170" s="132" t="str">
        <f ca="1">IFERROR(__xludf.DUMMYFUNCTION("""COMPUTED_VALUE"""),"Vikas Kumar (Bareilly)")</f>
        <v>Vikas Kumar (Bareilly)</v>
      </c>
      <c r="F170" s="132" t="str">
        <f ca="1">IFERROR(__xludf.DUMMYFUNCTION("""COMPUTED_VALUE"""),"East U.P")</f>
        <v>East U.P</v>
      </c>
      <c r="G170" s="133">
        <f ca="1">IFERROR(__xludf.DUMMYFUNCTION("""COMPUTED_VALUE"""),1227418)</f>
        <v>1227418</v>
      </c>
      <c r="H170" s="28">
        <f ca="1">IFERROR(__xludf.DUMMYFUNCTION("""COMPUTED_VALUE"""),102284.833333333)</f>
        <v>102284.83333333299</v>
      </c>
      <c r="I170" s="41">
        <f ca="1">IFERROR(__xludf.DUMMYFUNCTION("""COMPUTED_VALUE"""),3474723)</f>
        <v>3474723</v>
      </c>
      <c r="J170" s="41"/>
      <c r="K170" s="21">
        <f t="shared" ca="1" si="1"/>
        <v>-2247305</v>
      </c>
      <c r="L170" s="116">
        <f t="shared" ca="1" si="2"/>
        <v>-1.8309206806483203</v>
      </c>
    </row>
    <row r="171" spans="1:12" ht="13.2">
      <c r="A171" s="21" t="e">
        <f ca="1"/>
        <v>#NAME?</v>
      </c>
      <c r="B171" s="21" t="str">
        <f ca="1">IFERROR(__xludf.DUMMYFUNCTION("""COMPUTED_VALUE"""),"R.R.TRADERS")</f>
        <v>R.R.TRADERS</v>
      </c>
      <c r="C171" s="132">
        <f ca="1">IFERROR(__xludf.DUMMYFUNCTION("""COMPUTED_VALUE"""),168146)</f>
        <v>168146</v>
      </c>
      <c r="D171" s="132">
        <f ca="1">IFERROR(__xludf.DUMMYFUNCTION("""COMPUTED_VALUE"""),2)</f>
        <v>2</v>
      </c>
      <c r="E171" s="132" t="str">
        <f ca="1">IFERROR(__xludf.DUMMYFUNCTION("""COMPUTED_VALUE"""),"Neel Kamal choure, Vikas Kumar (Bareilly)")</f>
        <v>Neel Kamal choure, Vikas Kumar (Bareilly)</v>
      </c>
      <c r="F171" s="132" t="str">
        <f ca="1">IFERROR(__xludf.DUMMYFUNCTION("""COMPUTED_VALUE"""),"MADHYA PRADESH")</f>
        <v>MADHYA PRADESH</v>
      </c>
      <c r="G171" s="133">
        <f ca="1">IFERROR(__xludf.DUMMYFUNCTION("""COMPUTED_VALUE"""),84073)</f>
        <v>84073</v>
      </c>
      <c r="H171" s="28">
        <f ca="1">IFERROR(__xludf.DUMMYFUNCTION("""COMPUTED_VALUE"""),7006.08333333333)</f>
        <v>7006.0833333333303</v>
      </c>
      <c r="I171" s="41">
        <f ca="1">IFERROR(__xludf.DUMMYFUNCTION("""COMPUTED_VALUE"""),1293981)</f>
        <v>1293981</v>
      </c>
      <c r="J171" s="41"/>
      <c r="K171" s="21">
        <f t="shared" ca="1" si="1"/>
        <v>-1125835</v>
      </c>
      <c r="L171" s="116">
        <f t="shared" ca="1" si="2"/>
        <v>-6.6955800316391709</v>
      </c>
    </row>
    <row r="172" spans="1:12" ht="13.2">
      <c r="A172" s="21" t="e">
        <f ca="1"/>
        <v>#NAME?</v>
      </c>
      <c r="B172" s="21" t="str">
        <f ca="1">IFERROR(__xludf.DUMMYFUNCTION("""COMPUTED_VALUE"""),"Radhaa Marketing")</f>
        <v>Radhaa Marketing</v>
      </c>
      <c r="C172" s="132">
        <f ca="1">IFERROR(__xludf.DUMMYFUNCTION("""COMPUTED_VALUE"""),6336642)</f>
        <v>6336642</v>
      </c>
      <c r="D172" s="132">
        <f ca="1">IFERROR(__xludf.DUMMYFUNCTION("""COMPUTED_VALUE"""),2)</f>
        <v>2</v>
      </c>
      <c r="E172" s="132" t="str">
        <f ca="1">IFERROR(__xludf.DUMMYFUNCTION("""COMPUTED_VALUE"""),"Siddharth Srivastava, Vishal Dheer")</f>
        <v>Siddharth Srivastava, Vishal Dheer</v>
      </c>
      <c r="F172" s="132" t="str">
        <f ca="1">IFERROR(__xludf.DUMMYFUNCTION("""COMPUTED_VALUE"""),"East U.P")</f>
        <v>East U.P</v>
      </c>
      <c r="G172" s="133">
        <f ca="1">IFERROR(__xludf.DUMMYFUNCTION("""COMPUTED_VALUE"""),3168321)</f>
        <v>3168321</v>
      </c>
      <c r="H172" s="28">
        <f ca="1">IFERROR(__xludf.DUMMYFUNCTION("""COMPUTED_VALUE"""),264026.75)</f>
        <v>264026.75</v>
      </c>
      <c r="I172" s="41">
        <f ca="1">IFERROR(__xludf.DUMMYFUNCTION("""COMPUTED_VALUE"""),4900827)</f>
        <v>4900827</v>
      </c>
      <c r="J172" s="41"/>
      <c r="K172" s="21">
        <f t="shared" ca="1" si="1"/>
        <v>1435815</v>
      </c>
      <c r="L172" s="116">
        <f t="shared" ca="1" si="2"/>
        <v>0.22658925658100931</v>
      </c>
    </row>
    <row r="173" spans="1:12" ht="13.2">
      <c r="A173" s="21" t="e">
        <f ca="1"/>
        <v>#NAME?</v>
      </c>
      <c r="B173" s="21" t="str">
        <f ca="1">IFERROR(__xludf.DUMMYFUNCTION("""COMPUTED_VALUE"""),"Raghunath ji")</f>
        <v>Raghunath ji</v>
      </c>
      <c r="C173" s="132">
        <f ca="1">IFERROR(__xludf.DUMMYFUNCTION("""COMPUTED_VALUE"""),1921866)</f>
        <v>1921866</v>
      </c>
      <c r="D173" s="132">
        <f ca="1">IFERROR(__xludf.DUMMYFUNCTION("""COMPUTED_VALUE"""),1)</f>
        <v>1</v>
      </c>
      <c r="E173" s="132" t="str">
        <f ca="1">IFERROR(__xludf.DUMMYFUNCTION("""COMPUTED_VALUE"""),"Hemant kumar srivastava")</f>
        <v>Hemant kumar srivastava</v>
      </c>
      <c r="F173" s="132" t="str">
        <f ca="1">IFERROR(__xludf.DUMMYFUNCTION("""COMPUTED_VALUE"""),"East U.P")</f>
        <v>East U.P</v>
      </c>
      <c r="G173" s="133">
        <f ca="1">IFERROR(__xludf.DUMMYFUNCTION("""COMPUTED_VALUE"""),1921866)</f>
        <v>1921866</v>
      </c>
      <c r="H173" s="28">
        <f ca="1">IFERROR(__xludf.DUMMYFUNCTION("""COMPUTED_VALUE"""),160155.5)</f>
        <v>160155.5</v>
      </c>
      <c r="I173" s="41">
        <f ca="1">IFERROR(__xludf.DUMMYFUNCTION("""COMPUTED_VALUE"""),2168385)</f>
        <v>2168385</v>
      </c>
      <c r="J173" s="41"/>
      <c r="K173" s="21">
        <f t="shared" ca="1" si="1"/>
        <v>-246519</v>
      </c>
      <c r="L173" s="116">
        <f t="shared" ca="1" si="2"/>
        <v>-0.12827064946255359</v>
      </c>
    </row>
    <row r="174" spans="1:12" ht="13.2">
      <c r="A174" s="21" t="e">
        <f ca="1"/>
        <v>#NAME?</v>
      </c>
      <c r="B174" s="21" t="str">
        <f ca="1">IFERROR(__xludf.DUMMYFUNCTION("""COMPUTED_VALUE"""),"RAINBOW POLYTECH PRODUCTS")</f>
        <v>RAINBOW POLYTECH PRODUCTS</v>
      </c>
      <c r="C174" s="132">
        <f ca="1">IFERROR(__xludf.DUMMYFUNCTION("""COMPUTED_VALUE"""),3702576)</f>
        <v>3702576</v>
      </c>
      <c r="D174" s="132">
        <f ca="1">IFERROR(__xludf.DUMMYFUNCTION("""COMPUTED_VALUE"""),2)</f>
        <v>2</v>
      </c>
      <c r="E174" s="132" t="str">
        <f ca="1">IFERROR(__xludf.DUMMYFUNCTION("""COMPUTED_VALUE"""),"K.Hussain Babu, S.Tirumala Rao")</f>
        <v>K.Hussain Babu, S.Tirumala Rao</v>
      </c>
      <c r="F174" s="132" t="str">
        <f ca="1">IFERROR(__xludf.DUMMYFUNCTION("""COMPUTED_VALUE"""),"ANDHRA PRADESH")</f>
        <v>ANDHRA PRADESH</v>
      </c>
      <c r="G174" s="133">
        <f ca="1">IFERROR(__xludf.DUMMYFUNCTION("""COMPUTED_VALUE"""),1851288)</f>
        <v>1851288</v>
      </c>
      <c r="H174" s="28">
        <f ca="1">IFERROR(__xludf.DUMMYFUNCTION("""COMPUTED_VALUE"""),154274)</f>
        <v>154274</v>
      </c>
      <c r="I174" s="41">
        <f ca="1">IFERROR(__xludf.DUMMYFUNCTION("""COMPUTED_VALUE"""),606232)</f>
        <v>606232</v>
      </c>
      <c r="J174" s="41"/>
      <c r="K174" s="21">
        <f t="shared" ca="1" si="1"/>
        <v>3096344</v>
      </c>
      <c r="L174" s="116">
        <f t="shared" ca="1" si="2"/>
        <v>0.83626750673044925</v>
      </c>
    </row>
    <row r="175" spans="1:12" ht="13.2">
      <c r="A175" s="21" t="e">
        <f ca="1"/>
        <v>#NAME?</v>
      </c>
      <c r="B175" s="21" t="str">
        <f ca="1">IFERROR(__xludf.DUMMYFUNCTION("""COMPUTED_VALUE"""),"Raj kumar kamal kumar")</f>
        <v>Raj kumar kamal kumar</v>
      </c>
      <c r="C175" s="132">
        <f ca="1">IFERROR(__xludf.DUMMYFUNCTION("""COMPUTED_VALUE"""),10900547)</f>
        <v>10900547</v>
      </c>
      <c r="D175" s="132">
        <f ca="1">IFERROR(__xludf.DUMMYFUNCTION("""COMPUTED_VALUE"""),2)</f>
        <v>2</v>
      </c>
      <c r="E175" s="132" t="str">
        <f ca="1">IFERROR(__xludf.DUMMYFUNCTION("""COMPUTED_VALUE"""),"Hemant kumar srivastava, Rohit Kumar")</f>
        <v>Hemant kumar srivastava, Rohit Kumar</v>
      </c>
      <c r="F175" s="132" t="str">
        <f ca="1">IFERROR(__xludf.DUMMYFUNCTION("""COMPUTED_VALUE"""),"East U.P")</f>
        <v>East U.P</v>
      </c>
      <c r="G175" s="133">
        <f ca="1">IFERROR(__xludf.DUMMYFUNCTION("""COMPUTED_VALUE"""),5450273.5)</f>
        <v>5450273.5</v>
      </c>
      <c r="H175" s="28">
        <f ca="1">IFERROR(__xludf.DUMMYFUNCTION("""COMPUTED_VALUE"""),454189.458333333)</f>
        <v>454189.45833333302</v>
      </c>
      <c r="I175" s="41">
        <f ca="1">IFERROR(__xludf.DUMMYFUNCTION("""COMPUTED_VALUE"""),10431613)</f>
        <v>10431613</v>
      </c>
      <c r="J175" s="41"/>
      <c r="K175" s="21">
        <f t="shared" ca="1" si="1"/>
        <v>468934</v>
      </c>
      <c r="L175" s="116">
        <f t="shared" ca="1" si="2"/>
        <v>4.3019309031005509E-2</v>
      </c>
    </row>
    <row r="176" spans="1:12" ht="13.2">
      <c r="A176" s="21" t="e">
        <f ca="1"/>
        <v>#NAME?</v>
      </c>
      <c r="B176" s="21" t="str">
        <f ca="1">IFERROR(__xludf.DUMMYFUNCTION("""COMPUTED_VALUE"""),"Rajendra prasad and company")</f>
        <v>Rajendra prasad and company</v>
      </c>
      <c r="C176" s="132">
        <f ca="1">IFERROR(__xludf.DUMMYFUNCTION("""COMPUTED_VALUE"""),500076)</f>
        <v>500076</v>
      </c>
      <c r="D176" s="132">
        <f ca="1">IFERROR(__xludf.DUMMYFUNCTION("""COMPUTED_VALUE"""),1)</f>
        <v>1</v>
      </c>
      <c r="E176" s="132" t="str">
        <f ca="1">IFERROR(__xludf.DUMMYFUNCTION("""COMPUTED_VALUE"""),"Jagdev")</f>
        <v>Jagdev</v>
      </c>
      <c r="F176" s="132" t="str">
        <f ca="1">IFERROR(__xludf.DUMMYFUNCTION("""COMPUTED_VALUE"""),"West U.P")</f>
        <v>West U.P</v>
      </c>
      <c r="G176" s="133">
        <f ca="1">IFERROR(__xludf.DUMMYFUNCTION("""COMPUTED_VALUE"""),500076)</f>
        <v>500076</v>
      </c>
      <c r="H176" s="28">
        <f ca="1">IFERROR(__xludf.DUMMYFUNCTION("""COMPUTED_VALUE"""),41673)</f>
        <v>41673</v>
      </c>
      <c r="I176" s="41">
        <f ca="1">IFERROR(__xludf.DUMMYFUNCTION("""COMPUTED_VALUE"""),353465)</f>
        <v>353465</v>
      </c>
      <c r="J176" s="41"/>
      <c r="K176" s="21">
        <f t="shared" ca="1" si="1"/>
        <v>146611</v>
      </c>
      <c r="L176" s="116">
        <f t="shared" ca="1" si="2"/>
        <v>0.2931774370295715</v>
      </c>
    </row>
    <row r="177" spans="1:12" ht="13.2">
      <c r="A177" s="21" t="e">
        <f ca="1"/>
        <v>#NAME?</v>
      </c>
      <c r="B177" s="21" t="str">
        <f ca="1">IFERROR(__xludf.DUMMYFUNCTION("""COMPUTED_VALUE"""),"Ram enterprises")</f>
        <v>Ram enterprises</v>
      </c>
      <c r="C177" s="132">
        <f ca="1">IFERROR(__xludf.DUMMYFUNCTION("""COMPUTED_VALUE"""),653609)</f>
        <v>653609</v>
      </c>
      <c r="D177" s="132">
        <f ca="1">IFERROR(__xludf.DUMMYFUNCTION("""COMPUTED_VALUE"""),2)</f>
        <v>2</v>
      </c>
      <c r="E177" s="132" t="str">
        <f ca="1">IFERROR(__xludf.DUMMYFUNCTION("""COMPUTED_VALUE"""),"Karuppasamy R, Saibulla S.")</f>
        <v>Karuppasamy R, Saibulla S.</v>
      </c>
      <c r="F177" s="132" t="str">
        <f ca="1">IFERROR(__xludf.DUMMYFUNCTION("""COMPUTED_VALUE"""),"TAMIL NADU")</f>
        <v>TAMIL NADU</v>
      </c>
      <c r="G177" s="133">
        <f ca="1">IFERROR(__xludf.DUMMYFUNCTION("""COMPUTED_VALUE"""),326804.5)</f>
        <v>326804.5</v>
      </c>
      <c r="H177" s="28">
        <f ca="1">IFERROR(__xludf.DUMMYFUNCTION("""COMPUTED_VALUE"""),27233.7083333333)</f>
        <v>27233.708333333299</v>
      </c>
      <c r="I177" s="41">
        <f ca="1">IFERROR(__xludf.DUMMYFUNCTION("""COMPUTED_VALUE"""),0)</f>
        <v>0</v>
      </c>
      <c r="J177" s="41"/>
      <c r="K177" s="21">
        <f t="shared" ca="1" si="1"/>
        <v>653609</v>
      </c>
      <c r="L177" s="116">
        <f t="shared" ca="1" si="2"/>
        <v>1</v>
      </c>
    </row>
    <row r="178" spans="1:12" ht="13.2">
      <c r="A178" s="21" t="e">
        <f ca="1"/>
        <v>#NAME?</v>
      </c>
      <c r="B178" s="21" t="str">
        <f ca="1">IFERROR(__xludf.DUMMYFUNCTION("""COMPUTED_VALUE"""),"RAMKRISHNA TRADING AND CO")</f>
        <v>RAMKRISHNA TRADING AND CO</v>
      </c>
      <c r="C178" s="132">
        <f ca="1">IFERROR(__xludf.DUMMYFUNCTION("""COMPUTED_VALUE"""),2248680)</f>
        <v>2248680</v>
      </c>
      <c r="D178" s="132">
        <f ca="1">IFERROR(__xludf.DUMMYFUNCTION("""COMPUTED_VALUE"""),1)</f>
        <v>1</v>
      </c>
      <c r="E178" s="132" t="str">
        <f ca="1">IFERROR(__xludf.DUMMYFUNCTION("""COMPUTED_VALUE"""),"Litan Saha")</f>
        <v>Litan Saha</v>
      </c>
      <c r="F178" s="132" t="str">
        <f ca="1">IFERROR(__xludf.DUMMYFUNCTION("""COMPUTED_VALUE"""),"TRIPURA")</f>
        <v>TRIPURA</v>
      </c>
      <c r="G178" s="133">
        <f ca="1">IFERROR(__xludf.DUMMYFUNCTION("""COMPUTED_VALUE"""),2248680)</f>
        <v>2248680</v>
      </c>
      <c r="H178" s="28">
        <f ca="1">IFERROR(__xludf.DUMMYFUNCTION("""COMPUTED_VALUE"""),187390)</f>
        <v>187390</v>
      </c>
      <c r="I178" s="41">
        <f ca="1">IFERROR(__xludf.DUMMYFUNCTION("""COMPUTED_VALUE"""),0)</f>
        <v>0</v>
      </c>
      <c r="J178" s="41"/>
      <c r="K178" s="21">
        <f t="shared" ca="1" si="1"/>
        <v>2248680</v>
      </c>
      <c r="L178" s="116">
        <f t="shared" ca="1" si="2"/>
        <v>1</v>
      </c>
    </row>
    <row r="179" spans="1:12" ht="13.2">
      <c r="A179" s="21" t="e">
        <f ca="1"/>
        <v>#NAME?</v>
      </c>
      <c r="B179" s="21" t="str">
        <f ca="1">IFERROR(__xludf.DUMMYFUNCTION("""COMPUTED_VALUE"""),"Ramswarup &amp; Sons")</f>
        <v>Ramswarup &amp; Sons</v>
      </c>
      <c r="C179" s="132">
        <f ca="1">IFERROR(__xludf.DUMMYFUNCTION("""COMPUTED_VALUE"""),1729318)</f>
        <v>1729318</v>
      </c>
      <c r="D179" s="132">
        <f ca="1">IFERROR(__xludf.DUMMYFUNCTION("""COMPUTED_VALUE"""),1)</f>
        <v>1</v>
      </c>
      <c r="E179" s="132" t="str">
        <f ca="1">IFERROR(__xludf.DUMMYFUNCTION("""COMPUTED_VALUE"""),"Malay Paul")</f>
        <v>Malay Paul</v>
      </c>
      <c r="F179" s="132" t="str">
        <f ca="1">IFERROR(__xludf.DUMMYFUNCTION("""COMPUTED_VALUE"""),"WEST BENGAL")</f>
        <v>WEST BENGAL</v>
      </c>
      <c r="G179" s="133">
        <f ca="1">IFERROR(__xludf.DUMMYFUNCTION("""COMPUTED_VALUE"""),1729318)</f>
        <v>1729318</v>
      </c>
      <c r="H179" s="28">
        <f ca="1">IFERROR(__xludf.DUMMYFUNCTION("""COMPUTED_VALUE"""),144109.833333333)</f>
        <v>144109.83333333299</v>
      </c>
      <c r="I179" s="41">
        <f ca="1">IFERROR(__xludf.DUMMYFUNCTION("""COMPUTED_VALUE"""),3419711)</f>
        <v>3419711</v>
      </c>
      <c r="J179" s="41"/>
      <c r="K179" s="21">
        <f t="shared" ca="1" si="1"/>
        <v>-1690393</v>
      </c>
      <c r="L179" s="116">
        <f t="shared" ca="1" si="2"/>
        <v>-0.97749112655971893</v>
      </c>
    </row>
    <row r="180" spans="1:12" ht="13.2">
      <c r="A180" s="21" t="e">
        <f ca="1"/>
        <v>#NAME?</v>
      </c>
      <c r="B180" s="21" t="str">
        <f ca="1">IFERROR(__xludf.DUMMYFUNCTION("""COMPUTED_VALUE"""),"Rani Satee Sales")</f>
        <v>Rani Satee Sales</v>
      </c>
      <c r="C180" s="132">
        <f ca="1">IFERROR(__xludf.DUMMYFUNCTION("""COMPUTED_VALUE"""),43595)</f>
        <v>43595</v>
      </c>
      <c r="D180" s="132">
        <f ca="1">IFERROR(__xludf.DUMMYFUNCTION("""COMPUTED_VALUE"""),1)</f>
        <v>1</v>
      </c>
      <c r="E180" s="132" t="str">
        <f ca="1">IFERROR(__xludf.DUMMYFUNCTION("""COMPUTED_VALUE"""),"Sasikant Prasad")</f>
        <v>Sasikant Prasad</v>
      </c>
      <c r="F180" s="132" t="str">
        <f ca="1">IFERROR(__xludf.DUMMYFUNCTION("""COMPUTED_VALUE"""),"ODISHA")</f>
        <v>ODISHA</v>
      </c>
      <c r="G180" s="133">
        <f ca="1">IFERROR(__xludf.DUMMYFUNCTION("""COMPUTED_VALUE"""),43595)</f>
        <v>43595</v>
      </c>
      <c r="H180" s="28">
        <f ca="1">IFERROR(__xludf.DUMMYFUNCTION("""COMPUTED_VALUE"""),3632.91666666666)</f>
        <v>3632.9166666666601</v>
      </c>
      <c r="I180" s="41">
        <f ca="1">IFERROR(__xludf.DUMMYFUNCTION("""COMPUTED_VALUE"""),0)</f>
        <v>0</v>
      </c>
      <c r="J180" s="41"/>
      <c r="K180" s="21">
        <f t="shared" ca="1" si="1"/>
        <v>43595</v>
      </c>
      <c r="L180" s="116">
        <f t="shared" ca="1" si="2"/>
        <v>1</v>
      </c>
    </row>
    <row r="181" spans="1:12" ht="13.2">
      <c r="A181" s="21" t="e">
        <f ca="1"/>
        <v>#NAME?</v>
      </c>
      <c r="B181" s="21" t="str">
        <f ca="1">IFERROR(__xludf.DUMMYFUNCTION("""COMPUTED_VALUE"""),"Rathi sales corporation")</f>
        <v>Rathi sales corporation</v>
      </c>
      <c r="C181" s="132">
        <f ca="1">IFERROR(__xludf.DUMMYFUNCTION("""COMPUTED_VALUE"""),540530)</f>
        <v>540530</v>
      </c>
      <c r="D181" s="132">
        <f ca="1">IFERROR(__xludf.DUMMYFUNCTION("""COMPUTED_VALUE"""),2)</f>
        <v>2</v>
      </c>
      <c r="E181" s="132" t="str">
        <f ca="1">IFERROR(__xludf.DUMMYFUNCTION("""COMPUTED_VALUE"""),"Akash Deep, Ankit Kumar")</f>
        <v>Akash Deep, Ankit Kumar</v>
      </c>
      <c r="F181" s="132" t="str">
        <f ca="1">IFERROR(__xludf.DUMMYFUNCTION("""COMPUTED_VALUE"""),"West U.P")</f>
        <v>West U.P</v>
      </c>
      <c r="G181" s="133">
        <f ca="1">IFERROR(__xludf.DUMMYFUNCTION("""COMPUTED_VALUE"""),270265)</f>
        <v>270265</v>
      </c>
      <c r="H181" s="28">
        <f ca="1">IFERROR(__xludf.DUMMYFUNCTION("""COMPUTED_VALUE"""),22522.0833333333)</f>
        <v>22522.083333333299</v>
      </c>
      <c r="I181" s="41">
        <f ca="1">IFERROR(__xludf.DUMMYFUNCTION("""COMPUTED_VALUE"""),2324400)</f>
        <v>2324400</v>
      </c>
      <c r="J181" s="41"/>
      <c r="K181" s="21">
        <f t="shared" ca="1" si="1"/>
        <v>-1783870</v>
      </c>
      <c r="L181" s="116">
        <f t="shared" ca="1" si="2"/>
        <v>-3.3002238543651603</v>
      </c>
    </row>
    <row r="182" spans="1:12" ht="13.2">
      <c r="A182" s="21" t="e">
        <f ca="1"/>
        <v>#NAME?</v>
      </c>
      <c r="B182" s="21" t="str">
        <f ca="1">IFERROR(__xludf.DUMMYFUNCTION("""COMPUTED_VALUE"""),"Ratnam Enterprises")</f>
        <v>Ratnam Enterprises</v>
      </c>
      <c r="C182" s="132">
        <f ca="1">IFERROR(__xludf.DUMMYFUNCTION("""COMPUTED_VALUE"""),10192538)</f>
        <v>10192538</v>
      </c>
      <c r="D182" s="132">
        <f ca="1">IFERROR(__xludf.DUMMYFUNCTION("""COMPUTED_VALUE"""),2)</f>
        <v>2</v>
      </c>
      <c r="E182" s="132" t="str">
        <f ca="1">IFERROR(__xludf.DUMMYFUNCTION("""COMPUTED_VALUE"""),"Arijit Roychowdhury, Hrusikesh Satapathy")</f>
        <v>Arijit Roychowdhury, Hrusikesh Satapathy</v>
      </c>
      <c r="F182" s="132" t="str">
        <f ca="1">IFERROR(__xludf.DUMMYFUNCTION("""COMPUTED_VALUE"""),"ODISHA")</f>
        <v>ODISHA</v>
      </c>
      <c r="G182" s="133">
        <f ca="1">IFERROR(__xludf.DUMMYFUNCTION("""COMPUTED_VALUE"""),5096269)</f>
        <v>5096269</v>
      </c>
      <c r="H182" s="28">
        <f ca="1">IFERROR(__xludf.DUMMYFUNCTION("""COMPUTED_VALUE"""),424689.083333333)</f>
        <v>424689.08333333302</v>
      </c>
      <c r="I182" s="41">
        <f ca="1">IFERROR(__xludf.DUMMYFUNCTION("""COMPUTED_VALUE"""),12820376)</f>
        <v>12820376</v>
      </c>
      <c r="J182" s="41"/>
      <c r="K182" s="21">
        <f t="shared" ca="1" si="1"/>
        <v>-2627838</v>
      </c>
      <c r="L182" s="116">
        <f t="shared" ca="1" si="2"/>
        <v>-0.25781978934000538</v>
      </c>
    </row>
    <row r="183" spans="1:12" ht="13.2">
      <c r="A183" s="21" t="e">
        <f ca="1"/>
        <v>#NAME?</v>
      </c>
      <c r="B183" s="21" t="str">
        <f ca="1">IFERROR(__xludf.DUMMYFUNCTION("""COMPUTED_VALUE"""),"Rayban Corporation")</f>
        <v>Rayban Corporation</v>
      </c>
      <c r="C183" s="132">
        <f ca="1">IFERROR(__xludf.DUMMYFUNCTION("""COMPUTED_VALUE"""),4686681)</f>
        <v>4686681</v>
      </c>
      <c r="D183" s="132">
        <f ca="1">IFERROR(__xludf.DUMMYFUNCTION("""COMPUTED_VALUE"""),2)</f>
        <v>2</v>
      </c>
      <c r="E183" s="132" t="str">
        <f ca="1">IFERROR(__xludf.DUMMYFUNCTION("""COMPUTED_VALUE"""),"Jitender Birla, Saqib juned")</f>
        <v>Jitender Birla, Saqib juned</v>
      </c>
      <c r="F183" s="132" t="str">
        <f ca="1">IFERROR(__xludf.DUMMYFUNCTION("""COMPUTED_VALUE"""),"MADHYA PRADESH")</f>
        <v>MADHYA PRADESH</v>
      </c>
      <c r="G183" s="133">
        <f ca="1">IFERROR(__xludf.DUMMYFUNCTION("""COMPUTED_VALUE"""),2343340.5)</f>
        <v>2343340.5</v>
      </c>
      <c r="H183" s="28">
        <f ca="1">IFERROR(__xludf.DUMMYFUNCTION("""COMPUTED_VALUE"""),195278.375)</f>
        <v>195278.375</v>
      </c>
      <c r="I183" s="41">
        <f ca="1">IFERROR(__xludf.DUMMYFUNCTION("""COMPUTED_VALUE"""),4461397)</f>
        <v>4461397</v>
      </c>
      <c r="J183" s="41"/>
      <c r="K183" s="21">
        <f t="shared" ca="1" si="1"/>
        <v>225284</v>
      </c>
      <c r="L183" s="116">
        <f t="shared" ca="1" si="2"/>
        <v>4.8068985279774747E-2</v>
      </c>
    </row>
    <row r="184" spans="1:12" ht="13.2">
      <c r="A184" s="21" t="e">
        <f ca="1"/>
        <v>#NAME?</v>
      </c>
      <c r="B184" s="21" t="str">
        <f ca="1">IFERROR(__xludf.DUMMYFUNCTION("""COMPUTED_VALUE"""),"Rehan marketing")</f>
        <v>Rehan marketing</v>
      </c>
      <c r="C184" s="132">
        <f ca="1">IFERROR(__xludf.DUMMYFUNCTION("""COMPUTED_VALUE"""),1074169)</f>
        <v>1074169</v>
      </c>
      <c r="D184" s="132">
        <f ca="1">IFERROR(__xludf.DUMMYFUNCTION("""COMPUTED_VALUE"""),1)</f>
        <v>1</v>
      </c>
      <c r="E184" s="132" t="str">
        <f ca="1">IFERROR(__xludf.DUMMYFUNCTION("""COMPUTED_VALUE"""),"Chandrakant Mandave")</f>
        <v>Chandrakant Mandave</v>
      </c>
      <c r="F184" s="132" t="str">
        <f ca="1">IFERROR(__xludf.DUMMYFUNCTION("""COMPUTED_VALUE"""),"MAHARASHTRA")</f>
        <v>MAHARASHTRA</v>
      </c>
      <c r="G184" s="133">
        <f ca="1">IFERROR(__xludf.DUMMYFUNCTION("""COMPUTED_VALUE"""),1074169)</f>
        <v>1074169</v>
      </c>
      <c r="H184" s="28">
        <f ca="1">IFERROR(__xludf.DUMMYFUNCTION("""COMPUTED_VALUE"""),89514.0833333333)</f>
        <v>89514.083333333299</v>
      </c>
      <c r="I184" s="41">
        <f ca="1">IFERROR(__xludf.DUMMYFUNCTION("""COMPUTED_VALUE"""),741725)</f>
        <v>741725</v>
      </c>
      <c r="J184" s="41"/>
      <c r="K184" s="21">
        <f t="shared" ca="1" si="1"/>
        <v>332444</v>
      </c>
      <c r="L184" s="116">
        <f t="shared" ca="1" si="2"/>
        <v>0.30948947511983682</v>
      </c>
    </row>
    <row r="185" spans="1:12" ht="13.2">
      <c r="A185" s="21" t="e">
        <f ca="1"/>
        <v>#NAME?</v>
      </c>
      <c r="B185" s="21" t="str">
        <f ca="1">IFERROR(__xludf.DUMMYFUNCTION("""COMPUTED_VALUE"""),"Rhythm traders")</f>
        <v>Rhythm traders</v>
      </c>
      <c r="C185" s="132">
        <f ca="1">IFERROR(__xludf.DUMMYFUNCTION("""COMPUTED_VALUE"""),64592)</f>
        <v>64592</v>
      </c>
      <c r="D185" s="132">
        <f ca="1">IFERROR(__xludf.DUMMYFUNCTION("""COMPUTED_VALUE"""),1)</f>
        <v>1</v>
      </c>
      <c r="E185" s="132" t="str">
        <f ca="1">IFERROR(__xludf.DUMMYFUNCTION("""COMPUTED_VALUE"""),"Amit Tangri")</f>
        <v>Amit Tangri</v>
      </c>
      <c r="F185" s="132" t="str">
        <f ca="1">IFERROR(__xludf.DUMMYFUNCTION("""COMPUTED_VALUE"""),"PUNJAB")</f>
        <v>PUNJAB</v>
      </c>
      <c r="G185" s="133">
        <f ca="1">IFERROR(__xludf.DUMMYFUNCTION("""COMPUTED_VALUE"""),64592)</f>
        <v>64592</v>
      </c>
      <c r="H185" s="28">
        <f ca="1">IFERROR(__xludf.DUMMYFUNCTION("""COMPUTED_VALUE"""),5382.66666666666)</f>
        <v>5382.6666666666597</v>
      </c>
      <c r="I185" s="41">
        <f ca="1">IFERROR(__xludf.DUMMYFUNCTION("""COMPUTED_VALUE"""),798985)</f>
        <v>798985</v>
      </c>
      <c r="J185" s="41"/>
      <c r="K185" s="21">
        <f t="shared" ca="1" si="1"/>
        <v>-734393</v>
      </c>
      <c r="L185" s="116">
        <f t="shared" ca="1" si="2"/>
        <v>-11.369720708446867</v>
      </c>
    </row>
    <row r="186" spans="1:12" ht="13.2">
      <c r="A186" s="21" t="e">
        <f ca="1"/>
        <v>#NAME?</v>
      </c>
      <c r="B186" s="21" t="str">
        <f ca="1">IFERROR(__xludf.DUMMYFUNCTION("""COMPUTED_VALUE"""),"Rohit industries")</f>
        <v>Rohit industries</v>
      </c>
      <c r="C186" s="132">
        <f ca="1">IFERROR(__xludf.DUMMYFUNCTION("""COMPUTED_VALUE"""),193491)</f>
        <v>193491</v>
      </c>
      <c r="D186" s="132">
        <f ca="1">IFERROR(__xludf.DUMMYFUNCTION("""COMPUTED_VALUE"""),1)</f>
        <v>1</v>
      </c>
      <c r="E186" s="132" t="str">
        <f ca="1">IFERROR(__xludf.DUMMYFUNCTION("""COMPUTED_VALUE"""),"Ashutosh Kumar (Rudrapur)")</f>
        <v>Ashutosh Kumar (Rudrapur)</v>
      </c>
      <c r="F186" s="132" t="str">
        <f ca="1">IFERROR(__xludf.DUMMYFUNCTION("""COMPUTED_VALUE"""),"UTTARAKHAND")</f>
        <v>UTTARAKHAND</v>
      </c>
      <c r="G186" s="133">
        <f ca="1">IFERROR(__xludf.DUMMYFUNCTION("""COMPUTED_VALUE"""),193491)</f>
        <v>193491</v>
      </c>
      <c r="H186" s="28">
        <f ca="1">IFERROR(__xludf.DUMMYFUNCTION("""COMPUTED_VALUE"""),16124.25)</f>
        <v>16124.25</v>
      </c>
      <c r="I186" s="41">
        <f ca="1">IFERROR(__xludf.DUMMYFUNCTION("""COMPUTED_VALUE"""),1161254)</f>
        <v>1161254</v>
      </c>
      <c r="J186" s="41"/>
      <c r="K186" s="21">
        <f t="shared" ca="1" si="1"/>
        <v>-967763</v>
      </c>
      <c r="L186" s="116">
        <f t="shared" ca="1" si="2"/>
        <v>-5.0015918053036055</v>
      </c>
    </row>
    <row r="187" spans="1:12" ht="13.2">
      <c r="A187" s="21" t="e">
        <f ca="1"/>
        <v>#NAME?</v>
      </c>
      <c r="B187" s="21" t="str">
        <f ca="1">IFERROR(__xludf.DUMMYFUNCTION("""COMPUTED_VALUE"""),"Rohit traders")</f>
        <v>Rohit traders</v>
      </c>
      <c r="C187" s="132">
        <f ca="1">IFERROR(__xludf.DUMMYFUNCTION("""COMPUTED_VALUE"""),832900)</f>
        <v>832900</v>
      </c>
      <c r="D187" s="132">
        <f ca="1">IFERROR(__xludf.DUMMYFUNCTION("""COMPUTED_VALUE"""),1)</f>
        <v>1</v>
      </c>
      <c r="E187" s="132" t="str">
        <f ca="1">IFERROR(__xludf.DUMMYFUNCTION("""COMPUTED_VALUE"""),"prashant Singh Chauhan")</f>
        <v>prashant Singh Chauhan</v>
      </c>
      <c r="F187" s="132" t="str">
        <f ca="1">IFERROR(__xludf.DUMMYFUNCTION("""COMPUTED_VALUE"""),"East U.P")</f>
        <v>East U.P</v>
      </c>
      <c r="G187" s="133">
        <f ca="1">IFERROR(__xludf.DUMMYFUNCTION("""COMPUTED_VALUE"""),832900)</f>
        <v>832900</v>
      </c>
      <c r="H187" s="28">
        <f ca="1">IFERROR(__xludf.DUMMYFUNCTION("""COMPUTED_VALUE"""),69408.3333333333)</f>
        <v>69408.333333333299</v>
      </c>
      <c r="I187" s="41">
        <f ca="1">IFERROR(__xludf.DUMMYFUNCTION("""COMPUTED_VALUE"""),867297)</f>
        <v>867297</v>
      </c>
      <c r="J187" s="41"/>
      <c r="K187" s="21">
        <f t="shared" ca="1" si="1"/>
        <v>-34397</v>
      </c>
      <c r="L187" s="116">
        <f t="shared" ca="1" si="2"/>
        <v>-4.1297874894945373E-2</v>
      </c>
    </row>
    <row r="188" spans="1:12" ht="13.2">
      <c r="A188" s="21" t="e">
        <f ca="1"/>
        <v>#NAME?</v>
      </c>
      <c r="B188" s="21" t="str">
        <f ca="1">IFERROR(__xludf.DUMMYFUNCTION("""COMPUTED_VALUE"""),"Roy Enterprise")</f>
        <v>Roy Enterprise</v>
      </c>
      <c r="C188" s="132">
        <f ca="1">IFERROR(__xludf.DUMMYFUNCTION("""COMPUTED_VALUE"""),9904147)</f>
        <v>9904147</v>
      </c>
      <c r="D188" s="132">
        <f ca="1">IFERROR(__xludf.DUMMYFUNCTION("""COMPUTED_VALUE"""),2)</f>
        <v>2</v>
      </c>
      <c r="E188" s="132" t="str">
        <f ca="1">IFERROR(__xludf.DUMMYFUNCTION("""COMPUTED_VALUE"""),"Sushanta Barman, Sujan Ghata")</f>
        <v>Sushanta Barman, Sujan Ghata</v>
      </c>
      <c r="F188" s="132" t="str">
        <f ca="1">IFERROR(__xludf.DUMMYFUNCTION("""COMPUTED_VALUE"""),"WEST BENGAL")</f>
        <v>WEST BENGAL</v>
      </c>
      <c r="G188" s="133">
        <f ca="1">IFERROR(__xludf.DUMMYFUNCTION("""COMPUTED_VALUE"""),4952073.5)</f>
        <v>4952073.5</v>
      </c>
      <c r="H188" s="28">
        <f ca="1">IFERROR(__xludf.DUMMYFUNCTION("""COMPUTED_VALUE"""),412672.791666666)</f>
        <v>412672.79166666599</v>
      </c>
      <c r="I188" s="41">
        <f ca="1">IFERROR(__xludf.DUMMYFUNCTION("""COMPUTED_VALUE"""),8242167)</f>
        <v>8242167</v>
      </c>
      <c r="J188" s="41"/>
      <c r="K188" s="21">
        <f t="shared" ca="1" si="1"/>
        <v>1661980</v>
      </c>
      <c r="L188" s="116">
        <f t="shared" ca="1" si="2"/>
        <v>0.16780647540873536</v>
      </c>
    </row>
    <row r="189" spans="1:12" ht="13.2">
      <c r="A189" s="21" t="e">
        <f ca="1"/>
        <v>#NAME?</v>
      </c>
      <c r="B189" s="21" t="str">
        <f ca="1">IFERROR(__xludf.DUMMYFUNCTION("""COMPUTED_VALUE"""),"Ruby pipe syndicate")</f>
        <v>Ruby pipe syndicate</v>
      </c>
      <c r="C189" s="132">
        <f ca="1">IFERROR(__xludf.DUMMYFUNCTION("""COMPUTED_VALUE"""),4590)</f>
        <v>4590</v>
      </c>
      <c r="D189" s="132">
        <f ca="1">IFERROR(__xludf.DUMMYFUNCTION("""COMPUTED_VALUE"""),1)</f>
        <v>1</v>
      </c>
      <c r="E189" s="132" t="str">
        <f ca="1">IFERROR(__xludf.DUMMYFUNCTION("""COMPUTED_VALUE"""),"Devdutt Joshi")</f>
        <v>Devdutt Joshi</v>
      </c>
      <c r="F189" s="132" t="str">
        <f ca="1">IFERROR(__xludf.DUMMYFUNCTION("""COMPUTED_VALUE"""),"GUJARAT")</f>
        <v>GUJARAT</v>
      </c>
      <c r="G189" s="133">
        <f ca="1">IFERROR(__xludf.DUMMYFUNCTION("""COMPUTED_VALUE"""),4590)</f>
        <v>4590</v>
      </c>
      <c r="H189" s="28">
        <f ca="1">IFERROR(__xludf.DUMMYFUNCTION("""COMPUTED_VALUE"""),382.5)</f>
        <v>382.5</v>
      </c>
      <c r="I189" s="41">
        <f ca="1">IFERROR(__xludf.DUMMYFUNCTION("""COMPUTED_VALUE"""),0)</f>
        <v>0</v>
      </c>
      <c r="J189" s="41"/>
      <c r="K189" s="21">
        <f t="shared" ca="1" si="1"/>
        <v>4590</v>
      </c>
      <c r="L189" s="116">
        <f t="shared" ca="1" si="2"/>
        <v>1</v>
      </c>
    </row>
    <row r="190" spans="1:12" ht="13.2">
      <c r="A190" s="21" t="e">
        <f ca="1"/>
        <v>#NAME?</v>
      </c>
      <c r="B190" s="21" t="str">
        <f ca="1">IFERROR(__xludf.DUMMYFUNCTION("""COMPUTED_VALUE"""),"Rudra Electricals")</f>
        <v>Rudra Electricals</v>
      </c>
      <c r="C190" s="132">
        <f ca="1">IFERROR(__xludf.DUMMYFUNCTION("""COMPUTED_VALUE"""),818220)</f>
        <v>818220</v>
      </c>
      <c r="D190" s="132">
        <f ca="1">IFERROR(__xludf.DUMMYFUNCTION("""COMPUTED_VALUE"""),1)</f>
        <v>1</v>
      </c>
      <c r="E190" s="132" t="str">
        <f ca="1">IFERROR(__xludf.DUMMYFUNCTION("""COMPUTED_VALUE"""),"C Navaneetha Krishnan")</f>
        <v>C Navaneetha Krishnan</v>
      </c>
      <c r="F190" s="132" t="str">
        <f ca="1">IFERROR(__xludf.DUMMYFUNCTION("""COMPUTED_VALUE"""),"TAMIL NADU")</f>
        <v>TAMIL NADU</v>
      </c>
      <c r="G190" s="133">
        <f ca="1">IFERROR(__xludf.DUMMYFUNCTION("""COMPUTED_VALUE"""),818220)</f>
        <v>818220</v>
      </c>
      <c r="H190" s="28">
        <f ca="1">IFERROR(__xludf.DUMMYFUNCTION("""COMPUTED_VALUE"""),68185)</f>
        <v>68185</v>
      </c>
      <c r="I190" s="41">
        <f ca="1">IFERROR(__xludf.DUMMYFUNCTION("""COMPUTED_VALUE"""),0)</f>
        <v>0</v>
      </c>
      <c r="J190" s="41"/>
      <c r="K190" s="21">
        <f t="shared" ca="1" si="1"/>
        <v>818220</v>
      </c>
      <c r="L190" s="116">
        <f t="shared" ca="1" si="2"/>
        <v>1</v>
      </c>
    </row>
    <row r="191" spans="1:12" ht="13.2">
      <c r="A191" s="21" t="e">
        <f ca="1"/>
        <v>#NAME?</v>
      </c>
      <c r="B191" s="21" t="str">
        <f ca="1">IFERROR(__xludf.DUMMYFUNCTION("""COMPUTED_VALUE"""),"S S SANITATION")</f>
        <v>S S SANITATION</v>
      </c>
      <c r="C191" s="132">
        <f ca="1">IFERROR(__xludf.DUMMYFUNCTION("""COMPUTED_VALUE"""),5529426)</f>
        <v>5529426</v>
      </c>
      <c r="D191" s="132">
        <f ca="1">IFERROR(__xludf.DUMMYFUNCTION("""COMPUTED_VALUE"""),1)</f>
        <v>1</v>
      </c>
      <c r="E191" s="132" t="str">
        <f ca="1">IFERROR(__xludf.DUMMYFUNCTION("""COMPUTED_VALUE"""),"Manish Gupta")</f>
        <v>Manish Gupta</v>
      </c>
      <c r="F191" s="132" t="str">
        <f ca="1">IFERROR(__xludf.DUMMYFUNCTION("""COMPUTED_VALUE"""),"West U.P")</f>
        <v>West U.P</v>
      </c>
      <c r="G191" s="133">
        <f ca="1">IFERROR(__xludf.DUMMYFUNCTION("""COMPUTED_VALUE"""),5529426)</f>
        <v>5529426</v>
      </c>
      <c r="H191" s="28">
        <f ca="1">IFERROR(__xludf.DUMMYFUNCTION("""COMPUTED_VALUE"""),460785.5)</f>
        <v>460785.5</v>
      </c>
      <c r="I191" s="41">
        <f ca="1">IFERROR(__xludf.DUMMYFUNCTION("""COMPUTED_VALUE"""),5731081)</f>
        <v>5731081</v>
      </c>
      <c r="J191" s="41"/>
      <c r="K191" s="21">
        <f t="shared" ca="1" si="1"/>
        <v>-201655</v>
      </c>
      <c r="L191" s="116">
        <f t="shared" ca="1" si="2"/>
        <v>-3.6469427387218853E-2</v>
      </c>
    </row>
    <row r="192" spans="1:12" ht="13.2">
      <c r="A192" s="21" t="e">
        <f ca="1"/>
        <v>#NAME?</v>
      </c>
      <c r="B192" s="21" t="str">
        <f ca="1">IFERROR(__xludf.DUMMYFUNCTION("""COMPUTED_VALUE"""),"S. P. ENTERPRISES")</f>
        <v>S. P. ENTERPRISES</v>
      </c>
      <c r="C192" s="132">
        <f ca="1">IFERROR(__xludf.DUMMYFUNCTION("""COMPUTED_VALUE"""),669195)</f>
        <v>669195</v>
      </c>
      <c r="D192" s="132">
        <f ca="1">IFERROR(__xludf.DUMMYFUNCTION("""COMPUTED_VALUE"""),2)</f>
        <v>2</v>
      </c>
      <c r="E192" s="132" t="str">
        <f ca="1">IFERROR(__xludf.DUMMYFUNCTION("""COMPUTED_VALUE"""),"Chandrakant Mandave, Praveen Pandey")</f>
        <v>Chandrakant Mandave, Praveen Pandey</v>
      </c>
      <c r="F192" s="132" t="str">
        <f ca="1">IFERROR(__xludf.DUMMYFUNCTION("""COMPUTED_VALUE"""),"MAHARASHTRA")</f>
        <v>MAHARASHTRA</v>
      </c>
      <c r="G192" s="133">
        <f ca="1">IFERROR(__xludf.DUMMYFUNCTION("""COMPUTED_VALUE"""),334597.5)</f>
        <v>334597.5</v>
      </c>
      <c r="H192" s="28">
        <f ca="1">IFERROR(__xludf.DUMMYFUNCTION("""COMPUTED_VALUE"""),27883.125)</f>
        <v>27883.125</v>
      </c>
      <c r="I192" s="41">
        <f ca="1">IFERROR(__xludf.DUMMYFUNCTION("""COMPUTED_VALUE"""),1043467)</f>
        <v>1043467</v>
      </c>
      <c r="J192" s="41"/>
      <c r="K192" s="21">
        <f t="shared" ca="1" si="1"/>
        <v>-374272</v>
      </c>
      <c r="L192" s="116">
        <f t="shared" ca="1" si="2"/>
        <v>-0.55928690441500606</v>
      </c>
    </row>
    <row r="193" spans="1:12" ht="13.2">
      <c r="A193" s="21" t="e">
        <f ca="1"/>
        <v>#NAME?</v>
      </c>
      <c r="B193" s="21" t="str">
        <f ca="1">IFERROR(__xludf.DUMMYFUNCTION("""COMPUTED_VALUE"""),"S.P. Brothers &amp; Sons")</f>
        <v>S.P. Brothers &amp; Sons</v>
      </c>
      <c r="C193" s="132">
        <f ca="1">IFERROR(__xludf.DUMMYFUNCTION("""COMPUTED_VALUE"""),120868)</f>
        <v>120868</v>
      </c>
      <c r="D193" s="132">
        <f ca="1">IFERROR(__xludf.DUMMYFUNCTION("""COMPUTED_VALUE"""),2)</f>
        <v>2</v>
      </c>
      <c r="E193" s="132" t="str">
        <f ca="1">IFERROR(__xludf.DUMMYFUNCTION("""COMPUTED_VALUE"""),"Suven Sengupta, Vikash Kumar Paswan")</f>
        <v>Suven Sengupta, Vikash Kumar Paswan</v>
      </c>
      <c r="F193" s="132" t="str">
        <f ca="1">IFERROR(__xludf.DUMMYFUNCTION("""COMPUTED_VALUE"""),"WEST BENGAL")</f>
        <v>WEST BENGAL</v>
      </c>
      <c r="G193" s="133">
        <f ca="1">IFERROR(__xludf.DUMMYFUNCTION("""COMPUTED_VALUE"""),60434)</f>
        <v>60434</v>
      </c>
      <c r="H193" s="28">
        <f ca="1">IFERROR(__xludf.DUMMYFUNCTION("""COMPUTED_VALUE"""),5036.16666666666)</f>
        <v>5036.1666666666597</v>
      </c>
      <c r="I193" s="41">
        <f ca="1">IFERROR(__xludf.DUMMYFUNCTION("""COMPUTED_VALUE"""),50740)</f>
        <v>50740</v>
      </c>
      <c r="J193" s="41"/>
      <c r="K193" s="21">
        <f t="shared" ca="1" si="1"/>
        <v>70128</v>
      </c>
      <c r="L193" s="116">
        <f t="shared" ca="1" si="2"/>
        <v>0.5802031968759308</v>
      </c>
    </row>
    <row r="194" spans="1:12" ht="13.2">
      <c r="A194" s="21" t="e">
        <f ca="1"/>
        <v>#NAME?</v>
      </c>
      <c r="B194" s="21" t="str">
        <f ca="1">IFERROR(__xludf.DUMMYFUNCTION("""COMPUTED_VALUE"""),"SAI SRINIVASA ENTERPRISES")</f>
        <v>SAI SRINIVASA ENTERPRISES</v>
      </c>
      <c r="C194" s="132">
        <f ca="1">IFERROR(__xludf.DUMMYFUNCTION("""COMPUTED_VALUE"""),376065)</f>
        <v>376065</v>
      </c>
      <c r="D194" s="132">
        <f ca="1">IFERROR(__xludf.DUMMYFUNCTION("""COMPUTED_VALUE"""),2)</f>
        <v>2</v>
      </c>
      <c r="E194" s="132" t="str">
        <f ca="1">IFERROR(__xludf.DUMMYFUNCTION("""COMPUTED_VALUE"""),"Shaik Jani basha, Taninki Ramesh Babu")</f>
        <v>Shaik Jani basha, Taninki Ramesh Babu</v>
      </c>
      <c r="F194" s="132" t="str">
        <f ca="1">IFERROR(__xludf.DUMMYFUNCTION("""COMPUTED_VALUE"""),"ANDHRA PRADESH")</f>
        <v>ANDHRA PRADESH</v>
      </c>
      <c r="G194" s="133">
        <f ca="1">IFERROR(__xludf.DUMMYFUNCTION("""COMPUTED_VALUE"""),188032.5)</f>
        <v>188032.5</v>
      </c>
      <c r="H194" s="28">
        <f ca="1">IFERROR(__xludf.DUMMYFUNCTION("""COMPUTED_VALUE"""),15669.375)</f>
        <v>15669.375</v>
      </c>
      <c r="I194" s="41">
        <f ca="1">IFERROR(__xludf.DUMMYFUNCTION("""COMPUTED_VALUE"""),178587)</f>
        <v>178587</v>
      </c>
      <c r="J194" s="41"/>
      <c r="K194" s="21">
        <f t="shared" ca="1" si="1"/>
        <v>197478</v>
      </c>
      <c r="L194" s="116">
        <f t="shared" ca="1" si="2"/>
        <v>0.52511666866100271</v>
      </c>
    </row>
    <row r="195" spans="1:12" ht="13.2">
      <c r="A195" s="21" t="e">
        <f ca="1"/>
        <v>#NAME?</v>
      </c>
      <c r="B195" s="21" t="str">
        <f ca="1">IFERROR(__xludf.DUMMYFUNCTION("""COMPUTED_VALUE"""),"SAINTHIA PAINTS HOUSE")</f>
        <v>SAINTHIA PAINTS HOUSE</v>
      </c>
      <c r="C195" s="132">
        <f ca="1">IFERROR(__xludf.DUMMYFUNCTION("""COMPUTED_VALUE"""),297782)</f>
        <v>297782</v>
      </c>
      <c r="D195" s="132">
        <f ca="1">IFERROR(__xludf.DUMMYFUNCTION("""COMPUTED_VALUE"""),1)</f>
        <v>1</v>
      </c>
      <c r="E195" s="132" t="str">
        <f ca="1">IFERROR(__xludf.DUMMYFUNCTION("""COMPUTED_VALUE"""),"Sudip Sarkar")</f>
        <v>Sudip Sarkar</v>
      </c>
      <c r="F195" s="132" t="str">
        <f ca="1">IFERROR(__xludf.DUMMYFUNCTION("""COMPUTED_VALUE"""),"WEST BENGAL")</f>
        <v>WEST BENGAL</v>
      </c>
      <c r="G195" s="133">
        <f ca="1">IFERROR(__xludf.DUMMYFUNCTION("""COMPUTED_VALUE"""),297782)</f>
        <v>297782</v>
      </c>
      <c r="H195" s="28">
        <f ca="1">IFERROR(__xludf.DUMMYFUNCTION("""COMPUTED_VALUE"""),24815.1666666666)</f>
        <v>24815.166666666599</v>
      </c>
      <c r="I195" s="41">
        <f ca="1">IFERROR(__xludf.DUMMYFUNCTION("""COMPUTED_VALUE"""),40481453)</f>
        <v>40481453</v>
      </c>
      <c r="J195" s="41"/>
      <c r="K195" s="21">
        <f t="shared" ca="1" si="1"/>
        <v>-40183671</v>
      </c>
      <c r="L195" s="116">
        <f t="shared" ca="1" si="2"/>
        <v>-134.94325043152372</v>
      </c>
    </row>
    <row r="196" spans="1:12" ht="13.2">
      <c r="A196" s="21" t="e">
        <f ca="1"/>
        <v>#NAME?</v>
      </c>
      <c r="B196" s="21" t="str">
        <f ca="1">IFERROR(__xludf.DUMMYFUNCTION("""COMPUTED_VALUE"""),"SALROO SANITARY AND HARDWARE STORE")</f>
        <v>SALROO SANITARY AND HARDWARE STORE</v>
      </c>
      <c r="C196" s="132">
        <f ca="1">IFERROR(__xludf.DUMMYFUNCTION("""COMPUTED_VALUE"""),729707)</f>
        <v>729707</v>
      </c>
      <c r="D196" s="132">
        <f ca="1">IFERROR(__xludf.DUMMYFUNCTION("""COMPUTED_VALUE"""),2)</f>
        <v>2</v>
      </c>
      <c r="E196" s="132" t="str">
        <f ca="1">IFERROR(__xludf.DUMMYFUNCTION("""COMPUTED_VALUE"""),"Irfan Ahmad Wani, Basit Ahmad Pala")</f>
        <v>Irfan Ahmad Wani, Basit Ahmad Pala</v>
      </c>
      <c r="F196" s="132" t="str">
        <f ca="1">IFERROR(__xludf.DUMMYFUNCTION("""COMPUTED_VALUE"""),"JAMMU AND KASHMIR")</f>
        <v>JAMMU AND KASHMIR</v>
      </c>
      <c r="G196" s="133">
        <f ca="1">IFERROR(__xludf.DUMMYFUNCTION("""COMPUTED_VALUE"""),364853.5)</f>
        <v>364853.5</v>
      </c>
      <c r="H196" s="28">
        <f ca="1">IFERROR(__xludf.DUMMYFUNCTION("""COMPUTED_VALUE"""),30404.4583333333)</f>
        <v>30404.458333333299</v>
      </c>
      <c r="I196" s="41">
        <f ca="1">IFERROR(__xludf.DUMMYFUNCTION("""COMPUTED_VALUE"""),909549)</f>
        <v>909549</v>
      </c>
      <c r="J196" s="41"/>
      <c r="K196" s="21">
        <f t="shared" ca="1" si="1"/>
        <v>-179842</v>
      </c>
      <c r="L196" s="116">
        <f t="shared" ca="1" si="2"/>
        <v>-0.24645782485298895</v>
      </c>
    </row>
    <row r="197" spans="1:12" ht="13.2">
      <c r="A197" s="21" t="e">
        <f ca="1"/>
        <v>#NAME?</v>
      </c>
      <c r="B197" s="21" t="str">
        <f ca="1">IFERROR(__xludf.DUMMYFUNCTION("""COMPUTED_VALUE"""),"SAPPHIRE SALES CORPORATION PRIVATE LIMITED")</f>
        <v>SAPPHIRE SALES CORPORATION PRIVATE LIMITED</v>
      </c>
      <c r="C197" s="132">
        <f ca="1">IFERROR(__xludf.DUMMYFUNCTION("""COMPUTED_VALUE"""),2846089)</f>
        <v>2846089</v>
      </c>
      <c r="D197" s="132">
        <f ca="1">IFERROR(__xludf.DUMMYFUNCTION("""COMPUTED_VALUE"""),2)</f>
        <v>2</v>
      </c>
      <c r="E197" s="132" t="str">
        <f ca="1">IFERROR(__xludf.DUMMYFUNCTION("""COMPUTED_VALUE"""),"ANAND BHAGWAN MORE, Tushar Ravindra Kanthale")</f>
        <v>ANAND BHAGWAN MORE, Tushar Ravindra Kanthale</v>
      </c>
      <c r="F197" s="132" t="str">
        <f ca="1">IFERROR(__xludf.DUMMYFUNCTION("""COMPUTED_VALUE"""),"MAHARASHTRA")</f>
        <v>MAHARASHTRA</v>
      </c>
      <c r="G197" s="133">
        <f ca="1">IFERROR(__xludf.DUMMYFUNCTION("""COMPUTED_VALUE"""),1423044.5)</f>
        <v>1423044.5</v>
      </c>
      <c r="H197" s="28">
        <f ca="1">IFERROR(__xludf.DUMMYFUNCTION("""COMPUTED_VALUE"""),118587.041666666)</f>
        <v>118587.041666666</v>
      </c>
      <c r="I197" s="41">
        <f ca="1">IFERROR(__xludf.DUMMYFUNCTION("""COMPUTED_VALUE"""),5357935)</f>
        <v>5357935</v>
      </c>
      <c r="J197" s="41"/>
      <c r="K197" s="21">
        <f t="shared" ca="1" si="1"/>
        <v>-2511846</v>
      </c>
      <c r="L197" s="116">
        <f t="shared" ca="1" si="2"/>
        <v>-0.88256059455624891</v>
      </c>
    </row>
    <row r="198" spans="1:12" ht="13.2">
      <c r="A198" s="21" t="e">
        <f ca="1"/>
        <v>#NAME?</v>
      </c>
      <c r="B198" s="21" t="str">
        <f ca="1">IFERROR(__xludf.DUMMYFUNCTION("""COMPUTED_VALUE"""),"SASTHA PIPE TRADERS")</f>
        <v>SASTHA PIPE TRADERS</v>
      </c>
      <c r="C198" s="132">
        <f ca="1">IFERROR(__xludf.DUMMYFUNCTION("""COMPUTED_VALUE"""),9588896)</f>
        <v>9588896</v>
      </c>
      <c r="D198" s="132">
        <f ca="1">IFERROR(__xludf.DUMMYFUNCTION("""COMPUTED_VALUE"""),4)</f>
        <v>4</v>
      </c>
      <c r="E198" s="132" t="str">
        <f ca="1">IFERROR(__xludf.DUMMYFUNCTION("""COMPUTED_VALUE"""),"Dinesh Kumar, Karuppasamy R, Saibulla S., Ganesh Kumar")</f>
        <v>Dinesh Kumar, Karuppasamy R, Saibulla S., Ganesh Kumar</v>
      </c>
      <c r="F198" s="132" t="str">
        <f ca="1">IFERROR(__xludf.DUMMYFUNCTION("""COMPUTED_VALUE"""),"TAMIL NADU")</f>
        <v>TAMIL NADU</v>
      </c>
      <c r="G198" s="133">
        <f ca="1">IFERROR(__xludf.DUMMYFUNCTION("""COMPUTED_VALUE"""),2397224)</f>
        <v>2397224</v>
      </c>
      <c r="H198" s="28">
        <f ca="1">IFERROR(__xludf.DUMMYFUNCTION("""COMPUTED_VALUE"""),199768.666666666)</f>
        <v>199768.66666666599</v>
      </c>
      <c r="I198" s="41">
        <f ca="1">IFERROR(__xludf.DUMMYFUNCTION("""COMPUTED_VALUE"""),0)</f>
        <v>0</v>
      </c>
      <c r="J198" s="41"/>
      <c r="K198" s="21">
        <f t="shared" ca="1" si="1"/>
        <v>9588896</v>
      </c>
      <c r="L198" s="116">
        <f t="shared" ca="1" si="2"/>
        <v>1</v>
      </c>
    </row>
    <row r="199" spans="1:12" ht="13.2">
      <c r="A199" s="21" t="e">
        <f ca="1"/>
        <v>#NAME?</v>
      </c>
      <c r="B199" s="21" t="str">
        <f ca="1">IFERROR(__xludf.DUMMYFUNCTION("""COMPUTED_VALUE"""),"Satya Traders")</f>
        <v>Satya Traders</v>
      </c>
      <c r="C199" s="132">
        <f ca="1">IFERROR(__xludf.DUMMYFUNCTION("""COMPUTED_VALUE"""),117261)</f>
        <v>117261</v>
      </c>
      <c r="D199" s="132">
        <f ca="1">IFERROR(__xludf.DUMMYFUNCTION("""COMPUTED_VALUE"""),1)</f>
        <v>1</v>
      </c>
      <c r="E199" s="132" t="str">
        <f ca="1">IFERROR(__xludf.DUMMYFUNCTION("""COMPUTED_VALUE"""),"Ravinder Puri")</f>
        <v>Ravinder Puri</v>
      </c>
      <c r="F199" s="132" t="str">
        <f ca="1">IFERROR(__xludf.DUMMYFUNCTION("""COMPUTED_VALUE"""),"West U.P")</f>
        <v>West U.P</v>
      </c>
      <c r="G199" s="133">
        <f ca="1">IFERROR(__xludf.DUMMYFUNCTION("""COMPUTED_VALUE"""),117261)</f>
        <v>117261</v>
      </c>
      <c r="H199" s="28">
        <f ca="1">IFERROR(__xludf.DUMMYFUNCTION("""COMPUTED_VALUE"""),9771.75)</f>
        <v>9771.75</v>
      </c>
      <c r="I199" s="41">
        <f ca="1">IFERROR(__xludf.DUMMYFUNCTION("""COMPUTED_VALUE"""),0)</f>
        <v>0</v>
      </c>
      <c r="J199" s="41" t="str">
        <f ca="1">IFERROR(__xludf.DUMMYFUNCTION("""COMPUTED_VALUE"""),"OLD STOCK")</f>
        <v>OLD STOCK</v>
      </c>
      <c r="K199" s="21">
        <f t="shared" ca="1" si="1"/>
        <v>117261</v>
      </c>
      <c r="L199" s="116">
        <f t="shared" ca="1" si="2"/>
        <v>1</v>
      </c>
    </row>
    <row r="200" spans="1:12" ht="13.2">
      <c r="A200" s="21" t="e">
        <f ca="1"/>
        <v>#NAME?</v>
      </c>
      <c r="B200" s="21" t="str">
        <f ca="1">IFERROR(__xludf.DUMMYFUNCTION("""COMPUTED_VALUE"""),"Saurabh sanitary store")</f>
        <v>Saurabh sanitary store</v>
      </c>
      <c r="C200" s="132">
        <f ca="1">IFERROR(__xludf.DUMMYFUNCTION("""COMPUTED_VALUE"""),671537)</f>
        <v>671537</v>
      </c>
      <c r="D200" s="132">
        <f ca="1">IFERROR(__xludf.DUMMYFUNCTION("""COMPUTED_VALUE"""),1)</f>
        <v>1</v>
      </c>
      <c r="E200" s="132" t="str">
        <f ca="1">IFERROR(__xludf.DUMMYFUNCTION("""COMPUTED_VALUE"""),"Ravinder Puri")</f>
        <v>Ravinder Puri</v>
      </c>
      <c r="F200" s="132" t="str">
        <f ca="1">IFERROR(__xludf.DUMMYFUNCTION("""COMPUTED_VALUE"""),"West U.P")</f>
        <v>West U.P</v>
      </c>
      <c r="G200" s="133">
        <f ca="1">IFERROR(__xludf.DUMMYFUNCTION("""COMPUTED_VALUE"""),671537)</f>
        <v>671537</v>
      </c>
      <c r="H200" s="28">
        <f ca="1">IFERROR(__xludf.DUMMYFUNCTION("""COMPUTED_VALUE"""),55961.4166666666)</f>
        <v>55961.416666666599</v>
      </c>
      <c r="I200" s="41">
        <f ca="1">IFERROR(__xludf.DUMMYFUNCTION("""COMPUTED_VALUE"""),639380)</f>
        <v>639380</v>
      </c>
      <c r="J200" s="41"/>
      <c r="K200" s="21">
        <f t="shared" ca="1" si="1"/>
        <v>32157</v>
      </c>
      <c r="L200" s="116">
        <f t="shared" ca="1" si="2"/>
        <v>4.7885671228837724E-2</v>
      </c>
    </row>
    <row r="201" spans="1:12" ht="13.2">
      <c r="A201" s="21" t="e">
        <f ca="1"/>
        <v>#NAME?</v>
      </c>
      <c r="B201" s="21" t="str">
        <f ca="1">IFERROR(__xludf.DUMMYFUNCTION("""COMPUTED_VALUE"""),"Sawariya Trading company")</f>
        <v>Sawariya Trading company</v>
      </c>
      <c r="C201" s="132">
        <f ca="1">IFERROR(__xludf.DUMMYFUNCTION("""COMPUTED_VALUE"""),12693344)</f>
        <v>12693344</v>
      </c>
      <c r="D201" s="132">
        <f ca="1">IFERROR(__xludf.DUMMYFUNCTION("""COMPUTED_VALUE"""),1)</f>
        <v>1</v>
      </c>
      <c r="E201" s="132" t="str">
        <f ca="1">IFERROR(__xludf.DUMMYFUNCTION("""COMPUTED_VALUE"""),"AMAN KHAN")</f>
        <v>AMAN KHAN</v>
      </c>
      <c r="F201" s="132" t="str">
        <f ca="1">IFERROR(__xludf.DUMMYFUNCTION("""COMPUTED_VALUE"""),"MADHYA PRADESH")</f>
        <v>MADHYA PRADESH</v>
      </c>
      <c r="G201" s="133">
        <f ca="1">IFERROR(__xludf.DUMMYFUNCTION("""COMPUTED_VALUE"""),12693344)</f>
        <v>12693344</v>
      </c>
      <c r="H201" s="28">
        <f ca="1">IFERROR(__xludf.DUMMYFUNCTION("""COMPUTED_VALUE"""),1057778.66666666)</f>
        <v>1057778.66666666</v>
      </c>
      <c r="I201" s="41">
        <f ca="1">IFERROR(__xludf.DUMMYFUNCTION("""COMPUTED_VALUE"""),16146891)</f>
        <v>16146891</v>
      </c>
      <c r="J201" s="41"/>
      <c r="K201" s="21">
        <f t="shared" ca="1" si="1"/>
        <v>-3453547</v>
      </c>
      <c r="L201" s="116">
        <f t="shared" ca="1" si="2"/>
        <v>-0.27207542787779171</v>
      </c>
    </row>
    <row r="202" spans="1:12" ht="13.2">
      <c r="A202" s="21" t="e">
        <f ca="1"/>
        <v>#NAME?</v>
      </c>
      <c r="B202" s="21" t="str">
        <f ca="1">IFERROR(__xludf.DUMMYFUNCTION("""COMPUTED_VALUE"""),"SB ENTERPRISES")</f>
        <v>SB ENTERPRISES</v>
      </c>
      <c r="C202" s="132">
        <f ca="1">IFERROR(__xludf.DUMMYFUNCTION("""COMPUTED_VALUE"""),58622466)</f>
        <v>58622466</v>
      </c>
      <c r="D202" s="132">
        <f ca="1">IFERROR(__xludf.DUMMYFUNCTION("""COMPUTED_VALUE"""),2)</f>
        <v>2</v>
      </c>
      <c r="E202" s="132" t="str">
        <f ca="1">IFERROR(__xludf.DUMMYFUNCTION("""COMPUTED_VALUE"""),"Pravat Kumar Dash, Sunil Kumar Pani")</f>
        <v>Pravat Kumar Dash, Sunil Kumar Pani</v>
      </c>
      <c r="F202" s="132" t="str">
        <f ca="1">IFERROR(__xludf.DUMMYFUNCTION("""COMPUTED_VALUE"""),"ODISHA")</f>
        <v>ODISHA</v>
      </c>
      <c r="G202" s="133">
        <f ca="1">IFERROR(__xludf.DUMMYFUNCTION("""COMPUTED_VALUE"""),29311233)</f>
        <v>29311233</v>
      </c>
      <c r="H202" s="28">
        <f ca="1">IFERROR(__xludf.DUMMYFUNCTION("""COMPUTED_VALUE"""),2442602.75)</f>
        <v>2442602.75</v>
      </c>
      <c r="I202" s="41">
        <f ca="1">IFERROR(__xludf.DUMMYFUNCTION("""COMPUTED_VALUE"""),56839866)</f>
        <v>56839866</v>
      </c>
      <c r="J202" s="41"/>
      <c r="K202" s="21">
        <f t="shared" ca="1" si="1"/>
        <v>1782600</v>
      </c>
      <c r="L202" s="116">
        <f t="shared" ca="1" si="2"/>
        <v>3.0408137385418074E-2</v>
      </c>
    </row>
    <row r="203" spans="1:12" ht="13.2">
      <c r="A203" s="21" t="e">
        <f ca="1"/>
        <v>#NAME?</v>
      </c>
      <c r="B203" s="21" t="str">
        <f ca="1">IFERROR(__xludf.DUMMYFUNCTION("""COMPUTED_VALUE"""),"Sewa bath solutions")</f>
        <v>Sewa bath solutions</v>
      </c>
      <c r="C203" s="132">
        <f ca="1">IFERROR(__xludf.DUMMYFUNCTION("""COMPUTED_VALUE"""),33348041)</f>
        <v>33348041</v>
      </c>
      <c r="D203" s="132">
        <f ca="1">IFERROR(__xludf.DUMMYFUNCTION("""COMPUTED_VALUE"""),4)</f>
        <v>4</v>
      </c>
      <c r="E203" s="132" t="str">
        <f ca="1">IFERROR(__xludf.DUMMYFUNCTION("""COMPUTED_VALUE"""),"Jitender Birla, Saqib juned, Rajesh Patel, Sunil Kumar")</f>
        <v>Jitender Birla, Saqib juned, Rajesh Patel, Sunil Kumar</v>
      </c>
      <c r="F203" s="132" t="str">
        <f ca="1">IFERROR(__xludf.DUMMYFUNCTION("""COMPUTED_VALUE"""),"MADHYA PRADESH")</f>
        <v>MADHYA PRADESH</v>
      </c>
      <c r="G203" s="133">
        <f ca="1">IFERROR(__xludf.DUMMYFUNCTION("""COMPUTED_VALUE"""),8337010.25)</f>
        <v>8337010.25</v>
      </c>
      <c r="H203" s="28">
        <f ca="1">IFERROR(__xludf.DUMMYFUNCTION("""COMPUTED_VALUE"""),694750.854166666)</f>
        <v>694750.85416666605</v>
      </c>
      <c r="I203" s="41">
        <f ca="1">IFERROR(__xludf.DUMMYFUNCTION("""COMPUTED_VALUE"""),57527745)</f>
        <v>57527745</v>
      </c>
      <c r="J203" s="41"/>
      <c r="K203" s="21">
        <f t="shared" ca="1" si="1"/>
        <v>-24179704</v>
      </c>
      <c r="L203" s="116">
        <f t="shared" ca="1" si="2"/>
        <v>-0.72507119683582011</v>
      </c>
    </row>
    <row r="204" spans="1:12" ht="13.2">
      <c r="A204" s="21" t="e">
        <f ca="1"/>
        <v>#NAME?</v>
      </c>
      <c r="B204" s="21" t="str">
        <f ca="1">IFERROR(__xludf.DUMMYFUNCTION("""COMPUTED_VALUE"""),"Shabir and sons")</f>
        <v>Shabir and sons</v>
      </c>
      <c r="C204" s="132">
        <f ca="1">IFERROR(__xludf.DUMMYFUNCTION("""COMPUTED_VALUE"""),1426019)</f>
        <v>1426019</v>
      </c>
      <c r="D204" s="132">
        <f ca="1">IFERROR(__xludf.DUMMYFUNCTION("""COMPUTED_VALUE"""),1)</f>
        <v>1</v>
      </c>
      <c r="E204" s="132" t="str">
        <f ca="1">IFERROR(__xludf.DUMMYFUNCTION("""COMPUTED_VALUE"""),"Tafazul Nazir")</f>
        <v>Tafazul Nazir</v>
      </c>
      <c r="F204" s="132" t="str">
        <f ca="1">IFERROR(__xludf.DUMMYFUNCTION("""COMPUTED_VALUE"""),"JAMMU AND KASHMIR")</f>
        <v>JAMMU AND KASHMIR</v>
      </c>
      <c r="G204" s="133">
        <f ca="1">IFERROR(__xludf.DUMMYFUNCTION("""COMPUTED_VALUE"""),1426019)</f>
        <v>1426019</v>
      </c>
      <c r="H204" s="28">
        <f ca="1">IFERROR(__xludf.DUMMYFUNCTION("""COMPUTED_VALUE"""),118834.916666666)</f>
        <v>118834.916666666</v>
      </c>
      <c r="I204" s="41">
        <f ca="1">IFERROR(__xludf.DUMMYFUNCTION("""COMPUTED_VALUE"""),2036321)</f>
        <v>2036321</v>
      </c>
      <c r="J204" s="41"/>
      <c r="K204" s="21">
        <f t="shared" ca="1" si="1"/>
        <v>-610302</v>
      </c>
      <c r="L204" s="116">
        <f t="shared" ca="1" si="2"/>
        <v>-0.42797606483504075</v>
      </c>
    </row>
    <row r="205" spans="1:12" ht="13.2">
      <c r="A205" s="21" t="e">
        <f ca="1"/>
        <v>#NAME?</v>
      </c>
      <c r="B205" s="21" t="str">
        <f ca="1">IFERROR(__xludf.DUMMYFUNCTION("""COMPUTED_VALUE"""),"Shiv Sales")</f>
        <v>Shiv Sales</v>
      </c>
      <c r="C205" s="132">
        <f ca="1">IFERROR(__xludf.DUMMYFUNCTION("""COMPUTED_VALUE"""),8389165)</f>
        <v>8389165</v>
      </c>
      <c r="D205" s="132">
        <f ca="1">IFERROR(__xludf.DUMMYFUNCTION("""COMPUTED_VALUE"""),1)</f>
        <v>1</v>
      </c>
      <c r="E205" s="132" t="str">
        <f ca="1">IFERROR(__xludf.DUMMYFUNCTION("""COMPUTED_VALUE"""),"Dipak Sharma")</f>
        <v>Dipak Sharma</v>
      </c>
      <c r="F205" s="132" t="str">
        <f ca="1">IFERROR(__xludf.DUMMYFUNCTION("""COMPUTED_VALUE"""),"ASSAM")</f>
        <v>ASSAM</v>
      </c>
      <c r="G205" s="133">
        <f ca="1">IFERROR(__xludf.DUMMYFUNCTION("""COMPUTED_VALUE"""),8389165)</f>
        <v>8389165</v>
      </c>
      <c r="H205" s="28">
        <f ca="1">IFERROR(__xludf.DUMMYFUNCTION("""COMPUTED_VALUE"""),699097.083333333)</f>
        <v>699097.08333333302</v>
      </c>
      <c r="I205" s="41">
        <f ca="1">IFERROR(__xludf.DUMMYFUNCTION("""COMPUTED_VALUE"""),10718290)</f>
        <v>10718290</v>
      </c>
      <c r="J205" s="41"/>
      <c r="K205" s="21">
        <f t="shared" ca="1" si="1"/>
        <v>-2329125</v>
      </c>
      <c r="L205" s="116">
        <f t="shared" ca="1" si="2"/>
        <v>-0.27763490168568622</v>
      </c>
    </row>
    <row r="206" spans="1:12" ht="13.2">
      <c r="A206" s="21" t="e">
        <f ca="1"/>
        <v>#NAME?</v>
      </c>
      <c r="B206" s="21" t="str">
        <f ca="1">IFERROR(__xludf.DUMMYFUNCTION("""COMPUTED_VALUE"""),"Shiv shakti fitting &amp;Hardware")</f>
        <v>Shiv shakti fitting &amp;Hardware</v>
      </c>
      <c r="C206" s="132">
        <f ca="1">IFERROR(__xludf.DUMMYFUNCTION("""COMPUTED_VALUE"""),5318795)</f>
        <v>5318795</v>
      </c>
      <c r="D206" s="132">
        <f ca="1">IFERROR(__xludf.DUMMYFUNCTION("""COMPUTED_VALUE"""),1)</f>
        <v>1</v>
      </c>
      <c r="E206" s="132" t="str">
        <f ca="1">IFERROR(__xludf.DUMMYFUNCTION("""COMPUTED_VALUE"""),"Dinesh Kumar Kaushik")</f>
        <v>Dinesh Kumar Kaushik</v>
      </c>
      <c r="F206" s="132" t="str">
        <f ca="1">IFERROR(__xludf.DUMMYFUNCTION("""COMPUTED_VALUE"""),"RAJASTHAN")</f>
        <v>RAJASTHAN</v>
      </c>
      <c r="G206" s="133">
        <f ca="1">IFERROR(__xludf.DUMMYFUNCTION("""COMPUTED_VALUE"""),5318795)</f>
        <v>5318795</v>
      </c>
      <c r="H206" s="28">
        <f ca="1">IFERROR(__xludf.DUMMYFUNCTION("""COMPUTED_VALUE"""),443232.916666666)</f>
        <v>443232.91666666599</v>
      </c>
      <c r="I206" s="41">
        <f ca="1">IFERROR(__xludf.DUMMYFUNCTION("""COMPUTED_VALUE"""),8042875)</f>
        <v>8042875</v>
      </c>
      <c r="J206" s="41"/>
      <c r="K206" s="21">
        <f t="shared" ca="1" si="1"/>
        <v>-2724080</v>
      </c>
      <c r="L206" s="116">
        <f t="shared" ca="1" si="2"/>
        <v>-0.5121611192008716</v>
      </c>
    </row>
    <row r="207" spans="1:12" ht="13.2">
      <c r="A207" s="21" t="e">
        <f ca="1"/>
        <v>#NAME?</v>
      </c>
      <c r="B207" s="21" t="str">
        <f ca="1">IFERROR(__xludf.DUMMYFUNCTION("""COMPUTED_VALUE"""),"Shivam Traders")</f>
        <v>Shivam Traders</v>
      </c>
      <c r="C207" s="132">
        <f ca="1">IFERROR(__xludf.DUMMYFUNCTION("""COMPUTED_VALUE"""),3960404)</f>
        <v>3960404</v>
      </c>
      <c r="D207" s="132">
        <f ca="1">IFERROR(__xludf.DUMMYFUNCTION("""COMPUTED_VALUE"""),1)</f>
        <v>1</v>
      </c>
      <c r="E207" s="132" t="str">
        <f ca="1">IFERROR(__xludf.DUMMYFUNCTION("""COMPUTED_VALUE"""),"PAWAN KUMAR")</f>
        <v>PAWAN KUMAR</v>
      </c>
      <c r="F207" s="132" t="str">
        <f ca="1">IFERROR(__xludf.DUMMYFUNCTION("""COMPUTED_VALUE"""),"JAMMU AND KASHMIR")</f>
        <v>JAMMU AND KASHMIR</v>
      </c>
      <c r="G207" s="133">
        <f ca="1">IFERROR(__xludf.DUMMYFUNCTION("""COMPUTED_VALUE"""),3960404)</f>
        <v>3960404</v>
      </c>
      <c r="H207" s="28">
        <f ca="1">IFERROR(__xludf.DUMMYFUNCTION("""COMPUTED_VALUE"""),330033.666666666)</f>
        <v>330033.66666666599</v>
      </c>
      <c r="I207" s="41">
        <f ca="1">IFERROR(__xludf.DUMMYFUNCTION("""COMPUTED_VALUE"""),4270799)</f>
        <v>4270799</v>
      </c>
      <c r="J207" s="41"/>
      <c r="K207" s="21">
        <f t="shared" ca="1" si="1"/>
        <v>-310395</v>
      </c>
      <c r="L207" s="116">
        <f t="shared" ca="1" si="2"/>
        <v>-7.8374579967094266E-2</v>
      </c>
    </row>
    <row r="208" spans="1:12" ht="13.2">
      <c r="A208" s="21" t="e">
        <f ca="1"/>
        <v>#NAME?</v>
      </c>
      <c r="B208" s="21" t="str">
        <f ca="1">IFERROR(__xludf.DUMMYFUNCTION("""COMPUTED_VALUE"""),"Shivanjali Sales Corporation")</f>
        <v>Shivanjali Sales Corporation</v>
      </c>
      <c r="C208" s="132">
        <f ca="1">IFERROR(__xludf.DUMMYFUNCTION("""COMPUTED_VALUE"""),4927448)</f>
        <v>4927448</v>
      </c>
      <c r="D208" s="132">
        <f ca="1">IFERROR(__xludf.DUMMYFUNCTION("""COMPUTED_VALUE"""),2)</f>
        <v>2</v>
      </c>
      <c r="E208" s="132" t="str">
        <f ca="1">IFERROR(__xludf.DUMMYFUNCTION("""COMPUTED_VALUE"""),"Pradip Laxman Biradar, Rahul Ramchandra Bhosale")</f>
        <v>Pradip Laxman Biradar, Rahul Ramchandra Bhosale</v>
      </c>
      <c r="F208" s="132" t="str">
        <f ca="1">IFERROR(__xludf.DUMMYFUNCTION("""COMPUTED_VALUE"""),"MAHARASHTRA")</f>
        <v>MAHARASHTRA</v>
      </c>
      <c r="G208" s="133">
        <f ca="1">IFERROR(__xludf.DUMMYFUNCTION("""COMPUTED_VALUE"""),2463724)</f>
        <v>2463724</v>
      </c>
      <c r="H208" s="28">
        <f ca="1">IFERROR(__xludf.DUMMYFUNCTION("""COMPUTED_VALUE"""),205310.333333333)</f>
        <v>205310.33333333299</v>
      </c>
      <c r="I208" s="41">
        <f ca="1">IFERROR(__xludf.DUMMYFUNCTION("""COMPUTED_VALUE"""),3751505)</f>
        <v>3751505</v>
      </c>
      <c r="J208" s="41"/>
      <c r="K208" s="21">
        <f t="shared" ca="1" si="1"/>
        <v>1175943</v>
      </c>
      <c r="L208" s="116">
        <f t="shared" ca="1" si="2"/>
        <v>0.23865152914855722</v>
      </c>
    </row>
    <row r="209" spans="1:12" ht="13.2">
      <c r="A209" s="21" t="e">
        <f ca="1"/>
        <v>#NAME?</v>
      </c>
      <c r="B209" s="21" t="str">
        <f ca="1">IFERROR(__xludf.DUMMYFUNCTION("""COMPUTED_VALUE"""),"Shree Ambey Hardware")</f>
        <v>Shree Ambey Hardware</v>
      </c>
      <c r="C209" s="132">
        <f ca="1">IFERROR(__xludf.DUMMYFUNCTION("""COMPUTED_VALUE"""),111210)</f>
        <v>111210</v>
      </c>
      <c r="D209" s="132">
        <f ca="1">IFERROR(__xludf.DUMMYFUNCTION("""COMPUTED_VALUE"""),1)</f>
        <v>1</v>
      </c>
      <c r="E209" s="132" t="str">
        <f ca="1">IFERROR(__xludf.DUMMYFUNCTION("""COMPUTED_VALUE"""),"Dinesh Kumar Kaushik")</f>
        <v>Dinesh Kumar Kaushik</v>
      </c>
      <c r="F209" s="132" t="str">
        <f ca="1">IFERROR(__xludf.DUMMYFUNCTION("""COMPUTED_VALUE"""),"RAJASTHAN")</f>
        <v>RAJASTHAN</v>
      </c>
      <c r="G209" s="133">
        <f ca="1">IFERROR(__xludf.DUMMYFUNCTION("""COMPUTED_VALUE"""),111210)</f>
        <v>111210</v>
      </c>
      <c r="H209" s="28">
        <f ca="1">IFERROR(__xludf.DUMMYFUNCTION("""COMPUTED_VALUE"""),9267.5)</f>
        <v>9267.5</v>
      </c>
      <c r="I209" s="41">
        <f ca="1">IFERROR(__xludf.DUMMYFUNCTION("""COMPUTED_VALUE"""),556220)</f>
        <v>556220</v>
      </c>
      <c r="J209" s="41"/>
      <c r="K209" s="21">
        <f t="shared" ca="1" si="1"/>
        <v>-445010</v>
      </c>
      <c r="L209" s="116">
        <f t="shared" ca="1" si="2"/>
        <v>-4.0015286395108349</v>
      </c>
    </row>
    <row r="210" spans="1:12" ht="13.2">
      <c r="A210" s="21" t="e">
        <f ca="1"/>
        <v>#NAME?</v>
      </c>
      <c r="B210" s="21" t="str">
        <f ca="1">IFERROR(__xludf.DUMMYFUNCTION("""COMPUTED_VALUE"""),"Shree Ambica Enterprise")</f>
        <v>Shree Ambica Enterprise</v>
      </c>
      <c r="C210" s="132">
        <f ca="1">IFERROR(__xludf.DUMMYFUNCTION("""COMPUTED_VALUE"""),1102188)</f>
        <v>1102188</v>
      </c>
      <c r="D210" s="132">
        <f ca="1">IFERROR(__xludf.DUMMYFUNCTION("""COMPUTED_VALUE"""),1)</f>
        <v>1</v>
      </c>
      <c r="E210" s="132" t="str">
        <f ca="1">IFERROR(__xludf.DUMMYFUNCTION("""COMPUTED_VALUE"""),"Devdutt Joshi")</f>
        <v>Devdutt Joshi</v>
      </c>
      <c r="F210" s="132" t="str">
        <f ca="1">IFERROR(__xludf.DUMMYFUNCTION("""COMPUTED_VALUE"""),"GUJARAT")</f>
        <v>GUJARAT</v>
      </c>
      <c r="G210" s="133">
        <f ca="1">IFERROR(__xludf.DUMMYFUNCTION("""COMPUTED_VALUE"""),1102188)</f>
        <v>1102188</v>
      </c>
      <c r="H210" s="28">
        <f ca="1">IFERROR(__xludf.DUMMYFUNCTION("""COMPUTED_VALUE"""),91849)</f>
        <v>91849</v>
      </c>
      <c r="I210" s="41">
        <f ca="1">IFERROR(__xludf.DUMMYFUNCTION("""COMPUTED_VALUE"""),899082)</f>
        <v>899082</v>
      </c>
      <c r="J210" s="41"/>
      <c r="K210" s="21">
        <f t="shared" ca="1" si="1"/>
        <v>203106</v>
      </c>
      <c r="L210" s="116">
        <f t="shared" ca="1" si="2"/>
        <v>0.18427527790177356</v>
      </c>
    </row>
    <row r="211" spans="1:12" ht="13.2">
      <c r="A211" s="21" t="e">
        <f ca="1"/>
        <v>#NAME?</v>
      </c>
      <c r="B211" s="21" t="str">
        <f ca="1">IFERROR(__xludf.DUMMYFUNCTION("""COMPUTED_VALUE"""),"Shree Ganesh Pipe")</f>
        <v>Shree Ganesh Pipe</v>
      </c>
      <c r="C211" s="132">
        <f ca="1">IFERROR(__xludf.DUMMYFUNCTION("""COMPUTED_VALUE"""),1959497)</f>
        <v>1959497</v>
      </c>
      <c r="D211" s="132">
        <f ca="1">IFERROR(__xludf.DUMMYFUNCTION("""COMPUTED_VALUE"""),1)</f>
        <v>1</v>
      </c>
      <c r="E211" s="132" t="str">
        <f ca="1">IFERROR(__xludf.DUMMYFUNCTION("""COMPUTED_VALUE"""),"Gaurav Kumar")</f>
        <v>Gaurav Kumar</v>
      </c>
      <c r="F211" s="132" t="str">
        <f ca="1">IFERROR(__xludf.DUMMYFUNCTION("""COMPUTED_VALUE"""),"BIHAR")</f>
        <v>BIHAR</v>
      </c>
      <c r="G211" s="133">
        <f ca="1">IFERROR(__xludf.DUMMYFUNCTION("""COMPUTED_VALUE"""),1959497)</f>
        <v>1959497</v>
      </c>
      <c r="H211" s="28">
        <f ca="1">IFERROR(__xludf.DUMMYFUNCTION("""COMPUTED_VALUE"""),163291.416666666)</f>
        <v>163291.41666666599</v>
      </c>
      <c r="I211" s="41">
        <f ca="1">IFERROR(__xludf.DUMMYFUNCTION("""COMPUTED_VALUE"""),4780340)</f>
        <v>4780340</v>
      </c>
      <c r="J211" s="41"/>
      <c r="K211" s="21">
        <f t="shared" ca="1" si="1"/>
        <v>-2820843</v>
      </c>
      <c r="L211" s="116">
        <f t="shared" ca="1" si="2"/>
        <v>-1.4395750542103407</v>
      </c>
    </row>
    <row r="212" spans="1:12" ht="13.2">
      <c r="A212" s="21" t="e">
        <f ca="1"/>
        <v>#NAME?</v>
      </c>
      <c r="B212" s="21" t="str">
        <f ca="1">IFERROR(__xludf.DUMMYFUNCTION("""COMPUTED_VALUE"""),"Shree Laxmi Traders")</f>
        <v>Shree Laxmi Traders</v>
      </c>
      <c r="C212" s="132">
        <f ca="1">IFERROR(__xludf.DUMMYFUNCTION("""COMPUTED_VALUE"""),462407)</f>
        <v>462407</v>
      </c>
      <c r="D212" s="132">
        <f ca="1">IFERROR(__xludf.DUMMYFUNCTION("""COMPUTED_VALUE"""),1)</f>
        <v>1</v>
      </c>
      <c r="E212" s="132" t="str">
        <f ca="1">IFERROR(__xludf.DUMMYFUNCTION("""COMPUTED_VALUE"""),"Kumar Avinish")</f>
        <v>Kumar Avinish</v>
      </c>
      <c r="F212" s="132" t="str">
        <f ca="1">IFERROR(__xludf.DUMMYFUNCTION("""COMPUTED_VALUE"""),"BIHAR")</f>
        <v>BIHAR</v>
      </c>
      <c r="G212" s="133">
        <f ca="1">IFERROR(__xludf.DUMMYFUNCTION("""COMPUTED_VALUE"""),462407)</f>
        <v>462407</v>
      </c>
      <c r="H212" s="28">
        <f ca="1">IFERROR(__xludf.DUMMYFUNCTION("""COMPUTED_VALUE"""),38533.9166666666)</f>
        <v>38533.916666666599</v>
      </c>
      <c r="I212" s="41">
        <f ca="1">IFERROR(__xludf.DUMMYFUNCTION("""COMPUTED_VALUE"""),2438784)</f>
        <v>2438784</v>
      </c>
      <c r="J212" s="41"/>
      <c r="K212" s="21">
        <f t="shared" ca="1" si="1"/>
        <v>-1976377</v>
      </c>
      <c r="L212" s="116">
        <f t="shared" ca="1" si="2"/>
        <v>-4.2741070096257197</v>
      </c>
    </row>
    <row r="213" spans="1:12" ht="13.2">
      <c r="A213" s="21" t="e">
        <f ca="1"/>
        <v>#NAME?</v>
      </c>
      <c r="B213" s="21" t="str">
        <f ca="1">IFERROR(__xludf.DUMMYFUNCTION("""COMPUTED_VALUE"""),"Shree Mahadev Traders")</f>
        <v>Shree Mahadev Traders</v>
      </c>
      <c r="C213" s="132">
        <f ca="1">IFERROR(__xludf.DUMMYFUNCTION("""COMPUTED_VALUE"""),16104172)</f>
        <v>16104172</v>
      </c>
      <c r="D213" s="132">
        <f ca="1">IFERROR(__xludf.DUMMYFUNCTION("""COMPUTED_VALUE"""),1)</f>
        <v>1</v>
      </c>
      <c r="E213" s="132" t="str">
        <f ca="1">IFERROR(__xludf.DUMMYFUNCTION("""COMPUTED_VALUE"""),"Ram Shankar Mishra")</f>
        <v>Ram Shankar Mishra</v>
      </c>
      <c r="F213" s="132" t="str">
        <f ca="1">IFERROR(__xludf.DUMMYFUNCTION("""COMPUTED_VALUE"""),"BIHAR")</f>
        <v>BIHAR</v>
      </c>
      <c r="G213" s="133">
        <f ca="1">IFERROR(__xludf.DUMMYFUNCTION("""COMPUTED_VALUE"""),16104172)</f>
        <v>16104172</v>
      </c>
      <c r="H213" s="28">
        <f ca="1">IFERROR(__xludf.DUMMYFUNCTION("""COMPUTED_VALUE"""),1342014.33333333)</f>
        <v>1342014.33333333</v>
      </c>
      <c r="I213" s="41">
        <f ca="1">IFERROR(__xludf.DUMMYFUNCTION("""COMPUTED_VALUE"""),20530007)</f>
        <v>20530007</v>
      </c>
      <c r="J213" s="41"/>
      <c r="K213" s="21">
        <f t="shared" ca="1" si="1"/>
        <v>-4425835</v>
      </c>
      <c r="L213" s="116">
        <f t="shared" ca="1" si="2"/>
        <v>-0.27482536823377196</v>
      </c>
    </row>
    <row r="214" spans="1:12" ht="13.2">
      <c r="A214" s="21" t="e">
        <f ca="1"/>
        <v>#NAME?</v>
      </c>
      <c r="B214" s="21" t="str">
        <f ca="1">IFERROR(__xludf.DUMMYFUNCTION("""COMPUTED_VALUE"""),"Shree Prayag Marketing")</f>
        <v>Shree Prayag Marketing</v>
      </c>
      <c r="C214" s="132">
        <f ca="1">IFERROR(__xludf.DUMMYFUNCTION("""COMPUTED_VALUE"""),16007175)</f>
        <v>16007175</v>
      </c>
      <c r="D214" s="132">
        <f ca="1">IFERROR(__xludf.DUMMYFUNCTION("""COMPUTED_VALUE"""),1)</f>
        <v>1</v>
      </c>
      <c r="E214" s="132" t="str">
        <f ca="1">IFERROR(__xludf.DUMMYFUNCTION("""COMPUTED_VALUE"""),"K.V.THAMIZHSELVAN")</f>
        <v>K.V.THAMIZHSELVAN</v>
      </c>
      <c r="F214" s="132" t="str">
        <f ca="1">IFERROR(__xludf.DUMMYFUNCTION("""COMPUTED_VALUE"""),"TAMIL NADU")</f>
        <v>TAMIL NADU</v>
      </c>
      <c r="G214" s="133">
        <f ca="1">IFERROR(__xludf.DUMMYFUNCTION("""COMPUTED_VALUE"""),16007175)</f>
        <v>16007175</v>
      </c>
      <c r="H214" s="28">
        <f ca="1">IFERROR(__xludf.DUMMYFUNCTION("""COMPUTED_VALUE"""),1333931.25)</f>
        <v>1333931.25</v>
      </c>
      <c r="I214" s="41">
        <f ca="1">IFERROR(__xludf.DUMMYFUNCTION("""COMPUTED_VALUE"""),1135530)</f>
        <v>1135530</v>
      </c>
      <c r="J214" s="41"/>
      <c r="K214" s="21">
        <f t="shared" ca="1" si="1"/>
        <v>14871645</v>
      </c>
      <c r="L214" s="116">
        <f t="shared" ca="1" si="2"/>
        <v>0.92906118662412329</v>
      </c>
    </row>
    <row r="215" spans="1:12" ht="13.2">
      <c r="A215" s="21" t="e">
        <f ca="1"/>
        <v>#NAME?</v>
      </c>
      <c r="B215" s="21" t="str">
        <f ca="1">IFERROR(__xludf.DUMMYFUNCTION("""COMPUTED_VALUE"""),"Shree Ram Marketing")</f>
        <v>Shree Ram Marketing</v>
      </c>
      <c r="C215" s="132">
        <f ca="1">IFERROR(__xludf.DUMMYFUNCTION("""COMPUTED_VALUE"""),363210)</f>
        <v>363210</v>
      </c>
      <c r="D215" s="132">
        <f ca="1">IFERROR(__xludf.DUMMYFUNCTION("""COMPUTED_VALUE"""),1)</f>
        <v>1</v>
      </c>
      <c r="E215" s="132" t="str">
        <f ca="1">IFERROR(__xludf.DUMMYFUNCTION("""COMPUTED_VALUE"""),"Santanu Kalita")</f>
        <v>Santanu Kalita</v>
      </c>
      <c r="F215" s="132" t="str">
        <f ca="1">IFERROR(__xludf.DUMMYFUNCTION("""COMPUTED_VALUE"""),"ASSAM")</f>
        <v>ASSAM</v>
      </c>
      <c r="G215" s="133">
        <f ca="1">IFERROR(__xludf.DUMMYFUNCTION("""COMPUTED_VALUE"""),363210)</f>
        <v>363210</v>
      </c>
      <c r="H215" s="28">
        <f ca="1">IFERROR(__xludf.DUMMYFUNCTION("""COMPUTED_VALUE"""),30267.5)</f>
        <v>30267.5</v>
      </c>
      <c r="I215" s="41">
        <f ca="1">IFERROR(__xludf.DUMMYFUNCTION("""COMPUTED_VALUE"""),14354964)</f>
        <v>14354964</v>
      </c>
      <c r="J215" s="41"/>
      <c r="K215" s="21">
        <f t="shared" ca="1" si="1"/>
        <v>-13991754</v>
      </c>
      <c r="L215" s="116">
        <f t="shared" ca="1" si="2"/>
        <v>-38.522491120839184</v>
      </c>
    </row>
    <row r="216" spans="1:12" ht="13.2">
      <c r="A216" s="21" t="e">
        <f ca="1"/>
        <v>#NAME?</v>
      </c>
      <c r="B216" s="21" t="str">
        <f ca="1">IFERROR(__xludf.DUMMYFUNCTION("""COMPUTED_VALUE"""),"Shree Ram Traders")</f>
        <v>Shree Ram Traders</v>
      </c>
      <c r="C216" s="132">
        <f ca="1">IFERROR(__xludf.DUMMYFUNCTION("""COMPUTED_VALUE"""),1970477)</f>
        <v>1970477</v>
      </c>
      <c r="D216" s="132">
        <f ca="1">IFERROR(__xludf.DUMMYFUNCTION("""COMPUTED_VALUE"""),1)</f>
        <v>1</v>
      </c>
      <c r="E216" s="132" t="str">
        <f ca="1">IFERROR(__xludf.DUMMYFUNCTION("""COMPUTED_VALUE"""),"Santosh Kumar dixit")</f>
        <v>Santosh Kumar dixit</v>
      </c>
      <c r="F216" s="132" t="str">
        <f ca="1">IFERROR(__xludf.DUMMYFUNCTION("""COMPUTED_VALUE"""),"East U.P")</f>
        <v>East U.P</v>
      </c>
      <c r="G216" s="133">
        <f ca="1">IFERROR(__xludf.DUMMYFUNCTION("""COMPUTED_VALUE"""),1970477)</f>
        <v>1970477</v>
      </c>
      <c r="H216" s="28">
        <f ca="1">IFERROR(__xludf.DUMMYFUNCTION("""COMPUTED_VALUE"""),164206.416666666)</f>
        <v>164206.41666666599</v>
      </c>
      <c r="I216" s="41">
        <f ca="1">IFERROR(__xludf.DUMMYFUNCTION("""COMPUTED_VALUE"""),3259808)</f>
        <v>3259808</v>
      </c>
      <c r="J216" s="41"/>
      <c r="K216" s="21">
        <f t="shared" ca="1" si="1"/>
        <v>-1289331</v>
      </c>
      <c r="L216" s="116">
        <f t="shared" ca="1" si="2"/>
        <v>-0.65432430827662535</v>
      </c>
    </row>
    <row r="217" spans="1:12" ht="13.2">
      <c r="A217" s="21" t="e">
        <f ca="1"/>
        <v>#NAME?</v>
      </c>
      <c r="B217" s="21" t="str">
        <f ca="1">IFERROR(__xludf.DUMMYFUNCTION("""COMPUTED_VALUE"""),"Shree vagheswari Enterprise")</f>
        <v>Shree vagheswari Enterprise</v>
      </c>
      <c r="C217" s="132">
        <f ca="1">IFERROR(__xludf.DUMMYFUNCTION("""COMPUTED_VALUE"""),259197)</f>
        <v>259197</v>
      </c>
      <c r="D217" s="132">
        <f ca="1">IFERROR(__xludf.DUMMYFUNCTION("""COMPUTED_VALUE"""),1)</f>
        <v>1</v>
      </c>
      <c r="E217" s="132" t="str">
        <f ca="1">IFERROR(__xludf.DUMMYFUNCTION("""COMPUTED_VALUE"""),"Devdutt Joshi")</f>
        <v>Devdutt Joshi</v>
      </c>
      <c r="F217" s="132" t="str">
        <f ca="1">IFERROR(__xludf.DUMMYFUNCTION("""COMPUTED_VALUE"""),"GUJARAT")</f>
        <v>GUJARAT</v>
      </c>
      <c r="G217" s="133">
        <f ca="1">IFERROR(__xludf.DUMMYFUNCTION("""COMPUTED_VALUE"""),259197)</f>
        <v>259197</v>
      </c>
      <c r="H217" s="28">
        <f ca="1">IFERROR(__xludf.DUMMYFUNCTION("""COMPUTED_VALUE"""),21599.75)</f>
        <v>21599.75</v>
      </c>
      <c r="I217" s="41">
        <f ca="1">IFERROR(__xludf.DUMMYFUNCTION("""COMPUTED_VALUE"""),225016)</f>
        <v>225016</v>
      </c>
      <c r="J217" s="41"/>
      <c r="K217" s="21">
        <f t="shared" ca="1" si="1"/>
        <v>34181</v>
      </c>
      <c r="L217" s="116">
        <f t="shared" ca="1" si="2"/>
        <v>0.13187266827933966</v>
      </c>
    </row>
    <row r="218" spans="1:12" ht="13.2">
      <c r="A218" s="21" t="e">
        <f ca="1"/>
        <v>#NAME?</v>
      </c>
      <c r="B218" s="21" t="str">
        <f ca="1">IFERROR(__xludf.DUMMYFUNCTION("""COMPUTED_VALUE"""),"SHREE VYANKATESH ENTERPRISES")</f>
        <v>SHREE VYANKATESH ENTERPRISES</v>
      </c>
      <c r="C218" s="132">
        <f ca="1">IFERROR(__xludf.DUMMYFUNCTION("""COMPUTED_VALUE"""),23370182)</f>
        <v>23370182</v>
      </c>
      <c r="D218" s="132">
        <f ca="1">IFERROR(__xludf.DUMMYFUNCTION("""COMPUTED_VALUE"""),2)</f>
        <v>2</v>
      </c>
      <c r="E218" s="132" t="str">
        <f ca="1">IFERROR(__xludf.DUMMYFUNCTION("""COMPUTED_VALUE"""),"Amit Damodhar Jadhav, Vijay Dnyaneshwar")</f>
        <v>Amit Damodhar Jadhav, Vijay Dnyaneshwar</v>
      </c>
      <c r="F218" s="132" t="str">
        <f ca="1">IFERROR(__xludf.DUMMYFUNCTION("""COMPUTED_VALUE"""),"MAHARASHTRA")</f>
        <v>MAHARASHTRA</v>
      </c>
      <c r="G218" s="133">
        <f ca="1">IFERROR(__xludf.DUMMYFUNCTION("""COMPUTED_VALUE"""),11685091)</f>
        <v>11685091</v>
      </c>
      <c r="H218" s="28">
        <f ca="1">IFERROR(__xludf.DUMMYFUNCTION("""COMPUTED_VALUE"""),973757.583333333)</f>
        <v>973757.58333333302</v>
      </c>
      <c r="I218" s="41">
        <f ca="1">IFERROR(__xludf.DUMMYFUNCTION("""COMPUTED_VALUE"""),17408198)</f>
        <v>17408198</v>
      </c>
      <c r="J218" s="41"/>
      <c r="K218" s="21">
        <f t="shared" ca="1" si="1"/>
        <v>5961984</v>
      </c>
      <c r="L218" s="116">
        <f t="shared" ca="1" si="2"/>
        <v>0.25511072185916223</v>
      </c>
    </row>
    <row r="219" spans="1:12" ht="13.2">
      <c r="A219" s="21" t="e">
        <f ca="1"/>
        <v>#NAME?</v>
      </c>
      <c r="B219" s="21" t="str">
        <f ca="1">IFERROR(__xludf.DUMMYFUNCTION("""COMPUTED_VALUE"""),"Shri Balaji Sanitary and Pipe Store")</f>
        <v>Shri Balaji Sanitary and Pipe Store</v>
      </c>
      <c r="C219" s="132">
        <f ca="1">IFERROR(__xludf.DUMMYFUNCTION("""COMPUTED_VALUE"""),3174873)</f>
        <v>3174873</v>
      </c>
      <c r="D219" s="132">
        <f ca="1">IFERROR(__xludf.DUMMYFUNCTION("""COMPUTED_VALUE"""),1)</f>
        <v>1</v>
      </c>
      <c r="E219" s="132" t="str">
        <f ca="1">IFERROR(__xludf.DUMMYFUNCTION("""COMPUTED_VALUE"""),"Siddharth Srivastava")</f>
        <v>Siddharth Srivastava</v>
      </c>
      <c r="F219" s="132" t="str">
        <f ca="1">IFERROR(__xludf.DUMMYFUNCTION("""COMPUTED_VALUE"""),"East U.P")</f>
        <v>East U.P</v>
      </c>
      <c r="G219" s="133">
        <f ca="1">IFERROR(__xludf.DUMMYFUNCTION("""COMPUTED_VALUE"""),3174873)</f>
        <v>3174873</v>
      </c>
      <c r="H219" s="28">
        <f ca="1">IFERROR(__xludf.DUMMYFUNCTION("""COMPUTED_VALUE"""),264572.75)</f>
        <v>264572.75</v>
      </c>
      <c r="I219" s="41">
        <f ca="1">IFERROR(__xludf.DUMMYFUNCTION("""COMPUTED_VALUE"""),2723702)</f>
        <v>2723702</v>
      </c>
      <c r="J219" s="41"/>
      <c r="K219" s="21">
        <f t="shared" ca="1" si="1"/>
        <v>451171</v>
      </c>
      <c r="L219" s="116">
        <f t="shared" ca="1" si="2"/>
        <v>0.14210678663367007</v>
      </c>
    </row>
    <row r="220" spans="1:12" ht="13.2">
      <c r="A220" s="21" t="e">
        <f ca="1"/>
        <v>#NAME?</v>
      </c>
      <c r="B220" s="21" t="str">
        <f ca="1">IFERROR(__xludf.DUMMYFUNCTION("""COMPUTED_VALUE"""),"Shri Lakshman Enterprises (Converted as a Retailer)")</f>
        <v>Shri Lakshman Enterprises (Converted as a Retailer)</v>
      </c>
      <c r="C220" s="132">
        <f ca="1">IFERROR(__xludf.DUMMYFUNCTION("""COMPUTED_VALUE"""),29117)</f>
        <v>29117</v>
      </c>
      <c r="D220" s="132">
        <f ca="1">IFERROR(__xludf.DUMMYFUNCTION("""COMPUTED_VALUE"""),1)</f>
        <v>1</v>
      </c>
      <c r="E220" s="132" t="str">
        <f ca="1">IFERROR(__xludf.DUMMYFUNCTION("""COMPUTED_VALUE"""),"Dinesh Kumar")</f>
        <v>Dinesh Kumar</v>
      </c>
      <c r="F220" s="132" t="str">
        <f ca="1">IFERROR(__xludf.DUMMYFUNCTION("""COMPUTED_VALUE"""),"TAMIL NADU")</f>
        <v>TAMIL NADU</v>
      </c>
      <c r="G220" s="133">
        <f ca="1">IFERROR(__xludf.DUMMYFUNCTION("""COMPUTED_VALUE"""),29117)</f>
        <v>29117</v>
      </c>
      <c r="H220" s="28">
        <f ca="1">IFERROR(__xludf.DUMMYFUNCTION("""COMPUTED_VALUE"""),2426.41666666666)</f>
        <v>2426.4166666666601</v>
      </c>
      <c r="I220" s="41">
        <f ca="1">IFERROR(__xludf.DUMMYFUNCTION("""COMPUTED_VALUE"""),0)</f>
        <v>0</v>
      </c>
      <c r="J220" s="41"/>
      <c r="K220" s="21">
        <f t="shared" ca="1" si="1"/>
        <v>29117</v>
      </c>
      <c r="L220" s="116">
        <f t="shared" ca="1" si="2"/>
        <v>1</v>
      </c>
    </row>
    <row r="221" spans="1:12" ht="13.2">
      <c r="A221" s="21" t="e">
        <f ca="1"/>
        <v>#NAME?</v>
      </c>
      <c r="B221" s="21" t="str">
        <f ca="1">IFERROR(__xludf.DUMMYFUNCTION("""COMPUTED_VALUE"""),"SHRI SHYAMA SANITATION")</f>
        <v>SHRI SHYAMA SANITATION</v>
      </c>
      <c r="C221" s="132">
        <f ca="1">IFERROR(__xludf.DUMMYFUNCTION("""COMPUTED_VALUE"""),286857)</f>
        <v>286857</v>
      </c>
      <c r="D221" s="132">
        <f ca="1">IFERROR(__xludf.DUMMYFUNCTION("""COMPUTED_VALUE"""),1)</f>
        <v>1</v>
      </c>
      <c r="E221" s="132" t="str">
        <f ca="1">IFERROR(__xludf.DUMMYFUNCTION("""COMPUTED_VALUE"""),"Shivam Chauhan")</f>
        <v>Shivam Chauhan</v>
      </c>
      <c r="F221" s="132" t="str">
        <f ca="1">IFERROR(__xludf.DUMMYFUNCTION("""COMPUTED_VALUE"""),"UTTARAKHAND")</f>
        <v>UTTARAKHAND</v>
      </c>
      <c r="G221" s="133">
        <f ca="1">IFERROR(__xludf.DUMMYFUNCTION("""COMPUTED_VALUE"""),286857)</f>
        <v>286857</v>
      </c>
      <c r="H221" s="28">
        <f ca="1">IFERROR(__xludf.DUMMYFUNCTION("""COMPUTED_VALUE"""),23904.75)</f>
        <v>23904.75</v>
      </c>
      <c r="I221" s="41">
        <f ca="1">IFERROR(__xludf.DUMMYFUNCTION("""COMPUTED_VALUE"""),3065716)</f>
        <v>3065716</v>
      </c>
      <c r="J221" s="41"/>
      <c r="K221" s="21">
        <f t="shared" ca="1" si="1"/>
        <v>-2778859</v>
      </c>
      <c r="L221" s="116">
        <f t="shared" ca="1" si="2"/>
        <v>-9.6872622944533333</v>
      </c>
    </row>
    <row r="222" spans="1:12" ht="13.2">
      <c r="A222" s="21" t="e">
        <f ca="1"/>
        <v>#NAME?</v>
      </c>
      <c r="B222" s="21" t="str">
        <f ca="1">IFERROR(__xludf.DUMMYFUNCTION("""COMPUTED_VALUE"""),"Shri sitaram enterprise")</f>
        <v>Shri sitaram enterprise</v>
      </c>
      <c r="C222" s="132">
        <f ca="1">IFERROR(__xludf.DUMMYFUNCTION("""COMPUTED_VALUE"""),158214)</f>
        <v>158214</v>
      </c>
      <c r="D222" s="132">
        <f ca="1">IFERROR(__xludf.DUMMYFUNCTION("""COMPUTED_VALUE"""),2)</f>
        <v>2</v>
      </c>
      <c r="E222" s="132" t="str">
        <f ca="1">IFERROR(__xludf.DUMMYFUNCTION("""COMPUTED_VALUE"""),"Arun Sharma, Deependra Singh")</f>
        <v>Arun Sharma, Deependra Singh</v>
      </c>
      <c r="F222" s="132" t="str">
        <f ca="1">IFERROR(__xludf.DUMMYFUNCTION("""COMPUTED_VALUE"""),"East U.P")</f>
        <v>East U.P</v>
      </c>
      <c r="G222" s="133">
        <f ca="1">IFERROR(__xludf.DUMMYFUNCTION("""COMPUTED_VALUE"""),79107)</f>
        <v>79107</v>
      </c>
      <c r="H222" s="28">
        <f ca="1">IFERROR(__xludf.DUMMYFUNCTION("""COMPUTED_VALUE"""),6592.25)</f>
        <v>6592.25</v>
      </c>
      <c r="I222" s="41">
        <f ca="1">IFERROR(__xludf.DUMMYFUNCTION("""COMPUTED_VALUE"""),0)</f>
        <v>0</v>
      </c>
      <c r="J222" s="41" t="str">
        <f ca="1">IFERROR(__xludf.DUMMYFUNCTION("""COMPUTED_VALUE"""),"OLD STOCK")</f>
        <v>OLD STOCK</v>
      </c>
      <c r="K222" s="21">
        <f t="shared" ca="1" si="1"/>
        <v>158214</v>
      </c>
      <c r="L222" s="116">
        <f t="shared" ca="1" si="2"/>
        <v>1</v>
      </c>
    </row>
    <row r="223" spans="1:12" ht="13.2">
      <c r="A223" s="21" t="e">
        <f ca="1"/>
        <v>#NAME?</v>
      </c>
      <c r="B223" s="21" t="str">
        <f ca="1">IFERROR(__xludf.DUMMYFUNCTION("""COMPUTED_VALUE"""),"Shri vinayak pipes")</f>
        <v>Shri vinayak pipes</v>
      </c>
      <c r="C223" s="132">
        <f ca="1">IFERROR(__xludf.DUMMYFUNCTION("""COMPUTED_VALUE"""),52267)</f>
        <v>52267</v>
      </c>
      <c r="D223" s="132">
        <f ca="1">IFERROR(__xludf.DUMMYFUNCTION("""COMPUTED_VALUE"""),1)</f>
        <v>1</v>
      </c>
      <c r="E223" s="132" t="str">
        <f ca="1">IFERROR(__xludf.DUMMYFUNCTION("""COMPUTED_VALUE"""),"Ashutosh Kumar (Rudrapur)")</f>
        <v>Ashutosh Kumar (Rudrapur)</v>
      </c>
      <c r="F223" s="132" t="str">
        <f ca="1">IFERROR(__xludf.DUMMYFUNCTION("""COMPUTED_VALUE"""),"UTTARAKHAND")</f>
        <v>UTTARAKHAND</v>
      </c>
      <c r="G223" s="133">
        <f ca="1">IFERROR(__xludf.DUMMYFUNCTION("""COMPUTED_VALUE"""),52267)</f>
        <v>52267</v>
      </c>
      <c r="H223" s="28">
        <f ca="1">IFERROR(__xludf.DUMMYFUNCTION("""COMPUTED_VALUE"""),4355.58333333333)</f>
        <v>4355.5833333333303</v>
      </c>
      <c r="I223" s="41">
        <f ca="1">IFERROR(__xludf.DUMMYFUNCTION("""COMPUTED_VALUE"""),255329)</f>
        <v>255329</v>
      </c>
      <c r="J223" s="41"/>
      <c r="K223" s="21">
        <f t="shared" ca="1" si="1"/>
        <v>-203062</v>
      </c>
      <c r="L223" s="116">
        <f t="shared" ca="1" si="2"/>
        <v>-3.8850900185585551</v>
      </c>
    </row>
    <row r="224" spans="1:12" ht="13.2">
      <c r="A224" s="21" t="e">
        <f ca="1"/>
        <v>#NAME?</v>
      </c>
      <c r="B224" s="21" t="str">
        <f ca="1">IFERROR(__xludf.DUMMYFUNCTION("""COMPUTED_VALUE"""),"SIDDHI VINAYAK TILES AND SANITARY")</f>
        <v>SIDDHI VINAYAK TILES AND SANITARY</v>
      </c>
      <c r="C224" s="132">
        <f ca="1">IFERROR(__xludf.DUMMYFUNCTION("""COMPUTED_VALUE"""),151431)</f>
        <v>151431</v>
      </c>
      <c r="D224" s="132">
        <f ca="1">IFERROR(__xludf.DUMMYFUNCTION("""COMPUTED_VALUE"""),1)</f>
        <v>1</v>
      </c>
      <c r="E224" s="132" t="str">
        <f ca="1">IFERROR(__xludf.DUMMYFUNCTION("""COMPUTED_VALUE"""),"Pawan Kumar.")</f>
        <v>Pawan Kumar.</v>
      </c>
      <c r="F224" s="132" t="str">
        <f ca="1">IFERROR(__xludf.DUMMYFUNCTION("""COMPUTED_VALUE"""),"RAJASTHAN")</f>
        <v>RAJASTHAN</v>
      </c>
      <c r="G224" s="133">
        <f ca="1">IFERROR(__xludf.DUMMYFUNCTION("""COMPUTED_VALUE"""),151431)</f>
        <v>151431</v>
      </c>
      <c r="H224" s="28">
        <f ca="1">IFERROR(__xludf.DUMMYFUNCTION("""COMPUTED_VALUE"""),12619.25)</f>
        <v>12619.25</v>
      </c>
      <c r="I224" s="41">
        <f ca="1">IFERROR(__xludf.DUMMYFUNCTION("""COMPUTED_VALUE"""),197171)</f>
        <v>197171</v>
      </c>
      <c r="J224" s="41"/>
      <c r="K224" s="21"/>
      <c r="L224" s="116"/>
    </row>
    <row r="225" spans="1:12" ht="13.2">
      <c r="A225" s="21" t="e">
        <f ca="1"/>
        <v>#NAME?</v>
      </c>
      <c r="B225" s="21" t="str">
        <f ca="1">IFERROR(__xludf.DUMMYFUNCTION("""COMPUTED_VALUE"""),"SIDHI BINAYAK ENTERPRISE")</f>
        <v>SIDHI BINAYAK ENTERPRISE</v>
      </c>
      <c r="C225" s="132">
        <f ca="1">IFERROR(__xludf.DUMMYFUNCTION("""COMPUTED_VALUE"""),1898288)</f>
        <v>1898288</v>
      </c>
      <c r="D225" s="132">
        <f ca="1">IFERROR(__xludf.DUMMYFUNCTION("""COMPUTED_VALUE"""),2)</f>
        <v>2</v>
      </c>
      <c r="E225" s="132" t="str">
        <f ca="1">IFERROR(__xludf.DUMMYFUNCTION("""COMPUTED_VALUE"""),"Sudip Banerjee, Anirban Biswas")</f>
        <v>Sudip Banerjee, Anirban Biswas</v>
      </c>
      <c r="F225" s="132" t="str">
        <f ca="1">IFERROR(__xludf.DUMMYFUNCTION("""COMPUTED_VALUE"""),"WEST BENGAL")</f>
        <v>WEST BENGAL</v>
      </c>
      <c r="G225" s="133">
        <f ca="1">IFERROR(__xludf.DUMMYFUNCTION("""COMPUTED_VALUE"""),949144)</f>
        <v>949144</v>
      </c>
      <c r="H225" s="28">
        <f ca="1">IFERROR(__xludf.DUMMYFUNCTION("""COMPUTED_VALUE"""),79095.3333333333)</f>
        <v>79095.333333333299</v>
      </c>
      <c r="I225" s="41">
        <f ca="1">IFERROR(__xludf.DUMMYFUNCTION("""COMPUTED_VALUE"""),10229352)</f>
        <v>10229352</v>
      </c>
      <c r="J225" s="41"/>
      <c r="K225" s="21"/>
      <c r="L225" s="116"/>
    </row>
    <row r="226" spans="1:12" ht="13.2">
      <c r="A226" s="21" t="e">
        <f ca="1"/>
        <v>#NAME?</v>
      </c>
      <c r="B226" s="21" t="str">
        <f ca="1">IFERROR(__xludf.DUMMYFUNCTION("""COMPUTED_VALUE"""),"Singhal Tiles Agency")</f>
        <v>Singhal Tiles Agency</v>
      </c>
      <c r="C226" s="132">
        <f ca="1">IFERROR(__xludf.DUMMYFUNCTION("""COMPUTED_VALUE"""),8025287)</f>
        <v>8025287</v>
      </c>
      <c r="D226" s="132">
        <f ca="1">IFERROR(__xludf.DUMMYFUNCTION("""COMPUTED_VALUE"""),1)</f>
        <v>1</v>
      </c>
      <c r="E226" s="132" t="str">
        <f ca="1">IFERROR(__xludf.DUMMYFUNCTION("""COMPUTED_VALUE"""),"Vikash Gour")</f>
        <v>Vikash Gour</v>
      </c>
      <c r="F226" s="132" t="str">
        <f ca="1">IFERROR(__xludf.DUMMYFUNCTION("""COMPUTED_VALUE"""),"RAJASTHAN")</f>
        <v>RAJASTHAN</v>
      </c>
      <c r="G226" s="133">
        <f ca="1">IFERROR(__xludf.DUMMYFUNCTION("""COMPUTED_VALUE"""),8025287)</f>
        <v>8025287</v>
      </c>
      <c r="H226" s="28">
        <f ca="1">IFERROR(__xludf.DUMMYFUNCTION("""COMPUTED_VALUE"""),668773.916666666)</f>
        <v>668773.91666666605</v>
      </c>
      <c r="I226" s="41">
        <f ca="1">IFERROR(__xludf.DUMMYFUNCTION("""COMPUTED_VALUE"""),5353126)</f>
        <v>5353126</v>
      </c>
      <c r="J226" s="41"/>
      <c r="K226" s="21"/>
      <c r="L226" s="116"/>
    </row>
    <row r="227" spans="1:12" ht="13.2">
      <c r="A227" s="21" t="e">
        <f ca="1"/>
        <v>#NAME?</v>
      </c>
      <c r="B227" s="21" t="str">
        <f ca="1">IFERROR(__xludf.DUMMYFUNCTION("""COMPUTED_VALUE"""),"SRI GANESH SANITARY HOUSE")</f>
        <v>SRI GANESH SANITARY HOUSE</v>
      </c>
      <c r="C227" s="132">
        <f ca="1">IFERROR(__xludf.DUMMYFUNCTION("""COMPUTED_VALUE"""),12350)</f>
        <v>12350</v>
      </c>
      <c r="D227" s="132">
        <f ca="1">IFERROR(__xludf.DUMMYFUNCTION("""COMPUTED_VALUE"""),1)</f>
        <v>1</v>
      </c>
      <c r="E227" s="132" t="str">
        <f ca="1">IFERROR(__xludf.DUMMYFUNCTION("""COMPUTED_VALUE"""),"Suven Sengupta")</f>
        <v>Suven Sengupta</v>
      </c>
      <c r="F227" s="132" t="str">
        <f ca="1">IFERROR(__xludf.DUMMYFUNCTION("""COMPUTED_VALUE"""),"WEST BENGAL")</f>
        <v>WEST BENGAL</v>
      </c>
      <c r="G227" s="133">
        <f ca="1">IFERROR(__xludf.DUMMYFUNCTION("""COMPUTED_VALUE"""),12350)</f>
        <v>12350</v>
      </c>
      <c r="H227" s="28">
        <f ca="1">IFERROR(__xludf.DUMMYFUNCTION("""COMPUTED_VALUE"""),1029.16666666666)</f>
        <v>1029.1666666666599</v>
      </c>
      <c r="I227" s="41">
        <f ca="1">IFERROR(__xludf.DUMMYFUNCTION("""COMPUTED_VALUE"""),0)</f>
        <v>0</v>
      </c>
      <c r="J227" s="41"/>
      <c r="K227" s="21"/>
      <c r="L227" s="116"/>
    </row>
    <row r="228" spans="1:12" ht="13.2">
      <c r="A228" s="21" t="e">
        <f ca="1"/>
        <v>#NAME?</v>
      </c>
      <c r="B228" s="21" t="str">
        <f ca="1">IFERROR(__xludf.DUMMYFUNCTION("""COMPUTED_VALUE"""),"Sri Lakshmi Lalitha Agencies")</f>
        <v>Sri Lakshmi Lalitha Agencies</v>
      </c>
      <c r="C228" s="132">
        <f ca="1">IFERROR(__xludf.DUMMYFUNCTION("""COMPUTED_VALUE"""),807548)</f>
        <v>807548</v>
      </c>
      <c r="D228" s="132">
        <f ca="1">IFERROR(__xludf.DUMMYFUNCTION("""COMPUTED_VALUE"""),1)</f>
        <v>1</v>
      </c>
      <c r="E228" s="132" t="str">
        <f ca="1">IFERROR(__xludf.DUMMYFUNCTION("""COMPUTED_VALUE"""),"Shaik Jani basha")</f>
        <v>Shaik Jani basha</v>
      </c>
      <c r="F228" s="132" t="str">
        <f ca="1">IFERROR(__xludf.DUMMYFUNCTION("""COMPUTED_VALUE"""),"ANDHRA PRADESH")</f>
        <v>ANDHRA PRADESH</v>
      </c>
      <c r="G228" s="133">
        <f ca="1">IFERROR(__xludf.DUMMYFUNCTION("""COMPUTED_VALUE"""),807548)</f>
        <v>807548</v>
      </c>
      <c r="H228" s="28">
        <f ca="1">IFERROR(__xludf.DUMMYFUNCTION("""COMPUTED_VALUE"""),67295.6666666666)</f>
        <v>67295.666666666599</v>
      </c>
      <c r="I228" s="41">
        <f ca="1">IFERROR(__xludf.DUMMYFUNCTION("""COMPUTED_VALUE"""),21178557)</f>
        <v>21178557</v>
      </c>
      <c r="J228" s="41"/>
      <c r="K228" s="21"/>
      <c r="L228" s="116"/>
    </row>
    <row r="229" spans="1:12" ht="13.2">
      <c r="A229" s="21" t="e">
        <f ca="1"/>
        <v>#NAME?</v>
      </c>
      <c r="B229" s="21" t="str">
        <f ca="1">IFERROR(__xludf.DUMMYFUNCTION("""COMPUTED_VALUE"""),"Sriram Packaging")</f>
        <v>Sriram Packaging</v>
      </c>
      <c r="C229" s="132">
        <f ca="1">IFERROR(__xludf.DUMMYFUNCTION("""COMPUTED_VALUE"""),26057263)</f>
        <v>26057263</v>
      </c>
      <c r="D229" s="132">
        <f ca="1">IFERROR(__xludf.DUMMYFUNCTION("""COMPUTED_VALUE"""),2)</f>
        <v>2</v>
      </c>
      <c r="E229" s="132" t="str">
        <f ca="1">IFERROR(__xludf.DUMMYFUNCTION("""COMPUTED_VALUE"""),"Pravat Kumar Dash, Arijit Roychowdhury")</f>
        <v>Pravat Kumar Dash, Arijit Roychowdhury</v>
      </c>
      <c r="F229" s="132" t="str">
        <f ca="1">IFERROR(__xludf.DUMMYFUNCTION("""COMPUTED_VALUE"""),"ODISHA")</f>
        <v>ODISHA</v>
      </c>
      <c r="G229" s="133">
        <f ca="1">IFERROR(__xludf.DUMMYFUNCTION("""COMPUTED_VALUE"""),13028631.5)</f>
        <v>13028631.5</v>
      </c>
      <c r="H229" s="28">
        <f ca="1">IFERROR(__xludf.DUMMYFUNCTION("""COMPUTED_VALUE"""),1085719.29166666)</f>
        <v>1085719.29166666</v>
      </c>
      <c r="I229" s="41">
        <f ca="1">IFERROR(__xludf.DUMMYFUNCTION("""COMPUTED_VALUE"""),25318405)</f>
        <v>25318405</v>
      </c>
      <c r="J229" s="41"/>
      <c r="K229" s="21"/>
      <c r="L229" s="116"/>
    </row>
    <row r="230" spans="1:12" ht="13.2">
      <c r="A230" s="21" t="e">
        <f ca="1"/>
        <v>#NAME?</v>
      </c>
      <c r="B230" s="21" t="str">
        <f ca="1">IFERROR(__xludf.DUMMYFUNCTION("""COMPUTED_VALUE"""),"Structos")</f>
        <v>Structos</v>
      </c>
      <c r="C230" s="132">
        <f ca="1">IFERROR(__xludf.DUMMYFUNCTION("""COMPUTED_VALUE"""),936872)</f>
        <v>936872</v>
      </c>
      <c r="D230" s="132">
        <f ca="1">IFERROR(__xludf.DUMMYFUNCTION("""COMPUTED_VALUE"""),1)</f>
        <v>1</v>
      </c>
      <c r="E230" s="132" t="str">
        <f ca="1">IFERROR(__xludf.DUMMYFUNCTION("""COMPUTED_VALUE"""),"NIkhil Patial")</f>
        <v>NIkhil Patial</v>
      </c>
      <c r="F230" s="132" t="str">
        <f ca="1">IFERROR(__xludf.DUMMYFUNCTION("""COMPUTED_VALUE"""),"HIMACHAL PRADESH")</f>
        <v>HIMACHAL PRADESH</v>
      </c>
      <c r="G230" s="133">
        <f ca="1">IFERROR(__xludf.DUMMYFUNCTION("""COMPUTED_VALUE"""),936872)</f>
        <v>936872</v>
      </c>
      <c r="H230" s="28">
        <f ca="1">IFERROR(__xludf.DUMMYFUNCTION("""COMPUTED_VALUE"""),78072.6666666666)</f>
        <v>78072.666666666599</v>
      </c>
      <c r="I230" s="41">
        <f ca="1">IFERROR(__xludf.DUMMYFUNCTION("""COMPUTED_VALUE"""),1299213)</f>
        <v>1299213</v>
      </c>
      <c r="J230" s="41"/>
      <c r="K230" s="21"/>
      <c r="L230" s="116"/>
    </row>
    <row r="231" spans="1:12" ht="13.2">
      <c r="A231" s="21" t="e">
        <f ca="1"/>
        <v>#NAME?</v>
      </c>
      <c r="B231" s="21" t="str">
        <f ca="1">IFERROR(__xludf.DUMMYFUNCTION("""COMPUTED_VALUE"""),"Subham Enterprise")</f>
        <v>Subham Enterprise</v>
      </c>
      <c r="C231" s="132">
        <f ca="1">IFERROR(__xludf.DUMMYFUNCTION("""COMPUTED_VALUE"""),59323714)</f>
        <v>59323714</v>
      </c>
      <c r="D231" s="132">
        <f ca="1">IFERROR(__xludf.DUMMYFUNCTION("""COMPUTED_VALUE"""),5)</f>
        <v>5</v>
      </c>
      <c r="E231" s="132" t="str">
        <f ca="1">IFERROR(__xludf.DUMMYFUNCTION("""COMPUTED_VALUE"""),"Debasish Adhikary, RUDRAPRAKASH JANA, Shuvadip Ghosh, Soumen Ghosh, Susovan Singha")</f>
        <v>Debasish Adhikary, RUDRAPRAKASH JANA, Shuvadip Ghosh, Soumen Ghosh, Susovan Singha</v>
      </c>
      <c r="F231" s="132" t="str">
        <f ca="1">IFERROR(__xludf.DUMMYFUNCTION("""COMPUTED_VALUE"""),"WEST BENGAL")</f>
        <v>WEST BENGAL</v>
      </c>
      <c r="G231" s="133">
        <f ca="1">IFERROR(__xludf.DUMMYFUNCTION("""COMPUTED_VALUE"""),11864742.8)</f>
        <v>11864742.800000001</v>
      </c>
      <c r="H231" s="28">
        <f ca="1">IFERROR(__xludf.DUMMYFUNCTION("""COMPUTED_VALUE"""),988728.566666666)</f>
        <v>988728.56666666595</v>
      </c>
      <c r="I231" s="41">
        <f ca="1">IFERROR(__xludf.DUMMYFUNCTION("""COMPUTED_VALUE"""),83209896)</f>
        <v>83209896</v>
      </c>
      <c r="J231" s="41"/>
      <c r="K231" s="21"/>
      <c r="L231" s="116"/>
    </row>
    <row r="232" spans="1:12" ht="13.2">
      <c r="A232" s="21" t="e">
        <f ca="1"/>
        <v>#NAME?</v>
      </c>
      <c r="B232" s="21" t="str">
        <f ca="1">IFERROR(__xludf.DUMMYFUNCTION("""COMPUTED_VALUE"""),"Sumit paint and hardware")</f>
        <v>Sumit paint and hardware</v>
      </c>
      <c r="C232" s="132">
        <f ca="1">IFERROR(__xludf.DUMMYFUNCTION("""COMPUTED_VALUE"""),902393)</f>
        <v>902393</v>
      </c>
      <c r="D232" s="132">
        <f ca="1">IFERROR(__xludf.DUMMYFUNCTION("""COMPUTED_VALUE"""),1)</f>
        <v>1</v>
      </c>
      <c r="E232" s="132" t="str">
        <f ca="1">IFERROR(__xludf.DUMMYFUNCTION("""COMPUTED_VALUE"""),"Prasun Chatterjee")</f>
        <v>Prasun Chatterjee</v>
      </c>
      <c r="F232" s="132" t="str">
        <f ca="1">IFERROR(__xludf.DUMMYFUNCTION("""COMPUTED_VALUE"""),"DELHI")</f>
        <v>DELHI</v>
      </c>
      <c r="G232" s="133">
        <f ca="1">IFERROR(__xludf.DUMMYFUNCTION("""COMPUTED_VALUE"""),902393)</f>
        <v>902393</v>
      </c>
      <c r="H232" s="28">
        <f ca="1">IFERROR(__xludf.DUMMYFUNCTION("""COMPUTED_VALUE"""),75199.4166666666)</f>
        <v>75199.416666666599</v>
      </c>
      <c r="I232" s="41">
        <f ca="1">IFERROR(__xludf.DUMMYFUNCTION("""COMPUTED_VALUE"""),1956284)</f>
        <v>1956284</v>
      </c>
      <c r="J232" s="41"/>
      <c r="K232" s="21"/>
      <c r="L232" s="116"/>
    </row>
    <row r="233" spans="1:12" ht="13.2">
      <c r="A233" s="21" t="e">
        <f ca="1"/>
        <v>#NAME?</v>
      </c>
      <c r="B233" s="21" t="str">
        <f ca="1">IFERROR(__xludf.DUMMYFUNCTION("""COMPUTED_VALUE"""),"SUN AGENCY")</f>
        <v>SUN AGENCY</v>
      </c>
      <c r="C233" s="132">
        <f ca="1">IFERROR(__xludf.DUMMYFUNCTION("""COMPUTED_VALUE"""),9112440)</f>
        <v>9112440</v>
      </c>
      <c r="D233" s="132">
        <f ca="1">IFERROR(__xludf.DUMMYFUNCTION("""COMPUTED_VALUE"""),3)</f>
        <v>3</v>
      </c>
      <c r="E233" s="132" t="str">
        <f ca="1">IFERROR(__xludf.DUMMYFUNCTION("""COMPUTED_VALUE"""),"Ashokraj A., M. Raman, S. Thiyagarajan")</f>
        <v>Ashokraj A., M. Raman, S. Thiyagarajan</v>
      </c>
      <c r="F233" s="132" t="str">
        <f ca="1">IFERROR(__xludf.DUMMYFUNCTION("""COMPUTED_VALUE"""),"TAMIL NADU")</f>
        <v>TAMIL NADU</v>
      </c>
      <c r="G233" s="133">
        <f ca="1">IFERROR(__xludf.DUMMYFUNCTION("""COMPUTED_VALUE"""),3037480)</f>
        <v>3037480</v>
      </c>
      <c r="H233" s="28">
        <f ca="1">IFERROR(__xludf.DUMMYFUNCTION("""COMPUTED_VALUE"""),253123.333333333)</f>
        <v>253123.33333333299</v>
      </c>
      <c r="I233" s="41">
        <f ca="1">IFERROR(__xludf.DUMMYFUNCTION("""COMPUTED_VALUE"""),0)</f>
        <v>0</v>
      </c>
      <c r="J233" s="41"/>
      <c r="K233" s="21"/>
      <c r="L233" s="116"/>
    </row>
    <row r="234" spans="1:12" ht="13.2">
      <c r="A234" s="21" t="e">
        <f ca="1"/>
        <v>#NAME?</v>
      </c>
      <c r="B234" s="21" t="str">
        <f ca="1">IFERROR(__xludf.DUMMYFUNCTION("""COMPUTED_VALUE"""),"SUN TRADERS")</f>
        <v>SUN TRADERS</v>
      </c>
      <c r="C234" s="132">
        <f ca="1">IFERROR(__xludf.DUMMYFUNCTION("""COMPUTED_VALUE"""),33935)</f>
        <v>33935</v>
      </c>
      <c r="D234" s="132">
        <f ca="1">IFERROR(__xludf.DUMMYFUNCTION("""COMPUTED_VALUE"""),1)</f>
        <v>1</v>
      </c>
      <c r="E234" s="132" t="str">
        <f ca="1">IFERROR(__xludf.DUMMYFUNCTION("""COMPUTED_VALUE"""),"M. Raman")</f>
        <v>M. Raman</v>
      </c>
      <c r="F234" s="132" t="str">
        <f ca="1">IFERROR(__xludf.DUMMYFUNCTION("""COMPUTED_VALUE"""),"TAMIL NADU")</f>
        <v>TAMIL NADU</v>
      </c>
      <c r="G234" s="133">
        <f ca="1">IFERROR(__xludf.DUMMYFUNCTION("""COMPUTED_VALUE"""),33935)</f>
        <v>33935</v>
      </c>
      <c r="H234" s="28">
        <f ca="1">IFERROR(__xludf.DUMMYFUNCTION("""COMPUTED_VALUE"""),2827.91666666666)</f>
        <v>2827.9166666666601</v>
      </c>
      <c r="I234" s="41">
        <f ca="1">IFERROR(__xludf.DUMMYFUNCTION("""COMPUTED_VALUE"""),0)</f>
        <v>0</v>
      </c>
      <c r="J234" s="41"/>
      <c r="K234" s="21"/>
      <c r="L234" s="116"/>
    </row>
    <row r="235" spans="1:12" ht="13.2">
      <c r="A235" s="21" t="e">
        <f ca="1"/>
        <v>#NAME?</v>
      </c>
      <c r="B235" s="21" t="str">
        <f ca="1">IFERROR(__xludf.DUMMYFUNCTION("""COMPUTED_VALUE"""),"Sunil iron and machinery store")</f>
        <v>Sunil iron and machinery store</v>
      </c>
      <c r="C235" s="132">
        <f ca="1">IFERROR(__xludf.DUMMYFUNCTION("""COMPUTED_VALUE"""),280112)</f>
        <v>280112</v>
      </c>
      <c r="D235" s="132">
        <f ca="1">IFERROR(__xludf.DUMMYFUNCTION("""COMPUTED_VALUE"""),2)</f>
        <v>2</v>
      </c>
      <c r="E235" s="132" t="str">
        <f ca="1">IFERROR(__xludf.DUMMYFUNCTION("""COMPUTED_VALUE"""),"RAVI KUMAR ., Shanker Singh")</f>
        <v>RAVI KUMAR ., Shanker Singh</v>
      </c>
      <c r="F235" s="132" t="str">
        <f ca="1">IFERROR(__xludf.DUMMYFUNCTION("""COMPUTED_VALUE"""),"HARYANA")</f>
        <v>HARYANA</v>
      </c>
      <c r="G235" s="133">
        <f ca="1">IFERROR(__xludf.DUMMYFUNCTION("""COMPUTED_VALUE"""),140056)</f>
        <v>140056</v>
      </c>
      <c r="H235" s="28">
        <f ca="1">IFERROR(__xludf.DUMMYFUNCTION("""COMPUTED_VALUE"""),11671.3333333333)</f>
        <v>11671.333333333299</v>
      </c>
      <c r="I235" s="41">
        <f ca="1">IFERROR(__xludf.DUMMYFUNCTION("""COMPUTED_VALUE"""),256015)</f>
        <v>256015</v>
      </c>
      <c r="J235" s="41"/>
      <c r="K235" s="21"/>
      <c r="L235" s="116"/>
    </row>
    <row r="236" spans="1:12" ht="13.2">
      <c r="A236" s="21" t="e">
        <f ca="1"/>
        <v>#NAME?</v>
      </c>
      <c r="B236" s="21" t="str">
        <f ca="1">IFERROR(__xludf.DUMMYFUNCTION("""COMPUTED_VALUE"""),"Supreme syndicate")</f>
        <v>Supreme syndicate</v>
      </c>
      <c r="C236" s="132">
        <f ca="1">IFERROR(__xludf.DUMMYFUNCTION("""COMPUTED_VALUE"""),536141)</f>
        <v>536141</v>
      </c>
      <c r="D236" s="132">
        <f ca="1">IFERROR(__xludf.DUMMYFUNCTION("""COMPUTED_VALUE"""),1)</f>
        <v>1</v>
      </c>
      <c r="E236" s="132" t="str">
        <f ca="1">IFERROR(__xludf.DUMMYFUNCTION("""COMPUTED_VALUE"""),"Sujan Ghata")</f>
        <v>Sujan Ghata</v>
      </c>
      <c r="F236" s="132" t="str">
        <f ca="1">IFERROR(__xludf.DUMMYFUNCTION("""COMPUTED_VALUE"""),"WEST BENGAL")</f>
        <v>WEST BENGAL</v>
      </c>
      <c r="G236" s="133">
        <f ca="1">IFERROR(__xludf.DUMMYFUNCTION("""COMPUTED_VALUE"""),536141)</f>
        <v>536141</v>
      </c>
      <c r="H236" s="28">
        <f ca="1">IFERROR(__xludf.DUMMYFUNCTION("""COMPUTED_VALUE"""),44678.4166666666)</f>
        <v>44678.416666666599</v>
      </c>
      <c r="I236" s="41">
        <f ca="1">IFERROR(__xludf.DUMMYFUNCTION("""COMPUTED_VALUE"""),2958618)</f>
        <v>2958618</v>
      </c>
      <c r="J236" s="41"/>
      <c r="K236" s="21"/>
      <c r="L236" s="116"/>
    </row>
    <row r="237" spans="1:12" ht="13.2">
      <c r="A237" s="21" t="e">
        <f ca="1"/>
        <v>#NAME?</v>
      </c>
      <c r="B237" s="21" t="str">
        <f ca="1">IFERROR(__xludf.DUMMYFUNCTION("""COMPUTED_VALUE"""),"SURAJ SANITATION")</f>
        <v>SURAJ SANITATION</v>
      </c>
      <c r="C237" s="132">
        <f ca="1">IFERROR(__xludf.DUMMYFUNCTION("""COMPUTED_VALUE"""),432708)</f>
        <v>432708</v>
      </c>
      <c r="D237" s="132">
        <f ca="1">IFERROR(__xludf.DUMMYFUNCTION("""COMPUTED_VALUE"""),1)</f>
        <v>1</v>
      </c>
      <c r="E237" s="132" t="str">
        <f ca="1">IFERROR(__xludf.DUMMYFUNCTION("""COMPUTED_VALUE"""),"Sujan Ghata")</f>
        <v>Sujan Ghata</v>
      </c>
      <c r="F237" s="132" t="str">
        <f ca="1">IFERROR(__xludf.DUMMYFUNCTION("""COMPUTED_VALUE"""),"WEST BENGAL")</f>
        <v>WEST BENGAL</v>
      </c>
      <c r="G237" s="133">
        <f ca="1">IFERROR(__xludf.DUMMYFUNCTION("""COMPUTED_VALUE"""),432708)</f>
        <v>432708</v>
      </c>
      <c r="H237" s="28">
        <f ca="1">IFERROR(__xludf.DUMMYFUNCTION("""COMPUTED_VALUE"""),36059)</f>
        <v>36059</v>
      </c>
      <c r="I237" s="41">
        <f ca="1">IFERROR(__xludf.DUMMYFUNCTION("""COMPUTED_VALUE"""),1473869)</f>
        <v>1473869</v>
      </c>
      <c r="J237" s="41"/>
      <c r="K237" s="21"/>
      <c r="L237" s="116"/>
    </row>
    <row r="238" spans="1:12" ht="13.2">
      <c r="A238" s="21" t="e">
        <f ca="1"/>
        <v>#NAME?</v>
      </c>
      <c r="B238" s="21" t="str">
        <f ca="1">IFERROR(__xludf.DUMMYFUNCTION("""COMPUTED_VALUE"""),"Suresh Behari &amp; Co.")</f>
        <v>Suresh Behari &amp; Co.</v>
      </c>
      <c r="C238" s="132">
        <f ca="1">IFERROR(__xludf.DUMMYFUNCTION("""COMPUTED_VALUE"""),10577133)</f>
        <v>10577133</v>
      </c>
      <c r="D238" s="132">
        <f ca="1">IFERROR(__xludf.DUMMYFUNCTION("""COMPUTED_VALUE"""),3)</f>
        <v>3</v>
      </c>
      <c r="E238" s="132" t="str">
        <f ca="1">IFERROR(__xludf.DUMMYFUNCTION("""COMPUTED_VALUE"""),"Ankur Srivastava, Arun Sharma, Deependra Singh")</f>
        <v>Ankur Srivastava, Arun Sharma, Deependra Singh</v>
      </c>
      <c r="F238" s="132" t="str">
        <f ca="1">IFERROR(__xludf.DUMMYFUNCTION("""COMPUTED_VALUE"""),"East U.P")</f>
        <v>East U.P</v>
      </c>
      <c r="G238" s="133">
        <f ca="1">IFERROR(__xludf.DUMMYFUNCTION("""COMPUTED_VALUE"""),3525711)</f>
        <v>3525711</v>
      </c>
      <c r="H238" s="28">
        <f ca="1">IFERROR(__xludf.DUMMYFUNCTION("""COMPUTED_VALUE"""),293809.25)</f>
        <v>293809.25</v>
      </c>
      <c r="I238" s="41">
        <f ca="1">IFERROR(__xludf.DUMMYFUNCTION("""COMPUTED_VALUE"""),11682112)</f>
        <v>11682112</v>
      </c>
      <c r="J238" s="41"/>
      <c r="K238" s="21"/>
      <c r="L238" s="116"/>
    </row>
    <row r="239" spans="1:12" ht="13.2">
      <c r="A239" s="21" t="e">
        <f ca="1"/>
        <v>#NAME?</v>
      </c>
      <c r="B239" s="21" t="str">
        <f ca="1">IFERROR(__xludf.DUMMYFUNCTION("""COMPUTED_VALUE"""),"Surya Distributors")</f>
        <v>Surya Distributors</v>
      </c>
      <c r="C239" s="132">
        <f ca="1">IFERROR(__xludf.DUMMYFUNCTION("""COMPUTED_VALUE"""),4608)</f>
        <v>4608</v>
      </c>
      <c r="D239" s="132">
        <f ca="1">IFERROR(__xludf.DUMMYFUNCTION("""COMPUTED_VALUE"""),1)</f>
        <v>1</v>
      </c>
      <c r="E239" s="132" t="str">
        <f ca="1">IFERROR(__xludf.DUMMYFUNCTION("""COMPUTED_VALUE"""),"Ravi Kumar P (Off Roll)")</f>
        <v>Ravi Kumar P (Off Roll)</v>
      </c>
      <c r="F239" s="132" t="str">
        <f ca="1">IFERROR(__xludf.DUMMYFUNCTION("""COMPUTED_VALUE"""),"KERALA")</f>
        <v>KERALA</v>
      </c>
      <c r="G239" s="133">
        <f ca="1">IFERROR(__xludf.DUMMYFUNCTION("""COMPUTED_VALUE"""),4608)</f>
        <v>4608</v>
      </c>
      <c r="H239" s="28">
        <f ca="1">IFERROR(__xludf.DUMMYFUNCTION("""COMPUTED_VALUE"""),384)</f>
        <v>384</v>
      </c>
      <c r="I239" s="41">
        <f ca="1">IFERROR(__xludf.DUMMYFUNCTION("""COMPUTED_VALUE"""),0)</f>
        <v>0</v>
      </c>
      <c r="J239" s="41"/>
      <c r="K239" s="21"/>
      <c r="L239" s="116"/>
    </row>
    <row r="240" spans="1:12" ht="13.2">
      <c r="A240" s="21" t="e">
        <f ca="1"/>
        <v>#NAME?</v>
      </c>
      <c r="B240" s="21" t="str">
        <f ca="1">IFERROR(__xludf.DUMMYFUNCTION("""COMPUTED_VALUE"""),"Suvidha traders")</f>
        <v>Suvidha traders</v>
      </c>
      <c r="C240" s="132">
        <f ca="1">IFERROR(__xludf.DUMMYFUNCTION("""COMPUTED_VALUE"""),12699304)</f>
        <v>12699304</v>
      </c>
      <c r="D240" s="132">
        <f ca="1">IFERROR(__xludf.DUMMYFUNCTION("""COMPUTED_VALUE"""),1)</f>
        <v>1</v>
      </c>
      <c r="E240" s="132" t="str">
        <f ca="1">IFERROR(__xludf.DUMMYFUNCTION("""COMPUTED_VALUE"""),"Gaurav Kumar")</f>
        <v>Gaurav Kumar</v>
      </c>
      <c r="F240" s="132" t="str">
        <f ca="1">IFERROR(__xludf.DUMMYFUNCTION("""COMPUTED_VALUE"""),"BIHAR")</f>
        <v>BIHAR</v>
      </c>
      <c r="G240" s="133">
        <f ca="1">IFERROR(__xludf.DUMMYFUNCTION("""COMPUTED_VALUE"""),12699304)</f>
        <v>12699304</v>
      </c>
      <c r="H240" s="28">
        <f ca="1">IFERROR(__xludf.DUMMYFUNCTION("""COMPUTED_VALUE"""),1058275.33333333)</f>
        <v>1058275.33333333</v>
      </c>
      <c r="I240" s="41">
        <f ca="1">IFERROR(__xludf.DUMMYFUNCTION("""COMPUTED_VALUE"""),2544106)</f>
        <v>2544106</v>
      </c>
      <c r="J240" s="41"/>
      <c r="K240" s="21"/>
      <c r="L240" s="116"/>
    </row>
    <row r="241" spans="1:12" ht="13.2">
      <c r="A241" s="21" t="e">
        <f ca="1"/>
        <v>#NAME?</v>
      </c>
      <c r="B241" s="21" t="str">
        <f ca="1">IFERROR(__xludf.DUMMYFUNCTION("""COMPUTED_VALUE"""),"SWASTIK IMPACT")</f>
        <v>SWASTIK IMPACT</v>
      </c>
      <c r="C241" s="132">
        <f ca="1">IFERROR(__xludf.DUMMYFUNCTION("""COMPUTED_VALUE"""),2299652)</f>
        <v>2299652</v>
      </c>
      <c r="D241" s="132">
        <f ca="1">IFERROR(__xludf.DUMMYFUNCTION("""COMPUTED_VALUE"""),1)</f>
        <v>1</v>
      </c>
      <c r="E241" s="132" t="str">
        <f ca="1">IFERROR(__xludf.DUMMYFUNCTION("""COMPUTED_VALUE"""),"ATANU PAUL")</f>
        <v>ATANU PAUL</v>
      </c>
      <c r="F241" s="132" t="str">
        <f ca="1">IFERROR(__xludf.DUMMYFUNCTION("""COMPUTED_VALUE"""),"WEST BENGAL")</f>
        <v>WEST BENGAL</v>
      </c>
      <c r="G241" s="133">
        <f ca="1">IFERROR(__xludf.DUMMYFUNCTION("""COMPUTED_VALUE"""),2299652)</f>
        <v>2299652</v>
      </c>
      <c r="H241" s="28">
        <f ca="1">IFERROR(__xludf.DUMMYFUNCTION("""COMPUTED_VALUE"""),191637.666666666)</f>
        <v>191637.66666666599</v>
      </c>
      <c r="I241" s="41">
        <f ca="1">IFERROR(__xludf.DUMMYFUNCTION("""COMPUTED_VALUE"""),2569185)</f>
        <v>2569185</v>
      </c>
      <c r="J241" s="41"/>
      <c r="K241" s="21"/>
      <c r="L241" s="116"/>
    </row>
    <row r="242" spans="1:12" ht="13.2">
      <c r="A242" s="21" t="e">
        <f ca="1"/>
        <v>#NAME?</v>
      </c>
      <c r="B242" s="21" t="str">
        <f ca="1">IFERROR(__xludf.DUMMYFUNCTION("""COMPUTED_VALUE"""),"Taj iron")</f>
        <v>Taj iron</v>
      </c>
      <c r="C242" s="132">
        <f ca="1">IFERROR(__xludf.DUMMYFUNCTION("""COMPUTED_VALUE"""),39836)</f>
        <v>39836</v>
      </c>
      <c r="D242" s="132">
        <f ca="1">IFERROR(__xludf.DUMMYFUNCTION("""COMPUTED_VALUE"""),1)</f>
        <v>1</v>
      </c>
      <c r="E242" s="132" t="str">
        <f ca="1">IFERROR(__xludf.DUMMYFUNCTION("""COMPUTED_VALUE"""),"Tafazul Nazir")</f>
        <v>Tafazul Nazir</v>
      </c>
      <c r="F242" s="132" t="str">
        <f ca="1">IFERROR(__xludf.DUMMYFUNCTION("""COMPUTED_VALUE"""),"JAMMU AND KASHMIR")</f>
        <v>JAMMU AND KASHMIR</v>
      </c>
      <c r="G242" s="133">
        <f ca="1">IFERROR(__xludf.DUMMYFUNCTION("""COMPUTED_VALUE"""),39836)</f>
        <v>39836</v>
      </c>
      <c r="H242" s="28">
        <f ca="1">IFERROR(__xludf.DUMMYFUNCTION("""COMPUTED_VALUE"""),3319.66666666666)</f>
        <v>3319.6666666666601</v>
      </c>
      <c r="I242" s="41">
        <f ca="1">IFERROR(__xludf.DUMMYFUNCTION("""COMPUTED_VALUE"""),271937)</f>
        <v>271937</v>
      </c>
      <c r="J242" s="41"/>
      <c r="K242" s="21"/>
      <c r="L242" s="116"/>
    </row>
    <row r="243" spans="1:12" ht="13.2">
      <c r="A243" s="21" t="e">
        <f ca="1"/>
        <v>#NAME?</v>
      </c>
      <c r="B243" s="21" t="str">
        <f ca="1">IFERROR(__xludf.DUMMYFUNCTION("""COMPUTED_VALUE"""),"Tapan Smiriti Hardware")</f>
        <v>Tapan Smiriti Hardware</v>
      </c>
      <c r="C243" s="21">
        <f ca="1">IFERROR(__xludf.DUMMYFUNCTION("""COMPUTED_VALUE"""),6389451)</f>
        <v>6389451</v>
      </c>
      <c r="D243" s="21">
        <f ca="1">IFERROR(__xludf.DUMMYFUNCTION("""COMPUTED_VALUE"""),2)</f>
        <v>2</v>
      </c>
      <c r="E243" s="21" t="str">
        <f ca="1">IFERROR(__xludf.DUMMYFUNCTION("""COMPUTED_VALUE"""),"Roni Gupta, Sudipta Thom")</f>
        <v>Roni Gupta, Sudipta Thom</v>
      </c>
      <c r="F243" s="21" t="str">
        <f ca="1">IFERROR(__xludf.DUMMYFUNCTION("""COMPUTED_VALUE"""),"WEST BENGAL")</f>
        <v>WEST BENGAL</v>
      </c>
      <c r="G243" s="28">
        <f ca="1">IFERROR(__xludf.DUMMYFUNCTION("""COMPUTED_VALUE"""),3194725.5)</f>
        <v>3194725.5</v>
      </c>
      <c r="H243" s="28">
        <f ca="1">IFERROR(__xludf.DUMMYFUNCTION("""COMPUTED_VALUE"""),266227.125)</f>
        <v>266227.125</v>
      </c>
      <c r="I243" s="41">
        <f ca="1">IFERROR(__xludf.DUMMYFUNCTION("""COMPUTED_VALUE"""),40946603)</f>
        <v>40946603</v>
      </c>
      <c r="J243" s="41"/>
      <c r="K243" s="21"/>
      <c r="L243" s="5"/>
    </row>
    <row r="244" spans="1:12" ht="13.2">
      <c r="A244" s="21" t="e">
        <f ca="1"/>
        <v>#NAME?</v>
      </c>
      <c r="B244" s="21" t="str">
        <f ca="1">IFERROR(__xludf.DUMMYFUNCTION("""COMPUTED_VALUE"""),"Unique Pipe &amp; Sanitation")</f>
        <v>Unique Pipe &amp; Sanitation</v>
      </c>
      <c r="C244" s="21">
        <f ca="1">IFERROR(__xludf.DUMMYFUNCTION("""COMPUTED_VALUE"""),42331872)</f>
        <v>42331872</v>
      </c>
      <c r="D244" s="21">
        <f ca="1">IFERROR(__xludf.DUMMYFUNCTION("""COMPUTED_VALUE"""),3)</f>
        <v>3</v>
      </c>
      <c r="E244" s="21" t="str">
        <f ca="1">IFERROR(__xludf.DUMMYFUNCTION("""COMPUTED_VALUE"""),"Priyabrata Biswas, SUMANTA SINGHA, Debasish Adhikary")</f>
        <v>Priyabrata Biswas, SUMANTA SINGHA, Debasish Adhikary</v>
      </c>
      <c r="F244" s="21" t="str">
        <f ca="1">IFERROR(__xludf.DUMMYFUNCTION("""COMPUTED_VALUE"""),"WEST BENGAL")</f>
        <v>WEST BENGAL</v>
      </c>
      <c r="G244" s="28">
        <f ca="1">IFERROR(__xludf.DUMMYFUNCTION("""COMPUTED_VALUE"""),14110624)</f>
        <v>14110624</v>
      </c>
      <c r="H244" s="28">
        <f ca="1">IFERROR(__xludf.DUMMYFUNCTION("""COMPUTED_VALUE"""),1175885.33333333)</f>
        <v>1175885.33333333</v>
      </c>
      <c r="I244" s="41">
        <f ca="1">IFERROR(__xludf.DUMMYFUNCTION("""COMPUTED_VALUE"""),30765897)</f>
        <v>30765897</v>
      </c>
      <c r="J244" s="41"/>
      <c r="K244" s="21"/>
      <c r="L244" s="5"/>
    </row>
    <row r="245" spans="1:12" ht="13.2">
      <c r="A245" s="21" t="e">
        <f ca="1"/>
        <v>#NAME?</v>
      </c>
      <c r="B245" s="21" t="str">
        <f ca="1">IFERROR(__xludf.DUMMYFUNCTION("""COMPUTED_VALUE"""),"Unique Sanitaion")</f>
        <v>Unique Sanitaion</v>
      </c>
      <c r="C245" s="21">
        <f ca="1">IFERROR(__xludf.DUMMYFUNCTION("""COMPUTED_VALUE"""),4956931)</f>
        <v>4956931</v>
      </c>
      <c r="D245" s="21">
        <f ca="1">IFERROR(__xludf.DUMMYFUNCTION("""COMPUTED_VALUE"""),2)</f>
        <v>2</v>
      </c>
      <c r="E245" s="21" t="str">
        <f ca="1">IFERROR(__xludf.DUMMYFUNCTION("""COMPUTED_VALUE"""),"Priyabrata Biswas, SUMANTA SINGHA")</f>
        <v>Priyabrata Biswas, SUMANTA SINGHA</v>
      </c>
      <c r="F245" s="21" t="str">
        <f ca="1">IFERROR(__xludf.DUMMYFUNCTION("""COMPUTED_VALUE"""),"WEST BENGAL")</f>
        <v>WEST BENGAL</v>
      </c>
      <c r="G245" s="28">
        <f ca="1">IFERROR(__xludf.DUMMYFUNCTION("""COMPUTED_VALUE"""),2478465.5)</f>
        <v>2478465.5</v>
      </c>
      <c r="H245" s="28">
        <f ca="1">IFERROR(__xludf.DUMMYFUNCTION("""COMPUTED_VALUE"""),206538.791666666)</f>
        <v>206538.79166666599</v>
      </c>
      <c r="I245" s="41">
        <f ca="1">IFERROR(__xludf.DUMMYFUNCTION("""COMPUTED_VALUE"""),7135522)</f>
        <v>7135522</v>
      </c>
      <c r="J245" s="41"/>
      <c r="K245" s="21"/>
      <c r="L245" s="5"/>
    </row>
    <row r="246" spans="1:12" ht="13.2">
      <c r="A246" s="21" t="e">
        <f ca="1"/>
        <v>#NAME?</v>
      </c>
      <c r="B246" s="21" t="str">
        <f ca="1">IFERROR(__xludf.DUMMYFUNCTION("""COMPUTED_VALUE"""),"Universal Pipe")</f>
        <v>Universal Pipe</v>
      </c>
      <c r="C246" s="21">
        <f ca="1">IFERROR(__xludf.DUMMYFUNCTION("""COMPUTED_VALUE"""),9914664)</f>
        <v>9914664</v>
      </c>
      <c r="D246" s="21">
        <f ca="1">IFERROR(__xludf.DUMMYFUNCTION("""COMPUTED_VALUE"""),2)</f>
        <v>2</v>
      </c>
      <c r="E246" s="21" t="str">
        <f ca="1">IFERROR(__xludf.DUMMYFUNCTION("""COMPUTED_VALUE"""),"Devdutt Joshi, Jagdish Palani")</f>
        <v>Devdutt Joshi, Jagdish Palani</v>
      </c>
      <c r="F246" s="21" t="str">
        <f ca="1">IFERROR(__xludf.DUMMYFUNCTION("""COMPUTED_VALUE"""),"GUJARAT")</f>
        <v>GUJARAT</v>
      </c>
      <c r="G246" s="28">
        <f ca="1">IFERROR(__xludf.DUMMYFUNCTION("""COMPUTED_VALUE"""),4957332)</f>
        <v>4957332</v>
      </c>
      <c r="H246" s="28">
        <f ca="1">IFERROR(__xludf.DUMMYFUNCTION("""COMPUTED_VALUE"""),413111)</f>
        <v>413111</v>
      </c>
      <c r="I246" s="41">
        <f ca="1">IFERROR(__xludf.DUMMYFUNCTION("""COMPUTED_VALUE"""),11374597)</f>
        <v>11374597</v>
      </c>
      <c r="J246" s="41"/>
      <c r="K246" s="21"/>
      <c r="L246" s="5"/>
    </row>
    <row r="247" spans="1:12" ht="13.2">
      <c r="A247" s="21" t="e">
        <f ca="1"/>
        <v>#NAME?</v>
      </c>
      <c r="B247" s="21" t="str">
        <f ca="1">IFERROR(__xludf.DUMMYFUNCTION("""COMPUTED_VALUE"""),"Usha Sri Steel Syndicate")</f>
        <v>Usha Sri Steel Syndicate</v>
      </c>
      <c r="C247" s="21">
        <f ca="1">IFERROR(__xludf.DUMMYFUNCTION("""COMPUTED_VALUE"""),957256)</f>
        <v>957256</v>
      </c>
      <c r="D247" s="21">
        <f ca="1">IFERROR(__xludf.DUMMYFUNCTION("""COMPUTED_VALUE"""),1)</f>
        <v>1</v>
      </c>
      <c r="E247" s="21" t="str">
        <f ca="1">IFERROR(__xludf.DUMMYFUNCTION("""COMPUTED_VALUE"""),"Taninki Ramesh Babu")</f>
        <v>Taninki Ramesh Babu</v>
      </c>
      <c r="F247" s="21" t="str">
        <f ca="1">IFERROR(__xludf.DUMMYFUNCTION("""COMPUTED_VALUE"""),"ANDHRA PRADESH")</f>
        <v>ANDHRA PRADESH</v>
      </c>
      <c r="G247" s="28">
        <f ca="1">IFERROR(__xludf.DUMMYFUNCTION("""COMPUTED_VALUE"""),957256)</f>
        <v>957256</v>
      </c>
      <c r="H247" s="28">
        <f ca="1">IFERROR(__xludf.DUMMYFUNCTION("""COMPUTED_VALUE"""),79771.3333333333)</f>
        <v>79771.333333333299</v>
      </c>
      <c r="I247" s="41">
        <f ca="1">IFERROR(__xludf.DUMMYFUNCTION("""COMPUTED_VALUE"""),611538)</f>
        <v>611538</v>
      </c>
      <c r="J247" s="41"/>
      <c r="K247" s="21"/>
      <c r="L247" s="5"/>
    </row>
    <row r="248" spans="1:12" ht="13.2">
      <c r="A248" s="21" t="e">
        <f ca="1"/>
        <v>#NAME?</v>
      </c>
      <c r="B248" s="21" t="str">
        <f ca="1">IFERROR(__xludf.DUMMYFUNCTION("""COMPUTED_VALUE"""),"Vas infrastructure")</f>
        <v>Vas infrastructure</v>
      </c>
      <c r="C248" s="21">
        <f ca="1">IFERROR(__xludf.DUMMYFUNCTION("""COMPUTED_VALUE"""),20130)</f>
        <v>20130</v>
      </c>
      <c r="D248" s="21">
        <f ca="1">IFERROR(__xludf.DUMMYFUNCTION("""COMPUTED_VALUE"""),1)</f>
        <v>1</v>
      </c>
      <c r="E248" s="21" t="str">
        <f ca="1">IFERROR(__xludf.DUMMYFUNCTION("""COMPUTED_VALUE"""),"Arif Khan")</f>
        <v>Arif Khan</v>
      </c>
      <c r="F248" s="21" t="str">
        <f ca="1">IFERROR(__xludf.DUMMYFUNCTION("""COMPUTED_VALUE"""),"RAJASTHAN")</f>
        <v>RAJASTHAN</v>
      </c>
      <c r="G248" s="28">
        <f ca="1">IFERROR(__xludf.DUMMYFUNCTION("""COMPUTED_VALUE"""),20130)</f>
        <v>20130</v>
      </c>
      <c r="H248" s="28">
        <f ca="1">IFERROR(__xludf.DUMMYFUNCTION("""COMPUTED_VALUE"""),1677.5)</f>
        <v>1677.5</v>
      </c>
      <c r="I248" s="41">
        <f ca="1">IFERROR(__xludf.DUMMYFUNCTION("""COMPUTED_VALUE"""),0)</f>
        <v>0</v>
      </c>
      <c r="J248" s="41"/>
      <c r="K248" s="21"/>
      <c r="L248" s="5"/>
    </row>
    <row r="249" spans="1:12" ht="13.2">
      <c r="A249" s="21" t="e">
        <f ca="1"/>
        <v>#NAME?</v>
      </c>
      <c r="B249" s="21" t="str">
        <f ca="1">IFERROR(__xludf.DUMMYFUNCTION("""COMPUTED_VALUE"""),"VGS Prayag P Ltd")</f>
        <v>VGS Prayag P Ltd</v>
      </c>
      <c r="C249" s="21">
        <f ca="1">IFERROR(__xludf.DUMMYFUNCTION("""COMPUTED_VALUE"""),1679766)</f>
        <v>1679766</v>
      </c>
      <c r="D249" s="21">
        <f ca="1">IFERROR(__xludf.DUMMYFUNCTION("""COMPUTED_VALUE"""),4)</f>
        <v>4</v>
      </c>
      <c r="E249" s="21" t="str">
        <f ca="1">IFERROR(__xludf.DUMMYFUNCTION("""COMPUTED_VALUE"""),"Ashokraj A., M. Raman, S. Thiyagarajan, V. Rajesh")</f>
        <v>Ashokraj A., M. Raman, S. Thiyagarajan, V. Rajesh</v>
      </c>
      <c r="F249" s="21" t="str">
        <f ca="1">IFERROR(__xludf.DUMMYFUNCTION("""COMPUTED_VALUE"""),"TAMIL NADU")</f>
        <v>TAMIL NADU</v>
      </c>
      <c r="G249" s="28">
        <f ca="1">IFERROR(__xludf.DUMMYFUNCTION("""COMPUTED_VALUE"""),419941.5)</f>
        <v>419941.5</v>
      </c>
      <c r="H249" s="28">
        <f ca="1">IFERROR(__xludf.DUMMYFUNCTION("""COMPUTED_VALUE"""),34995.125)</f>
        <v>34995.125</v>
      </c>
      <c r="I249" s="41">
        <f ca="1">IFERROR(__xludf.DUMMYFUNCTION("""COMPUTED_VALUE"""),0)</f>
        <v>0</v>
      </c>
      <c r="J249" s="41"/>
      <c r="K249" s="21"/>
      <c r="L249" s="5"/>
    </row>
    <row r="250" spans="1:12" ht="13.2">
      <c r="A250" s="21" t="e">
        <f ca="1"/>
        <v>#NAME?</v>
      </c>
      <c r="B250" s="21" t="str">
        <f ca="1">IFERROR(__xludf.DUMMYFUNCTION("""COMPUTED_VALUE"""),"Vidhya sales")</f>
        <v>Vidhya sales</v>
      </c>
      <c r="C250" s="21">
        <f ca="1">IFERROR(__xludf.DUMMYFUNCTION("""COMPUTED_VALUE"""),6092128)</f>
        <v>6092128</v>
      </c>
      <c r="D250" s="21">
        <f ca="1">IFERROR(__xludf.DUMMYFUNCTION("""COMPUTED_VALUE"""),2)</f>
        <v>2</v>
      </c>
      <c r="E250" s="21" t="str">
        <f ca="1">IFERROR(__xludf.DUMMYFUNCTION("""COMPUTED_VALUE"""),"Akash Deep, Ankit Kumar")</f>
        <v>Akash Deep, Ankit Kumar</v>
      </c>
      <c r="F250" s="21" t="str">
        <f ca="1">IFERROR(__xludf.DUMMYFUNCTION("""COMPUTED_VALUE"""),"West U.P")</f>
        <v>West U.P</v>
      </c>
      <c r="G250" s="28">
        <f ca="1">IFERROR(__xludf.DUMMYFUNCTION("""COMPUTED_VALUE"""),3046064)</f>
        <v>3046064</v>
      </c>
      <c r="H250" s="28">
        <f ca="1">IFERROR(__xludf.DUMMYFUNCTION("""COMPUTED_VALUE"""),253838.666666666)</f>
        <v>253838.66666666599</v>
      </c>
      <c r="I250" s="41">
        <f ca="1">IFERROR(__xludf.DUMMYFUNCTION("""COMPUTED_VALUE"""),6837376)</f>
        <v>6837376</v>
      </c>
      <c r="J250" s="41"/>
      <c r="K250" s="21"/>
      <c r="L250" s="5"/>
    </row>
    <row r="251" spans="1:12" ht="13.2">
      <c r="A251" s="21" t="e">
        <f ca="1"/>
        <v>#NAME?</v>
      </c>
      <c r="B251" s="21" t="str">
        <f ca="1">IFERROR(__xludf.DUMMYFUNCTION("""COMPUTED_VALUE"""),"VIJAY AGENCIES")</f>
        <v>VIJAY AGENCIES</v>
      </c>
      <c r="C251" s="21">
        <f ca="1">IFERROR(__xludf.DUMMYFUNCTION("""COMPUTED_VALUE"""),3279593)</f>
        <v>3279593</v>
      </c>
      <c r="D251" s="21">
        <f ca="1">IFERROR(__xludf.DUMMYFUNCTION("""COMPUTED_VALUE"""),2)</f>
        <v>2</v>
      </c>
      <c r="E251" s="21" t="str">
        <f ca="1">IFERROR(__xludf.DUMMYFUNCTION("""COMPUTED_VALUE"""),"Shaik Jani basha, Unnam Nivas")</f>
        <v>Shaik Jani basha, Unnam Nivas</v>
      </c>
      <c r="F251" s="21" t="str">
        <f ca="1">IFERROR(__xludf.DUMMYFUNCTION("""COMPUTED_VALUE"""),"ANDHRA PRADESH")</f>
        <v>ANDHRA PRADESH</v>
      </c>
      <c r="G251" s="28">
        <f ca="1">IFERROR(__xludf.DUMMYFUNCTION("""COMPUTED_VALUE"""),1639796.5)</f>
        <v>1639796.5</v>
      </c>
      <c r="H251" s="28">
        <f ca="1">IFERROR(__xludf.DUMMYFUNCTION("""COMPUTED_VALUE"""),136649.708333333)</f>
        <v>136649.70833333299</v>
      </c>
      <c r="I251" s="41">
        <f ca="1">IFERROR(__xludf.DUMMYFUNCTION("""COMPUTED_VALUE"""),4134791)</f>
        <v>4134791</v>
      </c>
      <c r="J251" s="41"/>
      <c r="K251" s="21"/>
      <c r="L251" s="5"/>
    </row>
    <row r="252" spans="1:12" ht="13.2">
      <c r="A252" s="21" t="e">
        <f ca="1"/>
        <v>#NAME?</v>
      </c>
      <c r="B252" s="21" t="str">
        <f ca="1">IFERROR(__xludf.DUMMYFUNCTION("""COMPUTED_VALUE"""),"VIJAY BELTING STORE")</f>
        <v>VIJAY BELTING STORE</v>
      </c>
      <c r="C252" s="21">
        <f ca="1">IFERROR(__xludf.DUMMYFUNCTION("""COMPUTED_VALUE"""),3260842)</f>
        <v>3260842</v>
      </c>
      <c r="D252" s="21">
        <f ca="1">IFERROR(__xludf.DUMMYFUNCTION("""COMPUTED_VALUE"""),1)</f>
        <v>1</v>
      </c>
      <c r="E252" s="21" t="str">
        <f ca="1">IFERROR(__xludf.DUMMYFUNCTION("""COMPUTED_VALUE"""),"Gaurav Kumar")</f>
        <v>Gaurav Kumar</v>
      </c>
      <c r="F252" s="21" t="str">
        <f ca="1">IFERROR(__xludf.DUMMYFUNCTION("""COMPUTED_VALUE"""),"BIHAR")</f>
        <v>BIHAR</v>
      </c>
      <c r="G252" s="28">
        <f ca="1">IFERROR(__xludf.DUMMYFUNCTION("""COMPUTED_VALUE"""),3260842)</f>
        <v>3260842</v>
      </c>
      <c r="H252" s="28">
        <f ca="1">IFERROR(__xludf.DUMMYFUNCTION("""COMPUTED_VALUE"""),271736.833333333)</f>
        <v>271736.83333333302</v>
      </c>
      <c r="I252" s="41">
        <f ca="1">IFERROR(__xludf.DUMMYFUNCTION("""COMPUTED_VALUE"""),585487)</f>
        <v>585487</v>
      </c>
      <c r="J252" s="41"/>
      <c r="K252" s="21"/>
      <c r="L252" s="5"/>
    </row>
    <row r="253" spans="1:12" ht="13.2">
      <c r="A253" s="21" t="e">
        <f ca="1"/>
        <v>#NAME?</v>
      </c>
      <c r="B253" s="21" t="str">
        <f ca="1">IFERROR(__xludf.DUMMYFUNCTION("""COMPUTED_VALUE"""),"Vijay Enterprises")</f>
        <v>Vijay Enterprises</v>
      </c>
      <c r="C253" s="21">
        <f ca="1">IFERROR(__xludf.DUMMYFUNCTION("""COMPUTED_VALUE"""),829405)</f>
        <v>829405</v>
      </c>
      <c r="D253" s="21">
        <f ca="1">IFERROR(__xludf.DUMMYFUNCTION("""COMPUTED_VALUE"""),2)</f>
        <v>2</v>
      </c>
      <c r="E253" s="21" t="str">
        <f ca="1">IFERROR(__xludf.DUMMYFUNCTION("""COMPUTED_VALUE"""),"CHANGAL CHANDEEP, Ishant")</f>
        <v>CHANGAL CHANDEEP, Ishant</v>
      </c>
      <c r="F253" s="21" t="str">
        <f ca="1">IFERROR(__xludf.DUMMYFUNCTION("""COMPUTED_VALUE"""),"HARYANA")</f>
        <v>HARYANA</v>
      </c>
      <c r="G253" s="28">
        <f ca="1">IFERROR(__xludf.DUMMYFUNCTION("""COMPUTED_VALUE"""),414702.5)</f>
        <v>414702.5</v>
      </c>
      <c r="H253" s="28">
        <f ca="1">IFERROR(__xludf.DUMMYFUNCTION("""COMPUTED_VALUE"""),34558.5416666666)</f>
        <v>34558.541666666599</v>
      </c>
      <c r="I253" s="41">
        <f ca="1">IFERROR(__xludf.DUMMYFUNCTION("""COMPUTED_VALUE"""),4938902)</f>
        <v>4938902</v>
      </c>
      <c r="J253" s="41"/>
      <c r="K253" s="21"/>
      <c r="L253" s="5"/>
    </row>
    <row r="254" spans="1:12" ht="13.2">
      <c r="A254" s="21" t="e">
        <f ca="1"/>
        <v>#NAME?</v>
      </c>
      <c r="B254" s="21" t="str">
        <f ca="1">IFERROR(__xludf.DUMMYFUNCTION("""COMPUTED_VALUE"""),"Vijaya Sai Agencies")</f>
        <v>Vijaya Sai Agencies</v>
      </c>
      <c r="C254" s="21">
        <f ca="1">IFERROR(__xludf.DUMMYFUNCTION("""COMPUTED_VALUE"""),11790027)</f>
        <v>11790027</v>
      </c>
      <c r="D254" s="21">
        <f ca="1">IFERROR(__xludf.DUMMYFUNCTION("""COMPUTED_VALUE"""),2)</f>
        <v>2</v>
      </c>
      <c r="E254" s="21" t="str">
        <f ca="1">IFERROR(__xludf.DUMMYFUNCTION("""COMPUTED_VALUE"""),"Shaik Jani basha, Taninki Ramesh Babu")</f>
        <v>Shaik Jani basha, Taninki Ramesh Babu</v>
      </c>
      <c r="F254" s="21" t="str">
        <f ca="1">IFERROR(__xludf.DUMMYFUNCTION("""COMPUTED_VALUE"""),"ANDHRA PRADESH")</f>
        <v>ANDHRA PRADESH</v>
      </c>
      <c r="G254" s="28">
        <f ca="1">IFERROR(__xludf.DUMMYFUNCTION("""COMPUTED_VALUE"""),5895013.5)</f>
        <v>5895013.5</v>
      </c>
      <c r="H254" s="28">
        <f ca="1">IFERROR(__xludf.DUMMYFUNCTION("""COMPUTED_VALUE"""),491251.125)</f>
        <v>491251.125</v>
      </c>
      <c r="I254" s="41">
        <f ca="1">IFERROR(__xludf.DUMMYFUNCTION("""COMPUTED_VALUE"""),11637189)</f>
        <v>11637189</v>
      </c>
      <c r="J254" s="41"/>
      <c r="K254" s="21"/>
      <c r="L254" s="5"/>
    </row>
    <row r="255" spans="1:12" ht="13.2">
      <c r="A255" s="21" t="e">
        <f ca="1"/>
        <v>#NAME?</v>
      </c>
      <c r="B255" s="21" t="str">
        <f ca="1">IFERROR(__xludf.DUMMYFUNCTION("""COMPUTED_VALUE"""),"Vinod Traders")</f>
        <v>Vinod Traders</v>
      </c>
      <c r="C255" s="21">
        <f ca="1">IFERROR(__xludf.DUMMYFUNCTION("""COMPUTED_VALUE"""),219412)</f>
        <v>219412</v>
      </c>
      <c r="D255" s="21">
        <f ca="1">IFERROR(__xludf.DUMMYFUNCTION("""COMPUTED_VALUE"""),1)</f>
        <v>1</v>
      </c>
      <c r="E255" s="21" t="str">
        <f ca="1">IFERROR(__xludf.DUMMYFUNCTION("""COMPUTED_VALUE"""),"ADITYA YADAV")</f>
        <v>ADITYA YADAV</v>
      </c>
      <c r="F255" s="21" t="str">
        <f ca="1">IFERROR(__xludf.DUMMYFUNCTION("""COMPUTED_VALUE"""),"West U.P")</f>
        <v>West U.P</v>
      </c>
      <c r="G255" s="28">
        <f ca="1">IFERROR(__xludf.DUMMYFUNCTION("""COMPUTED_VALUE"""),219412)</f>
        <v>219412</v>
      </c>
      <c r="H255" s="28">
        <f ca="1">IFERROR(__xludf.DUMMYFUNCTION("""COMPUTED_VALUE"""),18284.3333333333)</f>
        <v>18284.333333333299</v>
      </c>
      <c r="I255" s="41">
        <f ca="1">IFERROR(__xludf.DUMMYFUNCTION("""COMPUTED_VALUE"""),958811)</f>
        <v>958811</v>
      </c>
      <c r="J255" s="41"/>
      <c r="K255" s="21"/>
      <c r="L255" s="5"/>
    </row>
    <row r="256" spans="1:12" ht="13.2">
      <c r="A256" s="21" t="e">
        <f ca="1"/>
        <v>#NAME?</v>
      </c>
      <c r="B256" s="21" t="str">
        <f ca="1">IFERROR(__xludf.DUMMYFUNCTION("""COMPUTED_VALUE"""),"Vishal Enterprise")</f>
        <v>Vishal Enterprise</v>
      </c>
      <c r="C256" s="21">
        <f ca="1">IFERROR(__xludf.DUMMYFUNCTION("""COMPUTED_VALUE"""),2344187)</f>
        <v>2344187</v>
      </c>
      <c r="D256" s="21">
        <f ca="1">IFERROR(__xludf.DUMMYFUNCTION("""COMPUTED_VALUE"""),2)</f>
        <v>2</v>
      </c>
      <c r="E256" s="21" t="str">
        <f ca="1">IFERROR(__xludf.DUMMYFUNCTION("""COMPUTED_VALUE"""),"Dipak Sharma, Santanu Kalita")</f>
        <v>Dipak Sharma, Santanu Kalita</v>
      </c>
      <c r="F256" s="21" t="str">
        <f ca="1">IFERROR(__xludf.DUMMYFUNCTION("""COMPUTED_VALUE"""),"ASSAM")</f>
        <v>ASSAM</v>
      </c>
      <c r="G256" s="28">
        <f ca="1">IFERROR(__xludf.DUMMYFUNCTION("""COMPUTED_VALUE"""),1172093.5)</f>
        <v>1172093.5</v>
      </c>
      <c r="H256" s="28">
        <f ca="1">IFERROR(__xludf.DUMMYFUNCTION("""COMPUTED_VALUE"""),97674.4583333333)</f>
        <v>97674.458333333299</v>
      </c>
      <c r="I256" s="41">
        <f ca="1">IFERROR(__xludf.DUMMYFUNCTION("""COMPUTED_VALUE"""),924575)</f>
        <v>924575</v>
      </c>
      <c r="J256" s="41"/>
      <c r="K256" s="21"/>
      <c r="L256" s="5"/>
    </row>
    <row r="257" spans="1:12" ht="13.2">
      <c r="A257" s="21" t="e">
        <f ca="1"/>
        <v>#NAME?</v>
      </c>
      <c r="B257" s="21" t="str">
        <f ca="1">IFERROR(__xludf.DUMMYFUNCTION("""COMPUTED_VALUE"""),"Vyankatesh Traders")</f>
        <v>Vyankatesh Traders</v>
      </c>
      <c r="C257" s="21">
        <f ca="1">IFERROR(__xludf.DUMMYFUNCTION("""COMPUTED_VALUE"""),5923941)</f>
        <v>5923941</v>
      </c>
      <c r="D257" s="21">
        <f ca="1">IFERROR(__xludf.DUMMYFUNCTION("""COMPUTED_VALUE"""),1)</f>
        <v>1</v>
      </c>
      <c r="E257" s="21" t="str">
        <f ca="1">IFERROR(__xludf.DUMMYFUNCTION("""COMPUTED_VALUE"""),"Syed Sohel Hashmi")</f>
        <v>Syed Sohel Hashmi</v>
      </c>
      <c r="F257" s="21" t="str">
        <f ca="1">IFERROR(__xludf.DUMMYFUNCTION("""COMPUTED_VALUE"""),"MAHARASHTRA")</f>
        <v>MAHARASHTRA</v>
      </c>
      <c r="G257" s="28">
        <f ca="1">IFERROR(__xludf.DUMMYFUNCTION("""COMPUTED_VALUE"""),5923941)</f>
        <v>5923941</v>
      </c>
      <c r="H257" s="28">
        <f ca="1">IFERROR(__xludf.DUMMYFUNCTION("""COMPUTED_VALUE"""),493661.75)</f>
        <v>493661.75</v>
      </c>
      <c r="I257" s="41">
        <f ca="1">IFERROR(__xludf.DUMMYFUNCTION("""COMPUTED_VALUE"""),4795987)</f>
        <v>4795987</v>
      </c>
      <c r="J257" s="41"/>
      <c r="K257" s="21"/>
      <c r="L257" s="5"/>
    </row>
    <row r="258" spans="1:12" ht="13.2">
      <c r="A258" s="21" t="e">
        <f ca="1"/>
        <v>#NAME?</v>
      </c>
      <c r="B258" s="21" t="str">
        <f ca="1">IFERROR(__xludf.DUMMYFUNCTION("""COMPUTED_VALUE"""),"Wahid Marketing")</f>
        <v>Wahid Marketing</v>
      </c>
      <c r="C258" s="21">
        <f ca="1">IFERROR(__xludf.DUMMYFUNCTION("""COMPUTED_VALUE"""),27657610)</f>
        <v>27657610</v>
      </c>
      <c r="D258" s="21">
        <f ca="1">IFERROR(__xludf.DUMMYFUNCTION("""COMPUTED_VALUE"""),3)</f>
        <v>3</v>
      </c>
      <c r="E258" s="21" t="str">
        <f ca="1">IFERROR(__xludf.DUMMYFUNCTION("""COMPUTED_VALUE"""),"Dhiraj Ravindra Patle, Himanshu Sable, Nandkishor Upadhyay")</f>
        <v>Dhiraj Ravindra Patle, Himanshu Sable, Nandkishor Upadhyay</v>
      </c>
      <c r="F258" s="21" t="str">
        <f ca="1">IFERROR(__xludf.DUMMYFUNCTION("""COMPUTED_VALUE"""),"MAHARASHTRA")</f>
        <v>MAHARASHTRA</v>
      </c>
      <c r="G258" s="28">
        <f ca="1">IFERROR(__xludf.DUMMYFUNCTION("""COMPUTED_VALUE"""),9219203.33333333)</f>
        <v>9219203.3333333302</v>
      </c>
      <c r="H258" s="28">
        <f ca="1">IFERROR(__xludf.DUMMYFUNCTION("""COMPUTED_VALUE"""),768266.944444444)</f>
        <v>768266.94444444403</v>
      </c>
      <c r="I258" s="41">
        <f ca="1">IFERROR(__xludf.DUMMYFUNCTION("""COMPUTED_VALUE"""),42661375)</f>
        <v>42661375</v>
      </c>
      <c r="J258" s="41"/>
      <c r="K258" s="21"/>
      <c r="L258" s="5"/>
    </row>
    <row r="259" spans="1:12" ht="13.2">
      <c r="A259" s="21" t="e">
        <f ca="1"/>
        <v>#NAME?</v>
      </c>
      <c r="B259" s="21" t="str">
        <f ca="1">IFERROR(__xludf.DUMMYFUNCTION("""COMPUTED_VALUE"""),"Warsi Sales Corporation")</f>
        <v>Warsi Sales Corporation</v>
      </c>
      <c r="C259" s="21">
        <f ca="1">IFERROR(__xludf.DUMMYFUNCTION("""COMPUTED_VALUE"""),17064796)</f>
        <v>17064796</v>
      </c>
      <c r="D259" s="21">
        <f ca="1">IFERROR(__xludf.DUMMYFUNCTION("""COMPUTED_VALUE"""),2)</f>
        <v>2</v>
      </c>
      <c r="E259" s="21" t="str">
        <f ca="1">IFERROR(__xludf.DUMMYFUNCTION("""COMPUTED_VALUE"""),"Ravi Kumar Verma, Wasim Ahmad")</f>
        <v>Ravi Kumar Verma, Wasim Ahmad</v>
      </c>
      <c r="F259" s="21" t="str">
        <f ca="1">IFERROR(__xludf.DUMMYFUNCTION("""COMPUTED_VALUE"""),"East U.P")</f>
        <v>East U.P</v>
      </c>
      <c r="G259" s="28">
        <f ca="1">IFERROR(__xludf.DUMMYFUNCTION("""COMPUTED_VALUE"""),8532398)</f>
        <v>8532398</v>
      </c>
      <c r="H259" s="28">
        <f ca="1">IFERROR(__xludf.DUMMYFUNCTION("""COMPUTED_VALUE"""),711033.166666666)</f>
        <v>711033.16666666605</v>
      </c>
      <c r="I259" s="41">
        <f ca="1">IFERROR(__xludf.DUMMYFUNCTION("""COMPUTED_VALUE"""),21616667)</f>
        <v>21616667</v>
      </c>
      <c r="J259" s="41"/>
      <c r="K259" s="21"/>
      <c r="L259" s="5"/>
    </row>
    <row r="260" spans="1:12" ht="13.2">
      <c r="A260" s="21" t="e">
        <f ca="1"/>
        <v>#NAME?</v>
      </c>
      <c r="B260" s="21" t="str">
        <f ca="1">IFERROR(__xludf.DUMMYFUNCTION("""COMPUTED_VALUE"""),"Y A Traders")</f>
        <v>Y A Traders</v>
      </c>
      <c r="C260" s="21">
        <f ca="1">IFERROR(__xludf.DUMMYFUNCTION("""COMPUTED_VALUE"""),2318128)</f>
        <v>2318128</v>
      </c>
      <c r="D260" s="21">
        <f ca="1">IFERROR(__xludf.DUMMYFUNCTION("""COMPUTED_VALUE"""),1)</f>
        <v>1</v>
      </c>
      <c r="E260" s="21" t="str">
        <f ca="1">IFERROR(__xludf.DUMMYFUNCTION("""COMPUTED_VALUE"""),"Girish B")</f>
        <v>Girish B</v>
      </c>
      <c r="F260" s="21" t="str">
        <f ca="1">IFERROR(__xludf.DUMMYFUNCTION("""COMPUTED_VALUE"""),"KERALA")</f>
        <v>KERALA</v>
      </c>
      <c r="G260" s="28">
        <f ca="1">IFERROR(__xludf.DUMMYFUNCTION("""COMPUTED_VALUE"""),2318128)</f>
        <v>2318128</v>
      </c>
      <c r="H260" s="28">
        <f ca="1">IFERROR(__xludf.DUMMYFUNCTION("""COMPUTED_VALUE"""),193177.333333333)</f>
        <v>193177.33333333299</v>
      </c>
      <c r="I260" s="41">
        <f ca="1">IFERROR(__xludf.DUMMYFUNCTION("""COMPUTED_VALUE"""),0)</f>
        <v>0</v>
      </c>
      <c r="J260" s="41"/>
      <c r="K260" s="21"/>
      <c r="L260" s="5"/>
    </row>
    <row r="261" spans="1:12" ht="13.2">
      <c r="A261" s="21" t="e">
        <f ca="1"/>
        <v>#NAME?</v>
      </c>
      <c r="B261" s="21" t="str">
        <f ca="1">IFERROR(__xludf.DUMMYFUNCTION("""COMPUTED_VALUE"""),"Yash Enterprise")</f>
        <v>Yash Enterprise</v>
      </c>
      <c r="C261" s="21">
        <f ca="1">IFERROR(__xludf.DUMMYFUNCTION("""COMPUTED_VALUE"""),1761980)</f>
        <v>1761980</v>
      </c>
      <c r="D261" s="21">
        <f ca="1">IFERROR(__xludf.DUMMYFUNCTION("""COMPUTED_VALUE"""),1)</f>
        <v>1</v>
      </c>
      <c r="E261" s="21" t="str">
        <f ca="1">IFERROR(__xludf.DUMMYFUNCTION("""COMPUTED_VALUE"""),"Ashutosh Kumar (Rudrapur)")</f>
        <v>Ashutosh Kumar (Rudrapur)</v>
      </c>
      <c r="F261" s="21" t="str">
        <f ca="1">IFERROR(__xludf.DUMMYFUNCTION("""COMPUTED_VALUE"""),"UTTARAKHAND")</f>
        <v>UTTARAKHAND</v>
      </c>
      <c r="G261" s="28">
        <f ca="1">IFERROR(__xludf.DUMMYFUNCTION("""COMPUTED_VALUE"""),1761980)</f>
        <v>1761980</v>
      </c>
      <c r="H261" s="28">
        <f ca="1">IFERROR(__xludf.DUMMYFUNCTION("""COMPUTED_VALUE"""),146831.666666666)</f>
        <v>146831.66666666599</v>
      </c>
      <c r="I261" s="41">
        <f ca="1">IFERROR(__xludf.DUMMYFUNCTION("""COMPUTED_VALUE"""),562190)</f>
        <v>562190</v>
      </c>
      <c r="J261" s="41"/>
      <c r="K261" s="21"/>
      <c r="L261" s="5"/>
    </row>
    <row r="262" spans="1:12" ht="13.2">
      <c r="I262" s="46"/>
      <c r="J262" s="46"/>
      <c r="L262" s="5"/>
    </row>
    <row r="263" spans="1:12" ht="13.2">
      <c r="I263" s="46"/>
      <c r="J263" s="46"/>
      <c r="L263" s="5"/>
    </row>
    <row r="264" spans="1:12" ht="13.2">
      <c r="I264" s="46"/>
      <c r="J264" s="46"/>
      <c r="L264" s="5"/>
    </row>
    <row r="265" spans="1:12" ht="13.2">
      <c r="I265" s="46"/>
      <c r="J265" s="46"/>
      <c r="L265" s="5"/>
    </row>
    <row r="266" spans="1:12" ht="13.2">
      <c r="I266" s="46"/>
      <c r="J266" s="46"/>
      <c r="L266" s="5"/>
    </row>
    <row r="267" spans="1:12" ht="13.2">
      <c r="I267" s="46"/>
      <c r="J267" s="46"/>
      <c r="L267" s="5"/>
    </row>
    <row r="268" spans="1:12" ht="13.2">
      <c r="I268" s="46"/>
      <c r="J268" s="46"/>
      <c r="L268" s="5"/>
    </row>
    <row r="269" spans="1:12" ht="13.2">
      <c r="I269" s="46"/>
      <c r="J269" s="46"/>
      <c r="L269" s="5"/>
    </row>
    <row r="270" spans="1:12" ht="13.2">
      <c r="I270" s="46"/>
      <c r="J270" s="46"/>
      <c r="L270" s="5"/>
    </row>
    <row r="271" spans="1:12" ht="13.2">
      <c r="I271" s="46"/>
      <c r="J271" s="46"/>
      <c r="L271" s="5"/>
    </row>
    <row r="272" spans="1:12" ht="13.2">
      <c r="I272" s="46"/>
      <c r="J272" s="46"/>
      <c r="L272" s="5"/>
    </row>
    <row r="273" spans="9:12" ht="13.2">
      <c r="I273" s="46"/>
      <c r="J273" s="46"/>
      <c r="L273" s="5"/>
    </row>
    <row r="274" spans="9:12" ht="13.2">
      <c r="I274" s="46"/>
      <c r="J274" s="46"/>
      <c r="L274" s="5"/>
    </row>
    <row r="275" spans="9:12" ht="13.2">
      <c r="I275" s="46"/>
      <c r="J275" s="46"/>
      <c r="L275" s="5"/>
    </row>
    <row r="276" spans="9:12" ht="13.2">
      <c r="I276" s="46"/>
      <c r="J276" s="46"/>
      <c r="L276" s="5"/>
    </row>
    <row r="277" spans="9:12" ht="13.2">
      <c r="I277" s="46"/>
      <c r="J277" s="46"/>
      <c r="L277" s="5"/>
    </row>
    <row r="278" spans="9:12" ht="13.2">
      <c r="I278" s="46"/>
      <c r="J278" s="46"/>
      <c r="L278" s="5"/>
    </row>
    <row r="279" spans="9:12" ht="13.2">
      <c r="I279" s="46"/>
      <c r="J279" s="46"/>
      <c r="L279" s="5"/>
    </row>
    <row r="280" spans="9:12" ht="13.2">
      <c r="I280" s="46"/>
      <c r="J280" s="46"/>
      <c r="L280" s="5"/>
    </row>
    <row r="281" spans="9:12" ht="13.2">
      <c r="I281" s="46"/>
      <c r="J281" s="46"/>
      <c r="L281" s="5"/>
    </row>
    <row r="282" spans="9:12" ht="13.2">
      <c r="I282" s="46"/>
      <c r="J282" s="46"/>
      <c r="L282" s="5"/>
    </row>
    <row r="283" spans="9:12" ht="13.2">
      <c r="I283" s="46"/>
      <c r="J283" s="46"/>
      <c r="L283" s="5"/>
    </row>
    <row r="284" spans="9:12" ht="13.2">
      <c r="I284" s="46"/>
      <c r="J284" s="46"/>
      <c r="L284" s="5"/>
    </row>
    <row r="285" spans="9:12" ht="13.2">
      <c r="I285" s="46"/>
      <c r="J285" s="46"/>
      <c r="L285" s="5"/>
    </row>
    <row r="286" spans="9:12" ht="13.2">
      <c r="I286" s="46"/>
      <c r="J286" s="46"/>
      <c r="L286" s="5"/>
    </row>
    <row r="287" spans="9:12" ht="13.2">
      <c r="I287" s="46"/>
      <c r="J287" s="46"/>
      <c r="L287" s="5"/>
    </row>
    <row r="288" spans="9:12" ht="13.2">
      <c r="I288" s="46"/>
      <c r="J288" s="46"/>
      <c r="L288" s="5"/>
    </row>
    <row r="289" spans="9:12" ht="13.2">
      <c r="I289" s="46"/>
      <c r="J289" s="46"/>
      <c r="L289" s="5"/>
    </row>
    <row r="290" spans="9:12" ht="13.2">
      <c r="I290" s="46"/>
      <c r="J290" s="46"/>
      <c r="L290" s="5"/>
    </row>
    <row r="291" spans="9:12" ht="13.2">
      <c r="I291" s="46"/>
      <c r="J291" s="46"/>
      <c r="L291" s="5"/>
    </row>
    <row r="292" spans="9:12" ht="13.2">
      <c r="I292" s="46"/>
      <c r="J292" s="46"/>
      <c r="L292" s="5"/>
    </row>
    <row r="293" spans="9:12" ht="13.2">
      <c r="I293" s="46"/>
      <c r="J293" s="46"/>
      <c r="L293" s="5"/>
    </row>
    <row r="294" spans="9:12" ht="13.2">
      <c r="I294" s="46"/>
      <c r="J294" s="46"/>
      <c r="L294" s="5"/>
    </row>
    <row r="295" spans="9:12" ht="13.2">
      <c r="I295" s="46"/>
      <c r="J295" s="46"/>
      <c r="L295" s="5"/>
    </row>
    <row r="296" spans="9:12" ht="13.2">
      <c r="I296" s="46"/>
      <c r="J296" s="46"/>
      <c r="L296" s="5"/>
    </row>
    <row r="297" spans="9:12" ht="13.2">
      <c r="I297" s="46"/>
      <c r="J297" s="46"/>
      <c r="L297" s="5"/>
    </row>
    <row r="298" spans="9:12" ht="13.2">
      <c r="I298" s="46"/>
      <c r="J298" s="46"/>
      <c r="L298" s="5"/>
    </row>
    <row r="299" spans="9:12" ht="13.2">
      <c r="I299" s="46"/>
      <c r="J299" s="46"/>
      <c r="L299" s="5"/>
    </row>
    <row r="300" spans="9:12" ht="13.2">
      <c r="I300" s="46"/>
      <c r="J300" s="46"/>
      <c r="L300" s="5"/>
    </row>
    <row r="301" spans="9:12" ht="13.2">
      <c r="I301" s="46"/>
      <c r="J301" s="46"/>
      <c r="L301" s="5"/>
    </row>
    <row r="302" spans="9:12" ht="13.2">
      <c r="I302" s="46"/>
      <c r="J302" s="46"/>
      <c r="L302" s="5"/>
    </row>
    <row r="303" spans="9:12" ht="13.2">
      <c r="I303" s="46"/>
      <c r="J303" s="46"/>
      <c r="L303" s="5"/>
    </row>
    <row r="304" spans="9:12" ht="13.2">
      <c r="I304" s="46"/>
      <c r="J304" s="46"/>
      <c r="L304" s="5"/>
    </row>
    <row r="305" spans="9:12" ht="13.2">
      <c r="I305" s="46"/>
      <c r="J305" s="46"/>
      <c r="L305" s="5"/>
    </row>
    <row r="306" spans="9:12" ht="13.2">
      <c r="I306" s="46"/>
      <c r="J306" s="46"/>
      <c r="L306" s="5"/>
    </row>
    <row r="307" spans="9:12" ht="13.2">
      <c r="I307" s="46"/>
      <c r="J307" s="46"/>
      <c r="L307" s="5"/>
    </row>
    <row r="308" spans="9:12" ht="13.2">
      <c r="I308" s="46"/>
      <c r="J308" s="46"/>
      <c r="L308" s="5"/>
    </row>
    <row r="309" spans="9:12" ht="13.2">
      <c r="I309" s="46"/>
      <c r="J309" s="46"/>
      <c r="L309" s="5"/>
    </row>
    <row r="310" spans="9:12" ht="13.2">
      <c r="I310" s="46"/>
      <c r="J310" s="46"/>
      <c r="L310" s="5"/>
    </row>
    <row r="311" spans="9:12" ht="13.2">
      <c r="I311" s="46"/>
      <c r="J311" s="46"/>
      <c r="L311" s="5"/>
    </row>
    <row r="312" spans="9:12" ht="13.2">
      <c r="I312" s="46"/>
      <c r="J312" s="46"/>
      <c r="L312" s="5"/>
    </row>
    <row r="313" spans="9:12" ht="13.2">
      <c r="I313" s="46"/>
      <c r="J313" s="46"/>
      <c r="L313" s="5"/>
    </row>
    <row r="314" spans="9:12" ht="13.2">
      <c r="I314" s="46"/>
      <c r="J314" s="46"/>
      <c r="L314" s="5"/>
    </row>
    <row r="315" spans="9:12" ht="13.2">
      <c r="I315" s="46"/>
      <c r="J315" s="46"/>
      <c r="L315" s="5"/>
    </row>
    <row r="316" spans="9:12" ht="13.2">
      <c r="I316" s="46"/>
      <c r="J316" s="46"/>
      <c r="L316" s="5"/>
    </row>
    <row r="317" spans="9:12" ht="13.2">
      <c r="I317" s="46"/>
      <c r="J317" s="46"/>
      <c r="L317" s="5"/>
    </row>
    <row r="318" spans="9:12" ht="13.2">
      <c r="I318" s="46"/>
      <c r="J318" s="46"/>
      <c r="L318" s="5"/>
    </row>
    <row r="319" spans="9:12" ht="13.2">
      <c r="I319" s="46"/>
      <c r="J319" s="46"/>
      <c r="L319" s="5"/>
    </row>
    <row r="320" spans="9:12" ht="13.2">
      <c r="I320" s="46"/>
      <c r="J320" s="46"/>
      <c r="L320" s="5"/>
    </row>
    <row r="321" spans="9:12" ht="13.2">
      <c r="I321" s="46"/>
      <c r="J321" s="46"/>
      <c r="L321" s="5"/>
    </row>
    <row r="322" spans="9:12" ht="13.2">
      <c r="I322" s="46"/>
      <c r="J322" s="46"/>
      <c r="L322" s="5"/>
    </row>
    <row r="323" spans="9:12" ht="13.2">
      <c r="I323" s="46"/>
      <c r="J323" s="46"/>
      <c r="L323" s="5"/>
    </row>
    <row r="324" spans="9:12" ht="13.2">
      <c r="I324" s="46"/>
      <c r="J324" s="46"/>
      <c r="L324" s="5"/>
    </row>
    <row r="325" spans="9:12" ht="13.2">
      <c r="I325" s="46"/>
      <c r="J325" s="46"/>
      <c r="L325" s="5"/>
    </row>
    <row r="326" spans="9:12" ht="13.2">
      <c r="I326" s="46"/>
      <c r="J326" s="46"/>
      <c r="L326" s="5"/>
    </row>
    <row r="327" spans="9:12" ht="13.2">
      <c r="I327" s="46"/>
      <c r="J327" s="46"/>
      <c r="L327" s="5"/>
    </row>
    <row r="328" spans="9:12" ht="13.2">
      <c r="I328" s="46"/>
      <c r="J328" s="46"/>
      <c r="L328" s="5"/>
    </row>
    <row r="329" spans="9:12" ht="13.2">
      <c r="I329" s="46"/>
      <c r="J329" s="46"/>
      <c r="L329" s="5"/>
    </row>
    <row r="330" spans="9:12" ht="13.2">
      <c r="I330" s="46"/>
      <c r="J330" s="46"/>
      <c r="L330" s="5"/>
    </row>
    <row r="331" spans="9:12" ht="13.2">
      <c r="I331" s="46"/>
      <c r="J331" s="46"/>
      <c r="L331" s="5"/>
    </row>
    <row r="332" spans="9:12" ht="13.2">
      <c r="I332" s="46"/>
      <c r="J332" s="46"/>
      <c r="L332" s="5"/>
    </row>
    <row r="333" spans="9:12" ht="13.2">
      <c r="I333" s="46"/>
      <c r="J333" s="46"/>
      <c r="L333" s="5"/>
    </row>
    <row r="334" spans="9:12" ht="13.2">
      <c r="I334" s="46"/>
      <c r="J334" s="46"/>
      <c r="L334" s="5"/>
    </row>
    <row r="335" spans="9:12" ht="13.2">
      <c r="I335" s="46"/>
      <c r="J335" s="46"/>
      <c r="L335" s="5"/>
    </row>
    <row r="336" spans="9:12" ht="13.2">
      <c r="I336" s="46"/>
      <c r="J336" s="46"/>
      <c r="L336" s="5"/>
    </row>
    <row r="337" spans="9:12" ht="13.2">
      <c r="I337" s="46"/>
      <c r="J337" s="46"/>
      <c r="L337" s="5"/>
    </row>
    <row r="338" spans="9:12" ht="13.2">
      <c r="I338" s="46"/>
      <c r="J338" s="46"/>
      <c r="L338" s="5"/>
    </row>
    <row r="339" spans="9:12" ht="13.2">
      <c r="I339" s="46"/>
      <c r="J339" s="46"/>
      <c r="L339" s="5"/>
    </row>
    <row r="340" spans="9:12" ht="13.2">
      <c r="I340" s="46"/>
      <c r="J340" s="46"/>
      <c r="L340" s="5"/>
    </row>
    <row r="341" spans="9:12" ht="13.2">
      <c r="I341" s="46"/>
      <c r="J341" s="46"/>
      <c r="L341" s="5"/>
    </row>
    <row r="342" spans="9:12" ht="13.2">
      <c r="I342" s="46"/>
      <c r="J342" s="46"/>
      <c r="L342" s="5"/>
    </row>
    <row r="343" spans="9:12" ht="13.2">
      <c r="I343" s="46"/>
      <c r="J343" s="46"/>
      <c r="L343" s="5"/>
    </row>
    <row r="344" spans="9:12" ht="13.2">
      <c r="I344" s="46"/>
      <c r="J344" s="46"/>
      <c r="L344" s="5"/>
    </row>
    <row r="345" spans="9:12" ht="13.2">
      <c r="I345" s="46"/>
      <c r="J345" s="46"/>
      <c r="L345" s="5"/>
    </row>
    <row r="346" spans="9:12" ht="13.2">
      <c r="I346" s="46"/>
      <c r="J346" s="46"/>
      <c r="L346" s="5"/>
    </row>
    <row r="347" spans="9:12" ht="13.2">
      <c r="I347" s="46"/>
      <c r="J347" s="46"/>
      <c r="L347" s="5"/>
    </row>
    <row r="348" spans="9:12" ht="13.2">
      <c r="I348" s="46"/>
      <c r="J348" s="46"/>
      <c r="L348" s="5"/>
    </row>
    <row r="349" spans="9:12" ht="13.2">
      <c r="I349" s="46"/>
      <c r="J349" s="46"/>
      <c r="L349" s="5"/>
    </row>
    <row r="350" spans="9:12" ht="13.2">
      <c r="I350" s="46"/>
      <c r="J350" s="46"/>
      <c r="L350" s="5"/>
    </row>
    <row r="351" spans="9:12" ht="13.2">
      <c r="I351" s="46"/>
      <c r="J351" s="46"/>
      <c r="L351" s="5"/>
    </row>
    <row r="352" spans="9:12" ht="13.2">
      <c r="I352" s="46"/>
      <c r="J352" s="46"/>
      <c r="L352" s="5"/>
    </row>
    <row r="353" spans="9:12" ht="13.2">
      <c r="I353" s="46"/>
      <c r="J353" s="46"/>
      <c r="L353" s="5"/>
    </row>
    <row r="354" spans="9:12" ht="13.2">
      <c r="I354" s="46"/>
      <c r="J354" s="46"/>
      <c r="L354" s="5"/>
    </row>
    <row r="355" spans="9:12" ht="13.2">
      <c r="I355" s="46"/>
      <c r="J355" s="46"/>
      <c r="L355" s="5"/>
    </row>
    <row r="356" spans="9:12" ht="13.2">
      <c r="I356" s="46"/>
      <c r="J356" s="46"/>
      <c r="L356" s="5"/>
    </row>
    <row r="357" spans="9:12" ht="13.2">
      <c r="I357" s="46"/>
      <c r="J357" s="46"/>
      <c r="L357" s="5"/>
    </row>
    <row r="358" spans="9:12" ht="13.2">
      <c r="I358" s="46"/>
      <c r="J358" s="46"/>
      <c r="L358" s="5"/>
    </row>
    <row r="359" spans="9:12" ht="13.2">
      <c r="I359" s="46"/>
      <c r="J359" s="46"/>
      <c r="L359" s="5"/>
    </row>
    <row r="360" spans="9:12" ht="13.2">
      <c r="I360" s="46"/>
      <c r="J360" s="46"/>
      <c r="L360" s="5"/>
    </row>
    <row r="361" spans="9:12" ht="13.2">
      <c r="I361" s="46"/>
      <c r="J361" s="46"/>
      <c r="L361" s="5"/>
    </row>
    <row r="362" spans="9:12" ht="13.2">
      <c r="I362" s="46"/>
      <c r="J362" s="46"/>
      <c r="L362" s="5"/>
    </row>
    <row r="363" spans="9:12" ht="13.2">
      <c r="I363" s="46"/>
      <c r="J363" s="46"/>
      <c r="L363" s="5"/>
    </row>
    <row r="364" spans="9:12" ht="13.2">
      <c r="I364" s="46"/>
      <c r="J364" s="46"/>
      <c r="L364" s="5"/>
    </row>
    <row r="365" spans="9:12" ht="13.2">
      <c r="I365" s="46"/>
      <c r="J365" s="46"/>
      <c r="L365" s="5"/>
    </row>
    <row r="366" spans="9:12" ht="13.2">
      <c r="I366" s="46"/>
      <c r="J366" s="46"/>
      <c r="L366" s="5"/>
    </row>
    <row r="367" spans="9:12" ht="13.2">
      <c r="I367" s="46"/>
      <c r="J367" s="46"/>
      <c r="L367" s="5"/>
    </row>
    <row r="368" spans="9:12" ht="13.2">
      <c r="I368" s="46"/>
      <c r="J368" s="46"/>
      <c r="L368" s="5"/>
    </row>
    <row r="369" spans="9:12" ht="13.2">
      <c r="I369" s="46"/>
      <c r="J369" s="46"/>
      <c r="L369" s="5"/>
    </row>
    <row r="370" spans="9:12" ht="13.2">
      <c r="I370" s="46"/>
      <c r="J370" s="46"/>
      <c r="L370" s="5"/>
    </row>
    <row r="371" spans="9:12" ht="13.2">
      <c r="I371" s="46"/>
      <c r="J371" s="46"/>
      <c r="L371" s="5"/>
    </row>
    <row r="372" spans="9:12" ht="13.2">
      <c r="I372" s="46"/>
      <c r="J372" s="46"/>
      <c r="L372" s="5"/>
    </row>
    <row r="373" spans="9:12" ht="13.2">
      <c r="I373" s="46"/>
      <c r="J373" s="46"/>
      <c r="L373" s="5"/>
    </row>
    <row r="374" spans="9:12" ht="13.2">
      <c r="I374" s="46"/>
      <c r="J374" s="46"/>
      <c r="L374" s="5"/>
    </row>
    <row r="375" spans="9:12" ht="13.2">
      <c r="I375" s="46"/>
      <c r="J375" s="46"/>
      <c r="L375" s="5"/>
    </row>
    <row r="376" spans="9:12" ht="13.2">
      <c r="I376" s="46"/>
      <c r="J376" s="46"/>
      <c r="L376" s="5"/>
    </row>
    <row r="377" spans="9:12" ht="13.2">
      <c r="I377" s="46"/>
      <c r="J377" s="46"/>
      <c r="L377" s="5"/>
    </row>
    <row r="378" spans="9:12" ht="13.2">
      <c r="I378" s="46"/>
      <c r="J378" s="46"/>
      <c r="L378" s="5"/>
    </row>
    <row r="379" spans="9:12" ht="13.2">
      <c r="I379" s="46"/>
      <c r="J379" s="46"/>
      <c r="L379" s="5"/>
    </row>
    <row r="380" spans="9:12" ht="13.2">
      <c r="I380" s="46"/>
      <c r="J380" s="46"/>
      <c r="L380" s="5"/>
    </row>
    <row r="381" spans="9:12" ht="13.2">
      <c r="I381" s="46"/>
      <c r="J381" s="46"/>
      <c r="L381" s="5"/>
    </row>
    <row r="382" spans="9:12" ht="13.2">
      <c r="I382" s="46"/>
      <c r="J382" s="46"/>
      <c r="L382" s="5"/>
    </row>
    <row r="383" spans="9:12" ht="13.2">
      <c r="I383" s="46"/>
      <c r="J383" s="46"/>
      <c r="L383" s="5"/>
    </row>
    <row r="384" spans="9:12" ht="13.2">
      <c r="I384" s="46"/>
      <c r="J384" s="46"/>
      <c r="L384" s="5"/>
    </row>
    <row r="385" spans="9:12" ht="13.2">
      <c r="I385" s="46"/>
      <c r="J385" s="46"/>
      <c r="L385" s="5"/>
    </row>
    <row r="386" spans="9:12" ht="13.2">
      <c r="I386" s="46"/>
      <c r="J386" s="46"/>
      <c r="L386" s="5"/>
    </row>
    <row r="387" spans="9:12" ht="13.2">
      <c r="I387" s="46"/>
      <c r="J387" s="46"/>
      <c r="L387" s="5"/>
    </row>
    <row r="388" spans="9:12" ht="13.2">
      <c r="I388" s="46"/>
      <c r="J388" s="46"/>
      <c r="L388" s="5"/>
    </row>
    <row r="389" spans="9:12" ht="13.2">
      <c r="I389" s="46"/>
      <c r="J389" s="46"/>
      <c r="L389" s="5"/>
    </row>
    <row r="390" spans="9:12" ht="13.2">
      <c r="I390" s="46"/>
      <c r="J390" s="46"/>
      <c r="L390" s="5"/>
    </row>
    <row r="391" spans="9:12" ht="13.2">
      <c r="I391" s="46"/>
      <c r="J391" s="46"/>
      <c r="L391" s="5"/>
    </row>
    <row r="392" spans="9:12" ht="13.2">
      <c r="I392" s="46"/>
      <c r="J392" s="46"/>
      <c r="L392" s="5"/>
    </row>
    <row r="393" spans="9:12" ht="13.2">
      <c r="I393" s="46"/>
      <c r="J393" s="46"/>
      <c r="L393" s="5"/>
    </row>
    <row r="394" spans="9:12" ht="13.2">
      <c r="I394" s="46"/>
      <c r="J394" s="46"/>
      <c r="L394" s="5"/>
    </row>
    <row r="395" spans="9:12" ht="13.2">
      <c r="I395" s="46"/>
      <c r="J395" s="46"/>
      <c r="L395" s="5"/>
    </row>
    <row r="396" spans="9:12" ht="13.2">
      <c r="I396" s="46"/>
      <c r="J396" s="46"/>
      <c r="L396" s="5"/>
    </row>
    <row r="397" spans="9:12" ht="13.2">
      <c r="I397" s="46"/>
      <c r="J397" s="46"/>
      <c r="L397" s="5"/>
    </row>
    <row r="398" spans="9:12" ht="13.2">
      <c r="I398" s="46"/>
      <c r="J398" s="46"/>
      <c r="L398" s="5"/>
    </row>
    <row r="399" spans="9:12" ht="13.2">
      <c r="I399" s="46"/>
      <c r="J399" s="46"/>
      <c r="L399" s="5"/>
    </row>
    <row r="400" spans="9:12" ht="13.2">
      <c r="I400" s="46"/>
      <c r="J400" s="46"/>
      <c r="L400" s="5"/>
    </row>
    <row r="401" spans="9:12" ht="13.2">
      <c r="I401" s="46"/>
      <c r="J401" s="46"/>
      <c r="L401" s="5"/>
    </row>
    <row r="402" spans="9:12" ht="13.2">
      <c r="I402" s="46"/>
      <c r="J402" s="46"/>
      <c r="L402" s="5"/>
    </row>
    <row r="403" spans="9:12" ht="13.2">
      <c r="I403" s="46"/>
      <c r="J403" s="46"/>
      <c r="L403" s="5"/>
    </row>
    <row r="404" spans="9:12" ht="13.2">
      <c r="I404" s="46"/>
      <c r="J404" s="46"/>
      <c r="L404" s="5"/>
    </row>
    <row r="405" spans="9:12" ht="13.2">
      <c r="I405" s="46"/>
      <c r="J405" s="46"/>
      <c r="L405" s="5"/>
    </row>
    <row r="406" spans="9:12" ht="13.2">
      <c r="I406" s="46"/>
      <c r="J406" s="46"/>
      <c r="L406" s="5"/>
    </row>
    <row r="407" spans="9:12" ht="13.2">
      <c r="I407" s="46"/>
      <c r="J407" s="46"/>
      <c r="L407" s="5"/>
    </row>
    <row r="408" spans="9:12" ht="13.2">
      <c r="I408" s="46"/>
      <c r="J408" s="46"/>
      <c r="L408" s="5"/>
    </row>
    <row r="409" spans="9:12" ht="13.2">
      <c r="I409" s="46"/>
      <c r="J409" s="46"/>
      <c r="L409" s="5"/>
    </row>
    <row r="410" spans="9:12" ht="13.2">
      <c r="I410" s="46"/>
      <c r="J410" s="46"/>
      <c r="L410" s="5"/>
    </row>
    <row r="411" spans="9:12" ht="13.2">
      <c r="I411" s="46"/>
      <c r="J411" s="46"/>
      <c r="L411" s="5"/>
    </row>
    <row r="412" spans="9:12" ht="13.2">
      <c r="I412" s="46"/>
      <c r="J412" s="46"/>
      <c r="L412" s="5"/>
    </row>
    <row r="413" spans="9:12" ht="13.2">
      <c r="I413" s="46"/>
      <c r="J413" s="46"/>
      <c r="L413" s="5"/>
    </row>
    <row r="414" spans="9:12" ht="13.2">
      <c r="I414" s="46"/>
      <c r="J414" s="46"/>
      <c r="L414" s="5"/>
    </row>
    <row r="415" spans="9:12" ht="13.2">
      <c r="I415" s="46"/>
      <c r="J415" s="46"/>
      <c r="L415" s="5"/>
    </row>
    <row r="416" spans="9:12" ht="13.2">
      <c r="I416" s="46"/>
      <c r="J416" s="46"/>
      <c r="L416" s="5"/>
    </row>
    <row r="417" spans="9:12" ht="13.2">
      <c r="I417" s="46"/>
      <c r="J417" s="46"/>
      <c r="L417" s="5"/>
    </row>
    <row r="418" spans="9:12" ht="13.2">
      <c r="I418" s="46"/>
      <c r="J418" s="46"/>
      <c r="L418" s="5"/>
    </row>
    <row r="419" spans="9:12" ht="13.2">
      <c r="I419" s="46"/>
      <c r="J419" s="46"/>
      <c r="L419" s="5"/>
    </row>
    <row r="420" spans="9:12" ht="13.2">
      <c r="I420" s="46"/>
      <c r="J420" s="46"/>
      <c r="L420" s="5"/>
    </row>
    <row r="421" spans="9:12" ht="13.2">
      <c r="I421" s="46"/>
      <c r="J421" s="46"/>
      <c r="L421" s="5"/>
    </row>
    <row r="422" spans="9:12" ht="13.2">
      <c r="I422" s="46"/>
      <c r="J422" s="46"/>
      <c r="L422" s="5"/>
    </row>
    <row r="423" spans="9:12" ht="13.2">
      <c r="I423" s="46"/>
      <c r="J423" s="46"/>
      <c r="L423" s="5"/>
    </row>
    <row r="424" spans="9:12" ht="13.2">
      <c r="I424" s="46"/>
      <c r="J424" s="46"/>
      <c r="L424" s="5"/>
    </row>
    <row r="425" spans="9:12" ht="13.2">
      <c r="I425" s="46"/>
      <c r="J425" s="46"/>
      <c r="L425" s="5"/>
    </row>
    <row r="426" spans="9:12" ht="13.2">
      <c r="I426" s="46"/>
      <c r="J426" s="46"/>
      <c r="L426" s="5"/>
    </row>
    <row r="427" spans="9:12" ht="13.2">
      <c r="I427" s="46"/>
      <c r="J427" s="46"/>
      <c r="L427" s="5"/>
    </row>
    <row r="428" spans="9:12" ht="13.2">
      <c r="I428" s="46"/>
      <c r="J428" s="46"/>
      <c r="L428" s="5"/>
    </row>
    <row r="429" spans="9:12" ht="13.2">
      <c r="I429" s="46"/>
      <c r="J429" s="46"/>
      <c r="L429" s="5"/>
    </row>
    <row r="430" spans="9:12" ht="13.2">
      <c r="I430" s="46"/>
      <c r="J430" s="46"/>
      <c r="L430" s="5"/>
    </row>
    <row r="431" spans="9:12" ht="13.2">
      <c r="I431" s="46"/>
      <c r="J431" s="46"/>
      <c r="L431" s="5"/>
    </row>
    <row r="432" spans="9:12" ht="13.2">
      <c r="I432" s="46"/>
      <c r="J432" s="46"/>
      <c r="L432" s="5"/>
    </row>
    <row r="433" spans="9:12" ht="13.2">
      <c r="I433" s="46"/>
      <c r="J433" s="46"/>
      <c r="L433" s="5"/>
    </row>
    <row r="434" spans="9:12" ht="13.2">
      <c r="I434" s="46"/>
      <c r="J434" s="46"/>
      <c r="L434" s="5"/>
    </row>
    <row r="435" spans="9:12" ht="13.2">
      <c r="I435" s="46"/>
      <c r="J435" s="46"/>
      <c r="L435" s="5"/>
    </row>
    <row r="436" spans="9:12" ht="13.2">
      <c r="I436" s="46"/>
      <c r="J436" s="46"/>
      <c r="L436" s="5"/>
    </row>
    <row r="437" spans="9:12" ht="13.2">
      <c r="I437" s="46"/>
      <c r="J437" s="46"/>
      <c r="L437" s="5"/>
    </row>
    <row r="438" spans="9:12" ht="13.2">
      <c r="I438" s="46"/>
      <c r="J438" s="46"/>
      <c r="L438" s="5"/>
    </row>
    <row r="439" spans="9:12" ht="13.2">
      <c r="I439" s="46"/>
      <c r="J439" s="46"/>
      <c r="L439" s="5"/>
    </row>
    <row r="440" spans="9:12" ht="13.2">
      <c r="I440" s="46"/>
      <c r="J440" s="46"/>
      <c r="L440" s="5"/>
    </row>
    <row r="441" spans="9:12" ht="13.2">
      <c r="I441" s="46"/>
      <c r="J441" s="46"/>
      <c r="L441" s="5"/>
    </row>
    <row r="442" spans="9:12" ht="13.2">
      <c r="I442" s="46"/>
      <c r="J442" s="46"/>
      <c r="L442" s="5"/>
    </row>
    <row r="443" spans="9:12" ht="13.2">
      <c r="I443" s="46"/>
      <c r="J443" s="46"/>
      <c r="L443" s="5"/>
    </row>
    <row r="444" spans="9:12" ht="13.2">
      <c r="I444" s="46"/>
      <c r="J444" s="46"/>
      <c r="L444" s="5"/>
    </row>
    <row r="445" spans="9:12" ht="13.2">
      <c r="I445" s="46"/>
      <c r="J445" s="46"/>
      <c r="L445" s="5"/>
    </row>
    <row r="446" spans="9:12" ht="13.2">
      <c r="I446" s="46"/>
      <c r="J446" s="46"/>
      <c r="L446" s="5"/>
    </row>
    <row r="447" spans="9:12" ht="13.2">
      <c r="I447" s="46"/>
      <c r="J447" s="46"/>
      <c r="L447" s="5"/>
    </row>
    <row r="448" spans="9:12" ht="13.2">
      <c r="I448" s="46"/>
      <c r="J448" s="46"/>
      <c r="L448" s="5"/>
    </row>
    <row r="449" spans="9:12" ht="13.2">
      <c r="I449" s="46"/>
      <c r="J449" s="46"/>
      <c r="L449" s="5"/>
    </row>
    <row r="450" spans="9:12" ht="13.2">
      <c r="I450" s="46"/>
      <c r="J450" s="46"/>
      <c r="L450" s="5"/>
    </row>
    <row r="451" spans="9:12" ht="13.2">
      <c r="I451" s="46"/>
      <c r="J451" s="46"/>
      <c r="L451" s="5"/>
    </row>
    <row r="452" spans="9:12" ht="13.2">
      <c r="I452" s="46"/>
      <c r="J452" s="46"/>
      <c r="L452" s="5"/>
    </row>
    <row r="453" spans="9:12" ht="13.2">
      <c r="I453" s="46"/>
      <c r="J453" s="46"/>
      <c r="L453" s="5"/>
    </row>
    <row r="454" spans="9:12" ht="13.2">
      <c r="I454" s="46"/>
      <c r="J454" s="46"/>
      <c r="L454" s="5"/>
    </row>
    <row r="455" spans="9:12" ht="13.2">
      <c r="I455" s="46"/>
      <c r="J455" s="46"/>
      <c r="L455" s="5"/>
    </row>
    <row r="456" spans="9:12" ht="13.2">
      <c r="I456" s="46"/>
      <c r="J456" s="46"/>
      <c r="L456" s="5"/>
    </row>
    <row r="457" spans="9:12" ht="13.2">
      <c r="I457" s="46"/>
      <c r="J457" s="46"/>
      <c r="L457" s="5"/>
    </row>
    <row r="458" spans="9:12" ht="13.2">
      <c r="I458" s="46"/>
      <c r="J458" s="46"/>
      <c r="L458" s="5"/>
    </row>
    <row r="459" spans="9:12" ht="13.2">
      <c r="I459" s="46"/>
      <c r="J459" s="46"/>
      <c r="L459" s="5"/>
    </row>
    <row r="460" spans="9:12" ht="13.2">
      <c r="I460" s="46"/>
      <c r="J460" s="46"/>
      <c r="L460" s="5"/>
    </row>
    <row r="461" spans="9:12" ht="13.2">
      <c r="I461" s="46"/>
      <c r="J461" s="46"/>
      <c r="L461" s="5"/>
    </row>
    <row r="462" spans="9:12" ht="13.2">
      <c r="I462" s="46"/>
      <c r="J462" s="46"/>
      <c r="L462" s="5"/>
    </row>
    <row r="463" spans="9:12" ht="13.2">
      <c r="I463" s="46"/>
      <c r="J463" s="46"/>
      <c r="L463" s="5"/>
    </row>
    <row r="464" spans="9:12" ht="13.2">
      <c r="I464" s="46"/>
      <c r="J464" s="46"/>
      <c r="L464" s="5"/>
    </row>
    <row r="465" spans="9:12" ht="13.2">
      <c r="I465" s="46"/>
      <c r="J465" s="46"/>
      <c r="L465" s="5"/>
    </row>
    <row r="466" spans="9:12" ht="13.2">
      <c r="I466" s="46"/>
      <c r="J466" s="46"/>
      <c r="L466" s="5"/>
    </row>
    <row r="467" spans="9:12" ht="13.2">
      <c r="I467" s="46"/>
      <c r="J467" s="46"/>
      <c r="L467" s="5"/>
    </row>
    <row r="468" spans="9:12" ht="13.2">
      <c r="I468" s="46"/>
      <c r="J468" s="46"/>
      <c r="L468" s="5"/>
    </row>
    <row r="469" spans="9:12" ht="13.2">
      <c r="I469" s="46"/>
      <c r="J469" s="46"/>
      <c r="L469" s="5"/>
    </row>
    <row r="470" spans="9:12" ht="13.2">
      <c r="I470" s="46"/>
      <c r="J470" s="46"/>
      <c r="L470" s="5"/>
    </row>
    <row r="471" spans="9:12" ht="13.2">
      <c r="I471" s="46"/>
      <c r="J471" s="46"/>
      <c r="L471" s="5"/>
    </row>
    <row r="472" spans="9:12" ht="13.2">
      <c r="I472" s="46"/>
      <c r="J472" s="46"/>
      <c r="L472" s="5"/>
    </row>
    <row r="473" spans="9:12" ht="13.2">
      <c r="I473" s="46"/>
      <c r="J473" s="46"/>
      <c r="L473" s="5"/>
    </row>
    <row r="474" spans="9:12" ht="13.2">
      <c r="I474" s="46"/>
      <c r="J474" s="46"/>
      <c r="L474" s="5"/>
    </row>
    <row r="475" spans="9:12" ht="13.2">
      <c r="I475" s="46"/>
      <c r="J475" s="46"/>
      <c r="L475" s="5"/>
    </row>
    <row r="476" spans="9:12" ht="13.2">
      <c r="I476" s="46"/>
      <c r="J476" s="46"/>
      <c r="L476" s="5"/>
    </row>
    <row r="477" spans="9:12" ht="13.2">
      <c r="I477" s="46"/>
      <c r="J477" s="46"/>
      <c r="L477" s="5"/>
    </row>
    <row r="478" spans="9:12" ht="13.2">
      <c r="I478" s="46"/>
      <c r="J478" s="46"/>
      <c r="L478" s="5"/>
    </row>
    <row r="479" spans="9:12" ht="13.2">
      <c r="I479" s="46"/>
      <c r="J479" s="46"/>
      <c r="L479" s="5"/>
    </row>
    <row r="480" spans="9:12" ht="13.2">
      <c r="I480" s="46"/>
      <c r="J480" s="46"/>
      <c r="L480" s="5"/>
    </row>
    <row r="481" spans="9:12" ht="13.2">
      <c r="I481" s="46"/>
      <c r="J481" s="46"/>
      <c r="L481" s="5"/>
    </row>
    <row r="482" spans="9:12" ht="13.2">
      <c r="I482" s="46"/>
      <c r="J482" s="46"/>
      <c r="L482" s="5"/>
    </row>
    <row r="483" spans="9:12" ht="13.2">
      <c r="I483" s="46"/>
      <c r="J483" s="46"/>
      <c r="L483" s="5"/>
    </row>
    <row r="484" spans="9:12" ht="13.2">
      <c r="I484" s="46"/>
      <c r="J484" s="46"/>
      <c r="L484" s="5"/>
    </row>
    <row r="485" spans="9:12" ht="13.2">
      <c r="I485" s="46"/>
      <c r="J485" s="46"/>
      <c r="L485" s="5"/>
    </row>
    <row r="486" spans="9:12" ht="13.2">
      <c r="I486" s="46"/>
      <c r="J486" s="46"/>
      <c r="L486" s="5"/>
    </row>
    <row r="487" spans="9:12" ht="13.2">
      <c r="I487" s="46"/>
      <c r="J487" s="46"/>
      <c r="L487" s="5"/>
    </row>
    <row r="488" spans="9:12" ht="13.2">
      <c r="I488" s="46"/>
      <c r="J488" s="46"/>
      <c r="L488" s="5"/>
    </row>
    <row r="489" spans="9:12" ht="13.2">
      <c r="I489" s="46"/>
      <c r="J489" s="46"/>
      <c r="L489" s="5"/>
    </row>
    <row r="490" spans="9:12" ht="13.2">
      <c r="I490" s="46"/>
      <c r="J490" s="46"/>
      <c r="L490" s="5"/>
    </row>
    <row r="491" spans="9:12" ht="13.2">
      <c r="I491" s="46"/>
      <c r="J491" s="46"/>
      <c r="L491" s="5"/>
    </row>
    <row r="492" spans="9:12" ht="13.2">
      <c r="I492" s="46"/>
      <c r="J492" s="46"/>
      <c r="L492" s="5"/>
    </row>
    <row r="493" spans="9:12" ht="13.2">
      <c r="I493" s="46"/>
      <c r="J493" s="46"/>
      <c r="L493" s="5"/>
    </row>
    <row r="494" spans="9:12" ht="13.2">
      <c r="I494" s="46"/>
      <c r="J494" s="46"/>
      <c r="L494" s="5"/>
    </row>
    <row r="495" spans="9:12" ht="13.2">
      <c r="I495" s="46"/>
      <c r="J495" s="46"/>
      <c r="L495" s="5"/>
    </row>
    <row r="496" spans="9:12" ht="13.2">
      <c r="I496" s="46"/>
      <c r="J496" s="46"/>
      <c r="L496" s="5"/>
    </row>
    <row r="497" spans="9:12" ht="13.2">
      <c r="I497" s="46"/>
      <c r="J497" s="46"/>
      <c r="L497" s="5"/>
    </row>
    <row r="498" spans="9:12" ht="13.2">
      <c r="I498" s="46"/>
      <c r="J498" s="46"/>
      <c r="L498" s="5"/>
    </row>
    <row r="499" spans="9:12" ht="13.2">
      <c r="I499" s="46"/>
      <c r="J499" s="46"/>
      <c r="L499" s="5"/>
    </row>
    <row r="500" spans="9:12" ht="13.2">
      <c r="I500" s="46"/>
      <c r="J500" s="46"/>
      <c r="L500" s="5"/>
    </row>
    <row r="501" spans="9:12" ht="13.2">
      <c r="I501" s="46"/>
      <c r="J501" s="46"/>
      <c r="L501" s="5"/>
    </row>
    <row r="502" spans="9:12" ht="13.2">
      <c r="I502" s="46"/>
      <c r="J502" s="46"/>
      <c r="L502" s="5"/>
    </row>
    <row r="503" spans="9:12" ht="13.2">
      <c r="I503" s="46"/>
      <c r="J503" s="46"/>
      <c r="L503" s="5"/>
    </row>
    <row r="504" spans="9:12" ht="13.2">
      <c r="I504" s="46"/>
      <c r="J504" s="46"/>
      <c r="L504" s="5"/>
    </row>
    <row r="505" spans="9:12" ht="13.2">
      <c r="I505" s="46"/>
      <c r="J505" s="46"/>
      <c r="L505" s="5"/>
    </row>
    <row r="506" spans="9:12" ht="13.2">
      <c r="I506" s="46"/>
      <c r="J506" s="46"/>
      <c r="L506" s="5"/>
    </row>
    <row r="507" spans="9:12" ht="13.2">
      <c r="I507" s="46"/>
      <c r="J507" s="46"/>
      <c r="L507" s="5"/>
    </row>
    <row r="508" spans="9:12" ht="13.2">
      <c r="I508" s="46"/>
      <c r="J508" s="46"/>
      <c r="L508" s="5"/>
    </row>
    <row r="509" spans="9:12" ht="13.2">
      <c r="I509" s="46"/>
      <c r="J509" s="46"/>
      <c r="L509" s="5"/>
    </row>
    <row r="510" spans="9:12" ht="13.2">
      <c r="I510" s="46"/>
      <c r="J510" s="46"/>
      <c r="L510" s="5"/>
    </row>
    <row r="511" spans="9:12" ht="13.2">
      <c r="I511" s="46"/>
      <c r="J511" s="46"/>
      <c r="L511" s="5"/>
    </row>
    <row r="512" spans="9:12" ht="13.2">
      <c r="I512" s="46"/>
      <c r="J512" s="46"/>
      <c r="L512" s="5"/>
    </row>
    <row r="513" spans="9:12" ht="13.2">
      <c r="I513" s="46"/>
      <c r="J513" s="46"/>
      <c r="L513" s="5"/>
    </row>
    <row r="514" spans="9:12" ht="13.2">
      <c r="I514" s="46"/>
      <c r="J514" s="46"/>
      <c r="L514" s="5"/>
    </row>
    <row r="515" spans="9:12" ht="13.2">
      <c r="I515" s="46"/>
      <c r="J515" s="46"/>
      <c r="L515" s="5"/>
    </row>
    <row r="516" spans="9:12" ht="13.2">
      <c r="I516" s="46"/>
      <c r="J516" s="46"/>
      <c r="L516" s="5"/>
    </row>
    <row r="517" spans="9:12" ht="13.2">
      <c r="I517" s="46"/>
      <c r="J517" s="46"/>
      <c r="L517" s="5"/>
    </row>
    <row r="518" spans="9:12" ht="13.2">
      <c r="I518" s="46"/>
      <c r="J518" s="46"/>
      <c r="L518" s="5"/>
    </row>
    <row r="519" spans="9:12" ht="13.2">
      <c r="I519" s="46"/>
      <c r="J519" s="46"/>
      <c r="L519" s="5"/>
    </row>
    <row r="520" spans="9:12" ht="13.2">
      <c r="I520" s="46"/>
      <c r="J520" s="46"/>
      <c r="L520" s="5"/>
    </row>
    <row r="521" spans="9:12" ht="13.2">
      <c r="I521" s="46"/>
      <c r="J521" s="46"/>
      <c r="L521" s="5"/>
    </row>
    <row r="522" spans="9:12" ht="13.2">
      <c r="I522" s="46"/>
      <c r="J522" s="46"/>
      <c r="L522" s="5"/>
    </row>
    <row r="523" spans="9:12" ht="13.2">
      <c r="I523" s="46"/>
      <c r="J523" s="46"/>
      <c r="L523" s="5"/>
    </row>
    <row r="524" spans="9:12" ht="13.2">
      <c r="I524" s="46"/>
      <c r="J524" s="46"/>
      <c r="L524" s="5"/>
    </row>
    <row r="525" spans="9:12" ht="13.2">
      <c r="I525" s="46"/>
      <c r="J525" s="46"/>
      <c r="L525" s="5"/>
    </row>
    <row r="526" spans="9:12" ht="13.2">
      <c r="I526" s="46"/>
      <c r="J526" s="46"/>
      <c r="L526" s="5"/>
    </row>
    <row r="527" spans="9:12" ht="13.2">
      <c r="I527" s="46"/>
      <c r="J527" s="46"/>
      <c r="L527" s="5"/>
    </row>
    <row r="528" spans="9:12" ht="13.2">
      <c r="I528" s="46"/>
      <c r="J528" s="46"/>
      <c r="L528" s="5"/>
    </row>
    <row r="529" spans="9:12" ht="13.2">
      <c r="I529" s="46"/>
      <c r="J529" s="46"/>
      <c r="L529" s="5"/>
    </row>
    <row r="530" spans="9:12" ht="13.2">
      <c r="I530" s="46"/>
      <c r="J530" s="46"/>
      <c r="L530" s="5"/>
    </row>
    <row r="531" spans="9:12" ht="13.2">
      <c r="I531" s="46"/>
      <c r="J531" s="46"/>
      <c r="L531" s="5"/>
    </row>
    <row r="532" spans="9:12" ht="13.2">
      <c r="I532" s="46"/>
      <c r="J532" s="46"/>
      <c r="L532" s="5"/>
    </row>
    <row r="533" spans="9:12" ht="13.2">
      <c r="I533" s="46"/>
      <c r="J533" s="46"/>
      <c r="L533" s="5"/>
    </row>
    <row r="534" spans="9:12" ht="13.2">
      <c r="I534" s="46"/>
      <c r="J534" s="46"/>
      <c r="L534" s="5"/>
    </row>
    <row r="535" spans="9:12" ht="13.2">
      <c r="I535" s="46"/>
      <c r="J535" s="46"/>
      <c r="L535" s="5"/>
    </row>
    <row r="536" spans="9:12" ht="13.2">
      <c r="I536" s="46"/>
      <c r="J536" s="46"/>
      <c r="L536" s="5"/>
    </row>
    <row r="537" spans="9:12" ht="13.2">
      <c r="I537" s="46"/>
      <c r="J537" s="46"/>
      <c r="L537" s="5"/>
    </row>
    <row r="538" spans="9:12" ht="13.2">
      <c r="I538" s="46"/>
      <c r="J538" s="46"/>
      <c r="L538" s="5"/>
    </row>
    <row r="539" spans="9:12" ht="13.2">
      <c r="I539" s="46"/>
      <c r="J539" s="46"/>
      <c r="L539" s="5"/>
    </row>
    <row r="540" spans="9:12" ht="13.2">
      <c r="I540" s="46"/>
      <c r="J540" s="46"/>
      <c r="L540" s="5"/>
    </row>
    <row r="541" spans="9:12" ht="13.2">
      <c r="I541" s="46"/>
      <c r="J541" s="46"/>
      <c r="L541" s="5"/>
    </row>
    <row r="542" spans="9:12" ht="13.2">
      <c r="I542" s="46"/>
      <c r="J542" s="46"/>
      <c r="L542" s="5"/>
    </row>
    <row r="543" spans="9:12" ht="13.2">
      <c r="I543" s="46"/>
      <c r="J543" s="46"/>
      <c r="L543" s="5"/>
    </row>
    <row r="544" spans="9:12" ht="13.2">
      <c r="I544" s="46"/>
      <c r="J544" s="46"/>
      <c r="L544" s="5"/>
    </row>
    <row r="545" spans="9:12" ht="13.2">
      <c r="I545" s="46"/>
      <c r="J545" s="46"/>
      <c r="L545" s="5"/>
    </row>
    <row r="546" spans="9:12" ht="13.2">
      <c r="I546" s="46"/>
      <c r="J546" s="46"/>
      <c r="L546" s="5"/>
    </row>
    <row r="547" spans="9:12" ht="13.2">
      <c r="I547" s="46"/>
      <c r="J547" s="46"/>
      <c r="L547" s="5"/>
    </row>
    <row r="548" spans="9:12" ht="13.2">
      <c r="I548" s="46"/>
      <c r="J548" s="46"/>
      <c r="L548" s="5"/>
    </row>
    <row r="549" spans="9:12" ht="13.2">
      <c r="I549" s="46"/>
      <c r="J549" s="46"/>
      <c r="L549" s="5"/>
    </row>
    <row r="550" spans="9:12" ht="13.2">
      <c r="I550" s="46"/>
      <c r="J550" s="46"/>
      <c r="L550" s="5"/>
    </row>
    <row r="551" spans="9:12" ht="13.2">
      <c r="I551" s="46"/>
      <c r="J551" s="46"/>
      <c r="L551" s="5"/>
    </row>
    <row r="552" spans="9:12" ht="13.2">
      <c r="I552" s="46"/>
      <c r="J552" s="46"/>
      <c r="L552" s="5"/>
    </row>
    <row r="553" spans="9:12" ht="13.2">
      <c r="I553" s="46"/>
      <c r="J553" s="46"/>
      <c r="L553" s="5"/>
    </row>
    <row r="554" spans="9:12" ht="13.2">
      <c r="I554" s="46"/>
      <c r="J554" s="46"/>
      <c r="L554" s="5"/>
    </row>
    <row r="555" spans="9:12" ht="13.2">
      <c r="I555" s="46"/>
      <c r="J555" s="46"/>
      <c r="L555" s="5"/>
    </row>
    <row r="556" spans="9:12" ht="13.2">
      <c r="I556" s="46"/>
      <c r="J556" s="46"/>
      <c r="L556" s="5"/>
    </row>
    <row r="557" spans="9:12" ht="13.2">
      <c r="I557" s="46"/>
      <c r="J557" s="46"/>
      <c r="L557" s="5"/>
    </row>
    <row r="558" spans="9:12" ht="13.2">
      <c r="I558" s="46"/>
      <c r="J558" s="46"/>
      <c r="L558" s="5"/>
    </row>
    <row r="559" spans="9:12" ht="13.2">
      <c r="I559" s="46"/>
      <c r="J559" s="46"/>
      <c r="L559" s="5"/>
    </row>
    <row r="560" spans="9:12" ht="13.2">
      <c r="I560" s="46"/>
      <c r="J560" s="46"/>
      <c r="L560" s="5"/>
    </row>
    <row r="561" spans="9:12" ht="13.2">
      <c r="I561" s="46"/>
      <c r="J561" s="46"/>
      <c r="L561" s="5"/>
    </row>
    <row r="562" spans="9:12" ht="13.2">
      <c r="I562" s="46"/>
      <c r="J562" s="46"/>
      <c r="L562" s="5"/>
    </row>
    <row r="563" spans="9:12" ht="13.2">
      <c r="I563" s="46"/>
      <c r="J563" s="46"/>
      <c r="L563" s="5"/>
    </row>
    <row r="564" spans="9:12" ht="13.2">
      <c r="I564" s="46"/>
      <c r="J564" s="46"/>
      <c r="L564" s="5"/>
    </row>
    <row r="565" spans="9:12" ht="13.2">
      <c r="I565" s="46"/>
      <c r="J565" s="46"/>
      <c r="L565" s="5"/>
    </row>
    <row r="566" spans="9:12" ht="13.2">
      <c r="I566" s="46"/>
      <c r="J566" s="46"/>
      <c r="L566" s="5"/>
    </row>
    <row r="567" spans="9:12" ht="13.2">
      <c r="I567" s="46"/>
      <c r="J567" s="46"/>
      <c r="L567" s="5"/>
    </row>
    <row r="568" spans="9:12" ht="13.2">
      <c r="I568" s="46"/>
      <c r="J568" s="46"/>
      <c r="L568" s="5"/>
    </row>
    <row r="569" spans="9:12" ht="13.2">
      <c r="I569" s="46"/>
      <c r="J569" s="46"/>
      <c r="L569" s="5"/>
    </row>
    <row r="570" spans="9:12" ht="13.2">
      <c r="I570" s="46"/>
      <c r="J570" s="46"/>
      <c r="L570" s="5"/>
    </row>
    <row r="571" spans="9:12" ht="13.2">
      <c r="I571" s="46"/>
      <c r="J571" s="46"/>
      <c r="L571" s="5"/>
    </row>
    <row r="572" spans="9:12" ht="13.2">
      <c r="I572" s="46"/>
      <c r="J572" s="46"/>
      <c r="L572" s="5"/>
    </row>
    <row r="573" spans="9:12" ht="13.2">
      <c r="I573" s="46"/>
      <c r="J573" s="46"/>
      <c r="L573" s="5"/>
    </row>
    <row r="574" spans="9:12" ht="13.2">
      <c r="I574" s="46"/>
      <c r="J574" s="46"/>
      <c r="L574" s="5"/>
    </row>
    <row r="575" spans="9:12" ht="13.2">
      <c r="I575" s="46"/>
      <c r="J575" s="46"/>
      <c r="L575" s="5"/>
    </row>
    <row r="576" spans="9:12" ht="13.2">
      <c r="I576" s="46"/>
      <c r="J576" s="46"/>
      <c r="L576" s="5"/>
    </row>
    <row r="577" spans="9:12" ht="13.2">
      <c r="I577" s="46"/>
      <c r="J577" s="46"/>
      <c r="L577" s="5"/>
    </row>
    <row r="578" spans="9:12" ht="13.2">
      <c r="I578" s="46"/>
      <c r="J578" s="46"/>
      <c r="L578" s="5"/>
    </row>
    <row r="579" spans="9:12" ht="13.2">
      <c r="I579" s="46"/>
      <c r="J579" s="46"/>
      <c r="L579" s="5"/>
    </row>
    <row r="580" spans="9:12" ht="13.2">
      <c r="I580" s="46"/>
      <c r="J580" s="46"/>
      <c r="L580" s="5"/>
    </row>
    <row r="581" spans="9:12" ht="13.2">
      <c r="I581" s="46"/>
      <c r="J581" s="46"/>
      <c r="L581" s="5"/>
    </row>
    <row r="582" spans="9:12" ht="13.2">
      <c r="I582" s="46"/>
      <c r="J582" s="46"/>
      <c r="L582" s="5"/>
    </row>
    <row r="583" spans="9:12" ht="13.2">
      <c r="I583" s="46"/>
      <c r="J583" s="46"/>
      <c r="L583" s="5"/>
    </row>
    <row r="584" spans="9:12" ht="13.2">
      <c r="I584" s="46"/>
      <c r="J584" s="46"/>
      <c r="L584" s="5"/>
    </row>
    <row r="585" spans="9:12" ht="13.2">
      <c r="I585" s="46"/>
      <c r="J585" s="46"/>
      <c r="L585" s="5"/>
    </row>
    <row r="586" spans="9:12" ht="13.2">
      <c r="I586" s="46"/>
      <c r="J586" s="46"/>
      <c r="L586" s="5"/>
    </row>
    <row r="587" spans="9:12" ht="13.2">
      <c r="I587" s="46"/>
      <c r="J587" s="46"/>
      <c r="L587" s="5"/>
    </row>
    <row r="588" spans="9:12" ht="13.2">
      <c r="I588" s="46"/>
      <c r="J588" s="46"/>
      <c r="L588" s="5"/>
    </row>
    <row r="589" spans="9:12" ht="13.2">
      <c r="I589" s="46"/>
      <c r="J589" s="46"/>
      <c r="L589" s="5"/>
    </row>
    <row r="590" spans="9:12" ht="13.2">
      <c r="I590" s="46"/>
      <c r="J590" s="46"/>
      <c r="L590" s="5"/>
    </row>
    <row r="591" spans="9:12" ht="13.2">
      <c r="I591" s="46"/>
      <c r="J591" s="46"/>
      <c r="L591" s="5"/>
    </row>
    <row r="592" spans="9:12" ht="13.2">
      <c r="I592" s="46"/>
      <c r="J592" s="46"/>
      <c r="L592" s="5"/>
    </row>
    <row r="593" spans="9:12" ht="13.2">
      <c r="I593" s="46"/>
      <c r="J593" s="46"/>
      <c r="L593" s="5"/>
    </row>
    <row r="594" spans="9:12" ht="13.2">
      <c r="I594" s="46"/>
      <c r="J594" s="46"/>
      <c r="L594" s="5"/>
    </row>
    <row r="595" spans="9:12" ht="13.2">
      <c r="I595" s="46"/>
      <c r="J595" s="46"/>
      <c r="L595" s="5"/>
    </row>
    <row r="596" spans="9:12" ht="13.2">
      <c r="I596" s="46"/>
      <c r="J596" s="46"/>
      <c r="L596" s="5"/>
    </row>
    <row r="597" spans="9:12" ht="13.2">
      <c r="I597" s="46"/>
      <c r="J597" s="46"/>
      <c r="L597" s="5"/>
    </row>
    <row r="598" spans="9:12" ht="13.2">
      <c r="I598" s="46"/>
      <c r="J598" s="46"/>
      <c r="L598" s="5"/>
    </row>
    <row r="599" spans="9:12" ht="13.2">
      <c r="I599" s="46"/>
      <c r="J599" s="46"/>
      <c r="L599" s="5"/>
    </row>
    <row r="600" spans="9:12" ht="13.2">
      <c r="I600" s="46"/>
      <c r="J600" s="46"/>
      <c r="L600" s="5"/>
    </row>
    <row r="601" spans="9:12" ht="13.2">
      <c r="I601" s="46"/>
      <c r="J601" s="46"/>
      <c r="L601" s="5"/>
    </row>
    <row r="602" spans="9:12" ht="13.2">
      <c r="I602" s="46"/>
      <c r="J602" s="46"/>
      <c r="L602" s="5"/>
    </row>
    <row r="603" spans="9:12" ht="13.2">
      <c r="I603" s="46"/>
      <c r="J603" s="46"/>
      <c r="L603" s="5"/>
    </row>
    <row r="604" spans="9:12" ht="13.2">
      <c r="I604" s="46"/>
      <c r="J604" s="46"/>
      <c r="L604" s="5"/>
    </row>
    <row r="605" spans="9:12" ht="13.2">
      <c r="I605" s="46"/>
      <c r="J605" s="46"/>
      <c r="L605" s="5"/>
    </row>
    <row r="606" spans="9:12" ht="13.2">
      <c r="I606" s="46"/>
      <c r="J606" s="46"/>
      <c r="L606" s="5"/>
    </row>
    <row r="607" spans="9:12" ht="13.2">
      <c r="I607" s="46"/>
      <c r="J607" s="46"/>
      <c r="L607" s="5"/>
    </row>
    <row r="608" spans="9:12" ht="13.2">
      <c r="I608" s="46"/>
      <c r="J608" s="46"/>
      <c r="L608" s="5"/>
    </row>
    <row r="609" spans="9:12" ht="13.2">
      <c r="I609" s="46"/>
      <c r="J609" s="46"/>
      <c r="L609" s="5"/>
    </row>
    <row r="610" spans="9:12" ht="13.2">
      <c r="I610" s="46"/>
      <c r="J610" s="46"/>
      <c r="L610" s="5"/>
    </row>
    <row r="611" spans="9:12" ht="13.2">
      <c r="I611" s="46"/>
      <c r="J611" s="46"/>
      <c r="L611" s="5"/>
    </row>
    <row r="612" spans="9:12" ht="13.2">
      <c r="I612" s="46"/>
      <c r="J612" s="46"/>
      <c r="L612" s="5"/>
    </row>
    <row r="613" spans="9:12" ht="13.2">
      <c r="I613" s="46"/>
      <c r="J613" s="46"/>
      <c r="L613" s="5"/>
    </row>
    <row r="614" spans="9:12" ht="13.2">
      <c r="I614" s="46"/>
      <c r="J614" s="46"/>
      <c r="L614" s="5"/>
    </row>
    <row r="615" spans="9:12" ht="13.2">
      <c r="I615" s="46"/>
      <c r="J615" s="46"/>
      <c r="L615" s="5"/>
    </row>
    <row r="616" spans="9:12" ht="13.2">
      <c r="I616" s="46"/>
      <c r="J616" s="46"/>
      <c r="L616" s="5"/>
    </row>
    <row r="617" spans="9:12" ht="13.2">
      <c r="I617" s="46"/>
      <c r="J617" s="46"/>
      <c r="L617" s="5"/>
    </row>
    <row r="618" spans="9:12" ht="13.2">
      <c r="I618" s="46"/>
      <c r="J618" s="46"/>
      <c r="L618" s="5"/>
    </row>
    <row r="619" spans="9:12" ht="13.2">
      <c r="I619" s="46"/>
      <c r="J619" s="46"/>
      <c r="L619" s="5"/>
    </row>
    <row r="620" spans="9:12" ht="13.2">
      <c r="I620" s="46"/>
      <c r="J620" s="46"/>
      <c r="L620" s="5"/>
    </row>
    <row r="621" spans="9:12" ht="13.2">
      <c r="I621" s="46"/>
      <c r="J621" s="46"/>
      <c r="L621" s="5"/>
    </row>
    <row r="622" spans="9:12" ht="13.2">
      <c r="I622" s="46"/>
      <c r="J622" s="46"/>
      <c r="L622" s="5"/>
    </row>
    <row r="623" spans="9:12" ht="13.2">
      <c r="I623" s="46"/>
      <c r="J623" s="46"/>
      <c r="L623" s="5"/>
    </row>
    <row r="624" spans="9:12" ht="13.2">
      <c r="I624" s="46"/>
      <c r="J624" s="46"/>
      <c r="L624" s="5"/>
    </row>
    <row r="625" spans="9:12" ht="13.2">
      <c r="I625" s="46"/>
      <c r="J625" s="46"/>
      <c r="L625" s="5"/>
    </row>
    <row r="626" spans="9:12" ht="13.2">
      <c r="I626" s="46"/>
      <c r="J626" s="46"/>
      <c r="L626" s="5"/>
    </row>
    <row r="627" spans="9:12" ht="13.2">
      <c r="I627" s="46"/>
      <c r="J627" s="46"/>
      <c r="L627" s="5"/>
    </row>
    <row r="628" spans="9:12" ht="13.2">
      <c r="I628" s="46"/>
      <c r="J628" s="46"/>
      <c r="L628" s="5"/>
    </row>
    <row r="629" spans="9:12" ht="13.2">
      <c r="I629" s="46"/>
      <c r="J629" s="46"/>
      <c r="L629" s="5"/>
    </row>
    <row r="630" spans="9:12" ht="13.2">
      <c r="I630" s="46"/>
      <c r="J630" s="46"/>
      <c r="L630" s="5"/>
    </row>
    <row r="631" spans="9:12" ht="13.2">
      <c r="I631" s="46"/>
      <c r="J631" s="46"/>
      <c r="L631" s="5"/>
    </row>
    <row r="632" spans="9:12" ht="13.2">
      <c r="I632" s="46"/>
      <c r="J632" s="46"/>
      <c r="L632" s="5"/>
    </row>
    <row r="633" spans="9:12" ht="13.2">
      <c r="I633" s="46"/>
      <c r="J633" s="46"/>
      <c r="L633" s="5"/>
    </row>
    <row r="634" spans="9:12" ht="13.2">
      <c r="I634" s="46"/>
      <c r="J634" s="46"/>
      <c r="L634" s="5"/>
    </row>
    <row r="635" spans="9:12" ht="13.2">
      <c r="I635" s="46"/>
      <c r="J635" s="46"/>
      <c r="L635" s="5"/>
    </row>
    <row r="636" spans="9:12" ht="13.2">
      <c r="I636" s="46"/>
      <c r="J636" s="46"/>
      <c r="L636" s="5"/>
    </row>
    <row r="637" spans="9:12" ht="13.2">
      <c r="I637" s="46"/>
      <c r="J637" s="46"/>
      <c r="L637" s="5"/>
    </row>
    <row r="638" spans="9:12" ht="13.2">
      <c r="I638" s="46"/>
      <c r="J638" s="46"/>
      <c r="L638" s="5"/>
    </row>
    <row r="639" spans="9:12" ht="13.2">
      <c r="I639" s="46"/>
      <c r="J639" s="46"/>
      <c r="L639" s="5"/>
    </row>
    <row r="640" spans="9:12" ht="13.2">
      <c r="I640" s="46"/>
      <c r="J640" s="46"/>
      <c r="L640" s="5"/>
    </row>
    <row r="641" spans="9:12" ht="13.2">
      <c r="I641" s="46"/>
      <c r="J641" s="46"/>
      <c r="L641" s="5"/>
    </row>
    <row r="642" spans="9:12" ht="13.2">
      <c r="I642" s="46"/>
      <c r="J642" s="46"/>
      <c r="L642" s="5"/>
    </row>
    <row r="643" spans="9:12" ht="13.2">
      <c r="I643" s="46"/>
      <c r="J643" s="46"/>
      <c r="L643" s="5"/>
    </row>
    <row r="644" spans="9:12" ht="13.2">
      <c r="I644" s="46"/>
      <c r="J644" s="46"/>
      <c r="L644" s="5"/>
    </row>
    <row r="645" spans="9:12" ht="13.2">
      <c r="I645" s="46"/>
      <c r="J645" s="46"/>
      <c r="L645" s="5"/>
    </row>
    <row r="646" spans="9:12" ht="13.2">
      <c r="I646" s="46"/>
      <c r="J646" s="46"/>
      <c r="L646" s="5"/>
    </row>
    <row r="647" spans="9:12" ht="13.2">
      <c r="I647" s="46"/>
      <c r="J647" s="46"/>
      <c r="L647" s="5"/>
    </row>
    <row r="648" spans="9:12" ht="13.2">
      <c r="I648" s="46"/>
      <c r="J648" s="46"/>
      <c r="L648" s="5"/>
    </row>
    <row r="649" spans="9:12" ht="13.2">
      <c r="I649" s="46"/>
      <c r="J649" s="46"/>
      <c r="L649" s="5"/>
    </row>
    <row r="650" spans="9:12" ht="13.2">
      <c r="I650" s="46"/>
      <c r="J650" s="46"/>
      <c r="L650" s="5"/>
    </row>
    <row r="651" spans="9:12" ht="13.2">
      <c r="I651" s="46"/>
      <c r="J651" s="46"/>
      <c r="L651" s="5"/>
    </row>
    <row r="652" spans="9:12" ht="13.2">
      <c r="I652" s="46"/>
      <c r="J652" s="46"/>
      <c r="L652" s="5"/>
    </row>
    <row r="653" spans="9:12" ht="13.2">
      <c r="I653" s="46"/>
      <c r="J653" s="46"/>
      <c r="L653" s="5"/>
    </row>
    <row r="654" spans="9:12" ht="13.2">
      <c r="I654" s="46"/>
      <c r="J654" s="46"/>
      <c r="L654" s="5"/>
    </row>
    <row r="655" spans="9:12" ht="13.2">
      <c r="I655" s="46"/>
      <c r="J655" s="46"/>
      <c r="L655" s="5"/>
    </row>
    <row r="656" spans="9:12" ht="13.2">
      <c r="I656" s="46"/>
      <c r="J656" s="46"/>
      <c r="L656" s="5"/>
    </row>
    <row r="657" spans="9:12" ht="13.2">
      <c r="I657" s="46"/>
      <c r="J657" s="46"/>
      <c r="L657" s="5"/>
    </row>
    <row r="658" spans="9:12" ht="13.2">
      <c r="I658" s="46"/>
      <c r="J658" s="46"/>
      <c r="L658" s="5"/>
    </row>
    <row r="659" spans="9:12" ht="13.2">
      <c r="I659" s="46"/>
      <c r="J659" s="46"/>
      <c r="L659" s="5"/>
    </row>
    <row r="660" spans="9:12" ht="13.2">
      <c r="I660" s="46"/>
      <c r="J660" s="46"/>
      <c r="L660" s="5"/>
    </row>
    <row r="661" spans="9:12" ht="13.2">
      <c r="I661" s="46"/>
      <c r="J661" s="46"/>
      <c r="L661" s="5"/>
    </row>
    <row r="662" spans="9:12" ht="13.2">
      <c r="I662" s="46"/>
      <c r="J662" s="46"/>
      <c r="L662" s="5"/>
    </row>
    <row r="663" spans="9:12" ht="13.2">
      <c r="I663" s="46"/>
      <c r="J663" s="46"/>
      <c r="L663" s="5"/>
    </row>
    <row r="664" spans="9:12" ht="13.2">
      <c r="I664" s="46"/>
      <c r="J664" s="46"/>
      <c r="L664" s="5"/>
    </row>
    <row r="665" spans="9:12" ht="13.2">
      <c r="I665" s="46"/>
      <c r="J665" s="46"/>
      <c r="L665" s="5"/>
    </row>
    <row r="666" spans="9:12" ht="13.2">
      <c r="I666" s="46"/>
      <c r="J666" s="46"/>
      <c r="L666" s="5"/>
    </row>
    <row r="667" spans="9:12" ht="13.2">
      <c r="I667" s="46"/>
      <c r="J667" s="46"/>
      <c r="L667" s="5"/>
    </row>
    <row r="668" spans="9:12" ht="13.2">
      <c r="I668" s="46"/>
      <c r="J668" s="46"/>
      <c r="L668" s="5"/>
    </row>
    <row r="669" spans="9:12" ht="13.2">
      <c r="I669" s="46"/>
      <c r="J669" s="46"/>
      <c r="L669" s="5"/>
    </row>
    <row r="670" spans="9:12" ht="13.2">
      <c r="I670" s="46"/>
      <c r="J670" s="46"/>
      <c r="L670" s="5"/>
    </row>
    <row r="671" spans="9:12" ht="13.2">
      <c r="I671" s="46"/>
      <c r="J671" s="46"/>
      <c r="L671" s="5"/>
    </row>
    <row r="672" spans="9:12" ht="13.2">
      <c r="I672" s="46"/>
      <c r="J672" s="46"/>
      <c r="L672" s="5"/>
    </row>
    <row r="673" spans="9:12" ht="13.2">
      <c r="I673" s="46"/>
      <c r="J673" s="46"/>
      <c r="L673" s="5"/>
    </row>
    <row r="674" spans="9:12" ht="13.2">
      <c r="I674" s="46"/>
      <c r="J674" s="46"/>
      <c r="L674" s="5"/>
    </row>
    <row r="675" spans="9:12" ht="13.2">
      <c r="I675" s="46"/>
      <c r="J675" s="46"/>
      <c r="L675" s="5"/>
    </row>
    <row r="676" spans="9:12" ht="13.2">
      <c r="I676" s="46"/>
      <c r="J676" s="46"/>
      <c r="L676" s="5"/>
    </row>
    <row r="677" spans="9:12" ht="13.2">
      <c r="I677" s="46"/>
      <c r="J677" s="46"/>
      <c r="L677" s="5"/>
    </row>
    <row r="678" spans="9:12" ht="13.2">
      <c r="I678" s="46"/>
      <c r="J678" s="46"/>
      <c r="L678" s="5"/>
    </row>
    <row r="679" spans="9:12" ht="13.2">
      <c r="I679" s="46"/>
      <c r="J679" s="46"/>
      <c r="L679" s="5"/>
    </row>
    <row r="680" spans="9:12" ht="13.2">
      <c r="I680" s="46"/>
      <c r="J680" s="46"/>
      <c r="L680" s="5"/>
    </row>
    <row r="681" spans="9:12" ht="13.2">
      <c r="I681" s="46"/>
      <c r="J681" s="46"/>
      <c r="L681" s="5"/>
    </row>
    <row r="682" spans="9:12" ht="13.2">
      <c r="I682" s="46"/>
      <c r="J682" s="46"/>
      <c r="L682" s="5"/>
    </row>
    <row r="683" spans="9:12" ht="13.2">
      <c r="I683" s="46"/>
      <c r="J683" s="46"/>
      <c r="L683" s="5"/>
    </row>
    <row r="684" spans="9:12" ht="13.2">
      <c r="I684" s="46"/>
      <c r="J684" s="46"/>
      <c r="L684" s="5"/>
    </row>
    <row r="685" spans="9:12" ht="13.2">
      <c r="I685" s="46"/>
      <c r="J685" s="46"/>
      <c r="L685" s="5"/>
    </row>
    <row r="686" spans="9:12" ht="13.2">
      <c r="I686" s="46"/>
      <c r="J686" s="46"/>
      <c r="L686" s="5"/>
    </row>
    <row r="687" spans="9:12" ht="13.2">
      <c r="I687" s="46"/>
      <c r="J687" s="46"/>
      <c r="L687" s="5"/>
    </row>
    <row r="688" spans="9:12" ht="13.2">
      <c r="I688" s="46"/>
      <c r="J688" s="46"/>
      <c r="L688" s="5"/>
    </row>
    <row r="689" spans="9:12" ht="13.2">
      <c r="I689" s="46"/>
      <c r="J689" s="46"/>
      <c r="L689" s="5"/>
    </row>
    <row r="690" spans="9:12" ht="13.2">
      <c r="I690" s="46"/>
      <c r="J690" s="46"/>
      <c r="L690" s="5"/>
    </row>
    <row r="691" spans="9:12" ht="13.2">
      <c r="I691" s="46"/>
      <c r="J691" s="46"/>
      <c r="L691" s="5"/>
    </row>
    <row r="692" spans="9:12" ht="13.2">
      <c r="I692" s="46"/>
      <c r="J692" s="46"/>
      <c r="L692" s="5"/>
    </row>
    <row r="693" spans="9:12" ht="13.2">
      <c r="I693" s="46"/>
      <c r="J693" s="46"/>
      <c r="L693" s="5"/>
    </row>
    <row r="694" spans="9:12" ht="13.2">
      <c r="I694" s="46"/>
      <c r="J694" s="46"/>
      <c r="L694" s="5"/>
    </row>
    <row r="695" spans="9:12" ht="13.2">
      <c r="I695" s="46"/>
      <c r="J695" s="46"/>
      <c r="L695" s="5"/>
    </row>
    <row r="696" spans="9:12" ht="13.2">
      <c r="I696" s="46"/>
      <c r="J696" s="46"/>
      <c r="L696" s="5"/>
    </row>
    <row r="697" spans="9:12" ht="13.2">
      <c r="I697" s="46"/>
      <c r="J697" s="46"/>
      <c r="L697" s="5"/>
    </row>
    <row r="698" spans="9:12" ht="13.2">
      <c r="I698" s="46"/>
      <c r="J698" s="46"/>
      <c r="L698" s="5"/>
    </row>
    <row r="699" spans="9:12" ht="13.2">
      <c r="I699" s="46"/>
      <c r="J699" s="46"/>
      <c r="L699" s="5"/>
    </row>
    <row r="700" spans="9:12" ht="13.2">
      <c r="I700" s="46"/>
      <c r="J700" s="46"/>
      <c r="L700" s="5"/>
    </row>
    <row r="701" spans="9:12" ht="13.2">
      <c r="I701" s="46"/>
      <c r="J701" s="46"/>
      <c r="L701" s="5"/>
    </row>
    <row r="702" spans="9:12" ht="13.2">
      <c r="I702" s="46"/>
      <c r="J702" s="46"/>
      <c r="L702" s="5"/>
    </row>
    <row r="703" spans="9:12" ht="13.2">
      <c r="I703" s="46"/>
      <c r="J703" s="46"/>
      <c r="L703" s="5"/>
    </row>
    <row r="704" spans="9:12" ht="13.2">
      <c r="I704" s="46"/>
      <c r="J704" s="46"/>
      <c r="L704" s="5"/>
    </row>
    <row r="705" spans="9:12" ht="13.2">
      <c r="I705" s="46"/>
      <c r="J705" s="46"/>
      <c r="L705" s="5"/>
    </row>
    <row r="706" spans="9:12" ht="13.2">
      <c r="I706" s="46"/>
      <c r="J706" s="46"/>
      <c r="L706" s="5"/>
    </row>
    <row r="707" spans="9:12" ht="13.2">
      <c r="I707" s="46"/>
      <c r="J707" s="46"/>
      <c r="L707" s="5"/>
    </row>
    <row r="708" spans="9:12" ht="13.2">
      <c r="I708" s="46"/>
      <c r="J708" s="46"/>
      <c r="L708" s="5"/>
    </row>
    <row r="709" spans="9:12" ht="13.2">
      <c r="I709" s="46"/>
      <c r="J709" s="46"/>
      <c r="L709" s="5"/>
    </row>
    <row r="710" spans="9:12" ht="13.2">
      <c r="I710" s="46"/>
      <c r="J710" s="46"/>
      <c r="L710" s="5"/>
    </row>
    <row r="711" spans="9:12" ht="13.2">
      <c r="I711" s="46"/>
      <c r="J711" s="46"/>
      <c r="L711" s="5"/>
    </row>
    <row r="712" spans="9:12" ht="13.2">
      <c r="I712" s="46"/>
      <c r="J712" s="46"/>
      <c r="L712" s="5"/>
    </row>
    <row r="713" spans="9:12" ht="13.2">
      <c r="I713" s="46"/>
      <c r="J713" s="46"/>
      <c r="L713" s="5"/>
    </row>
    <row r="714" spans="9:12" ht="13.2">
      <c r="I714" s="46"/>
      <c r="J714" s="46"/>
      <c r="L714" s="5"/>
    </row>
    <row r="715" spans="9:12" ht="13.2">
      <c r="I715" s="46"/>
      <c r="J715" s="46"/>
      <c r="L715" s="5"/>
    </row>
    <row r="716" spans="9:12" ht="13.2">
      <c r="I716" s="46"/>
      <c r="J716" s="46"/>
      <c r="L716" s="5"/>
    </row>
    <row r="717" spans="9:12" ht="13.2">
      <c r="I717" s="46"/>
      <c r="J717" s="46"/>
      <c r="L717" s="5"/>
    </row>
    <row r="718" spans="9:12" ht="13.2">
      <c r="I718" s="46"/>
      <c r="J718" s="46"/>
      <c r="L718" s="5"/>
    </row>
    <row r="719" spans="9:12" ht="13.2">
      <c r="I719" s="46"/>
      <c r="J719" s="46"/>
      <c r="L719" s="5"/>
    </row>
    <row r="720" spans="9:12" ht="13.2">
      <c r="I720" s="46"/>
      <c r="J720" s="46"/>
      <c r="L720" s="5"/>
    </row>
    <row r="721" spans="9:12" ht="13.2">
      <c r="I721" s="46"/>
      <c r="J721" s="46"/>
      <c r="L721" s="5"/>
    </row>
    <row r="722" spans="9:12" ht="13.2">
      <c r="I722" s="46"/>
      <c r="J722" s="46"/>
      <c r="L722" s="5"/>
    </row>
    <row r="723" spans="9:12" ht="13.2">
      <c r="I723" s="46"/>
      <c r="J723" s="46"/>
      <c r="L723" s="5"/>
    </row>
    <row r="724" spans="9:12" ht="13.2">
      <c r="I724" s="46"/>
      <c r="J724" s="46"/>
      <c r="L724" s="5"/>
    </row>
    <row r="725" spans="9:12" ht="13.2">
      <c r="I725" s="46"/>
      <c r="J725" s="46"/>
      <c r="L725" s="5"/>
    </row>
    <row r="726" spans="9:12" ht="13.2">
      <c r="I726" s="46"/>
      <c r="J726" s="46"/>
      <c r="L726" s="5"/>
    </row>
    <row r="727" spans="9:12" ht="13.2">
      <c r="I727" s="46"/>
      <c r="J727" s="46"/>
      <c r="L727" s="5"/>
    </row>
    <row r="728" spans="9:12" ht="13.2">
      <c r="I728" s="46"/>
      <c r="J728" s="46"/>
      <c r="L728" s="5"/>
    </row>
    <row r="729" spans="9:12" ht="13.2">
      <c r="I729" s="46"/>
      <c r="J729" s="46"/>
      <c r="L729" s="5"/>
    </row>
    <row r="730" spans="9:12" ht="13.2">
      <c r="I730" s="46"/>
      <c r="J730" s="46"/>
      <c r="L730" s="5"/>
    </row>
    <row r="731" spans="9:12" ht="13.2">
      <c r="I731" s="46"/>
      <c r="J731" s="46"/>
      <c r="L731" s="5"/>
    </row>
    <row r="732" spans="9:12" ht="13.2">
      <c r="I732" s="46"/>
      <c r="J732" s="46"/>
      <c r="L732" s="5"/>
    </row>
    <row r="733" spans="9:12" ht="13.2">
      <c r="I733" s="46"/>
      <c r="J733" s="46"/>
      <c r="L733" s="5"/>
    </row>
    <row r="734" spans="9:12" ht="13.2">
      <c r="I734" s="46"/>
      <c r="J734" s="46"/>
      <c r="L734" s="5"/>
    </row>
    <row r="735" spans="9:12" ht="13.2">
      <c r="I735" s="46"/>
      <c r="J735" s="46"/>
      <c r="L735" s="5"/>
    </row>
    <row r="736" spans="9:12" ht="13.2">
      <c r="I736" s="46"/>
      <c r="J736" s="46"/>
      <c r="L736" s="5"/>
    </row>
    <row r="737" spans="9:12" ht="13.2">
      <c r="I737" s="46"/>
      <c r="J737" s="46"/>
      <c r="L737" s="5"/>
    </row>
    <row r="738" spans="9:12" ht="13.2">
      <c r="I738" s="46"/>
      <c r="J738" s="46"/>
      <c r="L738" s="5"/>
    </row>
    <row r="739" spans="9:12" ht="13.2">
      <c r="I739" s="46"/>
      <c r="J739" s="46"/>
      <c r="L739" s="5"/>
    </row>
    <row r="740" spans="9:12" ht="13.2">
      <c r="I740" s="46"/>
      <c r="J740" s="46"/>
      <c r="L740" s="5"/>
    </row>
    <row r="741" spans="9:12" ht="13.2">
      <c r="I741" s="46"/>
      <c r="J741" s="46"/>
      <c r="L741" s="5"/>
    </row>
    <row r="742" spans="9:12" ht="13.2">
      <c r="I742" s="46"/>
      <c r="J742" s="46"/>
      <c r="L742" s="5"/>
    </row>
    <row r="743" spans="9:12" ht="13.2">
      <c r="I743" s="46"/>
      <c r="J743" s="46"/>
      <c r="L743" s="5"/>
    </row>
    <row r="744" spans="9:12" ht="13.2">
      <c r="I744" s="46"/>
      <c r="J744" s="46"/>
      <c r="L744" s="5"/>
    </row>
    <row r="745" spans="9:12" ht="13.2">
      <c r="I745" s="46"/>
      <c r="J745" s="46"/>
      <c r="L745" s="5"/>
    </row>
    <row r="746" spans="9:12" ht="13.2">
      <c r="I746" s="46"/>
      <c r="J746" s="46"/>
      <c r="L746" s="5"/>
    </row>
    <row r="747" spans="9:12" ht="13.2">
      <c r="I747" s="46"/>
      <c r="J747" s="46"/>
      <c r="L747" s="5"/>
    </row>
    <row r="748" spans="9:12" ht="13.2">
      <c r="I748" s="46"/>
      <c r="J748" s="46"/>
      <c r="L748" s="5"/>
    </row>
    <row r="749" spans="9:12" ht="13.2">
      <c r="I749" s="46"/>
      <c r="J749" s="46"/>
      <c r="L749" s="5"/>
    </row>
    <row r="750" spans="9:12" ht="13.2">
      <c r="I750" s="46"/>
      <c r="J750" s="46"/>
      <c r="L750" s="5"/>
    </row>
    <row r="751" spans="9:12" ht="13.2">
      <c r="I751" s="46"/>
      <c r="J751" s="46"/>
      <c r="L751" s="5"/>
    </row>
    <row r="752" spans="9:12" ht="13.2">
      <c r="I752" s="46"/>
      <c r="J752" s="46"/>
      <c r="L752" s="5"/>
    </row>
    <row r="753" spans="9:12" ht="13.2">
      <c r="I753" s="46"/>
      <c r="J753" s="46"/>
      <c r="L753" s="5"/>
    </row>
    <row r="754" spans="9:12" ht="13.2">
      <c r="I754" s="46"/>
      <c r="J754" s="46"/>
      <c r="L754" s="5"/>
    </row>
    <row r="755" spans="9:12" ht="13.2">
      <c r="I755" s="46"/>
      <c r="J755" s="46"/>
      <c r="L755" s="5"/>
    </row>
    <row r="756" spans="9:12" ht="13.2">
      <c r="I756" s="46"/>
      <c r="J756" s="46"/>
      <c r="L756" s="5"/>
    </row>
    <row r="757" spans="9:12" ht="13.2">
      <c r="I757" s="46"/>
      <c r="J757" s="46"/>
      <c r="L757" s="5"/>
    </row>
    <row r="758" spans="9:12" ht="13.2">
      <c r="I758" s="46"/>
      <c r="J758" s="46"/>
      <c r="L758" s="5"/>
    </row>
    <row r="759" spans="9:12" ht="13.2">
      <c r="I759" s="46"/>
      <c r="J759" s="46"/>
      <c r="L759" s="5"/>
    </row>
    <row r="760" spans="9:12" ht="13.2">
      <c r="I760" s="46"/>
      <c r="J760" s="46"/>
      <c r="L760" s="5"/>
    </row>
    <row r="761" spans="9:12" ht="13.2">
      <c r="I761" s="46"/>
      <c r="J761" s="46"/>
      <c r="L761" s="5"/>
    </row>
    <row r="762" spans="9:12" ht="13.2">
      <c r="I762" s="46"/>
      <c r="J762" s="46"/>
      <c r="L762" s="5"/>
    </row>
    <row r="763" spans="9:12" ht="13.2">
      <c r="I763" s="46"/>
      <c r="J763" s="46"/>
      <c r="L763" s="5"/>
    </row>
    <row r="764" spans="9:12" ht="13.2">
      <c r="I764" s="46"/>
      <c r="J764" s="46"/>
      <c r="L764" s="5"/>
    </row>
    <row r="765" spans="9:12" ht="13.2">
      <c r="I765" s="46"/>
      <c r="J765" s="46"/>
      <c r="L765" s="5"/>
    </row>
    <row r="766" spans="9:12" ht="13.2">
      <c r="I766" s="46"/>
      <c r="J766" s="46"/>
      <c r="L766" s="5"/>
    </row>
    <row r="767" spans="9:12" ht="13.2">
      <c r="I767" s="46"/>
      <c r="J767" s="46"/>
      <c r="L767" s="5"/>
    </row>
    <row r="768" spans="9:12" ht="13.2">
      <c r="I768" s="46"/>
      <c r="J768" s="46"/>
      <c r="L768" s="5"/>
    </row>
    <row r="769" spans="9:12" ht="13.2">
      <c r="I769" s="46"/>
      <c r="J769" s="46"/>
      <c r="L769" s="5"/>
    </row>
    <row r="770" spans="9:12" ht="13.2">
      <c r="I770" s="46"/>
      <c r="J770" s="46"/>
      <c r="L770" s="5"/>
    </row>
    <row r="771" spans="9:12" ht="13.2">
      <c r="I771" s="46"/>
      <c r="J771" s="46"/>
      <c r="L771" s="5"/>
    </row>
    <row r="772" spans="9:12" ht="13.2">
      <c r="I772" s="46"/>
      <c r="J772" s="46"/>
      <c r="L772" s="5"/>
    </row>
    <row r="773" spans="9:12" ht="13.2">
      <c r="I773" s="46"/>
      <c r="J773" s="46"/>
      <c r="L773" s="5"/>
    </row>
    <row r="774" spans="9:12" ht="13.2">
      <c r="I774" s="46"/>
      <c r="J774" s="46"/>
      <c r="L774" s="5"/>
    </row>
    <row r="775" spans="9:12" ht="13.2">
      <c r="I775" s="46"/>
      <c r="J775" s="46"/>
      <c r="L775" s="5"/>
    </row>
    <row r="776" spans="9:12" ht="13.2">
      <c r="I776" s="46"/>
      <c r="J776" s="46"/>
      <c r="L776" s="5"/>
    </row>
    <row r="777" spans="9:12" ht="13.2">
      <c r="I777" s="46"/>
      <c r="J777" s="46"/>
      <c r="L777" s="5"/>
    </row>
    <row r="778" spans="9:12" ht="13.2">
      <c r="I778" s="46"/>
      <c r="J778" s="46"/>
      <c r="L778" s="5"/>
    </row>
    <row r="779" spans="9:12" ht="13.2">
      <c r="I779" s="46"/>
      <c r="J779" s="46"/>
      <c r="L779" s="5"/>
    </row>
    <row r="780" spans="9:12" ht="13.2">
      <c r="I780" s="46"/>
      <c r="J780" s="46"/>
      <c r="L780" s="5"/>
    </row>
    <row r="781" spans="9:12" ht="13.2">
      <c r="I781" s="46"/>
      <c r="J781" s="46"/>
      <c r="L781" s="5"/>
    </row>
    <row r="782" spans="9:12" ht="13.2">
      <c r="I782" s="46"/>
      <c r="J782" s="46"/>
      <c r="L782" s="5"/>
    </row>
    <row r="783" spans="9:12" ht="13.2">
      <c r="I783" s="46"/>
      <c r="J783" s="46"/>
      <c r="L783" s="5"/>
    </row>
    <row r="784" spans="9:12" ht="13.2">
      <c r="I784" s="46"/>
      <c r="J784" s="46"/>
      <c r="L784" s="5"/>
    </row>
    <row r="785" spans="9:12" ht="13.2">
      <c r="I785" s="46"/>
      <c r="J785" s="46"/>
      <c r="L785" s="5"/>
    </row>
    <row r="786" spans="9:12" ht="13.2">
      <c r="I786" s="46"/>
      <c r="J786" s="46"/>
      <c r="L786" s="5"/>
    </row>
    <row r="787" spans="9:12" ht="13.2">
      <c r="I787" s="46"/>
      <c r="J787" s="46"/>
      <c r="L787" s="5"/>
    </row>
    <row r="788" spans="9:12" ht="13.2">
      <c r="I788" s="46"/>
      <c r="J788" s="46"/>
      <c r="L788" s="5"/>
    </row>
    <row r="789" spans="9:12" ht="13.2">
      <c r="I789" s="46"/>
      <c r="J789" s="46"/>
      <c r="L789" s="5"/>
    </row>
    <row r="790" spans="9:12" ht="13.2">
      <c r="I790" s="46"/>
      <c r="J790" s="46"/>
      <c r="L790" s="5"/>
    </row>
    <row r="791" spans="9:12" ht="13.2">
      <c r="I791" s="46"/>
      <c r="J791" s="46"/>
      <c r="L791" s="5"/>
    </row>
    <row r="792" spans="9:12" ht="13.2">
      <c r="I792" s="46"/>
      <c r="J792" s="46"/>
      <c r="L792" s="5"/>
    </row>
    <row r="793" spans="9:12" ht="13.2">
      <c r="I793" s="46"/>
      <c r="J793" s="46"/>
      <c r="L793" s="5"/>
    </row>
    <row r="794" spans="9:12" ht="13.2">
      <c r="I794" s="46"/>
      <c r="J794" s="46"/>
      <c r="L794" s="5"/>
    </row>
    <row r="795" spans="9:12" ht="13.2">
      <c r="I795" s="46"/>
      <c r="J795" s="46"/>
      <c r="L795" s="5"/>
    </row>
    <row r="796" spans="9:12" ht="13.2">
      <c r="I796" s="46"/>
      <c r="J796" s="46"/>
      <c r="L796" s="5"/>
    </row>
    <row r="797" spans="9:12" ht="13.2">
      <c r="I797" s="46"/>
      <c r="J797" s="46"/>
      <c r="L797" s="5"/>
    </row>
    <row r="798" spans="9:12" ht="13.2">
      <c r="I798" s="46"/>
      <c r="J798" s="46"/>
      <c r="L798" s="5"/>
    </row>
    <row r="799" spans="9:12" ht="13.2">
      <c r="I799" s="46"/>
      <c r="J799" s="46"/>
      <c r="L799" s="5"/>
    </row>
    <row r="800" spans="9:12" ht="13.2">
      <c r="I800" s="46"/>
      <c r="J800" s="46"/>
      <c r="L800" s="5"/>
    </row>
    <row r="801" spans="9:12" ht="13.2">
      <c r="I801" s="46"/>
      <c r="J801" s="46"/>
      <c r="L801" s="5"/>
    </row>
    <row r="802" spans="9:12" ht="13.2">
      <c r="I802" s="46"/>
      <c r="J802" s="46"/>
      <c r="L802" s="5"/>
    </row>
    <row r="803" spans="9:12" ht="13.2">
      <c r="I803" s="46"/>
      <c r="J803" s="46"/>
      <c r="L803" s="5"/>
    </row>
    <row r="804" spans="9:12" ht="13.2">
      <c r="I804" s="46"/>
      <c r="J804" s="46"/>
      <c r="L804" s="5"/>
    </row>
    <row r="805" spans="9:12" ht="13.2">
      <c r="I805" s="46"/>
      <c r="J805" s="46"/>
      <c r="L805" s="5"/>
    </row>
    <row r="806" spans="9:12" ht="13.2">
      <c r="I806" s="46"/>
      <c r="J806" s="46"/>
      <c r="L806" s="5"/>
    </row>
    <row r="807" spans="9:12" ht="13.2">
      <c r="I807" s="46"/>
      <c r="J807" s="46"/>
      <c r="L807" s="5"/>
    </row>
    <row r="808" spans="9:12" ht="13.2">
      <c r="I808" s="46"/>
      <c r="J808" s="46"/>
      <c r="L808" s="5"/>
    </row>
    <row r="809" spans="9:12" ht="13.2">
      <c r="I809" s="46"/>
      <c r="J809" s="46"/>
      <c r="L809" s="5"/>
    </row>
    <row r="810" spans="9:12" ht="13.2">
      <c r="I810" s="46"/>
      <c r="J810" s="46"/>
      <c r="L810" s="5"/>
    </row>
    <row r="811" spans="9:12" ht="13.2">
      <c r="I811" s="46"/>
      <c r="J811" s="46"/>
      <c r="L811" s="5"/>
    </row>
    <row r="812" spans="9:12" ht="13.2">
      <c r="I812" s="46"/>
      <c r="J812" s="46"/>
      <c r="L812" s="5"/>
    </row>
    <row r="813" spans="9:12" ht="13.2">
      <c r="I813" s="46"/>
      <c r="J813" s="46"/>
      <c r="L813" s="5"/>
    </row>
    <row r="814" spans="9:12" ht="13.2">
      <c r="I814" s="46"/>
      <c r="J814" s="46"/>
      <c r="L814" s="5"/>
    </row>
    <row r="815" spans="9:12" ht="13.2">
      <c r="I815" s="46"/>
      <c r="J815" s="46"/>
      <c r="L815" s="5"/>
    </row>
    <row r="816" spans="9:12" ht="13.2">
      <c r="I816" s="46"/>
      <c r="J816" s="46"/>
      <c r="L816" s="5"/>
    </row>
    <row r="817" spans="9:12" ht="13.2">
      <c r="I817" s="46"/>
      <c r="J817" s="46"/>
      <c r="L817" s="5"/>
    </row>
    <row r="818" spans="9:12" ht="13.2">
      <c r="I818" s="46"/>
      <c r="J818" s="46"/>
      <c r="L818" s="5"/>
    </row>
    <row r="819" spans="9:12" ht="13.2">
      <c r="I819" s="46"/>
      <c r="J819" s="46"/>
      <c r="L819" s="5"/>
    </row>
    <row r="820" spans="9:12" ht="13.2">
      <c r="I820" s="46"/>
      <c r="J820" s="46"/>
      <c r="L820" s="5"/>
    </row>
    <row r="821" spans="9:12" ht="13.2">
      <c r="I821" s="46"/>
      <c r="J821" s="46"/>
      <c r="L821" s="5"/>
    </row>
    <row r="822" spans="9:12" ht="13.2">
      <c r="I822" s="46"/>
      <c r="J822" s="46"/>
      <c r="L822" s="5"/>
    </row>
    <row r="823" spans="9:12" ht="13.2">
      <c r="I823" s="46"/>
      <c r="J823" s="46"/>
      <c r="L823" s="5"/>
    </row>
    <row r="824" spans="9:12" ht="13.2">
      <c r="I824" s="46"/>
      <c r="J824" s="46"/>
      <c r="L824" s="5"/>
    </row>
    <row r="825" spans="9:12" ht="13.2">
      <c r="I825" s="46"/>
      <c r="J825" s="46"/>
      <c r="L825" s="5"/>
    </row>
    <row r="826" spans="9:12" ht="13.2">
      <c r="I826" s="46"/>
      <c r="J826" s="46"/>
      <c r="L826" s="5"/>
    </row>
    <row r="827" spans="9:12" ht="13.2">
      <c r="I827" s="46"/>
      <c r="J827" s="46"/>
      <c r="L827" s="5"/>
    </row>
    <row r="828" spans="9:12" ht="13.2">
      <c r="I828" s="46"/>
      <c r="J828" s="46"/>
      <c r="L828" s="5"/>
    </row>
    <row r="829" spans="9:12" ht="13.2">
      <c r="I829" s="46"/>
      <c r="J829" s="46"/>
      <c r="L829" s="5"/>
    </row>
    <row r="830" spans="9:12" ht="13.2">
      <c r="I830" s="46"/>
      <c r="J830" s="46"/>
      <c r="L830" s="5"/>
    </row>
    <row r="831" spans="9:12" ht="13.2">
      <c r="I831" s="46"/>
      <c r="J831" s="46"/>
      <c r="L831" s="5"/>
    </row>
    <row r="832" spans="9:12" ht="13.2">
      <c r="I832" s="46"/>
      <c r="J832" s="46"/>
      <c r="L832" s="5"/>
    </row>
    <row r="833" spans="9:12" ht="13.2">
      <c r="I833" s="46"/>
      <c r="J833" s="46"/>
      <c r="L833" s="5"/>
    </row>
    <row r="834" spans="9:12" ht="13.2">
      <c r="I834" s="46"/>
      <c r="J834" s="46"/>
      <c r="L834" s="5"/>
    </row>
    <row r="835" spans="9:12" ht="13.2">
      <c r="I835" s="46"/>
      <c r="J835" s="46"/>
      <c r="L835" s="5"/>
    </row>
    <row r="836" spans="9:12" ht="13.2">
      <c r="I836" s="46"/>
      <c r="J836" s="46"/>
      <c r="L836" s="5"/>
    </row>
    <row r="837" spans="9:12" ht="13.2">
      <c r="I837" s="46"/>
      <c r="J837" s="46"/>
      <c r="L837" s="5"/>
    </row>
    <row r="838" spans="9:12" ht="13.2">
      <c r="I838" s="46"/>
      <c r="J838" s="46"/>
      <c r="L838" s="5"/>
    </row>
    <row r="839" spans="9:12" ht="13.2">
      <c r="I839" s="46"/>
      <c r="J839" s="46"/>
      <c r="L839" s="5"/>
    </row>
    <row r="840" spans="9:12" ht="13.2">
      <c r="I840" s="46"/>
      <c r="J840" s="46"/>
      <c r="L840" s="5"/>
    </row>
    <row r="841" spans="9:12" ht="13.2">
      <c r="I841" s="46"/>
      <c r="J841" s="46"/>
      <c r="L841" s="5"/>
    </row>
    <row r="842" spans="9:12" ht="13.2">
      <c r="I842" s="46"/>
      <c r="J842" s="46"/>
      <c r="L842" s="5"/>
    </row>
    <row r="843" spans="9:12" ht="13.2">
      <c r="I843" s="46"/>
      <c r="J843" s="46"/>
      <c r="L843" s="5"/>
    </row>
    <row r="844" spans="9:12" ht="13.2">
      <c r="I844" s="46"/>
      <c r="J844" s="46"/>
      <c r="L844" s="5"/>
    </row>
    <row r="845" spans="9:12" ht="13.2">
      <c r="I845" s="46"/>
      <c r="J845" s="46"/>
      <c r="L845" s="5"/>
    </row>
    <row r="846" spans="9:12" ht="13.2">
      <c r="I846" s="46"/>
      <c r="J846" s="46"/>
      <c r="L846" s="5"/>
    </row>
    <row r="847" spans="9:12" ht="13.2">
      <c r="I847" s="46"/>
      <c r="J847" s="46"/>
      <c r="L847" s="5"/>
    </row>
    <row r="848" spans="9:12" ht="13.2">
      <c r="I848" s="46"/>
      <c r="J848" s="46"/>
      <c r="L848" s="5"/>
    </row>
    <row r="849" spans="9:12" ht="13.2">
      <c r="I849" s="46"/>
      <c r="J849" s="46"/>
      <c r="L849" s="5"/>
    </row>
    <row r="850" spans="9:12" ht="13.2">
      <c r="I850" s="46"/>
      <c r="J850" s="46"/>
      <c r="L850" s="5"/>
    </row>
    <row r="851" spans="9:12" ht="13.2">
      <c r="I851" s="46"/>
      <c r="J851" s="46"/>
      <c r="L851" s="5"/>
    </row>
    <row r="852" spans="9:12" ht="13.2">
      <c r="I852" s="46"/>
      <c r="J852" s="46"/>
      <c r="L852" s="5"/>
    </row>
    <row r="853" spans="9:12" ht="13.2">
      <c r="I853" s="46"/>
      <c r="J853" s="46"/>
      <c r="L853" s="5"/>
    </row>
    <row r="854" spans="9:12" ht="13.2">
      <c r="I854" s="46"/>
      <c r="J854" s="46"/>
      <c r="L854" s="5"/>
    </row>
    <row r="855" spans="9:12" ht="13.2">
      <c r="I855" s="46"/>
      <c r="J855" s="46"/>
      <c r="L855" s="5"/>
    </row>
    <row r="856" spans="9:12" ht="13.2">
      <c r="I856" s="46"/>
      <c r="J856" s="46"/>
      <c r="L856" s="5"/>
    </row>
    <row r="857" spans="9:12" ht="13.2">
      <c r="I857" s="46"/>
      <c r="J857" s="46"/>
      <c r="L857" s="5"/>
    </row>
    <row r="858" spans="9:12" ht="13.2">
      <c r="I858" s="46"/>
      <c r="J858" s="46"/>
      <c r="L858" s="5"/>
    </row>
    <row r="859" spans="9:12" ht="13.2">
      <c r="I859" s="46"/>
      <c r="J859" s="46"/>
      <c r="L859" s="5"/>
    </row>
    <row r="860" spans="9:12" ht="13.2">
      <c r="I860" s="46"/>
      <c r="J860" s="46"/>
      <c r="L860" s="5"/>
    </row>
    <row r="861" spans="9:12" ht="13.2">
      <c r="I861" s="46"/>
      <c r="J861" s="46"/>
      <c r="L861" s="5"/>
    </row>
    <row r="862" spans="9:12" ht="13.2">
      <c r="I862" s="46"/>
      <c r="J862" s="46"/>
      <c r="L862" s="5"/>
    </row>
    <row r="863" spans="9:12" ht="13.2">
      <c r="I863" s="46"/>
      <c r="J863" s="46"/>
      <c r="L863" s="5"/>
    </row>
    <row r="864" spans="9:12" ht="13.2">
      <c r="I864" s="46"/>
      <c r="J864" s="46"/>
      <c r="L864" s="5"/>
    </row>
    <row r="865" spans="9:12" ht="13.2">
      <c r="I865" s="46"/>
      <c r="J865" s="46"/>
      <c r="L865" s="5"/>
    </row>
    <row r="866" spans="9:12" ht="13.2">
      <c r="I866" s="46"/>
      <c r="J866" s="46"/>
      <c r="L866" s="5"/>
    </row>
    <row r="867" spans="9:12" ht="13.2">
      <c r="I867" s="46"/>
      <c r="J867" s="46"/>
      <c r="L867" s="5"/>
    </row>
    <row r="868" spans="9:12" ht="13.2">
      <c r="I868" s="46"/>
      <c r="J868" s="46"/>
      <c r="L868" s="5"/>
    </row>
    <row r="869" spans="9:12" ht="13.2">
      <c r="I869" s="46"/>
      <c r="J869" s="46"/>
      <c r="L869" s="5"/>
    </row>
    <row r="870" spans="9:12" ht="13.2">
      <c r="I870" s="46"/>
      <c r="J870" s="46"/>
      <c r="L870" s="5"/>
    </row>
    <row r="871" spans="9:12" ht="13.2">
      <c r="I871" s="46"/>
      <c r="J871" s="46"/>
      <c r="L871" s="5"/>
    </row>
    <row r="872" spans="9:12" ht="13.2">
      <c r="I872" s="46"/>
      <c r="J872" s="46"/>
      <c r="L872" s="5"/>
    </row>
    <row r="873" spans="9:12" ht="13.2">
      <c r="I873" s="46"/>
      <c r="J873" s="46"/>
      <c r="L873" s="5"/>
    </row>
    <row r="874" spans="9:12" ht="13.2">
      <c r="I874" s="46"/>
      <c r="J874" s="46"/>
      <c r="L874" s="5"/>
    </row>
    <row r="875" spans="9:12" ht="13.2">
      <c r="I875" s="46"/>
      <c r="J875" s="46"/>
      <c r="L875" s="5"/>
    </row>
    <row r="876" spans="9:12" ht="13.2">
      <c r="I876" s="46"/>
      <c r="J876" s="46"/>
      <c r="L876" s="5"/>
    </row>
    <row r="877" spans="9:12" ht="13.2">
      <c r="I877" s="46"/>
      <c r="J877" s="46"/>
      <c r="L877" s="5"/>
    </row>
    <row r="878" spans="9:12" ht="13.2">
      <c r="I878" s="46"/>
      <c r="J878" s="46"/>
      <c r="L878" s="5"/>
    </row>
    <row r="879" spans="9:12" ht="13.2">
      <c r="I879" s="46"/>
      <c r="J879" s="46"/>
      <c r="L879" s="5"/>
    </row>
    <row r="880" spans="9:12" ht="13.2">
      <c r="I880" s="46"/>
      <c r="J880" s="46"/>
      <c r="L880" s="5"/>
    </row>
    <row r="881" spans="9:12" ht="13.2">
      <c r="I881" s="46"/>
      <c r="J881" s="46"/>
      <c r="L881" s="5"/>
    </row>
    <row r="882" spans="9:12" ht="13.2">
      <c r="I882" s="46"/>
      <c r="J882" s="46"/>
      <c r="L882" s="5"/>
    </row>
    <row r="883" spans="9:12" ht="13.2">
      <c r="I883" s="46"/>
      <c r="J883" s="46"/>
      <c r="L883" s="5"/>
    </row>
    <row r="884" spans="9:12" ht="13.2">
      <c r="I884" s="46"/>
      <c r="J884" s="46"/>
      <c r="L884" s="5"/>
    </row>
    <row r="885" spans="9:12" ht="13.2">
      <c r="I885" s="46"/>
      <c r="J885" s="46"/>
      <c r="L885" s="5"/>
    </row>
    <row r="886" spans="9:12" ht="13.2">
      <c r="I886" s="46"/>
      <c r="J886" s="46"/>
      <c r="L886" s="5"/>
    </row>
    <row r="887" spans="9:12" ht="13.2">
      <c r="I887" s="46"/>
      <c r="J887" s="46"/>
      <c r="L887" s="5"/>
    </row>
    <row r="888" spans="9:12" ht="13.2">
      <c r="I888" s="46"/>
      <c r="J888" s="46"/>
      <c r="L888" s="5"/>
    </row>
    <row r="889" spans="9:12" ht="13.2">
      <c r="I889" s="46"/>
      <c r="J889" s="46"/>
      <c r="L889" s="5"/>
    </row>
    <row r="890" spans="9:12" ht="13.2">
      <c r="I890" s="46"/>
      <c r="J890" s="46"/>
      <c r="L890" s="5"/>
    </row>
    <row r="891" spans="9:12" ht="13.2">
      <c r="I891" s="46"/>
      <c r="J891" s="46"/>
      <c r="L891" s="5"/>
    </row>
    <row r="892" spans="9:12" ht="13.2">
      <c r="I892" s="46"/>
      <c r="J892" s="46"/>
      <c r="L892" s="5"/>
    </row>
    <row r="893" spans="9:12" ht="13.2">
      <c r="I893" s="46"/>
      <c r="J893" s="46"/>
      <c r="L893" s="5"/>
    </row>
    <row r="894" spans="9:12" ht="13.2">
      <c r="I894" s="46"/>
      <c r="J894" s="46"/>
      <c r="L894" s="5"/>
    </row>
    <row r="895" spans="9:12" ht="13.2">
      <c r="I895" s="46"/>
      <c r="J895" s="46"/>
      <c r="L895" s="5"/>
    </row>
    <row r="896" spans="9:12" ht="13.2">
      <c r="I896" s="46"/>
      <c r="J896" s="46"/>
      <c r="L896" s="5"/>
    </row>
    <row r="897" spans="9:12" ht="13.2">
      <c r="I897" s="46"/>
      <c r="J897" s="46"/>
      <c r="L897" s="5"/>
    </row>
    <row r="898" spans="9:12" ht="13.2">
      <c r="I898" s="46"/>
      <c r="J898" s="46"/>
      <c r="L898" s="5"/>
    </row>
    <row r="899" spans="9:12" ht="13.2">
      <c r="I899" s="46"/>
      <c r="J899" s="46"/>
      <c r="L899" s="5"/>
    </row>
    <row r="900" spans="9:12" ht="13.2">
      <c r="I900" s="46"/>
      <c r="J900" s="46"/>
      <c r="L900" s="5"/>
    </row>
    <row r="901" spans="9:12" ht="13.2">
      <c r="I901" s="46"/>
      <c r="J901" s="46"/>
      <c r="L901" s="5"/>
    </row>
    <row r="902" spans="9:12" ht="13.2">
      <c r="I902" s="46"/>
      <c r="J902" s="46"/>
      <c r="L902" s="5"/>
    </row>
    <row r="903" spans="9:12" ht="13.2">
      <c r="I903" s="46"/>
      <c r="J903" s="46"/>
      <c r="L903" s="5"/>
    </row>
    <row r="904" spans="9:12" ht="13.2">
      <c r="I904" s="46"/>
      <c r="J904" s="46"/>
      <c r="L904" s="5"/>
    </row>
    <row r="905" spans="9:12" ht="13.2">
      <c r="I905" s="46"/>
      <c r="J905" s="46"/>
      <c r="L905" s="5"/>
    </row>
    <row r="906" spans="9:12" ht="13.2">
      <c r="I906" s="46"/>
      <c r="J906" s="46"/>
      <c r="L906" s="5"/>
    </row>
    <row r="907" spans="9:12" ht="13.2">
      <c r="I907" s="46"/>
      <c r="J907" s="46"/>
      <c r="L907" s="5"/>
    </row>
    <row r="908" spans="9:12" ht="13.2">
      <c r="I908" s="46"/>
      <c r="J908" s="46"/>
      <c r="L908" s="5"/>
    </row>
    <row r="909" spans="9:12" ht="13.2">
      <c r="I909" s="46"/>
      <c r="J909" s="46"/>
      <c r="L909" s="5"/>
    </row>
    <row r="910" spans="9:12" ht="13.2">
      <c r="I910" s="46"/>
      <c r="J910" s="46"/>
      <c r="L910" s="5"/>
    </row>
    <row r="911" spans="9:12" ht="13.2">
      <c r="I911" s="46"/>
      <c r="J911" s="46"/>
      <c r="L911" s="5"/>
    </row>
    <row r="912" spans="9:12" ht="13.2">
      <c r="I912" s="46"/>
      <c r="J912" s="46"/>
      <c r="L912" s="5"/>
    </row>
    <row r="913" spans="9:12" ht="13.2">
      <c r="I913" s="46"/>
      <c r="J913" s="46"/>
      <c r="L913" s="5"/>
    </row>
    <row r="914" spans="9:12" ht="13.2">
      <c r="I914" s="46"/>
      <c r="J914" s="46"/>
      <c r="L914" s="5"/>
    </row>
    <row r="915" spans="9:12" ht="13.2">
      <c r="I915" s="46"/>
      <c r="J915" s="46"/>
      <c r="L915" s="5"/>
    </row>
    <row r="916" spans="9:12" ht="13.2">
      <c r="I916" s="46"/>
      <c r="J916" s="46"/>
      <c r="L916" s="5"/>
    </row>
    <row r="917" spans="9:12" ht="13.2">
      <c r="I917" s="46"/>
      <c r="J917" s="46"/>
      <c r="L917" s="5"/>
    </row>
    <row r="918" spans="9:12" ht="13.2">
      <c r="I918" s="46"/>
      <c r="J918" s="46"/>
      <c r="L918" s="5"/>
    </row>
    <row r="919" spans="9:12" ht="13.2">
      <c r="I919" s="46"/>
      <c r="J919" s="46"/>
      <c r="L919" s="5"/>
    </row>
    <row r="920" spans="9:12" ht="13.2">
      <c r="I920" s="46"/>
      <c r="J920" s="46"/>
      <c r="L920" s="5"/>
    </row>
    <row r="921" spans="9:12" ht="13.2">
      <c r="I921" s="46"/>
      <c r="J921" s="46"/>
      <c r="L921" s="5"/>
    </row>
    <row r="922" spans="9:12" ht="13.2">
      <c r="I922" s="46"/>
      <c r="J922" s="46"/>
      <c r="L922" s="5"/>
    </row>
    <row r="923" spans="9:12" ht="13.2">
      <c r="I923" s="46"/>
      <c r="J923" s="46"/>
      <c r="L923" s="5"/>
    </row>
    <row r="924" spans="9:12" ht="13.2">
      <c r="I924" s="46"/>
      <c r="J924" s="46"/>
      <c r="L924" s="5"/>
    </row>
    <row r="925" spans="9:12" ht="13.2">
      <c r="I925" s="46"/>
      <c r="J925" s="46"/>
      <c r="L925" s="5"/>
    </row>
    <row r="926" spans="9:12" ht="13.2">
      <c r="I926" s="46"/>
      <c r="J926" s="46"/>
      <c r="L926" s="5"/>
    </row>
    <row r="927" spans="9:12" ht="13.2">
      <c r="I927" s="46"/>
      <c r="J927" s="46"/>
      <c r="L927" s="5"/>
    </row>
    <row r="928" spans="9:12" ht="13.2">
      <c r="I928" s="46"/>
      <c r="J928" s="46"/>
      <c r="L928" s="5"/>
    </row>
    <row r="929" spans="9:12" ht="13.2">
      <c r="I929" s="46"/>
      <c r="J929" s="46"/>
      <c r="L929" s="5"/>
    </row>
    <row r="930" spans="9:12" ht="13.2">
      <c r="I930" s="46"/>
      <c r="J930" s="46"/>
      <c r="L930" s="5"/>
    </row>
    <row r="931" spans="9:12" ht="13.2">
      <c r="I931" s="46"/>
      <c r="J931" s="46"/>
      <c r="L931" s="5"/>
    </row>
    <row r="932" spans="9:12" ht="13.2">
      <c r="I932" s="46"/>
      <c r="J932" s="46"/>
      <c r="L932" s="5"/>
    </row>
    <row r="933" spans="9:12" ht="13.2">
      <c r="I933" s="46"/>
      <c r="J933" s="46"/>
      <c r="L933" s="5"/>
    </row>
    <row r="934" spans="9:12" ht="13.2">
      <c r="I934" s="46"/>
      <c r="J934" s="46"/>
      <c r="L934" s="5"/>
    </row>
    <row r="935" spans="9:12" ht="13.2">
      <c r="I935" s="46"/>
      <c r="J935" s="46"/>
      <c r="L935" s="5"/>
    </row>
    <row r="936" spans="9:12" ht="13.2">
      <c r="I936" s="46"/>
      <c r="J936" s="46"/>
      <c r="L936" s="5"/>
    </row>
    <row r="937" spans="9:12" ht="13.2">
      <c r="I937" s="46"/>
      <c r="J937" s="46"/>
      <c r="L937" s="5"/>
    </row>
    <row r="938" spans="9:12" ht="13.2">
      <c r="I938" s="46"/>
      <c r="J938" s="46"/>
      <c r="L938" s="5"/>
    </row>
    <row r="939" spans="9:12" ht="13.2">
      <c r="I939" s="46"/>
      <c r="J939" s="46"/>
      <c r="L939" s="5"/>
    </row>
    <row r="940" spans="9:12" ht="13.2">
      <c r="I940" s="46"/>
      <c r="J940" s="46"/>
      <c r="L940" s="5"/>
    </row>
    <row r="941" spans="9:12" ht="13.2">
      <c r="I941" s="46"/>
      <c r="J941" s="46"/>
      <c r="L941" s="5"/>
    </row>
    <row r="942" spans="9:12" ht="13.2">
      <c r="I942" s="46"/>
      <c r="J942" s="46"/>
      <c r="L942" s="5"/>
    </row>
    <row r="943" spans="9:12" ht="13.2">
      <c r="I943" s="46"/>
      <c r="J943" s="46"/>
      <c r="L943" s="5"/>
    </row>
    <row r="944" spans="9:12" ht="13.2">
      <c r="I944" s="46"/>
      <c r="J944" s="46"/>
      <c r="L944" s="5"/>
    </row>
    <row r="945" spans="9:12" ht="13.2">
      <c r="I945" s="46"/>
      <c r="J945" s="46"/>
      <c r="L945" s="5"/>
    </row>
    <row r="946" spans="9:12" ht="13.2">
      <c r="I946" s="46"/>
      <c r="J946" s="46"/>
      <c r="L946" s="5"/>
    </row>
    <row r="947" spans="9:12" ht="13.2">
      <c r="I947" s="46"/>
      <c r="J947" s="46"/>
      <c r="L947" s="5"/>
    </row>
    <row r="948" spans="9:12" ht="13.2">
      <c r="I948" s="46"/>
      <c r="J948" s="46"/>
      <c r="L948" s="5"/>
    </row>
    <row r="949" spans="9:12" ht="13.2">
      <c r="I949" s="46"/>
      <c r="J949" s="46"/>
      <c r="L949" s="5"/>
    </row>
    <row r="950" spans="9:12" ht="13.2">
      <c r="I950" s="46"/>
      <c r="J950" s="46"/>
      <c r="L950" s="5"/>
    </row>
    <row r="951" spans="9:12" ht="13.2">
      <c r="I951" s="46"/>
      <c r="J951" s="46"/>
      <c r="L951" s="5"/>
    </row>
    <row r="952" spans="9:12" ht="13.2">
      <c r="I952" s="46"/>
      <c r="J952" s="46"/>
      <c r="L952" s="5"/>
    </row>
    <row r="953" spans="9:12" ht="13.2">
      <c r="I953" s="46"/>
      <c r="J953" s="46"/>
      <c r="L953" s="5"/>
    </row>
    <row r="954" spans="9:12" ht="13.2">
      <c r="I954" s="46"/>
      <c r="J954" s="46"/>
      <c r="L954" s="5"/>
    </row>
    <row r="955" spans="9:12" ht="13.2">
      <c r="I955" s="46"/>
      <c r="J955" s="46"/>
      <c r="L955" s="5"/>
    </row>
    <row r="956" spans="9:12" ht="13.2">
      <c r="I956" s="46"/>
      <c r="J956" s="46"/>
      <c r="L956" s="5"/>
    </row>
    <row r="957" spans="9:12" ht="13.2">
      <c r="I957" s="46"/>
      <c r="J957" s="46"/>
      <c r="L957" s="5"/>
    </row>
    <row r="958" spans="9:12" ht="13.2">
      <c r="I958" s="46"/>
      <c r="J958" s="46"/>
      <c r="L958" s="5"/>
    </row>
    <row r="959" spans="9:12" ht="13.2">
      <c r="I959" s="46"/>
      <c r="J959" s="46"/>
      <c r="L959" s="5"/>
    </row>
    <row r="960" spans="9:12" ht="13.2">
      <c r="I960" s="46"/>
      <c r="J960" s="46"/>
      <c r="L960" s="5"/>
    </row>
    <row r="961" spans="9:12" ht="13.2">
      <c r="I961" s="46"/>
      <c r="J961" s="46"/>
      <c r="L961" s="5"/>
    </row>
    <row r="962" spans="9:12" ht="13.2">
      <c r="I962" s="46"/>
      <c r="J962" s="46"/>
      <c r="L962" s="5"/>
    </row>
    <row r="963" spans="9:12" ht="13.2">
      <c r="I963" s="46"/>
      <c r="J963" s="46"/>
      <c r="L963" s="5"/>
    </row>
    <row r="964" spans="9:12" ht="13.2">
      <c r="I964" s="46"/>
      <c r="J964" s="46"/>
      <c r="L964" s="5"/>
    </row>
    <row r="965" spans="9:12" ht="13.2">
      <c r="I965" s="46"/>
      <c r="J965" s="46"/>
      <c r="L965" s="5"/>
    </row>
    <row r="966" spans="9:12" ht="13.2">
      <c r="I966" s="46"/>
      <c r="J966" s="46"/>
      <c r="L966" s="5"/>
    </row>
    <row r="967" spans="9:12" ht="13.2">
      <c r="I967" s="46"/>
      <c r="J967" s="46"/>
      <c r="L967" s="5"/>
    </row>
    <row r="968" spans="9:12" ht="13.2">
      <c r="I968" s="46"/>
      <c r="J968" s="46"/>
      <c r="L968" s="5"/>
    </row>
    <row r="969" spans="9:12" ht="13.2">
      <c r="I969" s="46"/>
      <c r="J969" s="46"/>
      <c r="L969" s="5"/>
    </row>
    <row r="970" spans="9:12" ht="13.2">
      <c r="I970" s="46"/>
      <c r="J970" s="46"/>
      <c r="L970" s="5"/>
    </row>
    <row r="971" spans="9:12" ht="13.2">
      <c r="I971" s="46"/>
      <c r="J971" s="46"/>
      <c r="L971" s="5"/>
    </row>
    <row r="972" spans="9:12" ht="13.2">
      <c r="I972" s="46"/>
      <c r="J972" s="46"/>
      <c r="L972" s="5"/>
    </row>
    <row r="973" spans="9:12" ht="13.2">
      <c r="I973" s="46"/>
      <c r="J973" s="46"/>
      <c r="L973" s="5"/>
    </row>
    <row r="974" spans="9:12" ht="13.2">
      <c r="I974" s="46"/>
      <c r="J974" s="46"/>
      <c r="L974" s="5"/>
    </row>
    <row r="975" spans="9:12" ht="13.2">
      <c r="I975" s="46"/>
      <c r="J975" s="46"/>
      <c r="L975" s="5"/>
    </row>
    <row r="976" spans="9:12" ht="13.2">
      <c r="I976" s="46"/>
      <c r="J976" s="46"/>
      <c r="L976" s="5"/>
    </row>
    <row r="977" spans="9:12" ht="13.2">
      <c r="I977" s="46"/>
      <c r="J977" s="46"/>
      <c r="L977" s="5"/>
    </row>
    <row r="978" spans="9:12" ht="13.2">
      <c r="I978" s="46"/>
      <c r="J978" s="46"/>
      <c r="L978" s="5"/>
    </row>
    <row r="979" spans="9:12" ht="13.2">
      <c r="I979" s="46"/>
      <c r="J979" s="46"/>
      <c r="L979" s="5"/>
    </row>
    <row r="980" spans="9:12" ht="13.2">
      <c r="I980" s="46"/>
      <c r="J980" s="46"/>
      <c r="L980" s="5"/>
    </row>
    <row r="981" spans="9:12" ht="13.2">
      <c r="I981" s="46"/>
      <c r="J981" s="46"/>
      <c r="L981" s="5"/>
    </row>
    <row r="982" spans="9:12" ht="13.2">
      <c r="I982" s="46"/>
      <c r="J982" s="46"/>
      <c r="L982" s="5"/>
    </row>
    <row r="983" spans="9:12" ht="13.2">
      <c r="I983" s="46"/>
      <c r="J983" s="46"/>
      <c r="L983" s="5"/>
    </row>
    <row r="984" spans="9:12" ht="13.2">
      <c r="I984" s="46"/>
      <c r="J984" s="46"/>
      <c r="L984" s="5"/>
    </row>
    <row r="985" spans="9:12" ht="13.2">
      <c r="I985" s="46"/>
      <c r="J985" s="46"/>
      <c r="L985" s="5"/>
    </row>
    <row r="986" spans="9:12" ht="13.2">
      <c r="I986" s="46"/>
      <c r="J986" s="46"/>
      <c r="L986" s="5"/>
    </row>
    <row r="987" spans="9:12" ht="13.2">
      <c r="I987" s="46"/>
      <c r="J987" s="46"/>
      <c r="L987" s="5"/>
    </row>
    <row r="988" spans="9:12" ht="13.2">
      <c r="I988" s="46"/>
      <c r="J988" s="46"/>
      <c r="L988" s="5"/>
    </row>
    <row r="989" spans="9:12" ht="13.2">
      <c r="I989" s="46"/>
      <c r="J989" s="46"/>
      <c r="L989" s="5"/>
    </row>
    <row r="990" spans="9:12" ht="13.2">
      <c r="I990" s="46"/>
      <c r="J990" s="46"/>
      <c r="L990" s="5"/>
    </row>
    <row r="991" spans="9:12" ht="13.2">
      <c r="I991" s="46"/>
      <c r="J991" s="46"/>
      <c r="L991" s="5"/>
    </row>
    <row r="992" spans="9:12" ht="13.2">
      <c r="I992" s="46"/>
      <c r="J992" s="46"/>
      <c r="L992" s="5"/>
    </row>
    <row r="993" spans="9:12" ht="13.2">
      <c r="I993" s="46"/>
      <c r="J993" s="46"/>
      <c r="L993" s="5"/>
    </row>
    <row r="994" spans="9:12" ht="13.2">
      <c r="I994" s="46"/>
      <c r="J994" s="46"/>
      <c r="L994" s="5"/>
    </row>
    <row r="995" spans="9:12" ht="13.2">
      <c r="I995" s="46"/>
      <c r="J995" s="46"/>
      <c r="L995" s="5"/>
    </row>
    <row r="996" spans="9:12" ht="13.2">
      <c r="I996" s="46"/>
      <c r="J996" s="46"/>
      <c r="L996" s="5"/>
    </row>
    <row r="997" spans="9:12" ht="13.2">
      <c r="I997" s="46"/>
      <c r="J997" s="46"/>
      <c r="L997" s="5"/>
    </row>
    <row r="998" spans="9:12" ht="13.2">
      <c r="I998" s="46"/>
      <c r="J998" s="46"/>
      <c r="L998" s="5"/>
    </row>
    <row r="999" spans="9:12" ht="13.2">
      <c r="I999" s="46"/>
      <c r="J999" s="46"/>
      <c r="L999" s="5"/>
    </row>
    <row r="1000" spans="9:12" ht="13.2">
      <c r="I1000" s="46"/>
      <c r="J1000" s="46"/>
      <c r="L1000" s="5"/>
    </row>
    <row r="1001" spans="9:12" ht="13.2">
      <c r="I1001" s="46"/>
      <c r="J1001" s="46"/>
      <c r="L1001" s="5"/>
    </row>
    <row r="1002" spans="9:12" ht="13.2">
      <c r="I1002" s="46"/>
      <c r="J1002" s="46"/>
      <c r="L1002" s="5"/>
    </row>
    <row r="1003" spans="9:12" ht="13.2">
      <c r="I1003" s="46"/>
      <c r="J1003" s="46"/>
      <c r="L1003" s="5"/>
    </row>
    <row r="1004" spans="9:12" ht="13.2">
      <c r="I1004" s="46"/>
      <c r="J1004" s="46"/>
      <c r="L1004" s="5"/>
    </row>
    <row r="1005" spans="9:12" ht="13.2">
      <c r="I1005" s="46"/>
      <c r="J1005" s="46"/>
      <c r="L1005" s="5"/>
    </row>
    <row r="1006" spans="9:12" ht="13.2">
      <c r="I1006" s="46"/>
      <c r="J1006" s="46"/>
      <c r="L1006" s="5"/>
    </row>
    <row r="1007" spans="9:12" ht="13.2">
      <c r="I1007" s="46"/>
      <c r="J1007" s="46"/>
      <c r="L1007" s="5"/>
    </row>
    <row r="1008" spans="9:12" ht="13.2">
      <c r="I1008" s="46"/>
      <c r="J1008" s="46"/>
      <c r="L1008" s="5"/>
    </row>
    <row r="1009" spans="9:12" ht="13.2">
      <c r="I1009" s="46"/>
      <c r="J1009" s="46"/>
      <c r="L1009" s="5"/>
    </row>
    <row r="1010" spans="9:12" ht="13.2">
      <c r="I1010" s="46"/>
      <c r="J1010" s="46"/>
      <c r="L1010" s="5"/>
    </row>
    <row r="1011" spans="9:12" ht="13.2">
      <c r="I1011" s="46"/>
      <c r="J1011" s="46"/>
      <c r="L1011" s="5"/>
    </row>
    <row r="1012" spans="9:12" ht="13.2">
      <c r="I1012" s="46"/>
      <c r="J1012" s="46"/>
      <c r="L1012" s="5"/>
    </row>
    <row r="1013" spans="9:12" ht="13.2">
      <c r="I1013" s="46"/>
      <c r="J1013" s="46"/>
      <c r="L1013" s="5"/>
    </row>
    <row r="1014" spans="9:12" ht="13.2">
      <c r="I1014" s="46"/>
      <c r="J1014" s="46"/>
      <c r="L1014" s="5"/>
    </row>
    <row r="1015" spans="9:12" ht="13.2">
      <c r="I1015" s="46"/>
      <c r="J1015" s="46"/>
      <c r="L1015" s="5"/>
    </row>
    <row r="1016" spans="9:12" ht="13.2">
      <c r="I1016" s="46"/>
      <c r="J1016" s="46"/>
      <c r="L1016" s="5"/>
    </row>
    <row r="1017" spans="9:12" ht="13.2">
      <c r="I1017" s="46"/>
      <c r="J1017" s="46"/>
      <c r="L1017" s="5"/>
    </row>
    <row r="1018" spans="9:12" ht="13.2">
      <c r="I1018" s="46"/>
      <c r="J1018" s="46"/>
      <c r="L1018" s="5"/>
    </row>
    <row r="1019" spans="9:12" ht="13.2">
      <c r="I1019" s="46"/>
      <c r="J1019" s="46"/>
      <c r="L1019" s="5"/>
    </row>
    <row r="1020" spans="9:12" ht="13.2">
      <c r="I1020" s="46"/>
      <c r="J1020" s="46"/>
      <c r="L1020" s="5"/>
    </row>
    <row r="1021" spans="9:12" ht="13.2">
      <c r="I1021" s="46"/>
      <c r="J1021" s="46"/>
      <c r="L1021" s="5"/>
    </row>
    <row r="1022" spans="9:12" ht="13.2">
      <c r="I1022" s="46"/>
      <c r="J1022" s="46"/>
      <c r="L1022" s="5"/>
    </row>
    <row r="1023" spans="9:12" ht="13.2">
      <c r="I1023" s="46"/>
      <c r="J1023" s="46"/>
      <c r="L1023" s="5"/>
    </row>
    <row r="1024" spans="9:12" ht="13.2">
      <c r="I1024" s="46"/>
      <c r="J1024" s="46"/>
      <c r="L1024" s="5"/>
    </row>
    <row r="1025" spans="9:12" ht="13.2">
      <c r="I1025" s="46"/>
      <c r="J1025" s="46"/>
      <c r="L1025" s="5"/>
    </row>
    <row r="1026" spans="9:12" ht="13.2">
      <c r="I1026" s="46"/>
      <c r="J1026" s="46"/>
      <c r="L1026" s="5"/>
    </row>
    <row r="1027" spans="9:12" ht="13.2">
      <c r="I1027" s="46"/>
      <c r="J1027" s="46"/>
      <c r="L1027" s="5"/>
    </row>
    <row r="1028" spans="9:12" ht="13.2">
      <c r="I1028" s="46"/>
      <c r="J1028" s="46"/>
      <c r="L1028" s="5"/>
    </row>
    <row r="1029" spans="9:12" ht="13.2">
      <c r="I1029" s="46"/>
      <c r="J1029" s="46"/>
      <c r="L1029" s="5"/>
    </row>
    <row r="1030" spans="9:12" ht="13.2">
      <c r="I1030" s="46"/>
      <c r="J1030" s="46"/>
      <c r="L1030" s="5"/>
    </row>
    <row r="1031" spans="9:12" ht="13.2">
      <c r="I1031" s="46"/>
      <c r="J1031" s="46"/>
      <c r="L1031" s="5"/>
    </row>
    <row r="1032" spans="9:12" ht="13.2">
      <c r="I1032" s="46"/>
      <c r="J1032" s="46"/>
      <c r="L1032" s="5"/>
    </row>
    <row r="1033" spans="9:12" ht="13.2">
      <c r="I1033" s="46"/>
      <c r="J1033" s="46"/>
      <c r="L1033" s="5"/>
    </row>
    <row r="1034" spans="9:12" ht="13.2">
      <c r="I1034" s="46"/>
      <c r="J1034" s="46"/>
      <c r="L1034" s="5"/>
    </row>
    <row r="1035" spans="9:12" ht="13.2">
      <c r="I1035" s="46"/>
      <c r="J1035" s="46"/>
      <c r="L1035" s="5"/>
    </row>
    <row r="1036" spans="9:12" ht="13.2">
      <c r="I1036" s="46"/>
      <c r="J1036" s="46"/>
      <c r="L1036" s="5"/>
    </row>
    <row r="1037" spans="9:12" ht="13.2">
      <c r="I1037" s="46"/>
      <c r="J1037" s="46"/>
      <c r="L1037" s="5"/>
    </row>
    <row r="1038" spans="9:12" ht="13.2">
      <c r="I1038" s="46"/>
      <c r="J1038" s="46"/>
      <c r="L1038" s="5"/>
    </row>
    <row r="1039" spans="9:12" ht="13.2">
      <c r="I1039" s="46"/>
      <c r="J1039" s="46"/>
      <c r="L1039" s="5"/>
    </row>
    <row r="1040" spans="9:12" ht="13.2">
      <c r="I1040" s="46"/>
      <c r="J1040" s="46"/>
      <c r="L1040" s="5"/>
    </row>
    <row r="1041" spans="9:12" ht="13.2">
      <c r="I1041" s="46"/>
      <c r="J1041" s="46"/>
      <c r="L1041" s="5"/>
    </row>
    <row r="1042" spans="9:12" ht="13.2">
      <c r="I1042" s="46"/>
      <c r="J1042" s="46"/>
      <c r="L1042" s="5"/>
    </row>
    <row r="1043" spans="9:12" ht="13.2">
      <c r="I1043" s="46"/>
      <c r="J1043" s="46"/>
      <c r="L1043" s="5"/>
    </row>
    <row r="1044" spans="9:12" ht="13.2">
      <c r="I1044" s="46"/>
      <c r="J1044" s="46"/>
      <c r="L1044" s="5"/>
    </row>
    <row r="1045" spans="9:12" ht="13.2">
      <c r="I1045" s="46"/>
      <c r="J1045" s="46"/>
      <c r="L1045" s="5"/>
    </row>
    <row r="1046" spans="9:12" ht="13.2">
      <c r="I1046" s="46"/>
      <c r="J1046" s="46"/>
      <c r="L1046" s="5"/>
    </row>
    <row r="1047" spans="9:12" ht="13.2">
      <c r="I1047" s="46"/>
      <c r="J1047" s="46"/>
      <c r="L1047" s="5"/>
    </row>
    <row r="1048" spans="9:12" ht="13.2">
      <c r="I1048" s="46"/>
      <c r="J1048" s="46"/>
      <c r="L1048" s="5"/>
    </row>
    <row r="1049" spans="9:12" ht="13.2">
      <c r="I1049" s="46"/>
      <c r="J1049" s="46"/>
      <c r="L1049" s="5"/>
    </row>
    <row r="1050" spans="9:12" ht="13.2">
      <c r="I1050" s="46"/>
      <c r="J1050" s="46"/>
      <c r="L1050" s="5"/>
    </row>
    <row r="1051" spans="9:12" ht="13.2">
      <c r="I1051" s="46"/>
      <c r="J1051" s="46"/>
      <c r="L1051" s="5"/>
    </row>
    <row r="1052" spans="9:12" ht="13.2">
      <c r="I1052" s="46"/>
      <c r="J1052" s="46"/>
      <c r="L1052" s="5"/>
    </row>
    <row r="1053" spans="9:12" ht="13.2">
      <c r="I1053" s="46"/>
      <c r="J1053" s="46"/>
      <c r="L1053" s="5"/>
    </row>
    <row r="1054" spans="9:12" ht="13.2">
      <c r="I1054" s="46"/>
      <c r="J1054" s="46"/>
      <c r="L1054" s="5"/>
    </row>
    <row r="1055" spans="9:12" ht="13.2">
      <c r="I1055" s="46"/>
      <c r="J1055" s="46"/>
      <c r="L1055" s="5"/>
    </row>
    <row r="1056" spans="9:12" ht="13.2">
      <c r="I1056" s="46"/>
      <c r="J1056" s="46"/>
      <c r="L1056" s="5"/>
    </row>
    <row r="1057" spans="9:12" ht="13.2">
      <c r="I1057" s="46"/>
      <c r="J1057" s="46"/>
      <c r="L1057" s="5"/>
    </row>
    <row r="1058" spans="9:12" ht="13.2">
      <c r="I1058" s="46"/>
      <c r="J1058" s="46"/>
      <c r="L1058" s="5"/>
    </row>
    <row r="1059" spans="9:12" ht="13.2">
      <c r="I1059" s="46"/>
      <c r="J1059" s="46"/>
      <c r="L1059" s="5"/>
    </row>
    <row r="1060" spans="9:12" ht="13.2">
      <c r="I1060" s="46"/>
      <c r="J1060" s="46"/>
      <c r="L1060" s="5"/>
    </row>
    <row r="1061" spans="9:12" ht="13.2">
      <c r="I1061" s="46"/>
      <c r="J1061" s="46"/>
      <c r="L1061" s="5"/>
    </row>
    <row r="1062" spans="9:12" ht="13.2">
      <c r="I1062" s="46"/>
      <c r="J1062" s="46"/>
      <c r="L1062" s="5"/>
    </row>
    <row r="1063" spans="9:12" ht="13.2">
      <c r="I1063" s="46"/>
      <c r="J1063" s="46"/>
      <c r="L1063" s="5"/>
    </row>
    <row r="1064" spans="9:12" ht="13.2">
      <c r="I1064" s="46"/>
      <c r="J1064" s="46"/>
      <c r="L1064" s="5"/>
    </row>
    <row r="1065" spans="9:12" ht="13.2">
      <c r="I1065" s="46"/>
      <c r="J1065" s="46"/>
      <c r="L1065" s="5"/>
    </row>
    <row r="1066" spans="9:12" ht="13.2">
      <c r="I1066" s="46"/>
      <c r="J1066" s="46"/>
      <c r="L1066" s="5"/>
    </row>
    <row r="1067" spans="9:12" ht="13.2">
      <c r="I1067" s="46"/>
      <c r="J1067" s="46"/>
      <c r="L1067" s="5"/>
    </row>
    <row r="1068" spans="9:12" ht="13.2">
      <c r="I1068" s="46"/>
      <c r="J1068" s="46"/>
      <c r="L1068" s="5"/>
    </row>
    <row r="1069" spans="9:12" ht="13.2">
      <c r="I1069" s="46"/>
      <c r="J1069" s="46"/>
      <c r="L1069" s="5"/>
    </row>
    <row r="1070" spans="9:12" ht="13.2">
      <c r="I1070" s="46"/>
      <c r="J1070" s="46"/>
      <c r="L1070" s="5"/>
    </row>
    <row r="1071" spans="9:12" ht="13.2">
      <c r="I1071" s="46"/>
      <c r="J1071" s="46"/>
      <c r="L1071" s="5"/>
    </row>
    <row r="1072" spans="9:12" ht="13.2">
      <c r="I1072" s="46"/>
      <c r="J1072" s="46"/>
      <c r="L1072" s="5"/>
    </row>
    <row r="1073" spans="9:12" ht="13.2">
      <c r="I1073" s="46"/>
      <c r="J1073" s="46"/>
      <c r="L1073" s="5"/>
    </row>
    <row r="1074" spans="9:12" ht="13.2">
      <c r="I1074" s="46"/>
      <c r="J1074" s="46"/>
      <c r="L1074" s="5"/>
    </row>
    <row r="1075" spans="9:12" ht="13.2">
      <c r="I1075" s="46"/>
      <c r="J1075" s="46"/>
      <c r="L1075" s="5"/>
    </row>
    <row r="1076" spans="9:12" ht="13.2">
      <c r="I1076" s="46"/>
      <c r="J1076" s="46"/>
      <c r="L1076" s="5"/>
    </row>
    <row r="1077" spans="9:12" ht="13.2">
      <c r="I1077" s="46"/>
      <c r="J1077" s="46"/>
      <c r="L1077" s="5"/>
    </row>
    <row r="1078" spans="9:12" ht="13.2">
      <c r="I1078" s="46"/>
      <c r="J1078" s="46"/>
      <c r="L1078" s="5"/>
    </row>
    <row r="1079" spans="9:12" ht="13.2">
      <c r="I1079" s="46"/>
      <c r="J1079" s="46"/>
      <c r="L1079" s="5"/>
    </row>
    <row r="1080" spans="9:12" ht="13.2">
      <c r="I1080" s="46"/>
      <c r="J1080" s="46"/>
      <c r="L1080" s="5"/>
    </row>
    <row r="1081" spans="9:12" ht="13.2">
      <c r="I1081" s="46"/>
      <c r="J1081" s="46"/>
      <c r="L1081" s="5"/>
    </row>
    <row r="1082" spans="9:12" ht="13.2">
      <c r="I1082" s="46"/>
      <c r="J1082" s="46"/>
      <c r="L1082" s="5"/>
    </row>
    <row r="1083" spans="9:12" ht="13.2">
      <c r="I1083" s="46"/>
      <c r="J1083" s="46"/>
      <c r="L1083" s="5"/>
    </row>
    <row r="1084" spans="9:12" ht="13.2">
      <c r="I1084" s="46"/>
      <c r="J1084" s="46"/>
      <c r="L1084" s="5"/>
    </row>
    <row r="1085" spans="9:12" ht="13.2">
      <c r="I1085" s="46"/>
      <c r="J1085" s="46"/>
      <c r="L1085" s="5"/>
    </row>
    <row r="1086" spans="9:12" ht="13.2">
      <c r="I1086" s="46"/>
      <c r="J1086" s="46"/>
      <c r="L1086" s="5"/>
    </row>
    <row r="1087" spans="9:12" ht="13.2">
      <c r="I1087" s="46"/>
      <c r="J1087" s="46"/>
      <c r="L1087" s="5"/>
    </row>
    <row r="1088" spans="9:12" ht="13.2">
      <c r="I1088" s="46"/>
      <c r="J1088" s="46"/>
      <c r="L1088" s="5"/>
    </row>
    <row r="1089" spans="9:12" ht="13.2">
      <c r="I1089" s="46"/>
      <c r="J1089" s="46"/>
      <c r="L1089" s="5"/>
    </row>
    <row r="1090" spans="9:12" ht="13.2">
      <c r="I1090" s="46"/>
      <c r="J1090" s="46"/>
      <c r="L1090" s="5"/>
    </row>
    <row r="1091" spans="9:12" ht="13.2">
      <c r="I1091" s="46"/>
      <c r="J1091" s="46"/>
      <c r="L1091" s="5"/>
    </row>
    <row r="1092" spans="9:12" ht="13.2">
      <c r="I1092" s="46"/>
      <c r="J1092" s="46"/>
      <c r="L1092" s="5"/>
    </row>
    <row r="1093" spans="9:12" ht="13.2">
      <c r="I1093" s="46"/>
      <c r="J1093" s="46"/>
      <c r="L1093" s="5"/>
    </row>
    <row r="1094" spans="9:12" ht="13.2">
      <c r="I1094" s="46"/>
      <c r="J1094" s="46"/>
      <c r="L1094" s="5"/>
    </row>
    <row r="1095" spans="9:12" ht="13.2">
      <c r="I1095" s="46"/>
      <c r="J1095" s="46"/>
      <c r="L1095" s="5"/>
    </row>
    <row r="1096" spans="9:12" ht="13.2">
      <c r="I1096" s="46"/>
      <c r="J1096" s="46"/>
      <c r="L1096" s="5"/>
    </row>
    <row r="1097" spans="9:12" ht="13.2">
      <c r="I1097" s="46"/>
      <c r="J1097" s="46"/>
      <c r="L1097" s="5"/>
    </row>
    <row r="1098" spans="9:12" ht="13.2">
      <c r="I1098" s="46"/>
      <c r="J1098" s="46"/>
      <c r="L1098" s="5"/>
    </row>
    <row r="1099" spans="9:12" ht="13.2">
      <c r="I1099" s="46"/>
      <c r="J1099" s="46"/>
      <c r="L1099" s="5"/>
    </row>
    <row r="1100" spans="9:12" ht="13.2">
      <c r="I1100" s="46"/>
      <c r="J1100" s="46"/>
      <c r="L1100" s="5"/>
    </row>
    <row r="1101" spans="9:12" ht="13.2">
      <c r="I1101" s="46"/>
      <c r="J1101" s="46"/>
      <c r="L1101" s="5"/>
    </row>
    <row r="1102" spans="9:12" ht="13.2">
      <c r="I1102" s="46"/>
      <c r="J1102" s="46"/>
      <c r="L1102" s="5"/>
    </row>
    <row r="1103" spans="9:12" ht="13.2">
      <c r="I1103" s="46"/>
      <c r="J1103" s="46"/>
      <c r="L1103" s="5"/>
    </row>
    <row r="1104" spans="9:12" ht="13.2">
      <c r="I1104" s="46"/>
      <c r="J1104" s="46"/>
      <c r="L1104" s="5"/>
    </row>
    <row r="1105" spans="9:12" ht="13.2">
      <c r="I1105" s="46"/>
      <c r="J1105" s="46"/>
      <c r="L1105" s="5"/>
    </row>
    <row r="1106" spans="9:12" ht="13.2">
      <c r="I1106" s="46"/>
      <c r="J1106" s="46"/>
      <c r="L1106" s="5"/>
    </row>
    <row r="1107" spans="9:12" ht="13.2">
      <c r="I1107" s="46"/>
      <c r="J1107" s="46"/>
      <c r="L1107" s="5"/>
    </row>
    <row r="1108" spans="9:12" ht="13.2">
      <c r="I1108" s="46"/>
      <c r="J1108" s="46"/>
      <c r="L1108" s="5"/>
    </row>
    <row r="1109" spans="9:12" ht="13.2">
      <c r="I1109" s="46"/>
      <c r="J1109" s="46"/>
      <c r="L1109" s="5"/>
    </row>
    <row r="1110" spans="9:12" ht="13.2">
      <c r="I1110" s="46"/>
      <c r="J1110" s="46"/>
      <c r="L1110" s="5"/>
    </row>
    <row r="1111" spans="9:12" ht="13.2">
      <c r="I1111" s="46"/>
      <c r="J1111" s="46"/>
      <c r="L1111" s="5"/>
    </row>
    <row r="1112" spans="9:12" ht="13.2">
      <c r="I1112" s="46"/>
      <c r="J1112" s="46"/>
      <c r="L1112" s="5"/>
    </row>
    <row r="1113" spans="9:12" ht="13.2">
      <c r="I1113" s="46"/>
      <c r="J1113" s="46"/>
      <c r="L1113" s="5"/>
    </row>
    <row r="1114" spans="9:12" ht="13.2">
      <c r="I1114" s="46"/>
      <c r="J1114" s="46"/>
      <c r="L1114" s="5"/>
    </row>
    <row r="1115" spans="9:12" ht="13.2">
      <c r="I1115" s="46"/>
      <c r="J1115" s="46"/>
      <c r="L1115" s="5"/>
    </row>
    <row r="1116" spans="9:12" ht="13.2">
      <c r="I1116" s="46"/>
      <c r="J1116" s="46"/>
      <c r="L1116" s="5"/>
    </row>
    <row r="1117" spans="9:12" ht="13.2">
      <c r="I1117" s="46"/>
      <c r="J1117" s="46"/>
      <c r="L1117" s="5"/>
    </row>
    <row r="1118" spans="9:12" ht="13.2">
      <c r="I1118" s="46"/>
      <c r="J1118" s="46"/>
      <c r="L1118" s="5"/>
    </row>
    <row r="1119" spans="9:12" ht="13.2">
      <c r="I1119" s="46"/>
      <c r="J1119" s="46"/>
      <c r="L1119" s="5"/>
    </row>
    <row r="1120" spans="9:12" ht="13.2">
      <c r="I1120" s="46"/>
      <c r="J1120" s="46"/>
      <c r="L1120" s="5"/>
    </row>
    <row r="1121" spans="9:12" ht="13.2">
      <c r="I1121" s="46"/>
      <c r="J1121" s="46"/>
      <c r="L1121" s="5"/>
    </row>
    <row r="1122" spans="9:12" ht="13.2">
      <c r="I1122" s="46"/>
      <c r="J1122" s="46"/>
      <c r="L1122" s="5"/>
    </row>
    <row r="1123" spans="9:12" ht="13.2">
      <c r="I1123" s="46"/>
      <c r="J1123" s="46"/>
      <c r="L1123" s="5"/>
    </row>
    <row r="1124" spans="9:12" ht="13.2">
      <c r="I1124" s="46"/>
      <c r="J1124" s="46"/>
      <c r="L1124" s="5"/>
    </row>
    <row r="1125" spans="9:12" ht="13.2">
      <c r="I1125" s="46"/>
      <c r="J1125" s="46"/>
      <c r="L1125" s="5"/>
    </row>
    <row r="1126" spans="9:12" ht="13.2">
      <c r="I1126" s="46"/>
      <c r="J1126" s="46"/>
      <c r="L1126" s="5"/>
    </row>
    <row r="1127" spans="9:12" ht="13.2">
      <c r="I1127" s="46"/>
      <c r="J1127" s="46"/>
      <c r="L1127" s="5"/>
    </row>
    <row r="1128" spans="9:12" ht="13.2">
      <c r="I1128" s="46"/>
      <c r="J1128" s="46"/>
      <c r="L1128" s="5"/>
    </row>
    <row r="1129" spans="9:12" ht="13.2">
      <c r="I1129" s="46"/>
      <c r="J1129" s="46"/>
      <c r="L1129" s="5"/>
    </row>
    <row r="1130" spans="9:12" ht="13.2">
      <c r="I1130" s="46"/>
      <c r="J1130" s="46"/>
      <c r="L1130" s="5"/>
    </row>
    <row r="1131" spans="9:12" ht="13.2">
      <c r="I1131" s="46"/>
      <c r="J1131" s="46"/>
      <c r="L1131" s="5"/>
    </row>
    <row r="1132" spans="9:12" ht="13.2">
      <c r="I1132" s="46"/>
      <c r="J1132" s="46"/>
      <c r="L1132" s="5"/>
    </row>
    <row r="1133" spans="9:12" ht="13.2">
      <c r="I1133" s="46"/>
      <c r="J1133" s="46"/>
      <c r="L1133" s="5"/>
    </row>
    <row r="1134" spans="9:12" ht="13.2">
      <c r="I1134" s="46"/>
      <c r="J1134" s="46"/>
      <c r="L1134" s="5"/>
    </row>
    <row r="1135" spans="9:12" ht="13.2">
      <c r="I1135" s="46"/>
      <c r="J1135" s="46"/>
      <c r="L1135" s="5"/>
    </row>
    <row r="1136" spans="9:12" ht="13.2">
      <c r="I1136" s="46"/>
      <c r="J1136" s="46"/>
      <c r="L1136" s="5"/>
    </row>
    <row r="1137" spans="9:12" ht="13.2">
      <c r="I1137" s="46"/>
      <c r="J1137" s="46"/>
      <c r="L1137" s="5"/>
    </row>
    <row r="1138" spans="9:12" ht="13.2">
      <c r="I1138" s="46"/>
      <c r="J1138" s="46"/>
      <c r="L1138" s="5"/>
    </row>
    <row r="1139" spans="9:12" ht="13.2">
      <c r="I1139" s="46"/>
      <c r="J1139" s="46"/>
      <c r="L1139" s="5"/>
    </row>
    <row r="1140" spans="9:12" ht="13.2">
      <c r="I1140" s="46"/>
      <c r="J1140" s="46"/>
      <c r="L1140" s="5"/>
    </row>
    <row r="1141" spans="9:12" ht="13.2">
      <c r="I1141" s="46"/>
      <c r="J1141" s="46"/>
      <c r="L1141" s="5"/>
    </row>
    <row r="1142" spans="9:12" ht="13.2">
      <c r="I1142" s="46"/>
      <c r="J1142" s="46"/>
      <c r="L1142" s="5"/>
    </row>
    <row r="1143" spans="9:12" ht="13.2">
      <c r="I1143" s="46"/>
      <c r="J1143" s="46"/>
      <c r="L1143" s="5"/>
    </row>
    <row r="1144" spans="9:12" ht="13.2">
      <c r="I1144" s="46"/>
      <c r="J1144" s="46"/>
      <c r="L1144" s="5"/>
    </row>
    <row r="1145" spans="9:12" ht="13.2">
      <c r="I1145" s="46"/>
      <c r="J1145" s="46"/>
      <c r="L1145" s="5"/>
    </row>
    <row r="1146" spans="9:12" ht="13.2">
      <c r="I1146" s="46"/>
      <c r="J1146" s="46"/>
      <c r="L1146" s="5"/>
    </row>
    <row r="1147" spans="9:12" ht="13.2">
      <c r="I1147" s="46"/>
      <c r="J1147" s="46"/>
      <c r="L1147" s="5"/>
    </row>
    <row r="1148" spans="9:12" ht="13.2">
      <c r="I1148" s="46"/>
      <c r="J1148" s="46"/>
      <c r="L1148" s="5"/>
    </row>
    <row r="1149" spans="9:12" ht="13.2">
      <c r="I1149" s="46"/>
      <c r="J1149" s="46"/>
      <c r="L1149" s="5"/>
    </row>
    <row r="1150" spans="9:12" ht="13.2">
      <c r="I1150" s="46"/>
      <c r="J1150" s="46"/>
      <c r="L1150" s="5"/>
    </row>
    <row r="1151" spans="9:12" ht="13.2">
      <c r="I1151" s="46"/>
      <c r="J1151" s="46"/>
      <c r="L1151" s="5"/>
    </row>
    <row r="1152" spans="9:12" ht="13.2">
      <c r="I1152" s="46"/>
      <c r="J1152" s="46"/>
      <c r="L1152" s="5"/>
    </row>
    <row r="1153" spans="9:12" ht="13.2">
      <c r="I1153" s="46"/>
      <c r="J1153" s="46"/>
      <c r="L1153" s="5"/>
    </row>
    <row r="1154" spans="9:12" ht="13.2">
      <c r="I1154" s="46"/>
      <c r="J1154" s="46"/>
      <c r="L1154" s="5"/>
    </row>
    <row r="1155" spans="9:12" ht="13.2">
      <c r="I1155" s="46"/>
      <c r="J1155" s="46"/>
      <c r="L1155" s="5"/>
    </row>
    <row r="1156" spans="9:12" ht="13.2">
      <c r="I1156" s="46"/>
      <c r="J1156" s="46"/>
      <c r="L1156" s="5"/>
    </row>
    <row r="1157" spans="9:12" ht="13.2">
      <c r="I1157" s="46"/>
      <c r="J1157" s="46"/>
      <c r="L1157" s="5"/>
    </row>
    <row r="1158" spans="9:12" ht="13.2">
      <c r="I1158" s="46"/>
      <c r="J1158" s="46"/>
      <c r="L1158" s="5"/>
    </row>
    <row r="1159" spans="9:12" ht="13.2">
      <c r="I1159" s="46"/>
      <c r="J1159" s="46"/>
      <c r="L1159" s="5"/>
    </row>
    <row r="1160" spans="9:12" ht="13.2">
      <c r="I1160" s="46"/>
      <c r="J1160" s="46"/>
      <c r="L1160" s="5"/>
    </row>
    <row r="1161" spans="9:12" ht="13.2">
      <c r="I1161" s="46"/>
      <c r="J1161" s="46"/>
      <c r="L1161" s="5"/>
    </row>
    <row r="1162" spans="9:12" ht="13.2">
      <c r="I1162" s="46"/>
      <c r="J1162" s="46"/>
      <c r="L1162" s="5"/>
    </row>
    <row r="1163" spans="9:12" ht="13.2">
      <c r="I1163" s="46"/>
      <c r="J1163" s="46"/>
      <c r="L1163" s="5"/>
    </row>
    <row r="1164" spans="9:12" ht="13.2">
      <c r="I1164" s="46"/>
      <c r="J1164" s="46"/>
      <c r="L1164" s="5"/>
    </row>
    <row r="1165" spans="9:12" ht="13.2">
      <c r="I1165" s="46"/>
      <c r="J1165" s="46"/>
      <c r="L1165" s="5"/>
    </row>
    <row r="1166" spans="9:12" ht="13.2">
      <c r="I1166" s="46"/>
      <c r="J1166" s="46"/>
      <c r="L1166" s="5"/>
    </row>
    <row r="1167" spans="9:12" ht="13.2">
      <c r="I1167" s="46"/>
      <c r="J1167" s="46"/>
      <c r="L1167" s="5"/>
    </row>
    <row r="1168" spans="9:12" ht="13.2">
      <c r="I1168" s="46"/>
      <c r="J1168" s="46"/>
      <c r="L1168" s="5"/>
    </row>
    <row r="1169" spans="9:12" ht="13.2">
      <c r="I1169" s="46"/>
      <c r="J1169" s="46"/>
      <c r="L1169" s="5"/>
    </row>
    <row r="1170" spans="9:12" ht="13.2">
      <c r="I1170" s="46"/>
      <c r="J1170" s="46"/>
      <c r="L1170" s="5"/>
    </row>
    <row r="1171" spans="9:12" ht="13.2">
      <c r="I1171" s="46"/>
      <c r="J1171" s="46"/>
      <c r="L1171" s="5"/>
    </row>
    <row r="1172" spans="9:12" ht="13.2">
      <c r="I1172" s="46"/>
      <c r="J1172" s="46"/>
      <c r="L1172" s="5"/>
    </row>
    <row r="1173" spans="9:12" ht="13.2">
      <c r="I1173" s="46"/>
      <c r="J1173" s="46"/>
      <c r="L1173" s="5"/>
    </row>
    <row r="1174" spans="9:12" ht="13.2">
      <c r="I1174" s="46"/>
      <c r="J1174" s="46"/>
      <c r="L1174" s="5"/>
    </row>
    <row r="1175" spans="9:12" ht="13.2">
      <c r="I1175" s="46"/>
      <c r="J1175" s="46"/>
      <c r="L1175" s="5"/>
    </row>
    <row r="1176" spans="9:12" ht="13.2">
      <c r="I1176" s="46"/>
      <c r="J1176" s="46"/>
      <c r="L1176" s="5"/>
    </row>
    <row r="1177" spans="9:12" ht="13.2">
      <c r="I1177" s="46"/>
      <c r="J1177" s="46"/>
      <c r="L1177" s="5"/>
    </row>
    <row r="1178" spans="9:12" ht="13.2">
      <c r="I1178" s="46"/>
      <c r="J1178" s="46"/>
      <c r="L1178" s="5"/>
    </row>
    <row r="1179" spans="9:12" ht="13.2">
      <c r="I1179" s="46"/>
      <c r="J1179" s="46"/>
      <c r="L1179" s="5"/>
    </row>
    <row r="1180" spans="9:12" ht="13.2">
      <c r="I1180" s="46"/>
      <c r="J1180" s="46"/>
      <c r="L1180" s="5"/>
    </row>
    <row r="1181" spans="9:12" ht="13.2">
      <c r="I1181" s="46"/>
      <c r="J1181" s="46"/>
      <c r="L1181" s="5"/>
    </row>
    <row r="1182" spans="9:12" ht="13.2">
      <c r="I1182" s="46"/>
      <c r="J1182" s="46"/>
      <c r="L1182" s="5"/>
    </row>
    <row r="1183" spans="9:12" ht="13.2">
      <c r="I1183" s="46"/>
      <c r="J1183" s="46"/>
      <c r="L1183" s="5"/>
    </row>
    <row r="1184" spans="9:12" ht="13.2">
      <c r="I1184" s="46"/>
      <c r="J1184" s="46"/>
      <c r="L1184" s="5"/>
    </row>
    <row r="1185" spans="9:12" ht="13.2">
      <c r="I1185" s="46"/>
      <c r="J1185" s="46"/>
      <c r="L1185" s="5"/>
    </row>
    <row r="1186" spans="9:12" ht="13.2">
      <c r="I1186" s="46"/>
      <c r="J1186" s="46"/>
      <c r="L1186" s="5"/>
    </row>
    <row r="1187" spans="9:12" ht="13.2">
      <c r="I1187" s="46"/>
      <c r="J1187" s="46"/>
      <c r="L1187" s="5"/>
    </row>
    <row r="1188" spans="9:12" ht="13.2">
      <c r="I1188" s="46"/>
      <c r="J1188" s="46"/>
      <c r="L1188" s="5"/>
    </row>
    <row r="1189" spans="9:12" ht="13.2">
      <c r="I1189" s="46"/>
      <c r="J1189" s="46"/>
      <c r="L1189" s="5"/>
    </row>
    <row r="1190" spans="9:12" ht="13.2">
      <c r="I1190" s="46"/>
      <c r="J1190" s="46"/>
      <c r="L1190" s="5"/>
    </row>
    <row r="1191" spans="9:12" ht="13.2">
      <c r="I1191" s="46"/>
      <c r="J1191" s="46"/>
      <c r="L1191" s="5"/>
    </row>
    <row r="1192" spans="9:12" ht="13.2">
      <c r="I1192" s="46"/>
      <c r="J1192" s="46"/>
      <c r="L1192" s="5"/>
    </row>
    <row r="1193" spans="9:12" ht="13.2">
      <c r="I1193" s="46"/>
      <c r="J1193" s="46"/>
      <c r="L1193" s="5"/>
    </row>
    <row r="1194" spans="9:12" ht="13.2">
      <c r="I1194" s="46"/>
      <c r="J1194" s="46"/>
      <c r="L1194" s="5"/>
    </row>
    <row r="1195" spans="9:12" ht="13.2">
      <c r="I1195" s="46"/>
      <c r="J1195" s="46"/>
      <c r="L1195" s="5"/>
    </row>
    <row r="1196" spans="9:12" ht="13.2">
      <c r="I1196" s="46"/>
      <c r="J1196" s="46"/>
      <c r="L1196" s="5"/>
    </row>
    <row r="1197" spans="9:12" ht="13.2">
      <c r="I1197" s="46"/>
      <c r="J1197" s="46"/>
      <c r="L1197" s="5"/>
    </row>
    <row r="1198" spans="9:12" ht="13.2">
      <c r="I1198" s="46"/>
      <c r="J1198" s="46"/>
      <c r="L1198" s="5"/>
    </row>
    <row r="1199" spans="9:12" ht="13.2">
      <c r="I1199" s="46"/>
      <c r="J1199" s="46"/>
      <c r="L1199" s="5"/>
    </row>
    <row r="1200" spans="9:12" ht="13.2">
      <c r="I1200" s="46"/>
      <c r="J1200" s="46"/>
      <c r="L1200" s="5"/>
    </row>
    <row r="1201" spans="9:12" ht="13.2">
      <c r="I1201" s="46"/>
      <c r="J1201" s="46"/>
      <c r="L1201" s="5"/>
    </row>
    <row r="1202" spans="9:12" ht="13.2">
      <c r="I1202" s="46"/>
      <c r="J1202" s="46"/>
      <c r="L1202" s="5"/>
    </row>
    <row r="1203" spans="9:12" ht="13.2">
      <c r="I1203" s="46"/>
      <c r="J1203" s="46"/>
      <c r="L1203" s="5"/>
    </row>
    <row r="1204" spans="9:12" ht="13.2">
      <c r="I1204" s="46"/>
      <c r="J1204" s="46"/>
      <c r="L1204" s="5"/>
    </row>
    <row r="1205" spans="9:12" ht="13.2">
      <c r="I1205" s="46"/>
      <c r="J1205" s="46"/>
      <c r="L1205" s="5"/>
    </row>
    <row r="1206" spans="9:12" ht="13.2">
      <c r="I1206" s="46"/>
      <c r="J1206" s="46"/>
      <c r="L1206" s="5"/>
    </row>
    <row r="1207" spans="9:12" ht="13.2">
      <c r="I1207" s="46"/>
      <c r="J1207" s="46"/>
      <c r="L1207" s="5"/>
    </row>
    <row r="1208" spans="9:12" ht="13.2">
      <c r="I1208" s="46"/>
      <c r="J1208" s="46"/>
      <c r="L1208" s="5"/>
    </row>
    <row r="1209" spans="9:12" ht="13.2">
      <c r="I1209" s="46"/>
      <c r="J1209" s="46"/>
      <c r="L1209" s="5"/>
    </row>
    <row r="1210" spans="9:12" ht="13.2">
      <c r="I1210" s="46"/>
      <c r="J1210" s="46"/>
      <c r="L1210" s="5"/>
    </row>
    <row r="1211" spans="9:12" ht="13.2">
      <c r="I1211" s="46"/>
      <c r="J1211" s="46"/>
      <c r="L1211" s="5"/>
    </row>
    <row r="1212" spans="9:12" ht="13.2">
      <c r="I1212" s="46"/>
      <c r="J1212" s="46"/>
      <c r="L1212" s="5"/>
    </row>
    <row r="1213" spans="9:12" ht="13.2">
      <c r="I1213" s="46"/>
      <c r="J1213" s="46"/>
      <c r="L1213" s="5"/>
    </row>
    <row r="1214" spans="9:12" ht="13.2">
      <c r="I1214" s="46"/>
      <c r="J1214" s="46"/>
      <c r="L1214" s="5"/>
    </row>
    <row r="1215" spans="9:12" ht="13.2">
      <c r="I1215" s="46"/>
      <c r="J1215" s="46"/>
      <c r="L1215" s="5"/>
    </row>
    <row r="1216" spans="9:12" ht="13.2">
      <c r="I1216" s="46"/>
      <c r="J1216" s="46"/>
      <c r="L1216" s="5"/>
    </row>
    <row r="1217" spans="9:12" ht="13.2">
      <c r="I1217" s="46"/>
      <c r="J1217" s="46"/>
      <c r="L1217" s="5"/>
    </row>
    <row r="1218" spans="9:12" ht="13.2">
      <c r="I1218" s="46"/>
      <c r="J1218" s="46"/>
      <c r="L1218" s="5"/>
    </row>
    <row r="1219" spans="9:12" ht="13.2">
      <c r="I1219" s="46"/>
      <c r="J1219" s="46"/>
      <c r="L1219" s="5"/>
    </row>
    <row r="1220" spans="9:12" ht="13.2">
      <c r="I1220" s="46"/>
      <c r="J1220" s="46"/>
      <c r="L1220" s="5"/>
    </row>
    <row r="1221" spans="9:12" ht="13.2">
      <c r="I1221" s="46"/>
      <c r="J1221" s="46"/>
      <c r="L1221" s="5"/>
    </row>
    <row r="1222" spans="9:12" ht="13.2">
      <c r="I1222" s="46"/>
      <c r="J1222" s="46"/>
      <c r="L1222" s="5"/>
    </row>
    <row r="1223" spans="9:12" ht="13.2">
      <c r="I1223" s="46"/>
      <c r="J1223" s="46"/>
      <c r="L1223" s="5"/>
    </row>
    <row r="1224" spans="9:12" ht="13.2">
      <c r="I1224" s="46"/>
      <c r="J1224" s="46"/>
      <c r="L1224" s="5"/>
    </row>
    <row r="1225" spans="9:12" ht="13.2">
      <c r="I1225" s="46"/>
      <c r="J1225" s="46"/>
      <c r="L1225" s="5"/>
    </row>
    <row r="1226" spans="9:12" ht="13.2">
      <c r="I1226" s="46"/>
      <c r="J1226" s="46"/>
      <c r="L1226" s="5"/>
    </row>
    <row r="1227" spans="9:12" ht="13.2">
      <c r="I1227" s="46"/>
      <c r="J1227" s="46"/>
      <c r="L1227" s="5"/>
    </row>
    <row r="1228" spans="9:12" ht="13.2">
      <c r="I1228" s="46"/>
      <c r="J1228" s="46"/>
      <c r="L1228" s="5"/>
    </row>
    <row r="1229" spans="9:12" ht="13.2">
      <c r="I1229" s="46"/>
      <c r="J1229" s="46"/>
      <c r="L1229" s="5"/>
    </row>
    <row r="1230" spans="9:12" ht="13.2">
      <c r="I1230" s="46"/>
      <c r="J1230" s="46"/>
      <c r="L1230" s="5"/>
    </row>
    <row r="1231" spans="9:12" ht="13.2">
      <c r="I1231" s="46"/>
      <c r="J1231" s="46"/>
      <c r="L1231" s="5"/>
    </row>
    <row r="1232" spans="9:12" ht="13.2">
      <c r="I1232" s="46"/>
      <c r="J1232" s="46"/>
      <c r="L1232" s="5"/>
    </row>
    <row r="1233" spans="9:12" ht="13.2">
      <c r="I1233" s="46"/>
      <c r="J1233" s="46"/>
      <c r="L1233" s="5"/>
    </row>
    <row r="1234" spans="9:12" ht="13.2">
      <c r="I1234" s="46"/>
      <c r="J1234" s="46"/>
      <c r="L1234" s="5"/>
    </row>
    <row r="1235" spans="9:12" ht="13.2">
      <c r="I1235" s="46"/>
      <c r="J1235" s="46"/>
      <c r="L1235" s="5"/>
    </row>
    <row r="1236" spans="9:12" ht="13.2">
      <c r="I1236" s="46"/>
      <c r="J1236" s="46"/>
      <c r="L1236" s="5"/>
    </row>
    <row r="1237" spans="9:12" ht="13.2">
      <c r="I1237" s="46"/>
      <c r="J1237" s="46"/>
      <c r="L1237" s="5"/>
    </row>
    <row r="1238" spans="9:12" ht="13.2">
      <c r="I1238" s="46"/>
      <c r="J1238" s="46"/>
      <c r="L1238" s="5"/>
    </row>
    <row r="1239" spans="9:12" ht="13.2">
      <c r="I1239" s="46"/>
      <c r="J1239" s="46"/>
      <c r="L1239" s="5"/>
    </row>
    <row r="1240" spans="9:12" ht="13.2">
      <c r="I1240" s="46"/>
      <c r="J1240" s="46"/>
      <c r="L1240" s="5"/>
    </row>
    <row r="1241" spans="9:12" ht="13.2">
      <c r="I1241" s="46"/>
      <c r="J1241" s="46"/>
      <c r="L1241" s="5"/>
    </row>
    <row r="1242" spans="9:12" ht="13.2">
      <c r="I1242" s="46"/>
      <c r="J1242" s="46"/>
      <c r="L1242" s="5"/>
    </row>
    <row r="1243" spans="9:12" ht="13.2">
      <c r="I1243" s="46"/>
      <c r="J1243" s="46"/>
      <c r="L1243" s="5"/>
    </row>
    <row r="1244" spans="9:12" ht="13.2">
      <c r="I1244" s="46"/>
      <c r="J1244" s="46"/>
      <c r="L1244" s="5"/>
    </row>
    <row r="1245" spans="9:12" ht="13.2">
      <c r="I1245" s="46"/>
      <c r="J1245" s="46"/>
      <c r="L1245" s="5"/>
    </row>
    <row r="1246" spans="9:12" ht="13.2">
      <c r="I1246" s="46"/>
      <c r="J1246" s="46"/>
      <c r="L1246" s="5"/>
    </row>
    <row r="1247" spans="9:12" ht="13.2">
      <c r="I1247" s="46"/>
      <c r="J1247" s="46"/>
      <c r="L1247" s="5"/>
    </row>
    <row r="1248" spans="9:12" ht="13.2">
      <c r="I1248" s="46"/>
      <c r="J1248" s="46"/>
      <c r="L1248" s="5"/>
    </row>
    <row r="1249" spans="9:12" ht="13.2">
      <c r="I1249" s="46"/>
      <c r="J1249" s="46"/>
      <c r="L1249" s="5"/>
    </row>
    <row r="1250" spans="9:12" ht="13.2">
      <c r="I1250" s="46"/>
      <c r="J1250" s="46"/>
      <c r="L1250" s="5"/>
    </row>
    <row r="1251" spans="9:12" ht="13.2">
      <c r="I1251" s="46"/>
      <c r="J1251" s="46"/>
      <c r="L1251" s="5"/>
    </row>
    <row r="1252" spans="9:12" ht="13.2">
      <c r="I1252" s="46"/>
      <c r="J1252" s="46"/>
      <c r="L1252" s="5"/>
    </row>
    <row r="1253" spans="9:12" ht="13.2">
      <c r="I1253" s="46"/>
      <c r="J1253" s="46"/>
      <c r="L1253" s="5"/>
    </row>
    <row r="1254" spans="9:12" ht="13.2">
      <c r="I1254" s="46"/>
      <c r="J1254" s="46"/>
      <c r="L1254" s="5"/>
    </row>
    <row r="1255" spans="9:12" ht="13.2">
      <c r="I1255" s="46"/>
      <c r="J1255" s="46"/>
      <c r="L1255" s="5"/>
    </row>
    <row r="1256" spans="9:12" ht="13.2">
      <c r="I1256" s="46"/>
      <c r="J1256" s="46"/>
      <c r="L1256" s="5"/>
    </row>
    <row r="1257" spans="9:12" ht="13.2">
      <c r="I1257" s="46"/>
      <c r="J1257" s="46"/>
      <c r="L1257" s="5"/>
    </row>
    <row r="1258" spans="9:12" ht="13.2">
      <c r="I1258" s="46"/>
      <c r="J1258" s="46"/>
      <c r="L1258" s="5"/>
    </row>
    <row r="1259" spans="9:12" ht="13.2">
      <c r="I1259" s="46"/>
      <c r="J1259" s="46"/>
      <c r="L1259" s="5"/>
    </row>
    <row r="1260" spans="9:12" ht="13.2">
      <c r="I1260" s="46"/>
      <c r="J1260" s="46"/>
      <c r="L1260" s="5"/>
    </row>
    <row r="1261" spans="9:12" ht="13.2">
      <c r="I1261" s="46"/>
      <c r="J1261" s="46"/>
      <c r="L1261" s="5"/>
    </row>
    <row r="1262" spans="9:12" ht="13.2">
      <c r="I1262" s="46"/>
      <c r="J1262" s="46"/>
      <c r="L1262" s="5"/>
    </row>
    <row r="1263" spans="9:12" ht="13.2">
      <c r="I1263" s="46"/>
      <c r="J1263" s="46"/>
      <c r="L1263" s="5"/>
    </row>
    <row r="1264" spans="9:12" ht="13.2">
      <c r="I1264" s="46"/>
      <c r="J1264" s="46"/>
      <c r="L1264" s="5"/>
    </row>
    <row r="1265" spans="9:12" ht="13.2">
      <c r="I1265" s="46"/>
      <c r="J1265" s="46"/>
      <c r="L1265" s="5"/>
    </row>
    <row r="1266" spans="9:12" ht="13.2">
      <c r="I1266" s="46"/>
      <c r="J1266" s="46"/>
      <c r="L1266" s="5"/>
    </row>
    <row r="1267" spans="9:12" ht="13.2">
      <c r="I1267" s="46"/>
      <c r="J1267" s="46"/>
      <c r="L1267" s="5"/>
    </row>
    <row r="1268" spans="9:12" ht="13.2">
      <c r="I1268" s="46"/>
      <c r="J1268" s="46"/>
      <c r="L1268" s="5"/>
    </row>
    <row r="1269" spans="9:12" ht="13.2">
      <c r="I1269" s="46"/>
      <c r="J1269" s="46"/>
      <c r="L1269" s="5"/>
    </row>
    <row r="1270" spans="9:12" ht="13.2">
      <c r="I1270" s="46"/>
      <c r="J1270" s="46"/>
      <c r="L1270" s="5"/>
    </row>
    <row r="1271" spans="9:12" ht="13.2">
      <c r="I1271" s="46"/>
      <c r="J1271" s="46"/>
      <c r="L1271" s="5"/>
    </row>
    <row r="1272" spans="9:12" ht="13.2">
      <c r="I1272" s="46"/>
      <c r="J1272" s="46"/>
      <c r="L1272" s="5"/>
    </row>
    <row r="1273" spans="9:12" ht="13.2">
      <c r="I1273" s="46"/>
      <c r="J1273" s="46"/>
      <c r="L1273" s="5"/>
    </row>
    <row r="1274" spans="9:12" ht="13.2">
      <c r="I1274" s="46"/>
      <c r="J1274" s="46"/>
      <c r="L1274" s="5"/>
    </row>
    <row r="1275" spans="9:12" ht="13.2">
      <c r="I1275" s="46"/>
      <c r="J1275" s="46"/>
      <c r="L1275" s="5"/>
    </row>
    <row r="1276" spans="9:12" ht="13.2">
      <c r="I1276" s="46"/>
      <c r="J1276" s="46"/>
      <c r="L1276" s="5"/>
    </row>
    <row r="1277" spans="9:12" ht="13.2">
      <c r="I1277" s="46"/>
      <c r="J1277" s="46"/>
      <c r="L1277" s="5"/>
    </row>
    <row r="1278" spans="9:12" ht="13.2">
      <c r="I1278" s="46"/>
      <c r="J1278" s="46"/>
      <c r="L1278" s="5"/>
    </row>
    <row r="1279" spans="9:12" ht="13.2">
      <c r="I1279" s="46"/>
      <c r="J1279" s="46"/>
      <c r="L1279" s="5"/>
    </row>
    <row r="1280" spans="9:12" ht="13.2">
      <c r="I1280" s="46"/>
      <c r="J1280" s="46"/>
      <c r="L1280" s="5"/>
    </row>
    <row r="1281" spans="9:12" ht="13.2">
      <c r="I1281" s="46"/>
      <c r="J1281" s="46"/>
      <c r="L1281" s="5"/>
    </row>
    <row r="1282" spans="9:12" ht="13.2">
      <c r="I1282" s="46"/>
      <c r="J1282" s="46"/>
      <c r="L1282" s="5"/>
    </row>
    <row r="1283" spans="9:12" ht="13.2">
      <c r="I1283" s="46"/>
      <c r="J1283" s="46"/>
      <c r="L1283" s="5"/>
    </row>
    <row r="1284" spans="9:12" ht="13.2">
      <c r="I1284" s="46"/>
      <c r="J1284" s="46"/>
      <c r="L1284" s="5"/>
    </row>
    <row r="1285" spans="9:12" ht="13.2">
      <c r="I1285" s="46"/>
      <c r="J1285" s="46"/>
      <c r="L1285" s="5"/>
    </row>
    <row r="1286" spans="9:12" ht="13.2">
      <c r="I1286" s="46"/>
      <c r="J1286" s="46"/>
      <c r="L1286" s="5"/>
    </row>
    <row r="1287" spans="9:12" ht="13.2">
      <c r="I1287" s="46"/>
      <c r="J1287" s="46"/>
      <c r="L1287" s="5"/>
    </row>
    <row r="1288" spans="9:12" ht="13.2">
      <c r="I1288" s="46"/>
      <c r="J1288" s="46"/>
      <c r="L1288" s="5"/>
    </row>
    <row r="1289" spans="9:12" ht="13.2">
      <c r="I1289" s="46"/>
      <c r="J1289" s="46"/>
      <c r="L1289" s="5"/>
    </row>
    <row r="1290" spans="9:12" ht="13.2">
      <c r="I1290" s="46"/>
      <c r="J1290" s="46"/>
      <c r="L1290" s="5"/>
    </row>
    <row r="1291" spans="9:12" ht="13.2">
      <c r="I1291" s="46"/>
      <c r="J1291" s="46"/>
      <c r="L1291" s="5"/>
    </row>
    <row r="1292" spans="9:12" ht="13.2">
      <c r="I1292" s="46"/>
      <c r="J1292" s="46"/>
      <c r="L1292" s="5"/>
    </row>
    <row r="1293" spans="9:12" ht="13.2">
      <c r="I1293" s="46"/>
      <c r="J1293" s="46"/>
      <c r="L1293" s="5"/>
    </row>
    <row r="1294" spans="9:12" ht="13.2">
      <c r="I1294" s="46"/>
      <c r="J1294" s="46"/>
      <c r="L1294" s="5"/>
    </row>
    <row r="1295" spans="9:12" ht="13.2">
      <c r="I1295" s="46"/>
      <c r="J1295" s="46"/>
      <c r="L1295" s="5"/>
    </row>
    <row r="1296" spans="9:12" ht="13.2">
      <c r="I1296" s="46"/>
      <c r="J1296" s="46"/>
      <c r="L1296" s="5"/>
    </row>
    <row r="1297" spans="9:12" ht="13.2">
      <c r="I1297" s="46"/>
      <c r="J1297" s="46"/>
      <c r="L1297" s="5"/>
    </row>
    <row r="1298" spans="9:12" ht="13.2">
      <c r="I1298" s="46"/>
      <c r="J1298" s="46"/>
      <c r="L1298" s="5"/>
    </row>
    <row r="1299" spans="9:12" ht="13.2">
      <c r="I1299" s="46"/>
      <c r="J1299" s="46"/>
      <c r="L1299" s="5"/>
    </row>
    <row r="1300" spans="9:12" ht="13.2">
      <c r="I1300" s="46"/>
      <c r="J1300" s="46"/>
      <c r="L1300" s="5"/>
    </row>
    <row r="1301" spans="9:12" ht="13.2">
      <c r="I1301" s="46"/>
      <c r="J1301" s="46"/>
      <c r="L1301" s="5"/>
    </row>
    <row r="1302" spans="9:12" ht="13.2">
      <c r="I1302" s="46"/>
      <c r="J1302" s="46"/>
      <c r="L1302" s="5"/>
    </row>
    <row r="1303" spans="9:12" ht="13.2">
      <c r="I1303" s="46"/>
      <c r="J1303" s="46"/>
      <c r="L1303" s="5"/>
    </row>
    <row r="1304" spans="9:12" ht="13.2">
      <c r="I1304" s="46"/>
      <c r="J1304" s="46"/>
      <c r="L1304" s="5"/>
    </row>
    <row r="1305" spans="9:12" ht="13.2">
      <c r="I1305" s="46"/>
      <c r="J1305" s="46"/>
      <c r="L1305" s="5"/>
    </row>
    <row r="1306" spans="9:12" ht="13.2">
      <c r="I1306" s="46"/>
      <c r="J1306" s="46"/>
      <c r="L1306" s="5"/>
    </row>
    <row r="1307" spans="9:12" ht="13.2">
      <c r="I1307" s="46"/>
      <c r="J1307" s="46"/>
      <c r="L1307" s="5"/>
    </row>
    <row r="1308" spans="9:12" ht="13.2">
      <c r="I1308" s="46"/>
      <c r="J1308" s="46"/>
      <c r="L1308" s="5"/>
    </row>
    <row r="1309" spans="9:12" ht="13.2">
      <c r="I1309" s="46"/>
      <c r="J1309" s="46"/>
      <c r="L1309" s="5"/>
    </row>
    <row r="1310" spans="9:12" ht="13.2">
      <c r="I1310" s="46"/>
      <c r="J1310" s="46"/>
      <c r="L1310" s="5"/>
    </row>
    <row r="1311" spans="9:12" ht="13.2">
      <c r="I1311" s="46"/>
      <c r="J1311" s="46"/>
      <c r="L1311" s="5"/>
    </row>
    <row r="1312" spans="9:12" ht="13.2">
      <c r="I1312" s="46"/>
      <c r="J1312" s="46"/>
      <c r="L1312" s="5"/>
    </row>
    <row r="1313" spans="9:12" ht="13.2">
      <c r="I1313" s="46"/>
      <c r="J1313" s="46"/>
      <c r="L1313" s="5"/>
    </row>
    <row r="1314" spans="9:12" ht="13.2">
      <c r="I1314" s="46"/>
      <c r="J1314" s="46"/>
      <c r="L1314" s="5"/>
    </row>
    <row r="1315" spans="9:12" ht="13.2">
      <c r="I1315" s="46"/>
      <c r="J1315" s="46"/>
      <c r="L1315" s="5"/>
    </row>
    <row r="1316" spans="9:12" ht="13.2">
      <c r="I1316" s="46"/>
      <c r="J1316" s="46"/>
      <c r="L1316" s="5"/>
    </row>
    <row r="1317" spans="9:12" ht="13.2">
      <c r="I1317" s="46"/>
      <c r="J1317" s="46"/>
      <c r="L1317" s="5"/>
    </row>
    <row r="1318" spans="9:12" ht="13.2">
      <c r="I1318" s="46"/>
      <c r="J1318" s="46"/>
      <c r="L1318" s="5"/>
    </row>
    <row r="1319" spans="9:12" ht="13.2">
      <c r="I1319" s="46"/>
      <c r="J1319" s="46"/>
      <c r="L1319" s="5"/>
    </row>
    <row r="1320" spans="9:12" ht="13.2">
      <c r="I1320" s="46"/>
      <c r="J1320" s="46"/>
      <c r="L1320" s="5"/>
    </row>
    <row r="1321" spans="9:12" ht="13.2">
      <c r="I1321" s="46"/>
      <c r="J1321" s="46"/>
      <c r="L1321" s="5"/>
    </row>
    <row r="1322" spans="9:12" ht="13.2">
      <c r="I1322" s="46"/>
      <c r="J1322" s="46"/>
      <c r="L1322" s="5"/>
    </row>
    <row r="1323" spans="9:12" ht="13.2">
      <c r="I1323" s="46"/>
      <c r="J1323" s="46"/>
      <c r="L1323" s="5"/>
    </row>
    <row r="1324" spans="9:12" ht="13.2">
      <c r="I1324" s="46"/>
      <c r="J1324" s="46"/>
      <c r="L1324" s="5"/>
    </row>
    <row r="1325" spans="9:12" ht="13.2">
      <c r="I1325" s="46"/>
      <c r="J1325" s="46"/>
      <c r="L1325" s="5"/>
    </row>
    <row r="1326" spans="9:12" ht="13.2">
      <c r="I1326" s="46"/>
      <c r="J1326" s="46"/>
      <c r="L1326" s="5"/>
    </row>
    <row r="1327" spans="9:12" ht="13.2">
      <c r="I1327" s="46"/>
      <c r="J1327" s="46"/>
      <c r="L1327" s="5"/>
    </row>
    <row r="1328" spans="9:12" ht="13.2">
      <c r="I1328" s="46"/>
      <c r="J1328" s="46"/>
      <c r="L1328" s="5"/>
    </row>
    <row r="1329" spans="9:12" ht="13.2">
      <c r="I1329" s="46"/>
      <c r="J1329" s="46"/>
      <c r="L1329" s="5"/>
    </row>
    <row r="1330" spans="9:12" ht="13.2">
      <c r="I1330" s="46"/>
      <c r="J1330" s="46"/>
      <c r="L1330" s="5"/>
    </row>
    <row r="1331" spans="9:12" ht="13.2">
      <c r="I1331" s="46"/>
      <c r="J1331" s="46"/>
      <c r="L1331" s="5"/>
    </row>
    <row r="1332" spans="9:12" ht="13.2">
      <c r="I1332" s="46"/>
      <c r="J1332" s="46"/>
      <c r="L1332" s="5"/>
    </row>
    <row r="1333" spans="9:12" ht="13.2">
      <c r="I1333" s="46"/>
      <c r="J1333" s="46"/>
      <c r="L1333" s="5"/>
    </row>
    <row r="1334" spans="9:12" ht="13.2">
      <c r="I1334" s="46"/>
      <c r="J1334" s="46"/>
      <c r="L1334" s="5"/>
    </row>
    <row r="1335" spans="9:12" ht="13.2">
      <c r="I1335" s="46"/>
      <c r="J1335" s="46"/>
      <c r="L1335" s="5"/>
    </row>
    <row r="1336" spans="9:12" ht="13.2">
      <c r="I1336" s="46"/>
      <c r="J1336" s="46"/>
      <c r="L1336" s="5"/>
    </row>
    <row r="1337" spans="9:12" ht="13.2">
      <c r="I1337" s="46"/>
      <c r="J1337" s="46"/>
      <c r="L1337" s="5"/>
    </row>
    <row r="1338" spans="9:12" ht="13.2">
      <c r="I1338" s="46"/>
      <c r="J1338" s="46"/>
      <c r="L1338" s="5"/>
    </row>
    <row r="1339" spans="9:12" ht="13.2">
      <c r="I1339" s="46"/>
      <c r="J1339" s="46"/>
      <c r="L1339" s="5"/>
    </row>
    <row r="1340" spans="9:12" ht="13.2">
      <c r="I1340" s="46"/>
      <c r="J1340" s="46"/>
      <c r="L1340" s="5"/>
    </row>
    <row r="1341" spans="9:12" ht="13.2">
      <c r="I1341" s="46"/>
      <c r="J1341" s="46"/>
      <c r="L1341" s="5"/>
    </row>
    <row r="1342" spans="9:12" ht="13.2">
      <c r="I1342" s="46"/>
      <c r="J1342" s="46"/>
      <c r="L1342" s="5"/>
    </row>
    <row r="1343" spans="9:12" ht="13.2">
      <c r="I1343" s="46"/>
      <c r="J1343" s="46"/>
      <c r="L1343" s="5"/>
    </row>
    <row r="1344" spans="9:12" ht="13.2">
      <c r="I1344" s="46"/>
      <c r="J1344" s="46"/>
      <c r="L1344" s="5"/>
    </row>
    <row r="1345" spans="9:12" ht="13.2">
      <c r="I1345" s="46"/>
      <c r="J1345" s="46"/>
      <c r="L1345" s="5"/>
    </row>
    <row r="1346" spans="9:12" ht="13.2">
      <c r="I1346" s="46"/>
      <c r="J1346" s="46"/>
      <c r="L1346" s="5"/>
    </row>
    <row r="1347" spans="9:12" ht="13.2">
      <c r="I1347" s="46"/>
      <c r="J1347" s="46"/>
      <c r="L1347" s="5"/>
    </row>
    <row r="1348" spans="9:12" ht="13.2">
      <c r="I1348" s="46"/>
      <c r="J1348" s="46"/>
      <c r="L1348" s="5"/>
    </row>
    <row r="1349" spans="9:12" ht="13.2">
      <c r="I1349" s="46"/>
      <c r="J1349" s="46"/>
      <c r="L1349" s="5"/>
    </row>
    <row r="1350" spans="9:12" ht="13.2">
      <c r="I1350" s="46"/>
      <c r="J1350" s="46"/>
      <c r="L1350" s="5"/>
    </row>
    <row r="1351" spans="9:12" ht="13.2">
      <c r="I1351" s="46"/>
      <c r="J1351" s="46"/>
      <c r="L1351" s="5"/>
    </row>
    <row r="1352" spans="9:12" ht="13.2">
      <c r="I1352" s="46"/>
      <c r="J1352" s="46"/>
      <c r="L1352" s="5"/>
    </row>
    <row r="1353" spans="9:12" ht="13.2">
      <c r="I1353" s="46"/>
      <c r="J1353" s="46"/>
      <c r="L1353" s="5"/>
    </row>
    <row r="1354" spans="9:12" ht="13.2">
      <c r="I1354" s="46"/>
      <c r="J1354" s="46"/>
      <c r="L1354" s="5"/>
    </row>
    <row r="1355" spans="9:12" ht="13.2">
      <c r="I1355" s="46"/>
      <c r="J1355" s="46"/>
      <c r="L1355" s="5"/>
    </row>
    <row r="1356" spans="9:12" ht="13.2">
      <c r="I1356" s="46"/>
      <c r="J1356" s="46"/>
      <c r="L1356" s="5"/>
    </row>
    <row r="1357" spans="9:12" ht="13.2">
      <c r="I1357" s="46"/>
      <c r="J1357" s="46"/>
      <c r="L1357" s="5"/>
    </row>
    <row r="1358" spans="9:12" ht="13.2">
      <c r="I1358" s="46"/>
      <c r="J1358" s="46"/>
      <c r="L1358" s="5"/>
    </row>
    <row r="1359" spans="9:12" ht="13.2">
      <c r="I1359" s="46"/>
      <c r="J1359" s="46"/>
      <c r="L1359" s="5"/>
    </row>
    <row r="1360" spans="9:12" ht="13.2">
      <c r="I1360" s="46"/>
      <c r="J1360" s="46"/>
      <c r="L1360" s="5"/>
    </row>
    <row r="1361" spans="9:12" ht="13.2">
      <c r="I1361" s="46"/>
      <c r="J1361" s="46"/>
      <c r="L1361" s="5"/>
    </row>
    <row r="1362" spans="9:12" ht="13.2">
      <c r="I1362" s="46"/>
      <c r="J1362" s="46"/>
      <c r="L1362" s="5"/>
    </row>
    <row r="1363" spans="9:12" ht="13.2">
      <c r="I1363" s="46"/>
      <c r="J1363" s="46"/>
      <c r="L1363" s="5"/>
    </row>
    <row r="1364" spans="9:12" ht="13.2">
      <c r="I1364" s="46"/>
      <c r="J1364" s="46"/>
      <c r="L1364" s="5"/>
    </row>
    <row r="1365" spans="9:12" ht="13.2">
      <c r="I1365" s="46"/>
      <c r="J1365" s="46"/>
      <c r="L1365" s="5"/>
    </row>
    <row r="1366" spans="9:12" ht="13.2">
      <c r="I1366" s="46"/>
      <c r="J1366" s="46"/>
      <c r="L1366" s="5"/>
    </row>
    <row r="1367" spans="9:12" ht="13.2">
      <c r="I1367" s="46"/>
      <c r="J1367" s="46"/>
      <c r="L1367" s="5"/>
    </row>
    <row r="1368" spans="9:12" ht="13.2">
      <c r="I1368" s="46"/>
      <c r="J1368" s="46"/>
      <c r="L1368" s="5"/>
    </row>
    <row r="1369" spans="9:12" ht="13.2">
      <c r="I1369" s="46"/>
      <c r="J1369" s="46"/>
      <c r="L1369" s="5"/>
    </row>
    <row r="1370" spans="9:12" ht="13.2">
      <c r="I1370" s="46"/>
      <c r="J1370" s="46"/>
      <c r="L1370" s="5"/>
    </row>
    <row r="1371" spans="9:12" ht="13.2">
      <c r="I1371" s="46"/>
      <c r="J1371" s="46"/>
      <c r="L1371" s="5"/>
    </row>
    <row r="1372" spans="9:12" ht="13.2">
      <c r="I1372" s="46"/>
      <c r="J1372" s="46"/>
      <c r="L1372" s="5"/>
    </row>
    <row r="1373" spans="9:12" ht="13.2">
      <c r="I1373" s="46"/>
      <c r="J1373" s="46"/>
      <c r="L1373" s="5"/>
    </row>
    <row r="1374" spans="9:12" ht="13.2">
      <c r="I1374" s="46"/>
      <c r="J1374" s="46"/>
      <c r="L1374" s="5"/>
    </row>
    <row r="1375" spans="9:12" ht="13.2">
      <c r="I1375" s="46"/>
      <c r="J1375" s="46"/>
      <c r="L1375" s="5"/>
    </row>
    <row r="1376" spans="9:12" ht="13.2">
      <c r="I1376" s="46"/>
      <c r="J1376" s="46"/>
      <c r="L1376" s="5"/>
    </row>
    <row r="1377" spans="9:12" ht="13.2">
      <c r="I1377" s="46"/>
      <c r="J1377" s="46"/>
      <c r="L1377" s="5"/>
    </row>
    <row r="1378" spans="9:12" ht="13.2">
      <c r="I1378" s="46"/>
      <c r="J1378" s="46"/>
      <c r="L1378" s="5"/>
    </row>
    <row r="1379" spans="9:12" ht="13.2">
      <c r="I1379" s="46"/>
      <c r="J1379" s="46"/>
      <c r="L1379" s="5"/>
    </row>
    <row r="1380" spans="9:12" ht="13.2">
      <c r="I1380" s="46"/>
      <c r="J1380" s="46"/>
      <c r="L1380" s="5"/>
    </row>
    <row r="1381" spans="9:12" ht="13.2">
      <c r="I1381" s="46"/>
      <c r="J1381" s="46"/>
      <c r="L1381" s="5"/>
    </row>
    <row r="1382" spans="9:12" ht="13.2">
      <c r="I1382" s="46"/>
      <c r="J1382" s="46"/>
      <c r="L1382" s="5"/>
    </row>
    <row r="1383" spans="9:12" ht="13.2">
      <c r="I1383" s="46"/>
      <c r="J1383" s="46"/>
      <c r="L1383" s="5"/>
    </row>
    <row r="1384" spans="9:12" ht="13.2">
      <c r="I1384" s="46"/>
      <c r="J1384" s="46"/>
      <c r="L1384" s="5"/>
    </row>
    <row r="1385" spans="9:12" ht="13.2">
      <c r="I1385" s="46"/>
      <c r="J1385" s="46"/>
      <c r="L1385" s="5"/>
    </row>
    <row r="1386" spans="9:12" ht="13.2">
      <c r="I1386" s="46"/>
      <c r="J1386" s="46"/>
      <c r="L1386" s="5"/>
    </row>
    <row r="1387" spans="9:12" ht="13.2">
      <c r="I1387" s="46"/>
      <c r="J1387" s="46"/>
      <c r="L1387" s="5"/>
    </row>
    <row r="1388" spans="9:12" ht="13.2">
      <c r="I1388" s="46"/>
      <c r="J1388" s="46"/>
      <c r="L1388" s="5"/>
    </row>
    <row r="1389" spans="9:12" ht="13.2">
      <c r="I1389" s="46"/>
      <c r="J1389" s="46"/>
      <c r="L1389" s="5"/>
    </row>
    <row r="1390" spans="9:12" ht="13.2">
      <c r="I1390" s="46"/>
      <c r="J1390" s="46"/>
      <c r="L1390" s="5"/>
    </row>
    <row r="1391" spans="9:12" ht="13.2">
      <c r="I1391" s="46"/>
      <c r="J1391" s="46"/>
      <c r="L1391" s="5"/>
    </row>
    <row r="1392" spans="9:12" ht="13.2">
      <c r="I1392" s="46"/>
      <c r="J1392" s="46"/>
      <c r="L1392" s="5"/>
    </row>
    <row r="1393" spans="9:12" ht="13.2">
      <c r="I1393" s="46"/>
      <c r="J1393" s="46"/>
      <c r="L1393" s="5"/>
    </row>
    <row r="1394" spans="9:12" ht="13.2">
      <c r="I1394" s="46"/>
      <c r="J1394" s="46"/>
      <c r="L1394" s="5"/>
    </row>
    <row r="1395" spans="9:12" ht="13.2">
      <c r="I1395" s="46"/>
      <c r="J1395" s="46"/>
      <c r="L1395" s="5"/>
    </row>
    <row r="1396" spans="9:12" ht="13.2">
      <c r="I1396" s="46"/>
      <c r="J1396" s="46"/>
      <c r="L1396" s="5"/>
    </row>
    <row r="1397" spans="9:12" ht="13.2">
      <c r="I1397" s="46"/>
      <c r="J1397" s="46"/>
      <c r="L1397" s="5"/>
    </row>
    <row r="1398" spans="9:12" ht="13.2">
      <c r="I1398" s="46"/>
      <c r="J1398" s="46"/>
      <c r="L1398" s="5"/>
    </row>
    <row r="1399" spans="9:12" ht="13.2">
      <c r="I1399" s="46"/>
      <c r="J1399" s="46"/>
      <c r="L1399" s="5"/>
    </row>
    <row r="1400" spans="9:12" ht="13.2">
      <c r="I1400" s="46"/>
      <c r="J1400" s="46"/>
      <c r="L1400" s="5"/>
    </row>
    <row r="1401" spans="9:12" ht="13.2">
      <c r="I1401" s="46"/>
      <c r="J1401" s="46"/>
      <c r="L1401" s="5"/>
    </row>
    <row r="1402" spans="9:12" ht="13.2">
      <c r="I1402" s="46"/>
      <c r="J1402" s="46"/>
      <c r="L1402" s="5"/>
    </row>
    <row r="1403" spans="9:12" ht="13.2">
      <c r="I1403" s="46"/>
      <c r="J1403" s="46"/>
      <c r="L1403" s="5"/>
    </row>
    <row r="1404" spans="9:12" ht="13.2">
      <c r="I1404" s="46"/>
      <c r="J1404" s="46"/>
      <c r="L1404" s="5"/>
    </row>
    <row r="1405" spans="9:12" ht="13.2">
      <c r="I1405" s="46"/>
      <c r="J1405" s="46"/>
      <c r="L1405" s="5"/>
    </row>
    <row r="1406" spans="9:12" ht="13.2">
      <c r="I1406" s="46"/>
      <c r="J1406" s="46"/>
      <c r="L1406" s="5"/>
    </row>
    <row r="1407" spans="9:12" ht="13.2">
      <c r="I1407" s="46"/>
      <c r="J1407" s="46"/>
      <c r="L1407" s="5"/>
    </row>
    <row r="1408" spans="9:12" ht="13.2">
      <c r="I1408" s="46"/>
      <c r="J1408" s="46"/>
      <c r="L1408" s="5"/>
    </row>
    <row r="1409" spans="9:12" ht="13.2">
      <c r="I1409" s="46"/>
      <c r="J1409" s="46"/>
      <c r="L1409" s="5"/>
    </row>
    <row r="1410" spans="9:12" ht="13.2">
      <c r="I1410" s="46"/>
      <c r="J1410" s="46"/>
      <c r="L1410" s="5"/>
    </row>
    <row r="1411" spans="9:12" ht="13.2">
      <c r="I1411" s="46"/>
      <c r="J1411" s="46"/>
      <c r="L1411" s="5"/>
    </row>
    <row r="1412" spans="9:12" ht="13.2">
      <c r="I1412" s="46"/>
      <c r="J1412" s="46"/>
      <c r="L1412" s="5"/>
    </row>
    <row r="1413" spans="9:12" ht="13.2">
      <c r="I1413" s="46"/>
      <c r="J1413" s="46"/>
      <c r="L1413" s="5"/>
    </row>
    <row r="1414" spans="9:12" ht="13.2">
      <c r="I1414" s="46"/>
      <c r="J1414" s="46"/>
      <c r="L1414" s="5"/>
    </row>
    <row r="1415" spans="9:12" ht="13.2">
      <c r="I1415" s="46"/>
      <c r="J1415" s="46"/>
      <c r="L1415" s="5"/>
    </row>
    <row r="1416" spans="9:12" ht="13.2">
      <c r="I1416" s="46"/>
      <c r="J1416" s="46"/>
      <c r="L1416" s="5"/>
    </row>
    <row r="1417" spans="9:12" ht="13.2">
      <c r="I1417" s="46"/>
      <c r="J1417" s="46"/>
      <c r="L1417" s="5"/>
    </row>
    <row r="1418" spans="9:12" ht="13.2">
      <c r="I1418" s="46"/>
      <c r="J1418" s="46"/>
      <c r="L1418" s="5"/>
    </row>
    <row r="1419" spans="9:12" ht="13.2">
      <c r="I1419" s="46"/>
      <c r="J1419" s="46"/>
      <c r="L1419" s="5"/>
    </row>
    <row r="1420" spans="9:12" ht="13.2">
      <c r="I1420" s="46"/>
      <c r="J1420" s="46"/>
      <c r="L1420" s="5"/>
    </row>
    <row r="1421" spans="9:12" ht="13.2">
      <c r="I1421" s="46"/>
      <c r="J1421" s="46"/>
      <c r="L1421" s="5"/>
    </row>
    <row r="1422" spans="9:12" ht="13.2">
      <c r="I1422" s="46"/>
      <c r="J1422" s="46"/>
      <c r="L1422" s="5"/>
    </row>
    <row r="1423" spans="9:12" ht="13.2">
      <c r="I1423" s="46"/>
      <c r="J1423" s="46"/>
      <c r="L1423" s="5"/>
    </row>
    <row r="1424" spans="9:12" ht="13.2">
      <c r="I1424" s="46"/>
      <c r="J1424" s="46"/>
      <c r="L1424" s="5"/>
    </row>
    <row r="1425" spans="9:12" ht="13.2">
      <c r="I1425" s="46"/>
      <c r="J1425" s="46"/>
      <c r="L1425" s="5"/>
    </row>
    <row r="1426" spans="9:12" ht="13.2">
      <c r="I1426" s="46"/>
      <c r="J1426" s="46"/>
      <c r="L1426" s="5"/>
    </row>
    <row r="1427" spans="9:12" ht="13.2">
      <c r="I1427" s="46"/>
      <c r="J1427" s="46"/>
      <c r="L1427" s="5"/>
    </row>
    <row r="1428" spans="9:12" ht="13.2">
      <c r="I1428" s="46"/>
      <c r="J1428" s="46"/>
      <c r="L1428" s="5"/>
    </row>
    <row r="1429" spans="9:12" ht="13.2">
      <c r="I1429" s="46"/>
      <c r="J1429" s="46"/>
      <c r="L1429" s="5"/>
    </row>
    <row r="1430" spans="9:12" ht="13.2">
      <c r="I1430" s="46"/>
      <c r="J1430" s="46"/>
      <c r="L1430" s="5"/>
    </row>
    <row r="1431" spans="9:12" ht="13.2">
      <c r="I1431" s="46"/>
      <c r="J1431" s="46"/>
      <c r="L1431" s="5"/>
    </row>
    <row r="1432" spans="9:12" ht="13.2">
      <c r="I1432" s="46"/>
      <c r="J1432" s="46"/>
      <c r="L1432" s="5"/>
    </row>
    <row r="1433" spans="9:12" ht="13.2">
      <c r="I1433" s="46"/>
      <c r="J1433" s="46"/>
      <c r="L1433" s="5"/>
    </row>
    <row r="1434" spans="9:12" ht="13.2">
      <c r="I1434" s="46"/>
      <c r="J1434" s="46"/>
      <c r="L1434" s="5"/>
    </row>
    <row r="1435" spans="9:12" ht="13.2">
      <c r="I1435" s="46"/>
      <c r="J1435" s="46"/>
      <c r="L1435" s="5"/>
    </row>
    <row r="1436" spans="9:12" ht="13.2">
      <c r="I1436" s="46"/>
      <c r="J1436" s="46"/>
      <c r="L1436" s="5"/>
    </row>
    <row r="1437" spans="9:12" ht="13.2">
      <c r="I1437" s="46"/>
      <c r="J1437" s="46"/>
      <c r="L1437" s="5"/>
    </row>
    <row r="1438" spans="9:12" ht="13.2">
      <c r="I1438" s="46"/>
      <c r="J1438" s="46"/>
      <c r="L1438" s="5"/>
    </row>
    <row r="1439" spans="9:12" ht="13.2">
      <c r="I1439" s="46"/>
      <c r="J1439" s="46"/>
      <c r="L1439" s="5"/>
    </row>
    <row r="1440" spans="9:12" ht="13.2">
      <c r="I1440" s="46"/>
      <c r="J1440" s="46"/>
      <c r="L1440" s="5"/>
    </row>
    <row r="1441" spans="9:12" ht="13.2">
      <c r="I1441" s="46"/>
      <c r="J1441" s="46"/>
      <c r="L1441" s="5"/>
    </row>
    <row r="1442" spans="9:12" ht="13.2">
      <c r="I1442" s="46"/>
      <c r="J1442" s="46"/>
      <c r="L1442" s="5"/>
    </row>
    <row r="1443" spans="9:12" ht="13.2">
      <c r="I1443" s="46"/>
      <c r="J1443" s="46"/>
      <c r="L1443" s="5"/>
    </row>
    <row r="1444" spans="9:12" ht="13.2">
      <c r="I1444" s="46"/>
      <c r="J1444" s="46"/>
      <c r="L1444" s="5"/>
    </row>
    <row r="1445" spans="9:12" ht="13.2">
      <c r="I1445" s="46"/>
      <c r="J1445" s="46"/>
      <c r="L1445" s="5"/>
    </row>
    <row r="1446" spans="9:12" ht="13.2">
      <c r="I1446" s="46"/>
      <c r="J1446" s="46"/>
      <c r="L1446" s="5"/>
    </row>
    <row r="1447" spans="9:12" ht="13.2">
      <c r="I1447" s="46"/>
      <c r="J1447" s="46"/>
      <c r="L1447" s="5"/>
    </row>
    <row r="1448" spans="9:12" ht="13.2">
      <c r="I1448" s="46"/>
      <c r="J1448" s="46"/>
      <c r="L1448" s="5"/>
    </row>
    <row r="1449" spans="9:12" ht="13.2">
      <c r="I1449" s="46"/>
      <c r="J1449" s="46"/>
      <c r="L1449" s="5"/>
    </row>
    <row r="1450" spans="9:12" ht="13.2">
      <c r="I1450" s="46"/>
      <c r="J1450" s="46"/>
      <c r="L1450" s="5"/>
    </row>
    <row r="1451" spans="9:12" ht="13.2">
      <c r="I1451" s="46"/>
      <c r="J1451" s="46"/>
      <c r="L1451" s="5"/>
    </row>
    <row r="1452" spans="9:12" ht="13.2">
      <c r="I1452" s="46"/>
      <c r="J1452" s="46"/>
      <c r="L1452" s="5"/>
    </row>
    <row r="1453" spans="9:12" ht="13.2">
      <c r="I1453" s="46"/>
      <c r="J1453" s="46"/>
      <c r="L1453" s="5"/>
    </row>
    <row r="1454" spans="9:12" ht="13.2">
      <c r="I1454" s="46"/>
      <c r="J1454" s="46"/>
      <c r="L1454" s="5"/>
    </row>
    <row r="1455" spans="9:12" ht="13.2">
      <c r="I1455" s="46"/>
      <c r="J1455" s="46"/>
      <c r="L1455" s="5"/>
    </row>
    <row r="1456" spans="9:12" ht="13.2">
      <c r="I1456" s="46"/>
      <c r="J1456" s="46"/>
      <c r="L1456" s="5"/>
    </row>
    <row r="1457" spans="9:12" ht="13.2">
      <c r="I1457" s="46"/>
      <c r="J1457" s="46"/>
      <c r="L1457" s="5"/>
    </row>
    <row r="1458" spans="9:12" ht="13.2">
      <c r="I1458" s="46"/>
      <c r="J1458" s="46"/>
      <c r="L1458" s="5"/>
    </row>
    <row r="1459" spans="9:12" ht="13.2">
      <c r="I1459" s="46"/>
      <c r="J1459" s="46"/>
      <c r="L1459" s="5"/>
    </row>
    <row r="1460" spans="9:12" ht="13.2">
      <c r="I1460" s="46"/>
      <c r="J1460" s="46"/>
      <c r="L1460" s="5"/>
    </row>
    <row r="1461" spans="9:12" ht="13.2">
      <c r="I1461" s="46"/>
      <c r="J1461" s="46"/>
      <c r="L1461" s="5"/>
    </row>
    <row r="1462" spans="9:12" ht="13.2">
      <c r="I1462" s="46"/>
      <c r="J1462" s="46"/>
      <c r="L1462" s="5"/>
    </row>
    <row r="1463" spans="9:12" ht="13.2">
      <c r="I1463" s="46"/>
      <c r="J1463" s="46"/>
      <c r="L1463" s="5"/>
    </row>
    <row r="1464" spans="9:12" ht="13.2">
      <c r="I1464" s="46"/>
      <c r="J1464" s="46"/>
      <c r="L1464" s="5"/>
    </row>
    <row r="1465" spans="9:12" ht="13.2">
      <c r="I1465" s="46"/>
      <c r="J1465" s="46"/>
      <c r="L1465" s="5"/>
    </row>
    <row r="1466" spans="9:12" ht="13.2">
      <c r="I1466" s="46"/>
      <c r="J1466" s="46"/>
      <c r="L1466" s="5"/>
    </row>
    <row r="1467" spans="9:12" ht="13.2">
      <c r="I1467" s="46"/>
      <c r="J1467" s="46"/>
      <c r="L1467" s="5"/>
    </row>
    <row r="1468" spans="9:12" ht="13.2">
      <c r="I1468" s="46"/>
      <c r="J1468" s="46"/>
      <c r="L1468" s="5"/>
    </row>
    <row r="1469" spans="9:12" ht="13.2">
      <c r="I1469" s="46"/>
      <c r="J1469" s="46"/>
      <c r="L1469" s="5"/>
    </row>
    <row r="1470" spans="9:12" ht="13.2">
      <c r="I1470" s="46"/>
      <c r="J1470" s="46"/>
      <c r="L1470" s="5"/>
    </row>
    <row r="1471" spans="9:12" ht="13.2">
      <c r="I1471" s="46"/>
      <c r="J1471" s="46"/>
      <c r="L1471" s="5"/>
    </row>
    <row r="1472" spans="9:12" ht="13.2">
      <c r="I1472" s="46"/>
      <c r="J1472" s="46"/>
      <c r="L1472" s="5"/>
    </row>
    <row r="1473" spans="9:12" ht="13.2">
      <c r="I1473" s="46"/>
      <c r="J1473" s="46"/>
      <c r="L1473" s="5"/>
    </row>
    <row r="1474" spans="9:12" ht="13.2">
      <c r="I1474" s="46"/>
      <c r="J1474" s="46"/>
      <c r="L1474" s="5"/>
    </row>
    <row r="1475" spans="9:12" ht="13.2">
      <c r="I1475" s="46"/>
      <c r="J1475" s="46"/>
      <c r="L1475" s="5"/>
    </row>
    <row r="1476" spans="9:12" ht="13.2">
      <c r="I1476" s="46"/>
      <c r="J1476" s="46"/>
      <c r="L1476" s="5"/>
    </row>
    <row r="1477" spans="9:12" ht="13.2">
      <c r="I1477" s="46"/>
      <c r="J1477" s="46"/>
      <c r="L1477" s="5"/>
    </row>
    <row r="1478" spans="9:12" ht="13.2">
      <c r="I1478" s="46"/>
      <c r="J1478" s="46"/>
      <c r="L1478" s="5"/>
    </row>
    <row r="1479" spans="9:12" ht="13.2">
      <c r="I1479" s="46"/>
      <c r="J1479" s="46"/>
      <c r="L1479" s="5"/>
    </row>
    <row r="1480" spans="9:12" ht="13.2">
      <c r="I1480" s="46"/>
      <c r="J1480" s="46"/>
      <c r="L1480" s="5"/>
    </row>
    <row r="1481" spans="9:12" ht="13.2">
      <c r="I1481" s="46"/>
      <c r="J1481" s="46"/>
      <c r="L1481" s="5"/>
    </row>
    <row r="1482" spans="9:12" ht="13.2">
      <c r="I1482" s="46"/>
      <c r="J1482" s="46"/>
      <c r="L1482" s="5"/>
    </row>
    <row r="1483" spans="9:12" ht="13.2">
      <c r="I1483" s="46"/>
      <c r="J1483" s="46"/>
      <c r="L1483" s="5"/>
    </row>
    <row r="1484" spans="9:12" ht="13.2">
      <c r="I1484" s="46"/>
      <c r="J1484" s="46"/>
      <c r="L1484" s="5"/>
    </row>
    <row r="1485" spans="9:12" ht="13.2">
      <c r="I1485" s="46"/>
      <c r="J1485" s="46"/>
      <c r="L1485" s="5"/>
    </row>
    <row r="1486" spans="9:12" ht="13.2">
      <c r="I1486" s="46"/>
      <c r="J1486" s="46"/>
      <c r="L1486" s="5"/>
    </row>
    <row r="1487" spans="9:12" ht="13.2">
      <c r="I1487" s="46"/>
      <c r="J1487" s="46"/>
      <c r="L1487" s="5"/>
    </row>
    <row r="1488" spans="9:12" ht="13.2">
      <c r="I1488" s="46"/>
      <c r="J1488" s="46"/>
      <c r="L1488" s="5"/>
    </row>
    <row r="1489" spans="9:12" ht="13.2">
      <c r="I1489" s="46"/>
      <c r="J1489" s="46"/>
      <c r="L1489" s="5"/>
    </row>
    <row r="1490" spans="9:12" ht="13.2">
      <c r="I1490" s="46"/>
      <c r="J1490" s="46"/>
      <c r="L1490" s="5"/>
    </row>
    <row r="1491" spans="9:12" ht="13.2">
      <c r="I1491" s="46"/>
      <c r="J1491" s="46"/>
      <c r="L1491" s="5"/>
    </row>
    <row r="1492" spans="9:12" ht="13.2">
      <c r="I1492" s="46"/>
      <c r="J1492" s="46"/>
      <c r="L1492" s="5"/>
    </row>
    <row r="1493" spans="9:12" ht="13.2">
      <c r="I1493" s="46"/>
      <c r="J1493" s="46"/>
      <c r="L1493" s="5"/>
    </row>
    <row r="1494" spans="9:12" ht="13.2">
      <c r="I1494" s="46"/>
      <c r="J1494" s="46"/>
      <c r="L1494" s="5"/>
    </row>
    <row r="1495" spans="9:12" ht="13.2">
      <c r="I1495" s="46"/>
      <c r="J1495" s="46"/>
      <c r="L1495" s="5"/>
    </row>
    <row r="1496" spans="9:12" ht="13.2">
      <c r="I1496" s="46"/>
      <c r="J1496" s="46"/>
      <c r="L1496" s="5"/>
    </row>
    <row r="1497" spans="9:12" ht="13.2">
      <c r="I1497" s="46"/>
      <c r="J1497" s="46"/>
      <c r="L1497" s="5"/>
    </row>
    <row r="1498" spans="9:12" ht="13.2">
      <c r="I1498" s="46"/>
      <c r="J1498" s="46"/>
      <c r="L1498" s="5"/>
    </row>
    <row r="1499" spans="9:12" ht="13.2">
      <c r="I1499" s="46"/>
      <c r="J1499" s="46"/>
      <c r="L1499" s="5"/>
    </row>
    <row r="1500" spans="9:12" ht="13.2">
      <c r="I1500" s="46"/>
      <c r="J1500" s="46"/>
      <c r="L1500" s="5"/>
    </row>
    <row r="1501" spans="9:12" ht="13.2">
      <c r="I1501" s="46"/>
      <c r="J1501" s="46"/>
      <c r="L1501" s="5"/>
    </row>
    <row r="1502" spans="9:12" ht="13.2">
      <c r="I1502" s="46"/>
      <c r="J1502" s="46"/>
      <c r="L1502" s="5"/>
    </row>
    <row r="1503" spans="9:12" ht="13.2">
      <c r="I1503" s="46"/>
      <c r="J1503" s="46"/>
      <c r="L1503" s="5"/>
    </row>
  </sheetData>
  <mergeCells count="1">
    <mergeCell ref="A1:M1"/>
  </mergeCells>
  <conditionalFormatting sqref="I2:I1503">
    <cfRule type="cellIs" dxfId="13" priority="1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#REF!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E215"/>
  <sheetViews>
    <sheetView workbookViewId="0"/>
  </sheetViews>
  <sheetFormatPr defaultColWidth="12.6640625" defaultRowHeight="15.75" customHeight="1"/>
  <sheetData>
    <row r="1" spans="1:57" ht="15.75" customHeight="1">
      <c r="A1" s="31"/>
      <c r="B1" s="32" t="s">
        <v>102</v>
      </c>
      <c r="C1" s="32" t="s">
        <v>100</v>
      </c>
      <c r="D1" s="32" t="s">
        <v>101</v>
      </c>
      <c r="E1" s="135"/>
      <c r="F1" s="1"/>
      <c r="G1" s="35"/>
      <c r="J1" s="35"/>
      <c r="K1" s="35"/>
      <c r="L1" s="35"/>
      <c r="M1" s="35"/>
      <c r="N1" s="35"/>
      <c r="O1" s="34"/>
      <c r="P1" s="34"/>
      <c r="Q1" s="34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4"/>
      <c r="AU1" s="35"/>
      <c r="AV1" s="1"/>
      <c r="AW1" s="36"/>
      <c r="AX1" s="37"/>
      <c r="AY1" s="1"/>
      <c r="AZ1" s="1"/>
      <c r="BA1" s="1"/>
      <c r="BB1" s="1"/>
      <c r="BC1" s="1"/>
      <c r="BD1" s="1"/>
    </row>
    <row r="2" spans="1:57" ht="15.75" customHeight="1">
      <c r="A2" s="7"/>
      <c r="B2" s="7">
        <v>212</v>
      </c>
      <c r="C2" s="38">
        <v>168</v>
      </c>
      <c r="D2" s="136">
        <v>44</v>
      </c>
      <c r="E2" s="10" t="s">
        <v>102</v>
      </c>
      <c r="F2" s="1"/>
      <c r="G2" s="35"/>
      <c r="H2" s="39">
        <v>8722639</v>
      </c>
      <c r="I2" s="39">
        <v>343667725.398</v>
      </c>
      <c r="J2" s="39">
        <v>38517335.133216664</v>
      </c>
      <c r="K2" s="39">
        <v>1850600901</v>
      </c>
      <c r="L2" s="39">
        <v>1106417252.4400003</v>
      </c>
      <c r="M2" s="39">
        <v>18325797.039999999</v>
      </c>
      <c r="N2" s="39">
        <v>1106388961.9000003</v>
      </c>
      <c r="O2" s="40">
        <v>0.59537991215531616</v>
      </c>
      <c r="P2" s="40">
        <v>1.0165376185698913</v>
      </c>
      <c r="Q2" s="40">
        <v>0.58566422193067014</v>
      </c>
      <c r="R2" s="39">
        <v>14276</v>
      </c>
      <c r="S2" s="39">
        <v>13372</v>
      </c>
      <c r="T2" s="39">
        <v>1981</v>
      </c>
      <c r="U2" s="39">
        <v>1561</v>
      </c>
      <c r="V2" s="39">
        <v>16257</v>
      </c>
      <c r="W2" s="39">
        <v>2885</v>
      </c>
      <c r="X2" s="39">
        <v>970508084.95000017</v>
      </c>
      <c r="Y2" s="39">
        <v>135888157.49000004</v>
      </c>
      <c r="Z2" s="39">
        <v>6123</v>
      </c>
      <c r="AA2" s="39">
        <v>1561</v>
      </c>
      <c r="AB2" s="39">
        <v>7684</v>
      </c>
      <c r="AC2" s="39">
        <v>58</v>
      </c>
      <c r="AD2" s="39">
        <v>11769</v>
      </c>
      <c r="AE2" s="39">
        <v>22328</v>
      </c>
      <c r="AF2" s="39">
        <v>18348</v>
      </c>
      <c r="AG2" s="39">
        <v>553</v>
      </c>
      <c r="AH2" s="39">
        <v>8253</v>
      </c>
      <c r="AI2" s="39">
        <v>116</v>
      </c>
      <c r="AJ2" s="39">
        <v>989</v>
      </c>
      <c r="AK2" s="39">
        <v>964</v>
      </c>
      <c r="AL2" s="39">
        <v>3676</v>
      </c>
      <c r="AM2" s="39">
        <v>84617</v>
      </c>
      <c r="AN2" s="39">
        <v>119863</v>
      </c>
      <c r="AO2" s="39">
        <v>24602</v>
      </c>
      <c r="AP2" s="39">
        <v>45717.545300382095</v>
      </c>
      <c r="AQ2" s="39">
        <v>3.4394358182261606</v>
      </c>
      <c r="AR2" s="39">
        <v>43704539.966344081</v>
      </c>
      <c r="AS2" s="39">
        <v>7450037</v>
      </c>
      <c r="AT2" s="40">
        <v>4.5481122990708195E-2</v>
      </c>
      <c r="AU2" s="39">
        <v>143989.75174908905</v>
      </c>
      <c r="AV2" s="33"/>
      <c r="AW2" s="137"/>
      <c r="AX2" s="86"/>
      <c r="AY2" s="33"/>
      <c r="AZ2" s="33"/>
      <c r="BA2" s="33"/>
      <c r="BB2" s="33"/>
      <c r="BC2" s="1"/>
      <c r="BD2" s="1"/>
    </row>
    <row r="3" spans="1:57" ht="15.75" customHeight="1">
      <c r="A3" s="8" t="s">
        <v>30</v>
      </c>
      <c r="B3" s="9" t="s">
        <v>31</v>
      </c>
      <c r="C3" s="10" t="s">
        <v>6</v>
      </c>
      <c r="D3" s="10" t="s">
        <v>32</v>
      </c>
      <c r="E3" s="12" t="s">
        <v>34</v>
      </c>
      <c r="F3" s="10" t="s">
        <v>35</v>
      </c>
      <c r="G3" s="13" t="s">
        <v>36</v>
      </c>
      <c r="H3" s="12" t="s">
        <v>129</v>
      </c>
      <c r="I3" s="12" t="s">
        <v>130</v>
      </c>
      <c r="J3" s="13" t="s">
        <v>37</v>
      </c>
      <c r="K3" s="13" t="s">
        <v>39</v>
      </c>
      <c r="L3" s="13" t="s">
        <v>40</v>
      </c>
      <c r="M3" s="12" t="s">
        <v>41</v>
      </c>
      <c r="N3" s="12" t="s">
        <v>42</v>
      </c>
      <c r="O3" s="14" t="s">
        <v>43</v>
      </c>
      <c r="P3" s="15" t="s">
        <v>44</v>
      </c>
      <c r="Q3" s="12" t="s">
        <v>46</v>
      </c>
      <c r="R3" s="12" t="s">
        <v>47</v>
      </c>
      <c r="S3" s="12" t="s">
        <v>48</v>
      </c>
      <c r="T3" s="12" t="s">
        <v>49</v>
      </c>
      <c r="U3" s="16" t="s">
        <v>50</v>
      </c>
      <c r="V3" s="12" t="s">
        <v>52</v>
      </c>
      <c r="W3" s="12" t="s">
        <v>53</v>
      </c>
      <c r="X3" s="16" t="s">
        <v>54</v>
      </c>
      <c r="Y3" s="16" t="s">
        <v>55</v>
      </c>
      <c r="Z3" s="15" t="s">
        <v>56</v>
      </c>
      <c r="AA3" s="15" t="s">
        <v>57</v>
      </c>
      <c r="AB3" s="12" t="s">
        <v>58</v>
      </c>
      <c r="AC3" s="12" t="s">
        <v>59</v>
      </c>
      <c r="AD3" s="12" t="s">
        <v>60</v>
      </c>
      <c r="AE3" s="12" t="s">
        <v>61</v>
      </c>
      <c r="AF3" s="15" t="s">
        <v>62</v>
      </c>
      <c r="AG3" s="15" t="s">
        <v>63</v>
      </c>
      <c r="AH3" s="12" t="s">
        <v>64</v>
      </c>
      <c r="AI3" s="15" t="s">
        <v>65</v>
      </c>
      <c r="AJ3" s="12" t="s">
        <v>66</v>
      </c>
      <c r="AK3" s="15" t="s">
        <v>68</v>
      </c>
      <c r="AL3" s="12" t="s">
        <v>69</v>
      </c>
      <c r="AM3" s="12" t="s">
        <v>70</v>
      </c>
      <c r="AN3" s="12" t="s">
        <v>71</v>
      </c>
      <c r="AO3" s="12" t="s">
        <v>72</v>
      </c>
      <c r="AP3" s="12" t="s">
        <v>73</v>
      </c>
      <c r="AQ3" s="12" t="s">
        <v>74</v>
      </c>
      <c r="AR3" s="12" t="s">
        <v>75</v>
      </c>
      <c r="AS3" s="12" t="s">
        <v>76</v>
      </c>
      <c r="AT3" s="14" t="s">
        <v>77</v>
      </c>
      <c r="AU3" s="12" t="s">
        <v>78</v>
      </c>
      <c r="AV3" s="15" t="s">
        <v>79</v>
      </c>
      <c r="AW3" s="17" t="s">
        <v>80</v>
      </c>
      <c r="AX3" s="16" t="s">
        <v>82</v>
      </c>
      <c r="AY3" s="15" t="s">
        <v>83</v>
      </c>
      <c r="AZ3" s="15" t="s">
        <v>84</v>
      </c>
      <c r="BA3" s="15" t="s">
        <v>86</v>
      </c>
      <c r="BB3" s="15" t="s">
        <v>87</v>
      </c>
      <c r="BC3" s="12" t="s">
        <v>88</v>
      </c>
      <c r="BD3" s="12" t="s">
        <v>89</v>
      </c>
    </row>
    <row r="4" spans="1:57" ht="15.75" customHeight="1">
      <c r="A4" s="2" t="s">
        <v>118</v>
      </c>
      <c r="B4" s="19" t="s">
        <v>362</v>
      </c>
      <c r="C4" s="20" t="s">
        <v>29</v>
      </c>
      <c r="D4" s="21" t="s">
        <v>420</v>
      </c>
      <c r="E4" s="22">
        <v>39859</v>
      </c>
      <c r="F4" s="20" t="s">
        <v>419</v>
      </c>
      <c r="G4" s="23">
        <v>28690782.84</v>
      </c>
      <c r="H4" s="28">
        <v>70400</v>
      </c>
      <c r="I4" s="28"/>
      <c r="J4" s="23">
        <v>0</v>
      </c>
      <c r="K4" s="23">
        <v>0</v>
      </c>
      <c r="L4" s="23">
        <v>1199546.82</v>
      </c>
      <c r="M4" s="23">
        <v>0</v>
      </c>
      <c r="N4" s="23">
        <v>0</v>
      </c>
      <c r="O4" s="24"/>
      <c r="P4" s="24">
        <v>0</v>
      </c>
      <c r="Q4" s="24"/>
      <c r="R4" s="25">
        <v>171</v>
      </c>
      <c r="S4" s="26">
        <v>155</v>
      </c>
      <c r="T4" s="25">
        <v>9</v>
      </c>
      <c r="U4" s="25">
        <v>0</v>
      </c>
      <c r="V4" s="25">
        <v>180</v>
      </c>
      <c r="W4" s="25">
        <v>25</v>
      </c>
      <c r="X4" s="26">
        <v>1199546.82</v>
      </c>
      <c r="Y4" s="26">
        <v>0</v>
      </c>
      <c r="Z4" s="25">
        <v>12</v>
      </c>
      <c r="AA4" s="25">
        <v>0</v>
      </c>
      <c r="AB4" s="25">
        <v>12</v>
      </c>
      <c r="AC4" s="25">
        <v>0</v>
      </c>
      <c r="AD4" s="25">
        <v>9</v>
      </c>
      <c r="AE4" s="25">
        <v>11</v>
      </c>
      <c r="AF4" s="25">
        <v>76</v>
      </c>
      <c r="AG4" s="25">
        <v>10</v>
      </c>
      <c r="AH4" s="25">
        <v>110</v>
      </c>
      <c r="AI4" s="25">
        <v>1</v>
      </c>
      <c r="AJ4" s="25">
        <v>17</v>
      </c>
      <c r="AK4" s="25">
        <v>1</v>
      </c>
      <c r="AL4" s="25">
        <v>3</v>
      </c>
      <c r="AM4" s="25">
        <v>462</v>
      </c>
      <c r="AN4" s="25">
        <v>603</v>
      </c>
      <c r="AO4" s="25">
        <v>151</v>
      </c>
      <c r="AP4" s="23">
        <v>7944.018675496689</v>
      </c>
      <c r="AQ4" s="26">
        <v>3.0596026490066226</v>
      </c>
      <c r="AR4" s="23">
        <v>422400</v>
      </c>
      <c r="AS4" s="25">
        <v>63923</v>
      </c>
      <c r="AT4" s="24">
        <v>0.40542227438858952</v>
      </c>
      <c r="AU4" s="23">
        <v>99962.235000000001</v>
      </c>
      <c r="AV4" s="27">
        <v>21</v>
      </c>
      <c r="AW4" s="27">
        <v>1812</v>
      </c>
      <c r="AX4" s="42">
        <v>27391.19</v>
      </c>
      <c r="AY4" s="27">
        <v>177</v>
      </c>
      <c r="AZ4" s="27">
        <v>12</v>
      </c>
      <c r="BA4" s="27">
        <v>144</v>
      </c>
      <c r="BB4" s="27">
        <v>24</v>
      </c>
      <c r="BC4" s="29"/>
      <c r="BD4" s="21"/>
      <c r="BE4" s="3">
        <v>-0.82000000006519258</v>
      </c>
    </row>
    <row r="5" spans="1:57" ht="15.75" customHeight="1">
      <c r="A5" s="2" t="s">
        <v>118</v>
      </c>
      <c r="B5" s="19" t="s">
        <v>362</v>
      </c>
      <c r="C5" s="20" t="s">
        <v>85</v>
      </c>
      <c r="D5" s="21" t="s">
        <v>420</v>
      </c>
      <c r="E5" s="44">
        <v>39859</v>
      </c>
      <c r="F5" s="21" t="s">
        <v>419</v>
      </c>
      <c r="G5" s="23">
        <v>38475930.539999999</v>
      </c>
      <c r="H5" s="28">
        <v>60500</v>
      </c>
      <c r="I5" s="28">
        <v>5050000</v>
      </c>
      <c r="J5" s="23">
        <v>0</v>
      </c>
      <c r="K5" s="23">
        <v>30300000</v>
      </c>
      <c r="L5" s="23">
        <v>18871179.52</v>
      </c>
      <c r="M5" s="23">
        <v>0</v>
      </c>
      <c r="N5" s="23">
        <v>20552439</v>
      </c>
      <c r="O5" s="24">
        <v>0.62281120528052802</v>
      </c>
      <c r="P5" s="24">
        <v>0</v>
      </c>
      <c r="Q5" s="24">
        <v>0.67829831683168318</v>
      </c>
      <c r="R5" s="25">
        <v>109</v>
      </c>
      <c r="S5" s="25">
        <v>92</v>
      </c>
      <c r="T5" s="25">
        <v>7</v>
      </c>
      <c r="U5" s="25">
        <v>6</v>
      </c>
      <c r="V5" s="25">
        <v>116</v>
      </c>
      <c r="W5" s="25">
        <v>24</v>
      </c>
      <c r="X5" s="26">
        <v>17174350.329999998</v>
      </c>
      <c r="Y5" s="26">
        <v>1696829.19</v>
      </c>
      <c r="Z5" s="25">
        <v>77</v>
      </c>
      <c r="AA5" s="25">
        <v>6</v>
      </c>
      <c r="AB5" s="25">
        <v>83</v>
      </c>
      <c r="AC5" s="25">
        <v>0</v>
      </c>
      <c r="AD5" s="25">
        <v>6</v>
      </c>
      <c r="AE5" s="25">
        <v>6</v>
      </c>
      <c r="AF5" s="25">
        <v>78</v>
      </c>
      <c r="AG5" s="25">
        <v>7</v>
      </c>
      <c r="AH5" s="25">
        <v>76</v>
      </c>
      <c r="AI5" s="25">
        <v>0</v>
      </c>
      <c r="AJ5" s="25">
        <v>0</v>
      </c>
      <c r="AK5" s="25">
        <v>1</v>
      </c>
      <c r="AL5" s="25">
        <v>1</v>
      </c>
      <c r="AM5" s="25">
        <v>501</v>
      </c>
      <c r="AN5" s="25">
        <v>584</v>
      </c>
      <c r="AO5" s="25">
        <v>146</v>
      </c>
      <c r="AP5" s="23">
        <v>129254.65424657534</v>
      </c>
      <c r="AQ5" s="26">
        <v>3.4315068493150687</v>
      </c>
      <c r="AR5" s="23">
        <v>363000</v>
      </c>
      <c r="AS5" s="25">
        <v>23470</v>
      </c>
      <c r="AT5" s="24">
        <v>2.0479377009286169E-2</v>
      </c>
      <c r="AU5" s="23">
        <v>227363.6086746988</v>
      </c>
      <c r="AV5" s="27">
        <v>241</v>
      </c>
      <c r="AW5" s="27">
        <v>1508</v>
      </c>
      <c r="AX5" s="42">
        <v>11370.2</v>
      </c>
      <c r="AY5" s="27">
        <v>124</v>
      </c>
      <c r="AZ5" s="27">
        <v>83</v>
      </c>
      <c r="BA5" s="27">
        <v>22</v>
      </c>
      <c r="BB5" s="27">
        <v>11</v>
      </c>
      <c r="BC5" s="29"/>
      <c r="BD5" s="41"/>
      <c r="BE5" s="3">
        <v>1.2600000016391277</v>
      </c>
    </row>
    <row r="6" spans="1:57" ht="15.75" customHeight="1">
      <c r="A6" s="2" t="s">
        <v>201</v>
      </c>
      <c r="B6" s="19" t="s">
        <v>431</v>
      </c>
      <c r="C6" s="20" t="s">
        <v>104</v>
      </c>
      <c r="D6" s="21" t="s">
        <v>433</v>
      </c>
      <c r="E6" s="44">
        <v>41004</v>
      </c>
      <c r="F6" s="21" t="s">
        <v>432</v>
      </c>
      <c r="G6" s="23">
        <v>45381670</v>
      </c>
      <c r="H6" s="28">
        <v>95834</v>
      </c>
      <c r="I6" s="28">
        <v>4166667</v>
      </c>
      <c r="J6" s="23">
        <v>1800000</v>
      </c>
      <c r="K6" s="23">
        <v>23200002</v>
      </c>
      <c r="L6" s="23">
        <v>16607304.33</v>
      </c>
      <c r="M6" s="23">
        <v>1526456.44</v>
      </c>
      <c r="N6" s="23">
        <v>17607029</v>
      </c>
      <c r="O6" s="24">
        <v>0.72535037277197012</v>
      </c>
      <c r="P6" s="24">
        <v>0.85</v>
      </c>
      <c r="Q6" s="24">
        <v>0.70428110365751173</v>
      </c>
      <c r="R6" s="25">
        <v>52</v>
      </c>
      <c r="S6" s="25">
        <v>58</v>
      </c>
      <c r="T6" s="25">
        <v>10</v>
      </c>
      <c r="U6" s="25">
        <v>9</v>
      </c>
      <c r="V6" s="25">
        <v>62</v>
      </c>
      <c r="W6" s="25">
        <v>4</v>
      </c>
      <c r="X6" s="26">
        <v>13924077.189999999</v>
      </c>
      <c r="Y6" s="26">
        <v>2683227.14</v>
      </c>
      <c r="Z6" s="25">
        <v>36</v>
      </c>
      <c r="AA6" s="25">
        <v>9</v>
      </c>
      <c r="AB6" s="25">
        <v>45</v>
      </c>
      <c r="AC6" s="25">
        <v>6</v>
      </c>
      <c r="AD6" s="25">
        <v>9</v>
      </c>
      <c r="AE6" s="25">
        <v>13</v>
      </c>
      <c r="AF6" s="25">
        <v>20</v>
      </c>
      <c r="AG6" s="25">
        <v>11</v>
      </c>
      <c r="AH6" s="25">
        <v>221</v>
      </c>
      <c r="AI6" s="25">
        <v>6</v>
      </c>
      <c r="AJ6" s="25">
        <v>49</v>
      </c>
      <c r="AK6" s="25">
        <v>2</v>
      </c>
      <c r="AL6" s="25">
        <v>4</v>
      </c>
      <c r="AM6" s="25">
        <v>315</v>
      </c>
      <c r="AN6" s="25">
        <v>602</v>
      </c>
      <c r="AO6" s="25">
        <v>134</v>
      </c>
      <c r="AP6" s="23">
        <v>135326.57291044775</v>
      </c>
      <c r="AQ6" s="26">
        <v>2.3507462686567164</v>
      </c>
      <c r="AR6" s="23">
        <v>575004</v>
      </c>
      <c r="AS6" s="25">
        <v>51061</v>
      </c>
      <c r="AT6" s="24">
        <v>3.4524829567385985E-2</v>
      </c>
      <c r="AU6" s="23">
        <v>369051.20733333332</v>
      </c>
      <c r="AV6" s="27">
        <v>245</v>
      </c>
      <c r="AW6" s="27">
        <v>1033</v>
      </c>
      <c r="AX6" s="42">
        <v>8089.53</v>
      </c>
      <c r="AY6" s="27">
        <v>139</v>
      </c>
      <c r="AZ6" s="27">
        <v>45</v>
      </c>
      <c r="BA6" s="27">
        <v>13</v>
      </c>
      <c r="BB6" s="27">
        <v>4</v>
      </c>
      <c r="BC6" s="29"/>
      <c r="BD6" s="21"/>
      <c r="BE6" s="3">
        <v>3.4000000022351742</v>
      </c>
    </row>
    <row r="7" spans="1:57" ht="15.75" customHeight="1">
      <c r="A7" s="2" t="s">
        <v>118</v>
      </c>
      <c r="B7" s="19" t="s">
        <v>362</v>
      </c>
      <c r="C7" s="20" t="s">
        <v>91</v>
      </c>
      <c r="D7" s="21" t="s">
        <v>439</v>
      </c>
      <c r="E7" s="44">
        <v>41159</v>
      </c>
      <c r="F7" s="21" t="s">
        <v>419</v>
      </c>
      <c r="G7" s="23">
        <v>63090460</v>
      </c>
      <c r="H7" s="28">
        <v>78125</v>
      </c>
      <c r="I7" s="28">
        <v>6833333</v>
      </c>
      <c r="J7" s="23">
        <v>0</v>
      </c>
      <c r="K7" s="23">
        <v>40999998</v>
      </c>
      <c r="L7" s="23">
        <v>24997812.379999999</v>
      </c>
      <c r="M7" s="23">
        <v>0</v>
      </c>
      <c r="N7" s="23">
        <v>30807355</v>
      </c>
      <c r="O7" s="24">
        <v>0.60970277071720835</v>
      </c>
      <c r="P7" s="24">
        <v>0</v>
      </c>
      <c r="Q7" s="24">
        <v>0.75139893909263122</v>
      </c>
      <c r="R7" s="25">
        <v>145</v>
      </c>
      <c r="S7" s="25">
        <v>132</v>
      </c>
      <c r="T7" s="25">
        <v>4</v>
      </c>
      <c r="U7" s="25">
        <v>3</v>
      </c>
      <c r="V7" s="25">
        <v>149</v>
      </c>
      <c r="W7" s="25">
        <v>17</v>
      </c>
      <c r="X7" s="26">
        <v>23908064.23</v>
      </c>
      <c r="Y7" s="26">
        <v>1089748.1499999999</v>
      </c>
      <c r="Z7" s="25">
        <v>65</v>
      </c>
      <c r="AA7" s="25">
        <v>3</v>
      </c>
      <c r="AB7" s="25">
        <v>68</v>
      </c>
      <c r="AC7" s="25">
        <v>0</v>
      </c>
      <c r="AD7" s="25">
        <v>25</v>
      </c>
      <c r="AE7" s="25">
        <v>41</v>
      </c>
      <c r="AF7" s="25">
        <v>32</v>
      </c>
      <c r="AG7" s="25">
        <v>2</v>
      </c>
      <c r="AH7" s="25">
        <v>15</v>
      </c>
      <c r="AI7" s="25">
        <v>0</v>
      </c>
      <c r="AJ7" s="25">
        <v>0</v>
      </c>
      <c r="AK7" s="25">
        <v>0</v>
      </c>
      <c r="AL7" s="25">
        <v>0</v>
      </c>
      <c r="AM7" s="25">
        <v>761</v>
      </c>
      <c r="AN7" s="25">
        <v>817</v>
      </c>
      <c r="AO7" s="25">
        <v>150</v>
      </c>
      <c r="AP7" s="23">
        <v>166652.08253333333</v>
      </c>
      <c r="AQ7" s="26">
        <v>5.0733333333333333</v>
      </c>
      <c r="AR7" s="23">
        <v>468750</v>
      </c>
      <c r="AS7" s="25">
        <v>64117</v>
      </c>
      <c r="AT7" s="24">
        <v>2.1316545300033171E-2</v>
      </c>
      <c r="AU7" s="23">
        <v>367614.88794117648</v>
      </c>
      <c r="AV7" s="27">
        <v>245</v>
      </c>
      <c r="AW7" s="27">
        <v>1698</v>
      </c>
      <c r="AX7" s="42">
        <v>7002.26</v>
      </c>
      <c r="AY7" s="27">
        <v>53</v>
      </c>
      <c r="AZ7" s="27">
        <v>68</v>
      </c>
      <c r="BA7" s="27">
        <v>64</v>
      </c>
      <c r="BB7" s="27">
        <v>17</v>
      </c>
      <c r="BC7" s="29"/>
      <c r="BD7" s="21"/>
      <c r="BE7" s="3">
        <v>-1.7199999988079071</v>
      </c>
    </row>
    <row r="8" spans="1:57" ht="15.75" customHeight="1">
      <c r="A8" s="2" t="s">
        <v>118</v>
      </c>
      <c r="B8" s="19" t="s">
        <v>362</v>
      </c>
      <c r="C8" s="20" t="s">
        <v>92</v>
      </c>
      <c r="D8" s="21" t="s">
        <v>420</v>
      </c>
      <c r="E8" s="44">
        <v>41400</v>
      </c>
      <c r="F8" s="21" t="s">
        <v>419</v>
      </c>
      <c r="G8" s="23">
        <v>67969652.420000002</v>
      </c>
      <c r="H8" s="28">
        <v>83075</v>
      </c>
      <c r="I8" s="28">
        <v>8500000</v>
      </c>
      <c r="J8" s="23">
        <v>0</v>
      </c>
      <c r="K8" s="23">
        <v>51000000</v>
      </c>
      <c r="L8" s="23">
        <v>29705487.359999999</v>
      </c>
      <c r="M8" s="23">
        <v>0</v>
      </c>
      <c r="N8" s="23">
        <v>28829290.600000001</v>
      </c>
      <c r="O8" s="24">
        <v>0.58246053647058826</v>
      </c>
      <c r="P8" s="24">
        <v>0</v>
      </c>
      <c r="Q8" s="24">
        <v>0.56528020784313726</v>
      </c>
      <c r="R8" s="25">
        <v>54</v>
      </c>
      <c r="S8" s="25">
        <v>51</v>
      </c>
      <c r="T8" s="25">
        <v>3</v>
      </c>
      <c r="U8" s="25">
        <v>1</v>
      </c>
      <c r="V8" s="25">
        <v>57</v>
      </c>
      <c r="W8" s="25">
        <v>6</v>
      </c>
      <c r="X8" s="26">
        <v>29679128.359999999</v>
      </c>
      <c r="Y8" s="26">
        <v>26359</v>
      </c>
      <c r="Z8" s="25">
        <v>45</v>
      </c>
      <c r="AA8" s="25">
        <v>1</v>
      </c>
      <c r="AB8" s="25">
        <v>46</v>
      </c>
      <c r="AC8" s="25">
        <v>0</v>
      </c>
      <c r="AD8" s="25">
        <v>1</v>
      </c>
      <c r="AE8" s="25">
        <v>3</v>
      </c>
      <c r="AF8" s="25">
        <v>17</v>
      </c>
      <c r="AG8" s="25">
        <v>3</v>
      </c>
      <c r="AH8" s="25">
        <v>99</v>
      </c>
      <c r="AI8" s="25">
        <v>0</v>
      </c>
      <c r="AJ8" s="25">
        <v>0</v>
      </c>
      <c r="AK8" s="25">
        <v>0</v>
      </c>
      <c r="AL8" s="25">
        <v>0</v>
      </c>
      <c r="AM8" s="25">
        <v>733</v>
      </c>
      <c r="AN8" s="25">
        <v>835</v>
      </c>
      <c r="AO8" s="25">
        <v>122</v>
      </c>
      <c r="AP8" s="23">
        <v>243487.60131147542</v>
      </c>
      <c r="AQ8" s="26">
        <v>6.0081967213114753</v>
      </c>
      <c r="AR8" s="23">
        <v>498450</v>
      </c>
      <c r="AS8" s="25">
        <v>20239</v>
      </c>
      <c r="AT8" s="24">
        <v>1.7461049997733482E-2</v>
      </c>
      <c r="AU8" s="23">
        <v>645771.46434782608</v>
      </c>
      <c r="AV8" s="27">
        <v>494</v>
      </c>
      <c r="AW8" s="27">
        <v>1173</v>
      </c>
      <c r="AX8" s="42">
        <v>1769.99</v>
      </c>
      <c r="AY8" s="27">
        <v>35</v>
      </c>
      <c r="AZ8" s="27">
        <v>46</v>
      </c>
      <c r="BA8" s="27">
        <v>8</v>
      </c>
      <c r="BB8" s="27">
        <v>3</v>
      </c>
      <c r="BC8" s="29"/>
      <c r="BD8" s="21"/>
      <c r="BE8" s="3">
        <v>-2.0642968751490116</v>
      </c>
    </row>
    <row r="9" spans="1:57" ht="15.75" customHeight="1">
      <c r="A9" s="2" t="s">
        <v>118</v>
      </c>
      <c r="B9" s="19" t="s">
        <v>359</v>
      </c>
      <c r="C9" s="20" t="s">
        <v>28</v>
      </c>
      <c r="D9" s="21" t="s">
        <v>444</v>
      </c>
      <c r="E9" s="44">
        <v>41563</v>
      </c>
      <c r="F9" s="21" t="s">
        <v>442</v>
      </c>
      <c r="G9" s="23">
        <v>17275853.090000004</v>
      </c>
      <c r="H9" s="28">
        <v>48500</v>
      </c>
      <c r="I9" s="28">
        <v>2100000</v>
      </c>
      <c r="J9" s="23">
        <v>0</v>
      </c>
      <c r="K9" s="23">
        <v>12600000</v>
      </c>
      <c r="L9" s="23">
        <v>10068420.76</v>
      </c>
      <c r="M9" s="23">
        <v>0</v>
      </c>
      <c r="N9" s="23">
        <v>9078961.8300000001</v>
      </c>
      <c r="O9" s="24">
        <v>0.7990810126984127</v>
      </c>
      <c r="P9" s="24">
        <v>0</v>
      </c>
      <c r="Q9" s="24">
        <v>0.72055252619047616</v>
      </c>
      <c r="R9" s="25">
        <v>38</v>
      </c>
      <c r="S9" s="25">
        <v>36</v>
      </c>
      <c r="T9" s="25">
        <v>1</v>
      </c>
      <c r="U9" s="25">
        <v>0</v>
      </c>
      <c r="V9" s="25">
        <v>39</v>
      </c>
      <c r="W9" s="25">
        <v>3</v>
      </c>
      <c r="X9" s="26">
        <v>10068420.76</v>
      </c>
      <c r="Y9" s="26">
        <v>0</v>
      </c>
      <c r="Z9" s="25">
        <v>25</v>
      </c>
      <c r="AA9" s="25">
        <v>0</v>
      </c>
      <c r="AB9" s="25">
        <v>25</v>
      </c>
      <c r="AC9" s="25">
        <v>0</v>
      </c>
      <c r="AD9" s="25">
        <v>0</v>
      </c>
      <c r="AE9" s="25">
        <v>0</v>
      </c>
      <c r="AF9" s="25">
        <v>33</v>
      </c>
      <c r="AG9" s="25">
        <v>1</v>
      </c>
      <c r="AH9" s="25">
        <v>10</v>
      </c>
      <c r="AI9" s="25">
        <v>0</v>
      </c>
      <c r="AJ9" s="25">
        <v>0</v>
      </c>
      <c r="AK9" s="25">
        <v>0</v>
      </c>
      <c r="AL9" s="25">
        <v>0</v>
      </c>
      <c r="AM9" s="25">
        <v>430</v>
      </c>
      <c r="AN9" s="25">
        <v>440</v>
      </c>
      <c r="AO9" s="25">
        <v>149</v>
      </c>
      <c r="AP9" s="23">
        <v>67573.293691275161</v>
      </c>
      <c r="AQ9" s="26">
        <v>2.8859060402684564</v>
      </c>
      <c r="AR9" s="23">
        <v>291000</v>
      </c>
      <c r="AS9" s="25">
        <v>54923</v>
      </c>
      <c r="AT9" s="24">
        <v>3.4357225253665302E-2</v>
      </c>
      <c r="AU9" s="23">
        <v>402736.83039999998</v>
      </c>
      <c r="AV9" s="27">
        <v>166</v>
      </c>
      <c r="AW9" s="27">
        <v>1776</v>
      </c>
      <c r="AX9" s="42">
        <v>14694.85</v>
      </c>
      <c r="AY9" s="27">
        <v>408</v>
      </c>
      <c r="AZ9" s="27">
        <v>25</v>
      </c>
      <c r="BA9" s="27">
        <v>11</v>
      </c>
      <c r="BB9" s="27">
        <v>3</v>
      </c>
      <c r="BC9" s="29"/>
      <c r="BD9" s="21"/>
      <c r="BE9" s="3">
        <v>1.7599999997764826</v>
      </c>
    </row>
    <row r="10" spans="1:57" ht="15.75" customHeight="1">
      <c r="A10" s="2" t="s">
        <v>118</v>
      </c>
      <c r="B10" s="19" t="s">
        <v>372</v>
      </c>
      <c r="C10" s="20" t="s">
        <v>93</v>
      </c>
      <c r="D10" s="21" t="s">
        <v>448</v>
      </c>
      <c r="E10" s="44">
        <v>41719</v>
      </c>
      <c r="F10" s="21" t="s">
        <v>447</v>
      </c>
      <c r="G10" s="23"/>
      <c r="H10" s="28">
        <v>88170</v>
      </c>
      <c r="I10" s="28"/>
      <c r="J10" s="23">
        <v>0</v>
      </c>
      <c r="K10" s="23">
        <v>0</v>
      </c>
      <c r="L10" s="23">
        <v>0</v>
      </c>
      <c r="M10" s="23">
        <v>0</v>
      </c>
      <c r="N10" s="23"/>
      <c r="O10" s="24"/>
      <c r="P10" s="24">
        <v>0</v>
      </c>
      <c r="Q10" s="24"/>
      <c r="R10" s="25">
        <v>163</v>
      </c>
      <c r="S10" s="25">
        <v>58</v>
      </c>
      <c r="T10" s="25">
        <v>8</v>
      </c>
      <c r="U10" s="25">
        <v>0</v>
      </c>
      <c r="V10" s="25">
        <v>171</v>
      </c>
      <c r="W10" s="25">
        <v>113</v>
      </c>
      <c r="X10" s="26">
        <v>0</v>
      </c>
      <c r="Y10" s="26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46</v>
      </c>
      <c r="AE10" s="25">
        <v>64</v>
      </c>
      <c r="AF10" s="25">
        <v>232</v>
      </c>
      <c r="AG10" s="25">
        <v>19</v>
      </c>
      <c r="AH10" s="25">
        <v>138</v>
      </c>
      <c r="AI10" s="25">
        <v>4</v>
      </c>
      <c r="AJ10" s="25">
        <v>22</v>
      </c>
      <c r="AK10" s="25">
        <v>8</v>
      </c>
      <c r="AL10" s="25">
        <v>16</v>
      </c>
      <c r="AM10" s="25">
        <v>113</v>
      </c>
      <c r="AN10" s="25">
        <v>353</v>
      </c>
      <c r="AO10" s="25">
        <v>149</v>
      </c>
      <c r="AP10" s="23">
        <v>0</v>
      </c>
      <c r="AQ10" s="26">
        <v>0.75838926174496646</v>
      </c>
      <c r="AR10" s="23">
        <v>529020</v>
      </c>
      <c r="AS10" s="25"/>
      <c r="AT10" s="24"/>
      <c r="AU10" s="23"/>
      <c r="AV10" s="27">
        <v>0</v>
      </c>
      <c r="AW10" s="27">
        <v>1469</v>
      </c>
      <c r="AX10" s="42">
        <v>28426.94</v>
      </c>
      <c r="AY10" s="27">
        <v>490</v>
      </c>
      <c r="AZ10" s="27">
        <v>0</v>
      </c>
      <c r="BA10" s="27">
        <v>58</v>
      </c>
      <c r="BB10" s="27">
        <v>113</v>
      </c>
      <c r="BC10" s="29"/>
      <c r="BD10" s="21"/>
      <c r="BE10" s="3" t="e">
        <v>#N/A</v>
      </c>
    </row>
    <row r="11" spans="1:57" ht="15.75" customHeight="1">
      <c r="A11" s="2" t="s">
        <v>118</v>
      </c>
      <c r="B11" s="19" t="s">
        <v>362</v>
      </c>
      <c r="C11" s="20" t="s">
        <v>27</v>
      </c>
      <c r="D11" s="21" t="s">
        <v>452</v>
      </c>
      <c r="E11" s="44">
        <v>41791</v>
      </c>
      <c r="F11" s="21" t="s">
        <v>419</v>
      </c>
      <c r="G11" s="23">
        <v>103680911.2</v>
      </c>
      <c r="H11" s="28">
        <v>87460</v>
      </c>
      <c r="I11" s="28">
        <v>12500000</v>
      </c>
      <c r="J11" s="23">
        <v>0</v>
      </c>
      <c r="K11" s="23">
        <v>75000000</v>
      </c>
      <c r="L11" s="23">
        <v>38036293.520000003</v>
      </c>
      <c r="M11" s="23">
        <v>0</v>
      </c>
      <c r="N11" s="23">
        <v>39968425</v>
      </c>
      <c r="O11" s="24">
        <v>0.50715058026666671</v>
      </c>
      <c r="P11" s="24">
        <v>0</v>
      </c>
      <c r="Q11" s="24">
        <v>0.53291233333333332</v>
      </c>
      <c r="R11" s="25">
        <v>100</v>
      </c>
      <c r="S11" s="25">
        <v>81</v>
      </c>
      <c r="T11" s="25">
        <v>1</v>
      </c>
      <c r="U11" s="25">
        <v>0</v>
      </c>
      <c r="V11" s="25">
        <v>101</v>
      </c>
      <c r="W11" s="25">
        <v>20</v>
      </c>
      <c r="X11" s="26">
        <v>38036293.520000003</v>
      </c>
      <c r="Y11" s="26">
        <v>0</v>
      </c>
      <c r="Z11" s="25">
        <v>71</v>
      </c>
      <c r="AA11" s="25">
        <v>0</v>
      </c>
      <c r="AB11" s="25">
        <v>71</v>
      </c>
      <c r="AC11" s="25">
        <v>0</v>
      </c>
      <c r="AD11" s="25">
        <v>6</v>
      </c>
      <c r="AE11" s="25">
        <v>6</v>
      </c>
      <c r="AF11" s="25">
        <v>26</v>
      </c>
      <c r="AG11" s="25">
        <v>4</v>
      </c>
      <c r="AH11" s="25">
        <v>91</v>
      </c>
      <c r="AI11" s="25">
        <v>0</v>
      </c>
      <c r="AJ11" s="25">
        <v>0</v>
      </c>
      <c r="AK11" s="25">
        <v>0</v>
      </c>
      <c r="AL11" s="25">
        <v>0</v>
      </c>
      <c r="AM11" s="25">
        <v>518</v>
      </c>
      <c r="AN11" s="25">
        <v>615</v>
      </c>
      <c r="AO11" s="25">
        <v>144</v>
      </c>
      <c r="AP11" s="23">
        <v>264140.92722222226</v>
      </c>
      <c r="AQ11" s="26">
        <v>3.5972222222222223</v>
      </c>
      <c r="AR11" s="23">
        <v>524760</v>
      </c>
      <c r="AS11" s="25">
        <v>41458</v>
      </c>
      <c r="AT11" s="24">
        <v>1.4886255930859163E-2</v>
      </c>
      <c r="AU11" s="23">
        <v>535722.44394366199</v>
      </c>
      <c r="AV11" s="27">
        <v>397</v>
      </c>
      <c r="AW11" s="27">
        <v>1736</v>
      </c>
      <c r="AX11" s="42">
        <v>19186.599999999999</v>
      </c>
      <c r="AY11" s="27">
        <v>237</v>
      </c>
      <c r="AZ11" s="27">
        <v>71</v>
      </c>
      <c r="BA11" s="27">
        <v>10</v>
      </c>
      <c r="BB11" s="27">
        <v>20</v>
      </c>
      <c r="BC11" s="29"/>
      <c r="BD11" s="21"/>
      <c r="BE11" s="3">
        <v>0.55999999493360519</v>
      </c>
    </row>
    <row r="12" spans="1:57" ht="15.75" customHeight="1">
      <c r="A12" s="2" t="s">
        <v>118</v>
      </c>
      <c r="B12" s="19" t="s">
        <v>359</v>
      </c>
      <c r="C12" s="20" t="s">
        <v>38</v>
      </c>
      <c r="D12" s="21" t="s">
        <v>455</v>
      </c>
      <c r="E12" s="44">
        <v>42125</v>
      </c>
      <c r="F12" s="21" t="s">
        <v>442</v>
      </c>
      <c r="G12" s="23">
        <v>60223274.439999998</v>
      </c>
      <c r="H12" s="28">
        <v>79340</v>
      </c>
      <c r="I12" s="28">
        <v>6558000</v>
      </c>
      <c r="J12" s="23">
        <v>0</v>
      </c>
      <c r="K12" s="23">
        <v>39348000</v>
      </c>
      <c r="L12" s="23">
        <v>33936601.450000003</v>
      </c>
      <c r="M12" s="23">
        <v>0</v>
      </c>
      <c r="N12" s="23">
        <v>34570945</v>
      </c>
      <c r="O12" s="24">
        <v>0.86247335188573759</v>
      </c>
      <c r="P12" s="24">
        <v>0</v>
      </c>
      <c r="Q12" s="24">
        <v>0.87859471891836938</v>
      </c>
      <c r="R12" s="25">
        <v>81</v>
      </c>
      <c r="S12" s="25">
        <v>87</v>
      </c>
      <c r="T12" s="25">
        <v>6</v>
      </c>
      <c r="U12" s="25">
        <v>6</v>
      </c>
      <c r="V12" s="25">
        <v>87</v>
      </c>
      <c r="W12" s="25">
        <v>0</v>
      </c>
      <c r="X12" s="26">
        <v>32551855.780000001</v>
      </c>
      <c r="Y12" s="26">
        <v>1384745.67</v>
      </c>
      <c r="Z12" s="25">
        <v>74</v>
      </c>
      <c r="AA12" s="25">
        <v>6</v>
      </c>
      <c r="AB12" s="25">
        <v>80</v>
      </c>
      <c r="AC12" s="25">
        <v>0</v>
      </c>
      <c r="AD12" s="25">
        <v>0</v>
      </c>
      <c r="AE12" s="25">
        <v>0</v>
      </c>
      <c r="AF12" s="25">
        <v>2</v>
      </c>
      <c r="AG12" s="25">
        <v>3</v>
      </c>
      <c r="AH12" s="25">
        <v>99</v>
      </c>
      <c r="AI12" s="25">
        <v>0</v>
      </c>
      <c r="AJ12" s="25">
        <v>0</v>
      </c>
      <c r="AK12" s="25">
        <v>0</v>
      </c>
      <c r="AL12" s="25">
        <v>0</v>
      </c>
      <c r="AM12" s="25">
        <v>790</v>
      </c>
      <c r="AN12" s="25">
        <v>889</v>
      </c>
      <c r="AO12" s="25">
        <v>154</v>
      </c>
      <c r="AP12" s="23">
        <v>220367.54188311691</v>
      </c>
      <c r="AQ12" s="26">
        <v>5.1298701298701301</v>
      </c>
      <c r="AR12" s="23">
        <v>476040</v>
      </c>
      <c r="AS12" s="25">
        <v>53985</v>
      </c>
      <c r="AT12" s="24">
        <v>1.5618093072192411E-2</v>
      </c>
      <c r="AU12" s="23">
        <v>424207.51812500006</v>
      </c>
      <c r="AV12" s="27">
        <v>682</v>
      </c>
      <c r="AW12" s="27">
        <v>1919</v>
      </c>
      <c r="AX12" s="42">
        <v>15181.77</v>
      </c>
      <c r="AY12" s="27">
        <v>175</v>
      </c>
      <c r="AZ12" s="27">
        <v>80</v>
      </c>
      <c r="BA12" s="27">
        <v>7</v>
      </c>
      <c r="BB12" s="27">
        <v>0</v>
      </c>
      <c r="BC12" s="29"/>
      <c r="BD12" s="21"/>
      <c r="BE12" s="3">
        <v>-0.48000000417232513</v>
      </c>
    </row>
    <row r="13" spans="1:57" ht="15.75" customHeight="1">
      <c r="A13" s="2" t="s">
        <v>201</v>
      </c>
      <c r="B13" s="19" t="s">
        <v>431</v>
      </c>
      <c r="C13" s="20" t="s">
        <v>106</v>
      </c>
      <c r="D13" s="21" t="s">
        <v>459</v>
      </c>
      <c r="E13" s="44">
        <v>42530</v>
      </c>
      <c r="F13" s="21" t="s">
        <v>431</v>
      </c>
      <c r="G13" s="23">
        <v>21287274</v>
      </c>
      <c r="H13" s="28">
        <v>76210</v>
      </c>
      <c r="I13" s="28">
        <v>3125000</v>
      </c>
      <c r="J13" s="23">
        <v>3000000</v>
      </c>
      <c r="K13" s="23">
        <v>15750000</v>
      </c>
      <c r="L13" s="23">
        <v>11263482.539999999</v>
      </c>
      <c r="M13" s="23">
        <v>0</v>
      </c>
      <c r="N13" s="23">
        <v>10005355.800000001</v>
      </c>
      <c r="O13" s="24">
        <v>0.60071906879999992</v>
      </c>
      <c r="P13" s="24">
        <v>0</v>
      </c>
      <c r="Q13" s="24">
        <v>0.53361897600000008</v>
      </c>
      <c r="R13" s="25">
        <v>73</v>
      </c>
      <c r="S13" s="25">
        <v>77</v>
      </c>
      <c r="T13" s="25">
        <v>17</v>
      </c>
      <c r="U13" s="25">
        <v>3</v>
      </c>
      <c r="V13" s="25">
        <v>90</v>
      </c>
      <c r="W13" s="25">
        <v>13</v>
      </c>
      <c r="X13" s="26">
        <v>10960959.130000001</v>
      </c>
      <c r="Y13" s="26">
        <v>302523.40999999997</v>
      </c>
      <c r="Z13" s="25">
        <v>46</v>
      </c>
      <c r="AA13" s="25">
        <v>3</v>
      </c>
      <c r="AB13" s="25">
        <v>49</v>
      </c>
      <c r="AC13" s="25">
        <v>0</v>
      </c>
      <c r="AD13" s="25">
        <v>65</v>
      </c>
      <c r="AE13" s="25">
        <v>89</v>
      </c>
      <c r="AF13" s="25">
        <v>114</v>
      </c>
      <c r="AG13" s="25">
        <v>6</v>
      </c>
      <c r="AH13" s="25">
        <v>84</v>
      </c>
      <c r="AI13" s="25">
        <v>0</v>
      </c>
      <c r="AJ13" s="25">
        <v>0</v>
      </c>
      <c r="AK13" s="25">
        <v>0</v>
      </c>
      <c r="AL13" s="25">
        <v>0</v>
      </c>
      <c r="AM13" s="25">
        <v>307</v>
      </c>
      <c r="AN13" s="25">
        <v>480</v>
      </c>
      <c r="AO13" s="25">
        <v>143</v>
      </c>
      <c r="AP13" s="23">
        <v>78765.612167832165</v>
      </c>
      <c r="AQ13" s="26">
        <v>2.1468531468531467</v>
      </c>
      <c r="AR13" s="23">
        <v>457260</v>
      </c>
      <c r="AS13" s="25">
        <v>63265</v>
      </c>
      <c r="AT13" s="24">
        <v>4.6213504406959378E-2</v>
      </c>
      <c r="AU13" s="23">
        <v>229866.99061224487</v>
      </c>
      <c r="AV13" s="27">
        <v>141</v>
      </c>
      <c r="AW13" s="27">
        <v>1195</v>
      </c>
      <c r="AX13" s="42">
        <v>8370.5400000000009</v>
      </c>
      <c r="AY13" s="27">
        <v>109</v>
      </c>
      <c r="AZ13" s="27">
        <v>49</v>
      </c>
      <c r="BA13" s="27">
        <v>30</v>
      </c>
      <c r="BB13" s="27">
        <v>11</v>
      </c>
      <c r="BC13" s="29"/>
      <c r="BD13" s="21"/>
      <c r="BE13" s="3">
        <v>-1.0170312505215406</v>
      </c>
    </row>
    <row r="14" spans="1:57" ht="15.75" customHeight="1">
      <c r="A14" s="2" t="s">
        <v>118</v>
      </c>
      <c r="B14" s="19" t="s">
        <v>362</v>
      </c>
      <c r="C14" s="20" t="s">
        <v>45</v>
      </c>
      <c r="D14" s="21" t="s">
        <v>464</v>
      </c>
      <c r="E14" s="44">
        <v>42660</v>
      </c>
      <c r="F14" s="21" t="s">
        <v>419</v>
      </c>
      <c r="G14" s="23">
        <v>27594897</v>
      </c>
      <c r="H14" s="28">
        <v>48608</v>
      </c>
      <c r="I14" s="28">
        <v>3383333</v>
      </c>
      <c r="J14" s="23">
        <v>0</v>
      </c>
      <c r="K14" s="23">
        <v>20299998</v>
      </c>
      <c r="L14" s="23">
        <v>16653746.57</v>
      </c>
      <c r="M14" s="23">
        <v>0</v>
      </c>
      <c r="N14" s="23">
        <v>16466650</v>
      </c>
      <c r="O14" s="24">
        <v>0.82038168525927935</v>
      </c>
      <c r="P14" s="24">
        <v>0</v>
      </c>
      <c r="Q14" s="24">
        <v>0.81116510454828616</v>
      </c>
      <c r="R14" s="25">
        <v>54</v>
      </c>
      <c r="S14" s="25">
        <v>53</v>
      </c>
      <c r="T14" s="25">
        <v>4</v>
      </c>
      <c r="U14" s="25">
        <v>4</v>
      </c>
      <c r="V14" s="25">
        <v>58</v>
      </c>
      <c r="W14" s="25">
        <v>5</v>
      </c>
      <c r="X14" s="26">
        <v>16418124.99</v>
      </c>
      <c r="Y14" s="26">
        <v>235621.58</v>
      </c>
      <c r="Z14" s="25">
        <v>38</v>
      </c>
      <c r="AA14" s="25">
        <v>4</v>
      </c>
      <c r="AB14" s="25">
        <v>42</v>
      </c>
      <c r="AC14" s="25">
        <v>0</v>
      </c>
      <c r="AD14" s="25">
        <v>1</v>
      </c>
      <c r="AE14" s="25">
        <v>1</v>
      </c>
      <c r="AF14" s="25">
        <v>4</v>
      </c>
      <c r="AG14" s="25">
        <v>3</v>
      </c>
      <c r="AH14" s="25">
        <v>138</v>
      </c>
      <c r="AI14" s="25">
        <v>0</v>
      </c>
      <c r="AJ14" s="25">
        <v>0</v>
      </c>
      <c r="AK14" s="25">
        <v>0</v>
      </c>
      <c r="AL14" s="25">
        <v>0</v>
      </c>
      <c r="AM14" s="25">
        <v>436</v>
      </c>
      <c r="AN14" s="25">
        <v>575</v>
      </c>
      <c r="AO14" s="25">
        <v>143</v>
      </c>
      <c r="AP14" s="23">
        <v>116459.76622377623</v>
      </c>
      <c r="AQ14" s="26">
        <v>3.0489510489510487</v>
      </c>
      <c r="AR14" s="23">
        <v>291648</v>
      </c>
      <c r="AS14" s="25">
        <v>45693</v>
      </c>
      <c r="AT14" s="24">
        <v>2.0256162694806758E-2</v>
      </c>
      <c r="AU14" s="23">
        <v>396517.77547619049</v>
      </c>
      <c r="AV14" s="27">
        <v>213</v>
      </c>
      <c r="AW14" s="27">
        <v>1550</v>
      </c>
      <c r="AX14" s="42">
        <v>10106.51</v>
      </c>
      <c r="AY14" s="27">
        <v>191</v>
      </c>
      <c r="AZ14" s="27">
        <v>42</v>
      </c>
      <c r="BA14" s="27">
        <v>12</v>
      </c>
      <c r="BB14" s="27">
        <v>4</v>
      </c>
      <c r="BC14" s="29"/>
      <c r="BD14" s="21"/>
      <c r="BE14" s="3">
        <v>-1.849999999627471</v>
      </c>
    </row>
    <row r="15" spans="1:57" ht="15.75" customHeight="1">
      <c r="A15" s="2" t="s">
        <v>201</v>
      </c>
      <c r="B15" s="19" t="s">
        <v>469</v>
      </c>
      <c r="C15" s="20" t="s">
        <v>107</v>
      </c>
      <c r="D15" s="21" t="s">
        <v>471</v>
      </c>
      <c r="E15" s="44">
        <v>42720</v>
      </c>
      <c r="F15" s="21" t="s">
        <v>470</v>
      </c>
      <c r="G15" s="23">
        <v>19644499</v>
      </c>
      <c r="H15" s="28">
        <v>61850</v>
      </c>
      <c r="I15" s="28">
        <v>3125000</v>
      </c>
      <c r="J15" s="23">
        <v>2514000</v>
      </c>
      <c r="K15" s="23">
        <v>16236000</v>
      </c>
      <c r="L15" s="23">
        <v>9720692.0500000007</v>
      </c>
      <c r="M15" s="23">
        <v>2218887.69</v>
      </c>
      <c r="N15" s="23">
        <v>11201699</v>
      </c>
      <c r="O15" s="24">
        <v>0.63677758613333335</v>
      </c>
      <c r="P15" s="24">
        <v>0.88</v>
      </c>
      <c r="Q15" s="24">
        <v>0.59742394666666665</v>
      </c>
      <c r="R15" s="25">
        <v>64</v>
      </c>
      <c r="S15" s="25">
        <v>66</v>
      </c>
      <c r="T15" s="25">
        <v>16</v>
      </c>
      <c r="U15" s="25">
        <v>15</v>
      </c>
      <c r="V15" s="25">
        <v>80</v>
      </c>
      <c r="W15" s="25">
        <v>14</v>
      </c>
      <c r="X15" s="26">
        <v>6223060.3700000001</v>
      </c>
      <c r="Y15" s="26">
        <v>3497631.68</v>
      </c>
      <c r="Z15" s="25">
        <v>36</v>
      </c>
      <c r="AA15" s="25">
        <v>15</v>
      </c>
      <c r="AB15" s="25">
        <v>51</v>
      </c>
      <c r="AC15" s="25">
        <v>4</v>
      </c>
      <c r="AD15" s="25">
        <v>45</v>
      </c>
      <c r="AE15" s="25">
        <v>70</v>
      </c>
      <c r="AF15" s="25">
        <v>149</v>
      </c>
      <c r="AG15" s="25">
        <v>3</v>
      </c>
      <c r="AH15" s="25">
        <v>39</v>
      </c>
      <c r="AI15" s="25">
        <v>4</v>
      </c>
      <c r="AJ15" s="25">
        <v>25</v>
      </c>
      <c r="AK15" s="25">
        <v>1</v>
      </c>
      <c r="AL15" s="25">
        <v>25</v>
      </c>
      <c r="AM15" s="25">
        <v>386</v>
      </c>
      <c r="AN15" s="25">
        <v>545</v>
      </c>
      <c r="AO15" s="25">
        <v>150</v>
      </c>
      <c r="AP15" s="23">
        <v>79597.198266666674</v>
      </c>
      <c r="AQ15" s="26">
        <v>2.5733333333333333</v>
      </c>
      <c r="AR15" s="23">
        <v>371100</v>
      </c>
      <c r="AS15" s="25">
        <v>66119</v>
      </c>
      <c r="AT15" s="24">
        <v>3.6619295613498706E-2</v>
      </c>
      <c r="AU15" s="23">
        <v>190601.8049019608</v>
      </c>
      <c r="AV15" s="27">
        <v>186</v>
      </c>
      <c r="AW15" s="27">
        <v>1056</v>
      </c>
      <c r="AX15" s="42">
        <v>8492.9500000000007</v>
      </c>
      <c r="AY15" s="27">
        <v>129</v>
      </c>
      <c r="AZ15" s="27">
        <v>51</v>
      </c>
      <c r="BA15" s="27">
        <v>19</v>
      </c>
      <c r="BB15" s="27">
        <v>10</v>
      </c>
      <c r="BC15" s="29"/>
      <c r="BD15" s="21"/>
      <c r="BE15" s="3">
        <v>0.34999999962747097</v>
      </c>
    </row>
    <row r="16" spans="1:57" ht="15.75" customHeight="1">
      <c r="A16" s="2" t="s">
        <v>119</v>
      </c>
      <c r="B16" s="19" t="s">
        <v>375</v>
      </c>
      <c r="C16" s="20" t="s">
        <v>95</v>
      </c>
      <c r="D16" s="21" t="s">
        <v>474</v>
      </c>
      <c r="E16" s="44">
        <v>42769</v>
      </c>
      <c r="F16" s="21" t="s">
        <v>473</v>
      </c>
      <c r="G16" s="23">
        <v>8136889</v>
      </c>
      <c r="H16" s="28">
        <v>37355</v>
      </c>
      <c r="I16" s="28">
        <v>1400000</v>
      </c>
      <c r="J16" s="23">
        <v>0</v>
      </c>
      <c r="K16" s="23">
        <v>8400000</v>
      </c>
      <c r="L16" s="23">
        <v>3036210.26</v>
      </c>
      <c r="M16" s="23">
        <v>0</v>
      </c>
      <c r="N16" s="23">
        <v>3262947</v>
      </c>
      <c r="O16" s="24">
        <v>0.36145360238095237</v>
      </c>
      <c r="P16" s="24">
        <v>0</v>
      </c>
      <c r="Q16" s="24">
        <v>0.3884460714285714</v>
      </c>
      <c r="R16" s="25">
        <v>44</v>
      </c>
      <c r="S16" s="25">
        <v>45</v>
      </c>
      <c r="T16" s="25">
        <v>1</v>
      </c>
      <c r="U16" s="25">
        <v>1</v>
      </c>
      <c r="V16" s="25">
        <v>45</v>
      </c>
      <c r="W16" s="25">
        <v>0</v>
      </c>
      <c r="X16" s="26">
        <v>3017437.16</v>
      </c>
      <c r="Y16" s="26">
        <v>18773.099999999999</v>
      </c>
      <c r="Z16" s="25">
        <v>33</v>
      </c>
      <c r="AA16" s="25">
        <v>1</v>
      </c>
      <c r="AB16" s="25">
        <v>34</v>
      </c>
      <c r="AC16" s="25">
        <v>0</v>
      </c>
      <c r="AD16" s="25">
        <v>11</v>
      </c>
      <c r="AE16" s="25">
        <v>21</v>
      </c>
      <c r="AF16" s="25">
        <v>67</v>
      </c>
      <c r="AG16" s="25">
        <v>2</v>
      </c>
      <c r="AH16" s="25">
        <v>16</v>
      </c>
      <c r="AI16" s="25">
        <v>0</v>
      </c>
      <c r="AJ16" s="25">
        <v>0</v>
      </c>
      <c r="AK16" s="25">
        <v>0</v>
      </c>
      <c r="AL16" s="25">
        <v>0</v>
      </c>
      <c r="AM16" s="25">
        <v>573</v>
      </c>
      <c r="AN16" s="25">
        <v>610</v>
      </c>
      <c r="AO16" s="25">
        <v>155</v>
      </c>
      <c r="AP16" s="23">
        <v>19588.453290322581</v>
      </c>
      <c r="AQ16" s="26">
        <v>3.6967741935483871</v>
      </c>
      <c r="AR16" s="23">
        <v>224130</v>
      </c>
      <c r="AS16" s="25">
        <v>54065</v>
      </c>
      <c r="AT16" s="24">
        <v>9.1625736091149379E-2</v>
      </c>
      <c r="AU16" s="23">
        <v>89300.301764705873</v>
      </c>
      <c r="AV16" s="27">
        <v>113</v>
      </c>
      <c r="AW16" s="27">
        <v>1723</v>
      </c>
      <c r="AX16" s="42">
        <v>12560.27</v>
      </c>
      <c r="AY16" s="27">
        <v>279</v>
      </c>
      <c r="AZ16" s="27">
        <v>34</v>
      </c>
      <c r="BA16" s="27">
        <v>11</v>
      </c>
      <c r="BB16" s="27">
        <v>0</v>
      </c>
      <c r="BC16" s="29"/>
      <c r="BD16" s="21"/>
      <c r="BE16" s="3">
        <v>6.0000000055879354E-2</v>
      </c>
    </row>
    <row r="17" spans="1:57" ht="15.75" customHeight="1">
      <c r="A17" s="2" t="s">
        <v>118</v>
      </c>
      <c r="B17" s="19" t="s">
        <v>359</v>
      </c>
      <c r="C17" s="20" t="s">
        <v>26</v>
      </c>
      <c r="D17" s="21" t="s">
        <v>477</v>
      </c>
      <c r="E17" s="44">
        <v>42826</v>
      </c>
      <c r="F17" s="21" t="s">
        <v>442</v>
      </c>
      <c r="G17" s="23">
        <v>5631228.7199999997</v>
      </c>
      <c r="H17" s="28">
        <v>76300</v>
      </c>
      <c r="I17" s="28">
        <v>2000000</v>
      </c>
      <c r="J17" s="23">
        <v>0</v>
      </c>
      <c r="K17" s="23">
        <v>12000000</v>
      </c>
      <c r="L17" s="23">
        <v>4268270.7300000004</v>
      </c>
      <c r="M17" s="23">
        <v>0</v>
      </c>
      <c r="N17" s="23">
        <v>6044446.4300000006</v>
      </c>
      <c r="O17" s="24">
        <v>0.35568922750000004</v>
      </c>
      <c r="P17" s="24">
        <v>0</v>
      </c>
      <c r="Q17" s="24">
        <v>0.50370386916666676</v>
      </c>
      <c r="R17" s="25">
        <v>73</v>
      </c>
      <c r="S17" s="25">
        <v>84</v>
      </c>
      <c r="T17" s="25">
        <v>19</v>
      </c>
      <c r="U17" s="25">
        <v>19</v>
      </c>
      <c r="V17" s="25">
        <v>92</v>
      </c>
      <c r="W17" s="25">
        <v>8</v>
      </c>
      <c r="X17" s="26">
        <v>3253276.65</v>
      </c>
      <c r="Y17" s="26">
        <v>1014994.08</v>
      </c>
      <c r="Z17" s="25">
        <v>45</v>
      </c>
      <c r="AA17" s="25">
        <v>19</v>
      </c>
      <c r="AB17" s="25">
        <v>64</v>
      </c>
      <c r="AC17" s="25">
        <v>0</v>
      </c>
      <c r="AD17" s="25">
        <v>2</v>
      </c>
      <c r="AE17" s="25">
        <v>4</v>
      </c>
      <c r="AF17" s="25">
        <v>9</v>
      </c>
      <c r="AG17" s="25">
        <v>3</v>
      </c>
      <c r="AH17" s="25">
        <v>97</v>
      </c>
      <c r="AI17" s="25">
        <v>0</v>
      </c>
      <c r="AJ17" s="25">
        <v>0</v>
      </c>
      <c r="AK17" s="25">
        <v>0</v>
      </c>
      <c r="AL17" s="25">
        <v>0</v>
      </c>
      <c r="AM17" s="25">
        <v>626</v>
      </c>
      <c r="AN17" s="25">
        <v>727</v>
      </c>
      <c r="AO17" s="25">
        <v>142</v>
      </c>
      <c r="AP17" s="23">
        <v>30058.244577464793</v>
      </c>
      <c r="AQ17" s="26">
        <v>4.408450704225352</v>
      </c>
      <c r="AR17" s="23">
        <v>457800</v>
      </c>
      <c r="AS17" s="25">
        <v>38409</v>
      </c>
      <c r="AT17" s="24">
        <v>0.1162552779307886</v>
      </c>
      <c r="AU17" s="23">
        <v>66691.730156250007</v>
      </c>
      <c r="AV17" s="27">
        <v>167</v>
      </c>
      <c r="AW17" s="27">
        <v>1269</v>
      </c>
      <c r="AX17" s="42">
        <v>7175.79</v>
      </c>
      <c r="AY17" s="27">
        <v>85</v>
      </c>
      <c r="AZ17" s="27">
        <v>64</v>
      </c>
      <c r="BA17" s="27">
        <v>21</v>
      </c>
      <c r="BB17" s="27">
        <v>7</v>
      </c>
      <c r="BC17" s="29"/>
      <c r="BD17" s="21"/>
      <c r="BE17" s="3">
        <v>-0.49000000115483999</v>
      </c>
    </row>
    <row r="18" spans="1:57" ht="15.75" customHeight="1">
      <c r="A18" s="2" t="s">
        <v>118</v>
      </c>
      <c r="B18" s="19" t="s">
        <v>362</v>
      </c>
      <c r="C18" s="20" t="s">
        <v>51</v>
      </c>
      <c r="D18" s="21" t="s">
        <v>439</v>
      </c>
      <c r="E18" s="44">
        <v>42826</v>
      </c>
      <c r="F18" s="21" t="s">
        <v>419</v>
      </c>
      <c r="G18" s="23">
        <v>44970678.609999999</v>
      </c>
      <c r="H18" s="28">
        <v>63250</v>
      </c>
      <c r="I18" s="28">
        <v>3800000</v>
      </c>
      <c r="J18" s="23">
        <v>0</v>
      </c>
      <c r="K18" s="23">
        <v>22800000</v>
      </c>
      <c r="L18" s="23">
        <v>20917230.219999999</v>
      </c>
      <c r="M18" s="23">
        <v>0</v>
      </c>
      <c r="N18" s="23">
        <v>16475222.920000002</v>
      </c>
      <c r="O18" s="24">
        <v>0.91742237807017535</v>
      </c>
      <c r="P18" s="24">
        <v>0</v>
      </c>
      <c r="Q18" s="24">
        <v>0.72259749649122818</v>
      </c>
      <c r="R18" s="25">
        <v>127</v>
      </c>
      <c r="S18" s="25">
        <v>82</v>
      </c>
      <c r="T18" s="25">
        <v>4</v>
      </c>
      <c r="U18" s="25">
        <v>0</v>
      </c>
      <c r="V18" s="25">
        <v>131</v>
      </c>
      <c r="W18" s="25">
        <v>49</v>
      </c>
      <c r="X18" s="26">
        <v>20917230.219999999</v>
      </c>
      <c r="Y18" s="26">
        <v>0</v>
      </c>
      <c r="Z18" s="25">
        <v>16</v>
      </c>
      <c r="AA18" s="25">
        <v>0</v>
      </c>
      <c r="AB18" s="25">
        <v>16</v>
      </c>
      <c r="AC18" s="25">
        <v>0</v>
      </c>
      <c r="AD18" s="25">
        <v>10</v>
      </c>
      <c r="AE18" s="25">
        <v>15</v>
      </c>
      <c r="AF18" s="25">
        <v>30</v>
      </c>
      <c r="AG18" s="25">
        <v>2</v>
      </c>
      <c r="AH18" s="25">
        <v>58</v>
      </c>
      <c r="AI18" s="25">
        <v>0</v>
      </c>
      <c r="AJ18" s="25">
        <v>0</v>
      </c>
      <c r="AK18" s="25">
        <v>0</v>
      </c>
      <c r="AL18" s="25">
        <v>0</v>
      </c>
      <c r="AM18" s="25">
        <v>428</v>
      </c>
      <c r="AN18" s="25">
        <v>501</v>
      </c>
      <c r="AO18" s="25">
        <v>149</v>
      </c>
      <c r="AP18" s="23">
        <v>140384.09543624159</v>
      </c>
      <c r="AQ18" s="26">
        <v>2.8724832214765099</v>
      </c>
      <c r="AR18" s="23">
        <v>379500</v>
      </c>
      <c r="AS18" s="25">
        <v>63440</v>
      </c>
      <c r="AT18" s="24">
        <v>2.1175843806341202E-2</v>
      </c>
      <c r="AU18" s="23">
        <v>1307326.8887499999</v>
      </c>
      <c r="AV18" s="27">
        <v>69</v>
      </c>
      <c r="AW18" s="27">
        <v>1859</v>
      </c>
      <c r="AX18" s="42">
        <v>17779.66</v>
      </c>
      <c r="AY18" s="27">
        <v>217</v>
      </c>
      <c r="AZ18" s="27">
        <v>16</v>
      </c>
      <c r="BA18" s="27">
        <v>66</v>
      </c>
      <c r="BB18" s="27">
        <v>49</v>
      </c>
      <c r="BC18" s="29"/>
      <c r="BD18" s="21"/>
      <c r="BE18" s="3">
        <v>-1.9999999552965164E-2</v>
      </c>
    </row>
    <row r="19" spans="1:57">
      <c r="A19" s="2" t="s">
        <v>124</v>
      </c>
      <c r="B19" s="19" t="s">
        <v>443</v>
      </c>
      <c r="C19" s="19" t="s">
        <v>98</v>
      </c>
      <c r="D19" s="21" t="s">
        <v>480</v>
      </c>
      <c r="E19" s="44">
        <v>42926</v>
      </c>
      <c r="F19" s="21" t="s">
        <v>479</v>
      </c>
      <c r="G19" s="23">
        <v>20081138</v>
      </c>
      <c r="H19" s="28">
        <v>44575</v>
      </c>
      <c r="I19" s="28">
        <v>2000000</v>
      </c>
      <c r="J19" s="23">
        <v>0</v>
      </c>
      <c r="K19" s="23">
        <v>12000000</v>
      </c>
      <c r="L19" s="23">
        <v>10688161.699999999</v>
      </c>
      <c r="M19" s="23">
        <v>0</v>
      </c>
      <c r="N19" s="23">
        <v>11530790</v>
      </c>
      <c r="O19" s="24">
        <v>0.89068014166666665</v>
      </c>
      <c r="P19" s="24">
        <v>0</v>
      </c>
      <c r="Q19" s="24">
        <v>0.96089916666666664</v>
      </c>
      <c r="R19" s="25">
        <v>146</v>
      </c>
      <c r="S19" s="25">
        <v>110</v>
      </c>
      <c r="T19" s="25">
        <v>8</v>
      </c>
      <c r="U19" s="25">
        <v>7</v>
      </c>
      <c r="V19" s="25">
        <v>154</v>
      </c>
      <c r="W19" s="25">
        <v>44</v>
      </c>
      <c r="X19" s="26">
        <v>10329431.6</v>
      </c>
      <c r="Y19" s="26">
        <v>358730.1</v>
      </c>
      <c r="Z19" s="25">
        <v>81</v>
      </c>
      <c r="AA19" s="25">
        <v>7</v>
      </c>
      <c r="AB19" s="25">
        <v>88</v>
      </c>
      <c r="AC19" s="25">
        <v>0</v>
      </c>
      <c r="AD19" s="25">
        <v>14</v>
      </c>
      <c r="AE19" s="25">
        <v>19</v>
      </c>
      <c r="AF19" s="25">
        <v>43</v>
      </c>
      <c r="AG19" s="25">
        <v>2</v>
      </c>
      <c r="AH19" s="25">
        <v>49</v>
      </c>
      <c r="AI19" s="25">
        <v>0</v>
      </c>
      <c r="AJ19" s="25">
        <v>0</v>
      </c>
      <c r="AK19" s="25">
        <v>0</v>
      </c>
      <c r="AL19" s="25">
        <v>0</v>
      </c>
      <c r="AM19" s="25">
        <v>410</v>
      </c>
      <c r="AN19" s="25">
        <v>478</v>
      </c>
      <c r="AO19" s="25">
        <v>148</v>
      </c>
      <c r="AP19" s="23">
        <v>72217.308783783781</v>
      </c>
      <c r="AQ19" s="26">
        <v>2.7702702702702702</v>
      </c>
      <c r="AR19" s="23">
        <v>267450</v>
      </c>
      <c r="AS19" s="25">
        <v>65775</v>
      </c>
      <c r="AT19" s="24">
        <v>3.1177017091723082E-2</v>
      </c>
      <c r="AU19" s="23">
        <v>121456.38295454545</v>
      </c>
      <c r="AV19" s="27">
        <v>348</v>
      </c>
      <c r="AW19" s="27">
        <v>1113</v>
      </c>
      <c r="AX19" s="42">
        <v>11118.81</v>
      </c>
      <c r="AY19" s="27">
        <v>101</v>
      </c>
      <c r="AZ19" s="27">
        <v>88</v>
      </c>
      <c r="BA19" s="27">
        <v>36</v>
      </c>
      <c r="BB19" s="27">
        <v>30</v>
      </c>
      <c r="BC19" s="29"/>
      <c r="BD19" s="21"/>
      <c r="BE19" s="3">
        <v>1417543.2300000004</v>
      </c>
    </row>
    <row r="20" spans="1:57" ht="15.75" customHeight="1">
      <c r="A20" s="2" t="s">
        <v>117</v>
      </c>
      <c r="B20" s="19" t="s">
        <v>450</v>
      </c>
      <c r="C20" s="20" t="s">
        <v>99</v>
      </c>
      <c r="D20" s="21" t="s">
        <v>483</v>
      </c>
      <c r="E20" s="44">
        <v>42993</v>
      </c>
      <c r="F20" s="21" t="s">
        <v>482</v>
      </c>
      <c r="G20" s="23">
        <v>8386751</v>
      </c>
      <c r="H20" s="28">
        <v>51335</v>
      </c>
      <c r="I20" s="28">
        <v>1250000</v>
      </c>
      <c r="J20" s="23">
        <v>0</v>
      </c>
      <c r="K20" s="23">
        <v>7500000</v>
      </c>
      <c r="L20" s="23">
        <v>5361792.5999999996</v>
      </c>
      <c r="M20" s="23">
        <v>0</v>
      </c>
      <c r="N20" s="23">
        <v>5247471</v>
      </c>
      <c r="O20" s="24">
        <v>0.71490567999999999</v>
      </c>
      <c r="P20" s="24">
        <v>0</v>
      </c>
      <c r="Q20" s="24">
        <v>0.69966280000000003</v>
      </c>
      <c r="R20" s="25">
        <v>129</v>
      </c>
      <c r="S20" s="25">
        <v>107</v>
      </c>
      <c r="T20" s="25">
        <v>7</v>
      </c>
      <c r="U20" s="25">
        <v>7</v>
      </c>
      <c r="V20" s="25">
        <v>136</v>
      </c>
      <c r="W20" s="25">
        <v>29</v>
      </c>
      <c r="X20" s="26">
        <v>4361390.0999999996</v>
      </c>
      <c r="Y20" s="26">
        <v>1000402.5</v>
      </c>
      <c r="Z20" s="25">
        <v>86</v>
      </c>
      <c r="AA20" s="25">
        <v>7</v>
      </c>
      <c r="AB20" s="25">
        <v>93</v>
      </c>
      <c r="AC20" s="25">
        <v>0</v>
      </c>
      <c r="AD20" s="25">
        <v>193</v>
      </c>
      <c r="AE20" s="25">
        <v>262</v>
      </c>
      <c r="AF20" s="25">
        <v>439</v>
      </c>
      <c r="AG20" s="25">
        <v>8</v>
      </c>
      <c r="AH20" s="25">
        <v>184</v>
      </c>
      <c r="AI20" s="25">
        <v>0</v>
      </c>
      <c r="AJ20" s="25">
        <v>0</v>
      </c>
      <c r="AK20" s="25">
        <v>0</v>
      </c>
      <c r="AL20" s="25">
        <v>0</v>
      </c>
      <c r="AM20" s="25">
        <v>375</v>
      </c>
      <c r="AN20" s="25">
        <v>821</v>
      </c>
      <c r="AO20" s="25">
        <v>153</v>
      </c>
      <c r="AP20" s="23">
        <v>35044.396078431368</v>
      </c>
      <c r="AQ20" s="26">
        <v>2.4509803921568629</v>
      </c>
      <c r="AR20" s="23">
        <v>308010</v>
      </c>
      <c r="AS20" s="25">
        <v>37813</v>
      </c>
      <c r="AT20" s="24">
        <v>6.4497645805994069E-2</v>
      </c>
      <c r="AU20" s="23">
        <v>57653.683870967739</v>
      </c>
      <c r="AV20" s="27">
        <v>332</v>
      </c>
      <c r="AW20" s="27">
        <v>1427</v>
      </c>
      <c r="AX20" s="42">
        <v>13957.54</v>
      </c>
      <c r="AY20" s="27">
        <v>130</v>
      </c>
      <c r="AZ20" s="27">
        <v>93</v>
      </c>
      <c r="BA20" s="27">
        <v>24</v>
      </c>
      <c r="BB20" s="27">
        <v>19</v>
      </c>
      <c r="BC20" s="29"/>
      <c r="BD20" s="21"/>
      <c r="BE20" s="3">
        <v>2.0000000484287739E-2</v>
      </c>
    </row>
    <row r="21" spans="1:57" ht="15.75" customHeight="1">
      <c r="A21" s="2" t="s">
        <v>118</v>
      </c>
      <c r="B21" s="19" t="s">
        <v>362</v>
      </c>
      <c r="C21" s="20" t="s">
        <v>67</v>
      </c>
      <c r="D21" s="21" t="s">
        <v>485</v>
      </c>
      <c r="E21" s="44">
        <v>43009</v>
      </c>
      <c r="F21" s="21" t="s">
        <v>419</v>
      </c>
      <c r="G21" s="23">
        <v>131748574.09999999</v>
      </c>
      <c r="H21" s="28">
        <v>54455</v>
      </c>
      <c r="I21" s="28"/>
      <c r="J21" s="23">
        <v>0</v>
      </c>
      <c r="K21" s="23">
        <v>0</v>
      </c>
      <c r="L21" s="23">
        <v>1259297.28</v>
      </c>
      <c r="M21" s="23">
        <v>0</v>
      </c>
      <c r="N21" s="23">
        <v>0</v>
      </c>
      <c r="O21" s="24"/>
      <c r="P21" s="24">
        <v>0</v>
      </c>
      <c r="Q21" s="24"/>
      <c r="R21" s="25">
        <v>193</v>
      </c>
      <c r="S21" s="25">
        <v>129</v>
      </c>
      <c r="T21" s="25">
        <v>13</v>
      </c>
      <c r="U21" s="25">
        <v>1</v>
      </c>
      <c r="V21" s="25">
        <v>206</v>
      </c>
      <c r="W21" s="25">
        <v>77</v>
      </c>
      <c r="X21" s="26">
        <v>966367</v>
      </c>
      <c r="Y21" s="26">
        <v>292930.28000000003</v>
      </c>
      <c r="Z21" s="25">
        <v>7</v>
      </c>
      <c r="AA21" s="25">
        <v>1</v>
      </c>
      <c r="AB21" s="25">
        <v>8</v>
      </c>
      <c r="AC21" s="25">
        <v>0</v>
      </c>
      <c r="AD21" s="25">
        <v>13</v>
      </c>
      <c r="AE21" s="25">
        <v>16</v>
      </c>
      <c r="AF21" s="25">
        <v>28</v>
      </c>
      <c r="AG21" s="25">
        <v>3</v>
      </c>
      <c r="AH21" s="25">
        <v>88</v>
      </c>
      <c r="AI21" s="25">
        <v>0</v>
      </c>
      <c r="AJ21" s="25">
        <v>0</v>
      </c>
      <c r="AK21" s="25">
        <v>0</v>
      </c>
      <c r="AL21" s="25">
        <v>0</v>
      </c>
      <c r="AM21" s="25">
        <v>412</v>
      </c>
      <c r="AN21" s="25">
        <v>516</v>
      </c>
      <c r="AO21" s="25">
        <v>154</v>
      </c>
      <c r="AP21" s="23">
        <v>8177.2550649350651</v>
      </c>
      <c r="AQ21" s="26">
        <v>2.6753246753246751</v>
      </c>
      <c r="AR21" s="23">
        <v>326730</v>
      </c>
      <c r="AS21" s="25">
        <v>44903</v>
      </c>
      <c r="AT21" s="24">
        <v>0.29511141324787105</v>
      </c>
      <c r="AU21" s="23">
        <v>157412.16</v>
      </c>
      <c r="AV21" s="27">
        <v>11</v>
      </c>
      <c r="AW21" s="27">
        <v>1624</v>
      </c>
      <c r="AX21" s="42">
        <v>12628.49</v>
      </c>
      <c r="AY21" s="27">
        <v>98</v>
      </c>
      <c r="AZ21" s="27">
        <v>8</v>
      </c>
      <c r="BA21" s="27">
        <v>121</v>
      </c>
      <c r="BB21" s="27">
        <v>77</v>
      </c>
      <c r="BC21" s="29"/>
      <c r="BD21" s="21"/>
      <c r="BE21" s="3">
        <v>-8.0000000074505806E-2</v>
      </c>
    </row>
    <row r="22" spans="1:57" ht="15.75" customHeight="1">
      <c r="A22" s="2" t="s">
        <v>118</v>
      </c>
      <c r="B22" s="19" t="s">
        <v>362</v>
      </c>
      <c r="C22" s="20" t="s">
        <v>81</v>
      </c>
      <c r="D22" s="21" t="s">
        <v>439</v>
      </c>
      <c r="E22" s="44">
        <v>43119</v>
      </c>
      <c r="F22" s="21" t="s">
        <v>419</v>
      </c>
      <c r="G22" s="23">
        <v>83333921.829999998</v>
      </c>
      <c r="H22" s="28">
        <v>56700</v>
      </c>
      <c r="I22" s="28">
        <v>3833333</v>
      </c>
      <c r="J22" s="23">
        <v>0</v>
      </c>
      <c r="K22" s="23">
        <v>22999998</v>
      </c>
      <c r="L22" s="23">
        <v>16687272.98</v>
      </c>
      <c r="M22" s="23">
        <v>0</v>
      </c>
      <c r="N22" s="23">
        <v>29585265</v>
      </c>
      <c r="O22" s="24">
        <v>0.72553367091597143</v>
      </c>
      <c r="P22" s="24">
        <v>0</v>
      </c>
      <c r="Q22" s="24">
        <v>1.286315981418781</v>
      </c>
      <c r="R22" s="25">
        <v>57</v>
      </c>
      <c r="S22" s="25">
        <v>31</v>
      </c>
      <c r="T22" s="25">
        <v>3</v>
      </c>
      <c r="U22" s="25">
        <v>1</v>
      </c>
      <c r="V22" s="25">
        <v>60</v>
      </c>
      <c r="W22" s="25">
        <v>29</v>
      </c>
      <c r="X22" s="26">
        <v>16408224.98</v>
      </c>
      <c r="Y22" s="26">
        <v>279048</v>
      </c>
      <c r="Z22" s="25">
        <v>6</v>
      </c>
      <c r="AA22" s="25">
        <v>1</v>
      </c>
      <c r="AB22" s="25">
        <v>7</v>
      </c>
      <c r="AC22" s="25">
        <v>0</v>
      </c>
      <c r="AD22" s="25">
        <v>8</v>
      </c>
      <c r="AE22" s="25">
        <v>8</v>
      </c>
      <c r="AF22" s="25">
        <v>68</v>
      </c>
      <c r="AG22" s="25">
        <v>2</v>
      </c>
      <c r="AH22" s="25">
        <v>13</v>
      </c>
      <c r="AI22" s="25">
        <v>0</v>
      </c>
      <c r="AJ22" s="25">
        <v>0</v>
      </c>
      <c r="AK22" s="25">
        <v>0</v>
      </c>
      <c r="AL22" s="25">
        <v>0</v>
      </c>
      <c r="AM22" s="25">
        <v>205</v>
      </c>
      <c r="AN22" s="25">
        <v>226</v>
      </c>
      <c r="AO22" s="25">
        <v>140</v>
      </c>
      <c r="AP22" s="23">
        <v>119194.807</v>
      </c>
      <c r="AQ22" s="26">
        <v>1.4642857142857142</v>
      </c>
      <c r="AR22" s="23">
        <v>340200</v>
      </c>
      <c r="AS22" s="25">
        <v>46280</v>
      </c>
      <c r="AT22" s="24">
        <v>2.3160165262664744E-2</v>
      </c>
      <c r="AU22" s="23">
        <v>2383896.14</v>
      </c>
      <c r="AV22" s="27">
        <v>16</v>
      </c>
      <c r="AW22" s="27">
        <v>1152</v>
      </c>
      <c r="AX22" s="42">
        <v>4077.99</v>
      </c>
      <c r="AY22" s="27">
        <v>132</v>
      </c>
      <c r="AZ22" s="27">
        <v>7</v>
      </c>
      <c r="BA22" s="27">
        <v>24</v>
      </c>
      <c r="BB22" s="27">
        <v>29</v>
      </c>
      <c r="BC22" s="29"/>
      <c r="BD22" s="21"/>
      <c r="BE22" s="3">
        <v>9.25</v>
      </c>
    </row>
    <row r="23" spans="1:57" ht="15.75" customHeight="1">
      <c r="A23" s="2" t="s">
        <v>119</v>
      </c>
      <c r="B23" s="19" t="s">
        <v>649</v>
      </c>
      <c r="C23" s="20" t="s">
        <v>96</v>
      </c>
      <c r="D23" s="21" t="s">
        <v>487</v>
      </c>
      <c r="E23" s="44">
        <v>43185</v>
      </c>
      <c r="F23" s="21" t="s">
        <v>486</v>
      </c>
      <c r="G23" s="23">
        <v>7359568.4700000016</v>
      </c>
      <c r="H23" s="28">
        <v>34650</v>
      </c>
      <c r="I23" s="28">
        <v>1816666.6666999999</v>
      </c>
      <c r="J23" s="23">
        <v>1041666.66675</v>
      </c>
      <c r="K23" s="23">
        <v>4200000</v>
      </c>
      <c r="L23" s="23">
        <v>1274463.3400000001</v>
      </c>
      <c r="M23" s="23">
        <v>0</v>
      </c>
      <c r="N23" s="23">
        <v>1905618.4900000002</v>
      </c>
      <c r="O23" s="24">
        <v>0.24314085977355898</v>
      </c>
      <c r="P23" s="24">
        <v>0</v>
      </c>
      <c r="Q23" s="24">
        <v>0.3635520171643315</v>
      </c>
      <c r="R23" s="25">
        <v>108</v>
      </c>
      <c r="S23" s="25">
        <v>94</v>
      </c>
      <c r="T23" s="25">
        <v>3</v>
      </c>
      <c r="U23" s="25">
        <v>1</v>
      </c>
      <c r="V23" s="25">
        <v>111</v>
      </c>
      <c r="W23" s="25">
        <v>17</v>
      </c>
      <c r="X23" s="26">
        <v>1195933.44</v>
      </c>
      <c r="Y23" s="26">
        <v>78529.899999999994</v>
      </c>
      <c r="Z23" s="25">
        <v>35</v>
      </c>
      <c r="AA23" s="25">
        <v>1</v>
      </c>
      <c r="AB23" s="25">
        <v>36</v>
      </c>
      <c r="AC23" s="25">
        <v>0</v>
      </c>
      <c r="AD23" s="25">
        <v>14</v>
      </c>
      <c r="AE23" s="25">
        <v>20</v>
      </c>
      <c r="AF23" s="25">
        <v>90</v>
      </c>
      <c r="AG23" s="25">
        <v>0</v>
      </c>
      <c r="AH23" s="25">
        <v>0</v>
      </c>
      <c r="AI23" s="25">
        <v>1</v>
      </c>
      <c r="AJ23" s="25">
        <v>6</v>
      </c>
      <c r="AK23" s="25">
        <v>0</v>
      </c>
      <c r="AL23" s="25">
        <v>0</v>
      </c>
      <c r="AM23" s="25">
        <v>244</v>
      </c>
      <c r="AN23" s="25">
        <v>270</v>
      </c>
      <c r="AO23" s="25">
        <v>49</v>
      </c>
      <c r="AP23" s="23">
        <v>26009.455918367348</v>
      </c>
      <c r="AQ23" s="26">
        <v>4.9795918367346941</v>
      </c>
      <c r="AR23" s="23">
        <v>17325</v>
      </c>
      <c r="AS23" s="25">
        <v>4550</v>
      </c>
      <c r="AT23" s="24">
        <v>1.716408727770859E-2</v>
      </c>
      <c r="AU23" s="23">
        <v>35401.759444444448</v>
      </c>
      <c r="AV23" s="27">
        <v>46</v>
      </c>
      <c r="AW23" s="27">
        <v>512</v>
      </c>
      <c r="AX23" s="42">
        <v>3692.41</v>
      </c>
      <c r="AY23" s="27">
        <v>39</v>
      </c>
      <c r="AZ23" s="27">
        <v>36</v>
      </c>
      <c r="BA23" s="27">
        <v>60</v>
      </c>
      <c r="BB23" s="27">
        <v>15</v>
      </c>
      <c r="BC23" s="29"/>
      <c r="BD23" s="21" t="s">
        <v>488</v>
      </c>
      <c r="BE23" s="3">
        <v>-2.3283064365386963E-10</v>
      </c>
    </row>
    <row r="24" spans="1:57" ht="15.75" customHeight="1">
      <c r="A24" s="2" t="s">
        <v>118</v>
      </c>
      <c r="B24" s="19" t="s">
        <v>362</v>
      </c>
      <c r="C24" s="20" t="s">
        <v>103</v>
      </c>
      <c r="D24" s="21" t="s">
        <v>490</v>
      </c>
      <c r="E24" s="44">
        <v>43255</v>
      </c>
      <c r="F24" s="21" t="s">
        <v>419</v>
      </c>
      <c r="G24" s="23">
        <v>42903046</v>
      </c>
      <c r="H24" s="28">
        <v>46670</v>
      </c>
      <c r="I24" s="28">
        <v>5333333</v>
      </c>
      <c r="J24" s="23">
        <v>0</v>
      </c>
      <c r="K24" s="23">
        <v>31999998</v>
      </c>
      <c r="L24" s="23">
        <v>15097442.42</v>
      </c>
      <c r="M24" s="23">
        <v>0</v>
      </c>
      <c r="N24" s="23">
        <v>17211991</v>
      </c>
      <c r="O24" s="24">
        <v>0.47179510511219408</v>
      </c>
      <c r="P24" s="24">
        <v>0</v>
      </c>
      <c r="Q24" s="24">
        <v>0.53787475236717197</v>
      </c>
      <c r="R24" s="25">
        <v>142</v>
      </c>
      <c r="S24" s="25">
        <v>120</v>
      </c>
      <c r="T24" s="25">
        <v>3</v>
      </c>
      <c r="U24" s="25">
        <v>3</v>
      </c>
      <c r="V24" s="25">
        <v>145</v>
      </c>
      <c r="W24" s="25">
        <v>25</v>
      </c>
      <c r="X24" s="26">
        <v>14278992.52</v>
      </c>
      <c r="Y24" s="26">
        <v>818449.9</v>
      </c>
      <c r="Z24" s="25">
        <v>42</v>
      </c>
      <c r="AA24" s="25">
        <v>3</v>
      </c>
      <c r="AB24" s="25">
        <v>45</v>
      </c>
      <c r="AC24" s="25">
        <v>0</v>
      </c>
      <c r="AD24" s="25">
        <v>13</v>
      </c>
      <c r="AE24" s="25">
        <v>21</v>
      </c>
      <c r="AF24" s="25">
        <v>36</v>
      </c>
      <c r="AG24" s="25">
        <v>2</v>
      </c>
      <c r="AH24" s="25">
        <v>18</v>
      </c>
      <c r="AI24" s="25">
        <v>0</v>
      </c>
      <c r="AJ24" s="25">
        <v>0</v>
      </c>
      <c r="AK24" s="25">
        <v>0</v>
      </c>
      <c r="AL24" s="25">
        <v>0</v>
      </c>
      <c r="AM24" s="25">
        <v>707</v>
      </c>
      <c r="AN24" s="25">
        <v>746</v>
      </c>
      <c r="AO24" s="25">
        <v>149</v>
      </c>
      <c r="AP24" s="23">
        <v>101325.11691275168</v>
      </c>
      <c r="AQ24" s="26">
        <v>4.7449664429530198</v>
      </c>
      <c r="AR24" s="23">
        <v>280020</v>
      </c>
      <c r="AS24" s="25">
        <v>71800</v>
      </c>
      <c r="AT24" s="24">
        <v>2.3303284769209273E-2</v>
      </c>
      <c r="AU24" s="23">
        <v>335498.72044444445</v>
      </c>
      <c r="AV24" s="27">
        <v>171</v>
      </c>
      <c r="AW24" s="27">
        <v>1609</v>
      </c>
      <c r="AX24" s="42">
        <v>9609.5300000000007</v>
      </c>
      <c r="AY24" s="27">
        <v>80</v>
      </c>
      <c r="AZ24" s="27">
        <v>45</v>
      </c>
      <c r="BA24" s="27">
        <v>77</v>
      </c>
      <c r="BB24" s="27">
        <v>23</v>
      </c>
      <c r="BC24" s="29"/>
      <c r="BD24" s="21"/>
      <c r="BE24" s="3">
        <v>-1.9084374979138374</v>
      </c>
    </row>
    <row r="25" spans="1:57" ht="13.2">
      <c r="A25" s="2" t="s">
        <v>201</v>
      </c>
      <c r="B25" s="19" t="s">
        <v>469</v>
      </c>
      <c r="C25" s="19" t="s">
        <v>110</v>
      </c>
      <c r="D25" s="21" t="s">
        <v>491</v>
      </c>
      <c r="E25" s="44">
        <v>43315</v>
      </c>
      <c r="F25" s="21" t="s">
        <v>470</v>
      </c>
      <c r="G25" s="23">
        <v>42196144</v>
      </c>
      <c r="H25" s="28">
        <v>140000</v>
      </c>
      <c r="I25" s="28">
        <v>4166667</v>
      </c>
      <c r="J25" s="23">
        <v>1800000</v>
      </c>
      <c r="K25" s="23">
        <v>23200002</v>
      </c>
      <c r="L25" s="23">
        <v>20704337.93</v>
      </c>
      <c r="M25" s="23">
        <v>0</v>
      </c>
      <c r="N25" s="23">
        <v>20374655</v>
      </c>
      <c r="O25" s="24">
        <v>0.82817345094612393</v>
      </c>
      <c r="P25" s="24">
        <v>0</v>
      </c>
      <c r="Q25" s="24">
        <v>0.81498613480110926</v>
      </c>
      <c r="R25" s="25">
        <v>100</v>
      </c>
      <c r="S25" s="25">
        <v>103</v>
      </c>
      <c r="T25" s="25">
        <v>9</v>
      </c>
      <c r="U25" s="25">
        <v>9</v>
      </c>
      <c r="V25" s="25">
        <v>109</v>
      </c>
      <c r="W25" s="25">
        <v>6</v>
      </c>
      <c r="X25" s="26">
        <v>19797858.579999998</v>
      </c>
      <c r="Y25" s="26">
        <v>906479.35</v>
      </c>
      <c r="Z25" s="25">
        <v>80</v>
      </c>
      <c r="AA25" s="25">
        <v>9</v>
      </c>
      <c r="AB25" s="25">
        <v>89</v>
      </c>
      <c r="AC25" s="25">
        <v>0</v>
      </c>
      <c r="AD25" s="25">
        <v>7</v>
      </c>
      <c r="AE25" s="25">
        <v>8</v>
      </c>
      <c r="AF25" s="25">
        <v>10</v>
      </c>
      <c r="AG25" s="25">
        <v>7</v>
      </c>
      <c r="AH25" s="25">
        <v>31</v>
      </c>
      <c r="AI25" s="25">
        <v>1</v>
      </c>
      <c r="AJ25" s="25">
        <v>1</v>
      </c>
      <c r="AK25" s="25">
        <v>1</v>
      </c>
      <c r="AL25" s="25">
        <v>1</v>
      </c>
      <c r="AM25" s="25">
        <v>697</v>
      </c>
      <c r="AN25" s="25">
        <v>738</v>
      </c>
      <c r="AO25" s="25">
        <v>153</v>
      </c>
      <c r="AP25" s="23">
        <v>135322.47013071895</v>
      </c>
      <c r="AQ25" s="26">
        <v>4.5555555555555554</v>
      </c>
      <c r="AR25" s="23">
        <v>840000</v>
      </c>
      <c r="AS25" s="25">
        <v>61080</v>
      </c>
      <c r="AT25" s="24">
        <v>4.3521314376073844E-2</v>
      </c>
      <c r="AU25" s="23">
        <v>232633.01044943821</v>
      </c>
      <c r="AV25" s="27">
        <v>635</v>
      </c>
      <c r="AW25" s="27">
        <v>1212</v>
      </c>
      <c r="AX25" s="42">
        <v>9041.94</v>
      </c>
      <c r="AY25" s="27">
        <v>88</v>
      </c>
      <c r="AZ25" s="27">
        <v>89</v>
      </c>
      <c r="BA25" s="27">
        <v>14</v>
      </c>
      <c r="BB25" s="27">
        <v>6</v>
      </c>
      <c r="BC25" s="29"/>
      <c r="BD25" s="21"/>
      <c r="BE25" s="3">
        <v>-1.1499999985098839</v>
      </c>
    </row>
    <row r="26" spans="1:57" ht="15.6">
      <c r="A26" s="2" t="s">
        <v>119</v>
      </c>
      <c r="B26" s="19" t="s">
        <v>375</v>
      </c>
      <c r="C26" s="20" t="s">
        <v>97</v>
      </c>
      <c r="D26" s="21" t="s">
        <v>492</v>
      </c>
      <c r="E26" s="44">
        <v>43424</v>
      </c>
      <c r="F26" s="21" t="s">
        <v>473</v>
      </c>
      <c r="G26" s="23">
        <v>11767268.16</v>
      </c>
      <c r="H26" s="28">
        <v>41430</v>
      </c>
      <c r="I26" s="28">
        <v>2933333.3333000001</v>
      </c>
      <c r="J26" s="23">
        <v>4999999.9998000003</v>
      </c>
      <c r="K26" s="23">
        <v>12600000</v>
      </c>
      <c r="L26" s="23">
        <v>5771963.4699999997</v>
      </c>
      <c r="M26" s="23">
        <v>550029.48</v>
      </c>
      <c r="N26" s="23">
        <v>7106916.2100000009</v>
      </c>
      <c r="O26" s="24">
        <v>0.35920414489044544</v>
      </c>
      <c r="P26" s="24">
        <v>0.11</v>
      </c>
      <c r="Q26" s="24">
        <v>0.40380205739095232</v>
      </c>
      <c r="R26" s="25">
        <v>114</v>
      </c>
      <c r="S26" s="25">
        <v>80</v>
      </c>
      <c r="T26" s="25">
        <v>5</v>
      </c>
      <c r="U26" s="25">
        <v>5</v>
      </c>
      <c r="V26" s="25">
        <v>119</v>
      </c>
      <c r="W26" s="25">
        <v>39</v>
      </c>
      <c r="X26" s="26">
        <v>5610552.3200000003</v>
      </c>
      <c r="Y26" s="26">
        <v>161411.15</v>
      </c>
      <c r="Z26" s="25">
        <v>81</v>
      </c>
      <c r="AA26" s="25">
        <v>5</v>
      </c>
      <c r="AB26" s="25">
        <v>86</v>
      </c>
      <c r="AC26" s="25">
        <v>2</v>
      </c>
      <c r="AD26" s="25">
        <v>2</v>
      </c>
      <c r="AE26" s="25">
        <v>3</v>
      </c>
      <c r="AF26" s="25">
        <v>15</v>
      </c>
      <c r="AG26" s="25">
        <v>7</v>
      </c>
      <c r="AH26" s="25">
        <v>53</v>
      </c>
      <c r="AI26" s="25">
        <v>3</v>
      </c>
      <c r="AJ26" s="25">
        <v>38</v>
      </c>
      <c r="AK26" s="25">
        <v>0</v>
      </c>
      <c r="AL26" s="25">
        <v>0</v>
      </c>
      <c r="AM26" s="25">
        <v>548</v>
      </c>
      <c r="AN26" s="25">
        <v>642</v>
      </c>
      <c r="AO26" s="25">
        <v>133</v>
      </c>
      <c r="AP26" s="23">
        <v>47533.781578947361</v>
      </c>
      <c r="AQ26" s="26">
        <v>4.1203007518796992</v>
      </c>
      <c r="AR26" s="23">
        <v>248580</v>
      </c>
      <c r="AS26" s="25">
        <v>49623</v>
      </c>
      <c r="AT26" s="24">
        <v>4.7169144660308429E-2</v>
      </c>
      <c r="AU26" s="23">
        <v>67115.854302325577</v>
      </c>
      <c r="AV26" s="27">
        <v>333</v>
      </c>
      <c r="AW26" s="27">
        <v>1113</v>
      </c>
      <c r="AX26" s="42">
        <v>7791.43</v>
      </c>
      <c r="AY26" s="27">
        <v>97</v>
      </c>
      <c r="AZ26" s="27">
        <v>86</v>
      </c>
      <c r="BA26" s="27">
        <v>20</v>
      </c>
      <c r="BB26" s="27">
        <v>13</v>
      </c>
      <c r="BC26" s="29"/>
      <c r="BD26" s="21"/>
      <c r="BE26" s="3">
        <v>-0.91000000014901161</v>
      </c>
    </row>
    <row r="27" spans="1:57" ht="13.2">
      <c r="A27" s="2" t="s">
        <v>118</v>
      </c>
      <c r="B27" s="19" t="s">
        <v>359</v>
      </c>
      <c r="C27" s="19" t="s">
        <v>112</v>
      </c>
      <c r="D27" s="21" t="s">
        <v>493</v>
      </c>
      <c r="E27" s="44">
        <v>43556</v>
      </c>
      <c r="F27" s="21" t="s">
        <v>442</v>
      </c>
      <c r="G27" s="23">
        <v>16969894.600000001</v>
      </c>
      <c r="H27" s="28">
        <v>39070</v>
      </c>
      <c r="I27" s="28">
        <v>2000000</v>
      </c>
      <c r="J27" s="23">
        <v>0</v>
      </c>
      <c r="K27" s="23">
        <v>12000000</v>
      </c>
      <c r="L27" s="23">
        <v>8455668.6799999997</v>
      </c>
      <c r="M27" s="23">
        <v>0</v>
      </c>
      <c r="N27" s="23">
        <v>8586754.5</v>
      </c>
      <c r="O27" s="24">
        <v>0.7046390566666666</v>
      </c>
      <c r="P27" s="24">
        <v>0</v>
      </c>
      <c r="Q27" s="24">
        <v>0.71556287500000004</v>
      </c>
      <c r="R27" s="25">
        <v>70</v>
      </c>
      <c r="S27" s="25">
        <v>69</v>
      </c>
      <c r="T27" s="25">
        <v>4</v>
      </c>
      <c r="U27" s="25">
        <v>2</v>
      </c>
      <c r="V27" s="25">
        <v>74</v>
      </c>
      <c r="W27" s="25">
        <v>5</v>
      </c>
      <c r="X27" s="26">
        <v>8238630.1600000001</v>
      </c>
      <c r="Y27" s="26">
        <v>217038.52</v>
      </c>
      <c r="Z27" s="25">
        <v>36</v>
      </c>
      <c r="AA27" s="25">
        <v>2</v>
      </c>
      <c r="AB27" s="25">
        <v>38</v>
      </c>
      <c r="AC27" s="25">
        <v>0</v>
      </c>
      <c r="AD27" s="25">
        <v>0</v>
      </c>
      <c r="AE27" s="25">
        <v>0</v>
      </c>
      <c r="AF27" s="25">
        <v>0</v>
      </c>
      <c r="AG27" s="25">
        <v>2</v>
      </c>
      <c r="AH27" s="25">
        <v>107</v>
      </c>
      <c r="AI27" s="25">
        <v>0</v>
      </c>
      <c r="AJ27" s="25">
        <v>0</v>
      </c>
      <c r="AK27" s="25">
        <v>0</v>
      </c>
      <c r="AL27" s="25">
        <v>0</v>
      </c>
      <c r="AM27" s="25">
        <v>579</v>
      </c>
      <c r="AN27" s="25">
        <v>686</v>
      </c>
      <c r="AO27" s="25">
        <v>154</v>
      </c>
      <c r="AP27" s="23">
        <v>54906.939480519475</v>
      </c>
      <c r="AQ27" s="26">
        <v>3.7597402597402598</v>
      </c>
      <c r="AR27" s="23">
        <v>234420</v>
      </c>
      <c r="AS27" s="25">
        <v>38185</v>
      </c>
      <c r="AT27" s="24">
        <v>3.2239319007943912E-2</v>
      </c>
      <c r="AU27" s="23">
        <v>222517.59684210527</v>
      </c>
      <c r="AV27" s="27">
        <v>132</v>
      </c>
      <c r="AW27" s="27">
        <v>1281</v>
      </c>
      <c r="AX27" s="42">
        <v>5131.93</v>
      </c>
      <c r="AY27" s="27">
        <v>74</v>
      </c>
      <c r="AZ27" s="27">
        <v>38</v>
      </c>
      <c r="BA27" s="27">
        <v>32</v>
      </c>
      <c r="BB27" s="27">
        <v>4</v>
      </c>
      <c r="BC27" s="29"/>
      <c r="BD27" s="21"/>
      <c r="BE27" s="3">
        <v>-0.28999999910593033</v>
      </c>
    </row>
    <row r="28" spans="1:57" ht="15.6">
      <c r="A28" s="2" t="s">
        <v>118</v>
      </c>
      <c r="B28" s="19" t="s">
        <v>436</v>
      </c>
      <c r="C28" s="20" t="s">
        <v>111</v>
      </c>
      <c r="D28" s="21" t="s">
        <v>437</v>
      </c>
      <c r="E28" s="44">
        <v>43557</v>
      </c>
      <c r="F28" s="21" t="s">
        <v>494</v>
      </c>
      <c r="G28" s="23">
        <v>13932526</v>
      </c>
      <c r="H28" s="28">
        <v>54510</v>
      </c>
      <c r="I28" s="28">
        <v>1666667</v>
      </c>
      <c r="J28" s="23">
        <v>0</v>
      </c>
      <c r="K28" s="23">
        <v>10000002</v>
      </c>
      <c r="L28" s="23">
        <v>7014944.5599999996</v>
      </c>
      <c r="M28" s="23">
        <v>0</v>
      </c>
      <c r="N28" s="23">
        <v>5709938</v>
      </c>
      <c r="O28" s="24">
        <v>0.70149431570113685</v>
      </c>
      <c r="P28" s="24">
        <v>0</v>
      </c>
      <c r="Q28" s="24">
        <v>0.57099368580126286</v>
      </c>
      <c r="R28" s="25">
        <v>131</v>
      </c>
      <c r="S28" s="25">
        <v>126</v>
      </c>
      <c r="T28" s="25">
        <v>8</v>
      </c>
      <c r="U28" s="25">
        <v>7</v>
      </c>
      <c r="V28" s="25">
        <v>139</v>
      </c>
      <c r="W28" s="25">
        <v>13</v>
      </c>
      <c r="X28" s="26">
        <v>6276963.2599999998</v>
      </c>
      <c r="Y28" s="26">
        <v>737981.3</v>
      </c>
      <c r="Z28" s="25">
        <v>71</v>
      </c>
      <c r="AA28" s="25">
        <v>7</v>
      </c>
      <c r="AB28" s="25">
        <v>78</v>
      </c>
      <c r="AC28" s="25">
        <v>0</v>
      </c>
      <c r="AD28" s="25">
        <v>23</v>
      </c>
      <c r="AE28" s="25">
        <v>58</v>
      </c>
      <c r="AF28" s="25">
        <v>19</v>
      </c>
      <c r="AG28" s="25">
        <v>7</v>
      </c>
      <c r="AH28" s="25">
        <v>53</v>
      </c>
      <c r="AI28" s="25">
        <v>0</v>
      </c>
      <c r="AJ28" s="25">
        <v>0</v>
      </c>
      <c r="AK28" s="25">
        <v>0</v>
      </c>
      <c r="AL28" s="25">
        <v>0</v>
      </c>
      <c r="AM28" s="25">
        <v>852</v>
      </c>
      <c r="AN28" s="25">
        <v>963</v>
      </c>
      <c r="AO28" s="25">
        <v>149</v>
      </c>
      <c r="AP28" s="23">
        <v>47080.164832214759</v>
      </c>
      <c r="AQ28" s="26">
        <v>5.7181208053691277</v>
      </c>
      <c r="AR28" s="23">
        <v>327060</v>
      </c>
      <c r="AS28" s="25">
        <v>73024</v>
      </c>
      <c r="AT28" s="24">
        <v>5.7033095069820482E-2</v>
      </c>
      <c r="AU28" s="23">
        <v>89935.186666666661</v>
      </c>
      <c r="AV28" s="27">
        <v>298</v>
      </c>
      <c r="AW28" s="27">
        <v>1480</v>
      </c>
      <c r="AX28" s="42">
        <v>12861.58</v>
      </c>
      <c r="AY28" s="27">
        <v>102</v>
      </c>
      <c r="AZ28" s="27">
        <v>78</v>
      </c>
      <c r="BA28" s="27">
        <v>49</v>
      </c>
      <c r="BB28" s="27">
        <v>12</v>
      </c>
      <c r="BC28" s="29"/>
      <c r="BD28" s="21"/>
      <c r="BE28" s="3">
        <v>0.46000000089406967</v>
      </c>
    </row>
    <row r="29" spans="1:57" ht="13.2">
      <c r="A29" s="2" t="s">
        <v>118</v>
      </c>
      <c r="B29" s="19" t="s">
        <v>372</v>
      </c>
      <c r="C29" s="19" t="s">
        <v>113</v>
      </c>
      <c r="D29" s="21" t="s">
        <v>495</v>
      </c>
      <c r="E29" s="44">
        <v>43647</v>
      </c>
      <c r="F29" s="21" t="s">
        <v>447</v>
      </c>
      <c r="G29" s="23">
        <v>71069534.319999993</v>
      </c>
      <c r="H29" s="28">
        <v>32605</v>
      </c>
      <c r="I29" s="28">
        <v>6250000</v>
      </c>
      <c r="J29" s="23">
        <v>0</v>
      </c>
      <c r="K29" s="23">
        <v>37500000</v>
      </c>
      <c r="L29" s="23">
        <v>25941727.129999999</v>
      </c>
      <c r="M29" s="23">
        <v>0</v>
      </c>
      <c r="N29" s="23">
        <v>29804567</v>
      </c>
      <c r="O29" s="24">
        <v>0.69177939013333334</v>
      </c>
      <c r="P29" s="24">
        <v>0</v>
      </c>
      <c r="Q29" s="24">
        <v>0.79478845333333337</v>
      </c>
      <c r="R29" s="25">
        <v>89</v>
      </c>
      <c r="S29" s="25">
        <v>102</v>
      </c>
      <c r="T29" s="25">
        <v>14</v>
      </c>
      <c r="U29" s="25">
        <v>13</v>
      </c>
      <c r="V29" s="25">
        <v>103</v>
      </c>
      <c r="W29" s="25">
        <v>1</v>
      </c>
      <c r="X29" s="26">
        <v>22255250.449999999</v>
      </c>
      <c r="Y29" s="26">
        <v>3686476.68</v>
      </c>
      <c r="Z29" s="25">
        <v>64</v>
      </c>
      <c r="AA29" s="25">
        <v>13</v>
      </c>
      <c r="AB29" s="25">
        <v>77</v>
      </c>
      <c r="AC29" s="25">
        <v>0</v>
      </c>
      <c r="AD29" s="25">
        <v>19</v>
      </c>
      <c r="AE29" s="25">
        <v>32</v>
      </c>
      <c r="AF29" s="25">
        <v>22</v>
      </c>
      <c r="AG29" s="25">
        <v>1</v>
      </c>
      <c r="AH29" s="25">
        <v>41</v>
      </c>
      <c r="AI29" s="25">
        <v>0</v>
      </c>
      <c r="AJ29" s="25">
        <v>0</v>
      </c>
      <c r="AK29" s="25">
        <v>0</v>
      </c>
      <c r="AL29" s="25">
        <v>0</v>
      </c>
      <c r="AM29" s="25">
        <v>662</v>
      </c>
      <c r="AN29" s="25">
        <v>735</v>
      </c>
      <c r="AO29" s="25">
        <v>152</v>
      </c>
      <c r="AP29" s="23">
        <v>170669.25743421051</v>
      </c>
      <c r="AQ29" s="26">
        <v>4.3552631578947372</v>
      </c>
      <c r="AR29" s="23">
        <v>195630</v>
      </c>
      <c r="AS29" s="25">
        <v>45068</v>
      </c>
      <c r="AT29" s="24">
        <v>9.2784107547584094E-3</v>
      </c>
      <c r="AU29" s="23">
        <v>336905.5471428571</v>
      </c>
      <c r="AV29" s="27">
        <v>353</v>
      </c>
      <c r="AW29" s="27">
        <v>1597</v>
      </c>
      <c r="AX29" s="42">
        <v>12146.85</v>
      </c>
      <c r="AY29" s="27">
        <v>119</v>
      </c>
      <c r="AZ29" s="27">
        <v>77</v>
      </c>
      <c r="BA29" s="27">
        <v>26</v>
      </c>
      <c r="BB29" s="27">
        <v>0</v>
      </c>
      <c r="BC29" s="29"/>
      <c r="BD29" s="21"/>
      <c r="BE29" s="3">
        <v>-1.0899999961256981</v>
      </c>
    </row>
    <row r="30" spans="1:57" ht="15.6">
      <c r="A30" s="2" t="s">
        <v>118</v>
      </c>
      <c r="B30" s="19" t="s">
        <v>359</v>
      </c>
      <c r="C30" s="20" t="s">
        <v>33</v>
      </c>
      <c r="D30" s="21" t="s">
        <v>496</v>
      </c>
      <c r="E30" s="44">
        <v>43710</v>
      </c>
      <c r="F30" s="21" t="s">
        <v>442</v>
      </c>
      <c r="G30" s="23">
        <v>13753144.49</v>
      </c>
      <c r="H30" s="28">
        <v>50950</v>
      </c>
      <c r="I30" s="28">
        <v>2000000</v>
      </c>
      <c r="J30" s="23">
        <v>0</v>
      </c>
      <c r="K30" s="23">
        <v>12000000</v>
      </c>
      <c r="L30" s="23">
        <v>8424948.8399999999</v>
      </c>
      <c r="M30" s="23">
        <v>824588.47</v>
      </c>
      <c r="N30" s="23">
        <v>8612585</v>
      </c>
      <c r="O30" s="24">
        <v>0.77079477583333333</v>
      </c>
      <c r="P30" s="24">
        <v>0</v>
      </c>
      <c r="Q30" s="24">
        <v>0.71771541666666672</v>
      </c>
      <c r="R30" s="25">
        <v>52</v>
      </c>
      <c r="S30" s="25">
        <v>51</v>
      </c>
      <c r="T30" s="25">
        <v>3</v>
      </c>
      <c r="U30" s="25">
        <v>3</v>
      </c>
      <c r="V30" s="25">
        <v>55</v>
      </c>
      <c r="W30" s="25">
        <v>4</v>
      </c>
      <c r="X30" s="26">
        <v>7852773.5700000003</v>
      </c>
      <c r="Y30" s="26">
        <v>572175.27</v>
      </c>
      <c r="Z30" s="25">
        <v>46</v>
      </c>
      <c r="AA30" s="25">
        <v>3</v>
      </c>
      <c r="AB30" s="25">
        <v>49</v>
      </c>
      <c r="AC30" s="25">
        <v>2</v>
      </c>
      <c r="AD30" s="25">
        <v>13</v>
      </c>
      <c r="AE30" s="25">
        <v>30</v>
      </c>
      <c r="AF30" s="25">
        <v>24</v>
      </c>
      <c r="AG30" s="25">
        <v>2</v>
      </c>
      <c r="AH30" s="25">
        <v>6</v>
      </c>
      <c r="AI30" s="25">
        <v>3</v>
      </c>
      <c r="AJ30" s="25">
        <v>55</v>
      </c>
      <c r="AK30" s="25">
        <v>0</v>
      </c>
      <c r="AL30" s="25">
        <v>0</v>
      </c>
      <c r="AM30" s="25">
        <v>564</v>
      </c>
      <c r="AN30" s="25">
        <v>655</v>
      </c>
      <c r="AO30" s="25">
        <v>140</v>
      </c>
      <c r="AP30" s="23">
        <v>66068.123642857143</v>
      </c>
      <c r="AQ30" s="26">
        <v>4.0285714285714285</v>
      </c>
      <c r="AR30" s="23">
        <v>305700</v>
      </c>
      <c r="AS30" s="25">
        <v>48193</v>
      </c>
      <c r="AT30" s="24">
        <v>3.8260616519422419E-2</v>
      </c>
      <c r="AU30" s="23">
        <v>171937.73142857142</v>
      </c>
      <c r="AV30" s="27">
        <v>263</v>
      </c>
      <c r="AW30" s="27">
        <v>1521</v>
      </c>
      <c r="AX30" s="42">
        <v>14508.39</v>
      </c>
      <c r="AY30" s="27">
        <v>284</v>
      </c>
      <c r="AZ30" s="27">
        <v>49</v>
      </c>
      <c r="BA30" s="27">
        <v>4</v>
      </c>
      <c r="BB30" s="27">
        <v>2</v>
      </c>
      <c r="BC30" s="29"/>
      <c r="BD30" s="21"/>
      <c r="BE30" s="3">
        <v>-0.24000000022351742</v>
      </c>
    </row>
    <row r="31" spans="1:57" ht="15.6">
      <c r="A31" s="2" t="s">
        <v>118</v>
      </c>
      <c r="B31" s="19" t="s">
        <v>484</v>
      </c>
      <c r="C31" s="20" t="s">
        <v>114</v>
      </c>
      <c r="D31" s="21" t="s">
        <v>498</v>
      </c>
      <c r="E31" s="44">
        <v>43710</v>
      </c>
      <c r="F31" s="21" t="s">
        <v>497</v>
      </c>
      <c r="G31" s="23">
        <v>10055911</v>
      </c>
      <c r="H31" s="28">
        <v>28050</v>
      </c>
      <c r="I31" s="28">
        <v>1500000</v>
      </c>
      <c r="J31" s="23">
        <v>0</v>
      </c>
      <c r="K31" s="23">
        <v>9000000</v>
      </c>
      <c r="L31" s="23">
        <v>6776048.5099999998</v>
      </c>
      <c r="M31" s="23">
        <v>0</v>
      </c>
      <c r="N31" s="23">
        <v>5952297</v>
      </c>
      <c r="O31" s="24">
        <v>0.75289427888888882</v>
      </c>
      <c r="P31" s="24">
        <v>0</v>
      </c>
      <c r="Q31" s="24">
        <v>0.66136633333333328</v>
      </c>
      <c r="R31" s="25">
        <v>77</v>
      </c>
      <c r="S31" s="25">
        <v>67</v>
      </c>
      <c r="T31" s="25">
        <v>2</v>
      </c>
      <c r="U31" s="25">
        <v>2</v>
      </c>
      <c r="V31" s="25">
        <v>79</v>
      </c>
      <c r="W31" s="25">
        <v>12</v>
      </c>
      <c r="X31" s="26">
        <v>6565920.1900000004</v>
      </c>
      <c r="Y31" s="26">
        <v>210128.32</v>
      </c>
      <c r="Z31" s="25">
        <v>40</v>
      </c>
      <c r="AA31" s="25">
        <v>2</v>
      </c>
      <c r="AB31" s="25">
        <v>42</v>
      </c>
      <c r="AC31" s="25">
        <v>0</v>
      </c>
      <c r="AD31" s="25">
        <v>9</v>
      </c>
      <c r="AE31" s="25">
        <v>12</v>
      </c>
      <c r="AF31" s="25">
        <v>67</v>
      </c>
      <c r="AG31" s="25">
        <v>3</v>
      </c>
      <c r="AH31" s="25">
        <v>33</v>
      </c>
      <c r="AI31" s="25">
        <v>0</v>
      </c>
      <c r="AJ31" s="25">
        <v>0</v>
      </c>
      <c r="AK31" s="25">
        <v>1</v>
      </c>
      <c r="AL31" s="25">
        <v>1</v>
      </c>
      <c r="AM31" s="25">
        <v>581</v>
      </c>
      <c r="AN31" s="25">
        <v>627</v>
      </c>
      <c r="AO31" s="25">
        <v>148</v>
      </c>
      <c r="AP31" s="23">
        <v>45784.111554054056</v>
      </c>
      <c r="AQ31" s="26">
        <v>3.9256756756756759</v>
      </c>
      <c r="AR31" s="23">
        <v>168300</v>
      </c>
      <c r="AS31" s="25">
        <v>44380</v>
      </c>
      <c r="AT31" s="24">
        <v>3.1387024411960715E-2</v>
      </c>
      <c r="AU31" s="23">
        <v>161334.48833333334</v>
      </c>
      <c r="AV31" s="27">
        <v>136</v>
      </c>
      <c r="AW31" s="27">
        <v>1363</v>
      </c>
      <c r="AX31" s="42">
        <v>5739.93</v>
      </c>
      <c r="AY31" s="27">
        <v>86</v>
      </c>
      <c r="AZ31" s="27">
        <v>42</v>
      </c>
      <c r="BA31" s="27">
        <v>25</v>
      </c>
      <c r="BB31" s="27">
        <v>12</v>
      </c>
      <c r="BC31" s="29"/>
      <c r="BD31" s="21"/>
      <c r="BE31" s="3">
        <v>0.2199999988079071</v>
      </c>
    </row>
    <row r="32" spans="1:57" ht="15.6">
      <c r="A32" s="2" t="s">
        <v>118</v>
      </c>
      <c r="B32" s="19" t="s">
        <v>436</v>
      </c>
      <c r="C32" s="20" t="s">
        <v>116</v>
      </c>
      <c r="D32" s="21" t="s">
        <v>500</v>
      </c>
      <c r="E32" s="44">
        <v>44046</v>
      </c>
      <c r="F32" s="21" t="s">
        <v>499</v>
      </c>
      <c r="G32" s="23">
        <v>16241492.24</v>
      </c>
      <c r="H32" s="28">
        <v>40380</v>
      </c>
      <c r="I32" s="28">
        <v>1958333</v>
      </c>
      <c r="J32" s="23">
        <v>0</v>
      </c>
      <c r="K32" s="23">
        <v>11749998</v>
      </c>
      <c r="L32" s="23">
        <v>7553987.25</v>
      </c>
      <c r="M32" s="23">
        <v>0</v>
      </c>
      <c r="N32" s="23">
        <v>2776302.79</v>
      </c>
      <c r="O32" s="24">
        <v>0.64289264134342827</v>
      </c>
      <c r="P32" s="24">
        <v>0</v>
      </c>
      <c r="Q32" s="24">
        <v>0.23628112872870277</v>
      </c>
      <c r="R32" s="25">
        <v>101</v>
      </c>
      <c r="S32" s="25">
        <v>107</v>
      </c>
      <c r="T32" s="25">
        <v>7</v>
      </c>
      <c r="U32" s="25">
        <v>7</v>
      </c>
      <c r="V32" s="25">
        <v>108</v>
      </c>
      <c r="W32" s="25">
        <v>1</v>
      </c>
      <c r="X32" s="26">
        <v>7282066.7000000002</v>
      </c>
      <c r="Y32" s="26">
        <v>271920.55</v>
      </c>
      <c r="Z32" s="25">
        <v>81</v>
      </c>
      <c r="AA32" s="25">
        <v>7</v>
      </c>
      <c r="AB32" s="25">
        <v>88</v>
      </c>
      <c r="AC32" s="25">
        <v>0</v>
      </c>
      <c r="AD32" s="25">
        <v>4</v>
      </c>
      <c r="AE32" s="25">
        <v>7</v>
      </c>
      <c r="AF32" s="25">
        <v>0</v>
      </c>
      <c r="AG32" s="25">
        <v>1</v>
      </c>
      <c r="AH32" s="25">
        <v>7</v>
      </c>
      <c r="AI32" s="25">
        <v>0</v>
      </c>
      <c r="AJ32" s="25">
        <v>0</v>
      </c>
      <c r="AK32" s="25">
        <v>1</v>
      </c>
      <c r="AL32" s="25">
        <v>1</v>
      </c>
      <c r="AM32" s="25">
        <v>967</v>
      </c>
      <c r="AN32" s="25">
        <v>982</v>
      </c>
      <c r="AO32" s="25">
        <v>146</v>
      </c>
      <c r="AP32" s="23">
        <v>51739.638698630137</v>
      </c>
      <c r="AQ32" s="26">
        <v>6.6232876712328768</v>
      </c>
      <c r="AR32" s="23">
        <v>242280</v>
      </c>
      <c r="AS32" s="23">
        <v>55693</v>
      </c>
      <c r="AT32" s="24">
        <v>3.9445790698150837E-2</v>
      </c>
      <c r="AU32" s="23">
        <v>85840.764204545456</v>
      </c>
      <c r="AV32" s="27">
        <v>338</v>
      </c>
      <c r="AW32" s="27">
        <v>1634</v>
      </c>
      <c r="AX32" s="42">
        <v>16529.88</v>
      </c>
      <c r="AY32" s="27">
        <v>154</v>
      </c>
      <c r="AZ32" s="27">
        <v>88</v>
      </c>
      <c r="BA32" s="27">
        <v>20</v>
      </c>
      <c r="BB32" s="27">
        <v>0</v>
      </c>
      <c r="BC32" s="29"/>
      <c r="BD32" s="21"/>
      <c r="BE32" s="3">
        <v>4.9999999813735485E-2</v>
      </c>
    </row>
    <row r="33" spans="1:57" ht="15.6">
      <c r="A33" s="2" t="s">
        <v>118</v>
      </c>
      <c r="B33" s="19" t="s">
        <v>372</v>
      </c>
      <c r="C33" s="20" t="s">
        <v>122</v>
      </c>
      <c r="D33" s="21" t="s">
        <v>503</v>
      </c>
      <c r="E33" s="44">
        <v>44166</v>
      </c>
      <c r="F33" s="21" t="s">
        <v>447</v>
      </c>
      <c r="G33" s="23">
        <v>6083540</v>
      </c>
      <c r="H33" s="28">
        <v>27200</v>
      </c>
      <c r="I33" s="28">
        <v>1500000</v>
      </c>
      <c r="J33" s="23">
        <v>0</v>
      </c>
      <c r="K33" s="23">
        <v>9000000</v>
      </c>
      <c r="L33" s="23">
        <v>5273022.3</v>
      </c>
      <c r="M33" s="23">
        <v>0</v>
      </c>
      <c r="N33" s="23">
        <v>11948236</v>
      </c>
      <c r="O33" s="24">
        <v>0.58589136666666664</v>
      </c>
      <c r="P33" s="24">
        <v>0</v>
      </c>
      <c r="Q33" s="24">
        <v>1.3275817777777779</v>
      </c>
      <c r="R33" s="25">
        <v>42</v>
      </c>
      <c r="S33" s="25">
        <v>44</v>
      </c>
      <c r="T33" s="25">
        <v>2</v>
      </c>
      <c r="U33" s="25">
        <v>2</v>
      </c>
      <c r="V33" s="25">
        <v>44</v>
      </c>
      <c r="W33" s="25">
        <v>0</v>
      </c>
      <c r="X33" s="26">
        <v>5097838.3</v>
      </c>
      <c r="Y33" s="26">
        <v>175184</v>
      </c>
      <c r="Z33" s="25">
        <v>22</v>
      </c>
      <c r="AA33" s="25">
        <v>2</v>
      </c>
      <c r="AB33" s="25">
        <v>24</v>
      </c>
      <c r="AC33" s="25">
        <v>0</v>
      </c>
      <c r="AD33" s="25">
        <v>15</v>
      </c>
      <c r="AE33" s="25">
        <v>22</v>
      </c>
      <c r="AF33" s="25">
        <v>17</v>
      </c>
      <c r="AG33" s="25">
        <v>2</v>
      </c>
      <c r="AH33" s="25">
        <v>49</v>
      </c>
      <c r="AI33" s="25">
        <v>0</v>
      </c>
      <c r="AJ33" s="25">
        <v>0</v>
      </c>
      <c r="AK33" s="25">
        <v>0</v>
      </c>
      <c r="AL33" s="25">
        <v>0</v>
      </c>
      <c r="AM33" s="25">
        <v>436</v>
      </c>
      <c r="AN33" s="25">
        <v>507</v>
      </c>
      <c r="AO33" s="25">
        <v>146</v>
      </c>
      <c r="AP33" s="23">
        <v>36116.591095890413</v>
      </c>
      <c r="AQ33" s="26">
        <v>2.9863013698630136</v>
      </c>
      <c r="AR33" s="23">
        <v>163200</v>
      </c>
      <c r="AS33" s="23">
        <v>43306</v>
      </c>
      <c r="AT33" s="24">
        <v>3.9162739744150146E-2</v>
      </c>
      <c r="AU33" s="23">
        <v>219709.26249999998</v>
      </c>
      <c r="AV33" s="27">
        <v>47</v>
      </c>
      <c r="AW33" s="27">
        <v>1214</v>
      </c>
      <c r="AX33" s="42">
        <v>4907.6099999999997</v>
      </c>
      <c r="AY33" s="27">
        <v>112</v>
      </c>
      <c r="AZ33" s="27">
        <v>24</v>
      </c>
      <c r="BA33" s="27">
        <v>20</v>
      </c>
      <c r="BB33" s="27">
        <v>0</v>
      </c>
      <c r="BC33" s="29"/>
      <c r="BD33" s="21"/>
      <c r="BE33" s="3">
        <v>-0.39999999944120646</v>
      </c>
    </row>
    <row r="34" spans="1:57" ht="15.6">
      <c r="A34" s="2" t="s">
        <v>201</v>
      </c>
      <c r="B34" s="19" t="s">
        <v>438</v>
      </c>
      <c r="C34" s="20" t="s">
        <v>123</v>
      </c>
      <c r="D34" s="21" t="s">
        <v>505</v>
      </c>
      <c r="E34" s="44">
        <v>44207</v>
      </c>
      <c r="F34" s="21" t="s">
        <v>504</v>
      </c>
      <c r="G34" s="23">
        <v>7509183</v>
      </c>
      <c r="H34" s="28">
        <v>40085</v>
      </c>
      <c r="I34" s="28"/>
      <c r="J34" s="23">
        <v>0</v>
      </c>
      <c r="K34" s="23">
        <v>0</v>
      </c>
      <c r="L34" s="23">
        <v>306632.08</v>
      </c>
      <c r="M34" s="23">
        <v>0</v>
      </c>
      <c r="N34" s="23">
        <v>0</v>
      </c>
      <c r="O34" s="24"/>
      <c r="P34" s="24">
        <v>0</v>
      </c>
      <c r="Q34" s="24"/>
      <c r="R34" s="25">
        <v>70</v>
      </c>
      <c r="S34" s="25">
        <v>43</v>
      </c>
      <c r="T34" s="25">
        <v>0</v>
      </c>
      <c r="U34" s="25">
        <v>0</v>
      </c>
      <c r="V34" s="25">
        <v>70</v>
      </c>
      <c r="W34" s="25">
        <v>27</v>
      </c>
      <c r="X34" s="26">
        <v>306632.08</v>
      </c>
      <c r="Y34" s="26">
        <v>0</v>
      </c>
      <c r="Z34" s="25">
        <v>13</v>
      </c>
      <c r="AA34" s="25">
        <v>0</v>
      </c>
      <c r="AB34" s="25">
        <v>13</v>
      </c>
      <c r="AC34" s="25">
        <v>0</v>
      </c>
      <c r="AD34" s="25">
        <v>4</v>
      </c>
      <c r="AE34" s="25">
        <v>5</v>
      </c>
      <c r="AF34" s="25">
        <v>71</v>
      </c>
      <c r="AG34" s="25">
        <v>1</v>
      </c>
      <c r="AH34" s="25">
        <v>1</v>
      </c>
      <c r="AI34" s="25">
        <v>0</v>
      </c>
      <c r="AJ34" s="25">
        <v>0</v>
      </c>
      <c r="AK34" s="25">
        <v>0</v>
      </c>
      <c r="AL34" s="25">
        <v>0</v>
      </c>
      <c r="AM34" s="25">
        <v>73</v>
      </c>
      <c r="AN34" s="25">
        <v>79</v>
      </c>
      <c r="AO34" s="25">
        <v>23</v>
      </c>
      <c r="AP34" s="23">
        <v>13331.829565217393</v>
      </c>
      <c r="AQ34" s="26">
        <v>3.1739130434782608</v>
      </c>
      <c r="AR34" s="23">
        <v>40085</v>
      </c>
      <c r="AS34" s="23">
        <v>10260</v>
      </c>
      <c r="AT34" s="24">
        <v>0.16418699569855835</v>
      </c>
      <c r="AU34" s="23">
        <v>23587.083076923078</v>
      </c>
      <c r="AV34" s="27">
        <v>19</v>
      </c>
      <c r="AW34" s="27">
        <v>196</v>
      </c>
      <c r="AX34" s="42">
        <v>734.57</v>
      </c>
      <c r="AY34" s="27">
        <v>17</v>
      </c>
      <c r="AZ34" s="27">
        <v>13</v>
      </c>
      <c r="BA34" s="27">
        <v>34</v>
      </c>
      <c r="BB34" s="27">
        <v>23</v>
      </c>
      <c r="BC34" s="29">
        <v>45777</v>
      </c>
      <c r="BD34" s="21"/>
      <c r="BE34" s="3">
        <v>-1.1641532182693481E-10</v>
      </c>
    </row>
    <row r="35" spans="1:57" ht="15.6">
      <c r="A35" s="2" t="s">
        <v>108</v>
      </c>
      <c r="B35" s="19" t="s">
        <v>465</v>
      </c>
      <c r="C35" s="20" t="s">
        <v>128</v>
      </c>
      <c r="D35" s="21" t="s">
        <v>507</v>
      </c>
      <c r="E35" s="44">
        <v>44224</v>
      </c>
      <c r="F35" s="21" t="s">
        <v>506</v>
      </c>
      <c r="G35" s="23"/>
      <c r="H35" s="28">
        <v>35543</v>
      </c>
      <c r="I35" s="28"/>
      <c r="J35" s="23">
        <v>0</v>
      </c>
      <c r="K35" s="23">
        <v>0</v>
      </c>
      <c r="L35" s="23">
        <v>0</v>
      </c>
      <c r="M35" s="23">
        <v>0</v>
      </c>
      <c r="N35" s="23"/>
      <c r="O35" s="24"/>
      <c r="P35" s="24">
        <v>0</v>
      </c>
      <c r="Q35" s="24"/>
      <c r="R35" s="25">
        <v>147</v>
      </c>
      <c r="S35" s="25">
        <v>42</v>
      </c>
      <c r="T35" s="25">
        <v>5</v>
      </c>
      <c r="U35" s="25">
        <v>0</v>
      </c>
      <c r="V35" s="25">
        <v>152</v>
      </c>
      <c r="W35" s="25">
        <v>110</v>
      </c>
      <c r="X35" s="26">
        <v>0</v>
      </c>
      <c r="Y35" s="26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3</v>
      </c>
      <c r="AE35" s="25">
        <v>3</v>
      </c>
      <c r="AF35" s="25">
        <v>43</v>
      </c>
      <c r="AG35" s="25">
        <v>1</v>
      </c>
      <c r="AH35" s="25">
        <v>1</v>
      </c>
      <c r="AI35" s="25">
        <v>0</v>
      </c>
      <c r="AJ35" s="25">
        <v>0</v>
      </c>
      <c r="AK35" s="25">
        <v>0</v>
      </c>
      <c r="AL35" s="25">
        <v>0</v>
      </c>
      <c r="AM35" s="25">
        <v>75</v>
      </c>
      <c r="AN35" s="25">
        <v>79</v>
      </c>
      <c r="AO35" s="25">
        <v>18</v>
      </c>
      <c r="AP35" s="23">
        <v>0</v>
      </c>
      <c r="AQ35" s="26">
        <v>4.166666666666667</v>
      </c>
      <c r="AR35" s="23">
        <v>31988.7</v>
      </c>
      <c r="AS35" s="23">
        <v>9680</v>
      </c>
      <c r="AT35" s="24"/>
      <c r="AU35" s="23"/>
      <c r="AV35" s="27">
        <v>0</v>
      </c>
      <c r="AW35" s="27">
        <v>142</v>
      </c>
      <c r="AX35" s="42">
        <v>655.94</v>
      </c>
      <c r="AY35" s="27">
        <v>16</v>
      </c>
      <c r="AZ35" s="27">
        <v>0</v>
      </c>
      <c r="BA35" s="27">
        <v>42</v>
      </c>
      <c r="BB35" s="27">
        <v>110</v>
      </c>
      <c r="BC35" s="29">
        <v>45774</v>
      </c>
      <c r="BD35" s="21"/>
      <c r="BE35" s="3" t="e">
        <v>#N/A</v>
      </c>
    </row>
    <row r="36" spans="1:57" ht="13.2">
      <c r="A36" s="2" t="s">
        <v>118</v>
      </c>
      <c r="B36" s="19" t="s">
        <v>468</v>
      </c>
      <c r="C36" s="19" t="s">
        <v>132</v>
      </c>
      <c r="D36" s="21" t="s">
        <v>510</v>
      </c>
      <c r="E36" s="44">
        <v>44228</v>
      </c>
      <c r="F36" s="21" t="s">
        <v>509</v>
      </c>
      <c r="G36" s="23">
        <v>27236545</v>
      </c>
      <c r="H36" s="28">
        <v>40500</v>
      </c>
      <c r="I36" s="28">
        <v>3500000</v>
      </c>
      <c r="J36" s="23">
        <v>0</v>
      </c>
      <c r="K36" s="23">
        <v>21000000</v>
      </c>
      <c r="L36" s="23">
        <v>8629461.2300000004</v>
      </c>
      <c r="M36" s="23">
        <v>0</v>
      </c>
      <c r="N36" s="23">
        <v>13164634</v>
      </c>
      <c r="O36" s="24">
        <v>0.41092672523809526</v>
      </c>
      <c r="P36" s="24">
        <v>0</v>
      </c>
      <c r="Q36" s="24">
        <v>0.62688733333333335</v>
      </c>
      <c r="R36" s="25">
        <v>77</v>
      </c>
      <c r="S36" s="25">
        <v>74</v>
      </c>
      <c r="T36" s="25">
        <v>0</v>
      </c>
      <c r="U36" s="25">
        <v>0</v>
      </c>
      <c r="V36" s="25">
        <v>77</v>
      </c>
      <c r="W36" s="25">
        <v>3</v>
      </c>
      <c r="X36" s="26">
        <v>8629461.2300000004</v>
      </c>
      <c r="Y36" s="26">
        <v>0</v>
      </c>
      <c r="Z36" s="25">
        <v>46</v>
      </c>
      <c r="AA36" s="25">
        <v>0</v>
      </c>
      <c r="AB36" s="25">
        <v>46</v>
      </c>
      <c r="AC36" s="25">
        <v>0</v>
      </c>
      <c r="AD36" s="25">
        <v>40</v>
      </c>
      <c r="AE36" s="25">
        <v>63</v>
      </c>
      <c r="AF36" s="25">
        <v>100</v>
      </c>
      <c r="AG36" s="25">
        <v>1</v>
      </c>
      <c r="AH36" s="25">
        <v>114</v>
      </c>
      <c r="AI36" s="25">
        <v>0</v>
      </c>
      <c r="AJ36" s="25">
        <v>0</v>
      </c>
      <c r="AK36" s="25">
        <v>0</v>
      </c>
      <c r="AL36" s="25">
        <v>0</v>
      </c>
      <c r="AM36" s="25">
        <v>263</v>
      </c>
      <c r="AN36" s="25">
        <v>440</v>
      </c>
      <c r="AO36" s="25">
        <v>142</v>
      </c>
      <c r="AP36" s="23">
        <v>60770.853732394367</v>
      </c>
      <c r="AQ36" s="26">
        <v>1.852112676056338</v>
      </c>
      <c r="AR36" s="23">
        <v>243000</v>
      </c>
      <c r="AS36" s="23">
        <v>41855</v>
      </c>
      <c r="AT36" s="24">
        <v>3.3009592651011888E-2</v>
      </c>
      <c r="AU36" s="23">
        <v>187596.98326086957</v>
      </c>
      <c r="AV36" s="27">
        <v>140</v>
      </c>
      <c r="AW36" s="27">
        <v>1410</v>
      </c>
      <c r="AX36" s="42">
        <v>6088.14</v>
      </c>
      <c r="AY36" s="27">
        <v>82</v>
      </c>
      <c r="AZ36" s="27">
        <v>46</v>
      </c>
      <c r="BA36" s="27">
        <v>29</v>
      </c>
      <c r="BB36" s="27">
        <v>2</v>
      </c>
      <c r="BC36" s="29"/>
      <c r="BD36" s="21"/>
      <c r="BE36" s="3">
        <v>-0.21000000089406967</v>
      </c>
    </row>
    <row r="37" spans="1:57" ht="15.6">
      <c r="A37" s="2" t="s">
        <v>201</v>
      </c>
      <c r="B37" s="19" t="s">
        <v>438</v>
      </c>
      <c r="C37" s="20" t="s">
        <v>134</v>
      </c>
      <c r="D37" s="21" t="s">
        <v>511</v>
      </c>
      <c r="E37" s="44">
        <v>44245</v>
      </c>
      <c r="F37" s="21" t="s">
        <v>504</v>
      </c>
      <c r="G37" s="23">
        <v>15003664</v>
      </c>
      <c r="H37" s="28">
        <v>41690</v>
      </c>
      <c r="I37" s="28">
        <v>2333333</v>
      </c>
      <c r="J37" s="23">
        <v>0</v>
      </c>
      <c r="K37" s="23">
        <v>13999998</v>
      </c>
      <c r="L37" s="23">
        <v>6444145.3499999996</v>
      </c>
      <c r="M37" s="23">
        <v>0</v>
      </c>
      <c r="N37" s="23">
        <v>7700718</v>
      </c>
      <c r="O37" s="24">
        <v>0.460296162185166</v>
      </c>
      <c r="P37" s="24">
        <v>0</v>
      </c>
      <c r="Q37" s="24">
        <v>0.55005136429305201</v>
      </c>
      <c r="R37" s="25">
        <v>104</v>
      </c>
      <c r="S37" s="25">
        <v>102</v>
      </c>
      <c r="T37" s="25">
        <v>8</v>
      </c>
      <c r="U37" s="25">
        <v>8</v>
      </c>
      <c r="V37" s="25">
        <v>112</v>
      </c>
      <c r="W37" s="25">
        <v>10</v>
      </c>
      <c r="X37" s="26">
        <v>5631368.9800000004</v>
      </c>
      <c r="Y37" s="26">
        <v>812776.37</v>
      </c>
      <c r="Z37" s="25">
        <v>54</v>
      </c>
      <c r="AA37" s="25">
        <v>8</v>
      </c>
      <c r="AB37" s="25">
        <v>62</v>
      </c>
      <c r="AC37" s="25">
        <v>0</v>
      </c>
      <c r="AD37" s="25">
        <v>30</v>
      </c>
      <c r="AE37" s="25">
        <v>43</v>
      </c>
      <c r="AF37" s="25">
        <v>106</v>
      </c>
      <c r="AG37" s="25">
        <v>2</v>
      </c>
      <c r="AH37" s="25">
        <v>13</v>
      </c>
      <c r="AI37" s="25">
        <v>1</v>
      </c>
      <c r="AJ37" s="25">
        <v>1</v>
      </c>
      <c r="AK37" s="25">
        <v>0</v>
      </c>
      <c r="AL37" s="25">
        <v>0</v>
      </c>
      <c r="AM37" s="25">
        <v>454</v>
      </c>
      <c r="AN37" s="25">
        <v>511</v>
      </c>
      <c r="AO37" s="25">
        <v>140</v>
      </c>
      <c r="AP37" s="23">
        <v>46029.60964285714</v>
      </c>
      <c r="AQ37" s="26">
        <v>3.2428571428571429</v>
      </c>
      <c r="AR37" s="23">
        <v>250140</v>
      </c>
      <c r="AS37" s="23">
        <v>45441</v>
      </c>
      <c r="AT37" s="24">
        <v>4.5868146037395016E-2</v>
      </c>
      <c r="AU37" s="23">
        <v>103937.82822580644</v>
      </c>
      <c r="AV37" s="27">
        <v>175</v>
      </c>
      <c r="AW37" s="27">
        <v>1386</v>
      </c>
      <c r="AX37" s="42">
        <v>10317.99</v>
      </c>
      <c r="AY37" s="27">
        <v>101</v>
      </c>
      <c r="AZ37" s="27">
        <v>62</v>
      </c>
      <c r="BA37" s="27">
        <v>44</v>
      </c>
      <c r="BB37" s="27">
        <v>6</v>
      </c>
      <c r="BC37" s="29"/>
      <c r="BD37" s="21"/>
      <c r="BE37" s="3">
        <v>-0.14999999850988388</v>
      </c>
    </row>
    <row r="38" spans="1:57" ht="15.6">
      <c r="A38" s="2" t="s">
        <v>201</v>
      </c>
      <c r="B38" s="19" t="s">
        <v>431</v>
      </c>
      <c r="C38" s="20" t="s">
        <v>135</v>
      </c>
      <c r="D38" s="21" t="s">
        <v>513</v>
      </c>
      <c r="E38" s="44">
        <v>44247</v>
      </c>
      <c r="F38" s="21" t="s">
        <v>431</v>
      </c>
      <c r="G38" s="23">
        <v>18863938.540000003</v>
      </c>
      <c r="H38" s="28">
        <v>45515</v>
      </c>
      <c r="I38" s="28">
        <v>3333333</v>
      </c>
      <c r="J38" s="23">
        <v>0</v>
      </c>
      <c r="K38" s="23">
        <v>19999998</v>
      </c>
      <c r="L38" s="23">
        <v>13718940.99</v>
      </c>
      <c r="M38" s="23">
        <v>0</v>
      </c>
      <c r="N38" s="23">
        <v>2319789.08</v>
      </c>
      <c r="O38" s="24">
        <v>0.68594711809471187</v>
      </c>
      <c r="P38" s="24">
        <v>0</v>
      </c>
      <c r="Q38" s="24">
        <v>0.11598946559894656</v>
      </c>
      <c r="R38" s="25">
        <v>76</v>
      </c>
      <c r="S38" s="25">
        <v>68</v>
      </c>
      <c r="T38" s="25">
        <v>38</v>
      </c>
      <c r="U38" s="25">
        <v>38</v>
      </c>
      <c r="V38" s="25">
        <v>114</v>
      </c>
      <c r="W38" s="25">
        <v>46</v>
      </c>
      <c r="X38" s="26">
        <v>7796678.9299999997</v>
      </c>
      <c r="Y38" s="26">
        <v>5922262.0599999996</v>
      </c>
      <c r="Z38" s="25">
        <v>44</v>
      </c>
      <c r="AA38" s="25">
        <v>38</v>
      </c>
      <c r="AB38" s="25">
        <v>82</v>
      </c>
      <c r="AC38" s="25">
        <v>0</v>
      </c>
      <c r="AD38" s="25">
        <v>5</v>
      </c>
      <c r="AE38" s="25">
        <v>5</v>
      </c>
      <c r="AF38" s="25">
        <v>43</v>
      </c>
      <c r="AG38" s="25">
        <v>3</v>
      </c>
      <c r="AH38" s="25">
        <v>105</v>
      </c>
      <c r="AI38" s="25">
        <v>0</v>
      </c>
      <c r="AJ38" s="25">
        <v>0</v>
      </c>
      <c r="AK38" s="25">
        <v>0</v>
      </c>
      <c r="AL38" s="25">
        <v>0</v>
      </c>
      <c r="AM38" s="25">
        <v>428</v>
      </c>
      <c r="AN38" s="25">
        <v>538</v>
      </c>
      <c r="AO38" s="25">
        <v>147</v>
      </c>
      <c r="AP38" s="23">
        <v>93326.129183673474</v>
      </c>
      <c r="AQ38" s="26">
        <v>2.9115646258503403</v>
      </c>
      <c r="AR38" s="23">
        <v>273090</v>
      </c>
      <c r="AS38" s="23">
        <v>37910</v>
      </c>
      <c r="AT38" s="24">
        <v>2.2669388273241636E-2</v>
      </c>
      <c r="AU38" s="23">
        <v>167304.15841463415</v>
      </c>
      <c r="AV38" s="27">
        <v>391</v>
      </c>
      <c r="AW38" s="27">
        <v>1545</v>
      </c>
      <c r="AX38" s="42">
        <v>8244.7000000000007</v>
      </c>
      <c r="AY38" s="27">
        <v>121</v>
      </c>
      <c r="AZ38" s="27">
        <v>82</v>
      </c>
      <c r="BA38" s="27">
        <v>10</v>
      </c>
      <c r="BB38" s="27">
        <v>22</v>
      </c>
      <c r="BC38" s="29"/>
      <c r="BD38" s="21"/>
      <c r="BE38" s="3">
        <v>-5.7000001892447472E-2</v>
      </c>
    </row>
    <row r="39" spans="1:57" ht="15.6">
      <c r="A39" s="2" t="s">
        <v>118</v>
      </c>
      <c r="B39" s="19" t="s">
        <v>372</v>
      </c>
      <c r="C39" s="20" t="s">
        <v>138</v>
      </c>
      <c r="D39" s="21" t="s">
        <v>514</v>
      </c>
      <c r="E39" s="44">
        <v>44396</v>
      </c>
      <c r="F39" s="21" t="s">
        <v>447</v>
      </c>
      <c r="G39" s="23">
        <v>0</v>
      </c>
      <c r="H39" s="28">
        <v>49690</v>
      </c>
      <c r="I39" s="28">
        <v>2500000</v>
      </c>
      <c r="J39" s="23">
        <v>0</v>
      </c>
      <c r="K39" s="23">
        <v>15000000</v>
      </c>
      <c r="L39" s="23">
        <v>15079556.27</v>
      </c>
      <c r="M39" s="23">
        <v>0</v>
      </c>
      <c r="N39" s="23">
        <v>20404843.68</v>
      </c>
      <c r="O39" s="24">
        <v>1.0053037513333334</v>
      </c>
      <c r="P39" s="24">
        <v>0</v>
      </c>
      <c r="Q39" s="24">
        <v>1.360322912</v>
      </c>
      <c r="R39" s="25">
        <v>244</v>
      </c>
      <c r="S39" s="25">
        <v>149</v>
      </c>
      <c r="T39" s="25">
        <v>12</v>
      </c>
      <c r="U39" s="25">
        <v>9</v>
      </c>
      <c r="V39" s="25">
        <v>256</v>
      </c>
      <c r="W39" s="25">
        <v>107</v>
      </c>
      <c r="X39" s="26">
        <v>14083627.5</v>
      </c>
      <c r="Y39" s="26">
        <v>995928.77</v>
      </c>
      <c r="Z39" s="25">
        <v>67</v>
      </c>
      <c r="AA39" s="25">
        <v>9</v>
      </c>
      <c r="AB39" s="25">
        <v>76</v>
      </c>
      <c r="AC39" s="25">
        <v>0</v>
      </c>
      <c r="AD39" s="25">
        <v>162</v>
      </c>
      <c r="AE39" s="25">
        <v>203</v>
      </c>
      <c r="AF39" s="25">
        <v>375</v>
      </c>
      <c r="AG39" s="25">
        <v>4</v>
      </c>
      <c r="AH39" s="25">
        <v>72</v>
      </c>
      <c r="AI39" s="25">
        <v>0</v>
      </c>
      <c r="AJ39" s="25">
        <v>0</v>
      </c>
      <c r="AK39" s="25">
        <v>1</v>
      </c>
      <c r="AL39" s="25">
        <v>4</v>
      </c>
      <c r="AM39" s="25">
        <v>450</v>
      </c>
      <c r="AN39" s="25">
        <v>729</v>
      </c>
      <c r="AO39" s="25">
        <v>145</v>
      </c>
      <c r="AP39" s="23">
        <v>103996.93979310345</v>
      </c>
      <c r="AQ39" s="26">
        <v>3.103448275862069</v>
      </c>
      <c r="AR39" s="23">
        <v>298140</v>
      </c>
      <c r="AS39" s="23">
        <v>87041</v>
      </c>
      <c r="AT39" s="24">
        <v>2.5543258243367395E-2</v>
      </c>
      <c r="AU39" s="23">
        <v>198415.21407894735</v>
      </c>
      <c r="AV39" s="27">
        <v>170</v>
      </c>
      <c r="AW39" s="27">
        <v>1508</v>
      </c>
      <c r="AX39" s="42">
        <v>8153.72</v>
      </c>
      <c r="AY39" s="27">
        <v>55</v>
      </c>
      <c r="AZ39" s="27">
        <v>76</v>
      </c>
      <c r="BA39" s="27">
        <v>75</v>
      </c>
      <c r="BB39" s="27">
        <v>105</v>
      </c>
      <c r="BC39" s="29"/>
      <c r="BD39" s="21"/>
      <c r="BE39" s="3">
        <v>0.16999999992549419</v>
      </c>
    </row>
    <row r="40" spans="1:57" ht="15.6">
      <c r="A40" s="2" t="s">
        <v>118</v>
      </c>
      <c r="B40" s="19" t="s">
        <v>468</v>
      </c>
      <c r="C40" s="20" t="s">
        <v>140</v>
      </c>
      <c r="D40" s="21" t="s">
        <v>516</v>
      </c>
      <c r="E40" s="44">
        <v>44424</v>
      </c>
      <c r="F40" s="21" t="s">
        <v>515</v>
      </c>
      <c r="G40" s="23">
        <v>58277388</v>
      </c>
      <c r="H40" s="28">
        <v>51393</v>
      </c>
      <c r="I40" s="28">
        <v>7416667</v>
      </c>
      <c r="J40" s="23">
        <v>0</v>
      </c>
      <c r="K40" s="23">
        <v>44500002</v>
      </c>
      <c r="L40" s="23">
        <v>22439985.300000001</v>
      </c>
      <c r="M40" s="23">
        <v>0</v>
      </c>
      <c r="N40" s="23">
        <v>32146900</v>
      </c>
      <c r="O40" s="24">
        <v>0.50426930992048047</v>
      </c>
      <c r="P40" s="24">
        <v>0</v>
      </c>
      <c r="Q40" s="24">
        <v>0.72240221472349597</v>
      </c>
      <c r="R40" s="25">
        <v>77</v>
      </c>
      <c r="S40" s="25">
        <v>81</v>
      </c>
      <c r="T40" s="25">
        <v>6</v>
      </c>
      <c r="U40" s="25">
        <v>5</v>
      </c>
      <c r="V40" s="25">
        <v>83</v>
      </c>
      <c r="W40" s="25">
        <v>2</v>
      </c>
      <c r="X40" s="26">
        <v>21423419.52</v>
      </c>
      <c r="Y40" s="26">
        <v>1016565.78</v>
      </c>
      <c r="Z40" s="25">
        <v>56</v>
      </c>
      <c r="AA40" s="25">
        <v>5</v>
      </c>
      <c r="AB40" s="25">
        <v>61</v>
      </c>
      <c r="AC40" s="25">
        <v>0</v>
      </c>
      <c r="AD40" s="25">
        <v>16</v>
      </c>
      <c r="AE40" s="25">
        <v>25</v>
      </c>
      <c r="AF40" s="25">
        <v>37</v>
      </c>
      <c r="AG40" s="25">
        <v>1</v>
      </c>
      <c r="AH40" s="25">
        <v>85</v>
      </c>
      <c r="AI40" s="25">
        <v>0</v>
      </c>
      <c r="AJ40" s="25">
        <v>0</v>
      </c>
      <c r="AK40" s="25">
        <v>0</v>
      </c>
      <c r="AL40" s="25">
        <v>0</v>
      </c>
      <c r="AM40" s="25">
        <v>579</v>
      </c>
      <c r="AN40" s="25">
        <v>689</v>
      </c>
      <c r="AO40" s="25">
        <v>137</v>
      </c>
      <c r="AP40" s="23">
        <v>163795.51313868613</v>
      </c>
      <c r="AQ40" s="26">
        <v>4.226277372262774</v>
      </c>
      <c r="AR40" s="23">
        <v>308358</v>
      </c>
      <c r="AS40" s="23">
        <v>37852</v>
      </c>
      <c r="AT40" s="24">
        <v>1.5428263226179564E-2</v>
      </c>
      <c r="AU40" s="23">
        <v>367868.61147540982</v>
      </c>
      <c r="AV40" s="27">
        <v>192</v>
      </c>
      <c r="AW40" s="27">
        <v>1469</v>
      </c>
      <c r="AX40" s="42">
        <v>8282.85</v>
      </c>
      <c r="AY40" s="27">
        <v>102</v>
      </c>
      <c r="AZ40" s="27">
        <v>61</v>
      </c>
      <c r="BA40" s="27">
        <v>20</v>
      </c>
      <c r="BB40" s="27">
        <v>2</v>
      </c>
      <c r="BC40" s="29"/>
      <c r="BD40" s="21"/>
      <c r="BE40" s="3">
        <v>1.7799999974668026</v>
      </c>
    </row>
    <row r="41" spans="1:57" ht="15.6">
      <c r="A41" s="2" t="s">
        <v>124</v>
      </c>
      <c r="B41" s="19" t="s">
        <v>443</v>
      </c>
      <c r="C41" s="20" t="s">
        <v>142</v>
      </c>
      <c r="D41" s="21" t="s">
        <v>518</v>
      </c>
      <c r="E41" s="44">
        <v>44459</v>
      </c>
      <c r="F41" s="21" t="s">
        <v>517</v>
      </c>
      <c r="G41" s="23">
        <v>24878609</v>
      </c>
      <c r="H41" s="28">
        <v>49585</v>
      </c>
      <c r="I41" s="28">
        <v>2300000</v>
      </c>
      <c r="J41" s="23">
        <v>0</v>
      </c>
      <c r="K41" s="23">
        <v>13800000</v>
      </c>
      <c r="L41" s="23">
        <v>7724997.6100000003</v>
      </c>
      <c r="M41" s="23">
        <v>0</v>
      </c>
      <c r="N41" s="23">
        <v>0</v>
      </c>
      <c r="O41" s="24">
        <v>0.55978243550724638</v>
      </c>
      <c r="P41" s="24">
        <v>0</v>
      </c>
      <c r="Q41" s="24">
        <v>0</v>
      </c>
      <c r="R41" s="25">
        <v>87</v>
      </c>
      <c r="S41" s="25">
        <v>39</v>
      </c>
      <c r="T41" s="25">
        <v>1</v>
      </c>
      <c r="U41" s="25">
        <v>0</v>
      </c>
      <c r="V41" s="25">
        <v>88</v>
      </c>
      <c r="W41" s="25">
        <v>49</v>
      </c>
      <c r="X41" s="26">
        <v>7724997.6100000003</v>
      </c>
      <c r="Y41" s="26">
        <v>0</v>
      </c>
      <c r="Z41" s="25">
        <v>34</v>
      </c>
      <c r="AA41" s="25">
        <v>0</v>
      </c>
      <c r="AB41" s="25">
        <v>34</v>
      </c>
      <c r="AC41" s="25">
        <v>0</v>
      </c>
      <c r="AD41" s="25">
        <v>6</v>
      </c>
      <c r="AE41" s="25">
        <v>7</v>
      </c>
      <c r="AF41" s="25">
        <v>61</v>
      </c>
      <c r="AG41" s="25">
        <v>11</v>
      </c>
      <c r="AH41" s="25">
        <v>119</v>
      </c>
      <c r="AI41" s="25">
        <v>0</v>
      </c>
      <c r="AJ41" s="25">
        <v>0</v>
      </c>
      <c r="AK41" s="25">
        <v>1</v>
      </c>
      <c r="AL41" s="25">
        <v>3</v>
      </c>
      <c r="AM41" s="25">
        <v>133</v>
      </c>
      <c r="AN41" s="25">
        <v>262</v>
      </c>
      <c r="AO41" s="25">
        <v>146</v>
      </c>
      <c r="AP41" s="23">
        <v>52910.942534246577</v>
      </c>
      <c r="AQ41" s="26">
        <v>0.91095890410958902</v>
      </c>
      <c r="AR41" s="23">
        <v>297510</v>
      </c>
      <c r="AS41" s="23">
        <v>67953</v>
      </c>
      <c r="AT41" s="24">
        <v>4.7309140850336134E-2</v>
      </c>
      <c r="AU41" s="23">
        <v>227205.81205882353</v>
      </c>
      <c r="AV41" s="27">
        <v>109</v>
      </c>
      <c r="AW41" s="27">
        <v>1492</v>
      </c>
      <c r="AX41" s="42">
        <v>10275.799999999999</v>
      </c>
      <c r="AY41" s="27">
        <v>263</v>
      </c>
      <c r="AZ41" s="27">
        <v>34</v>
      </c>
      <c r="BA41" s="27">
        <v>13</v>
      </c>
      <c r="BB41" s="27">
        <v>41</v>
      </c>
      <c r="BC41" s="29"/>
      <c r="BD41" s="21"/>
      <c r="BE41" s="3">
        <v>5.9999998658895493E-2</v>
      </c>
    </row>
    <row r="42" spans="1:57" ht="15.6">
      <c r="A42" s="2" t="s">
        <v>118</v>
      </c>
      <c r="B42" s="19" t="s">
        <v>484</v>
      </c>
      <c r="C42" s="20" t="s">
        <v>144</v>
      </c>
      <c r="D42" s="21" t="s">
        <v>520</v>
      </c>
      <c r="E42" s="44">
        <v>44501</v>
      </c>
      <c r="F42" s="21" t="s">
        <v>497</v>
      </c>
      <c r="G42" s="23">
        <v>35253240</v>
      </c>
      <c r="H42" s="28">
        <v>58700</v>
      </c>
      <c r="I42" s="28">
        <v>4500000</v>
      </c>
      <c r="J42" s="23">
        <v>0</v>
      </c>
      <c r="K42" s="23">
        <v>27000000</v>
      </c>
      <c r="L42" s="23">
        <v>21210407.25</v>
      </c>
      <c r="M42" s="23">
        <v>0</v>
      </c>
      <c r="N42" s="23">
        <v>21185554</v>
      </c>
      <c r="O42" s="24">
        <v>0.78557063888888889</v>
      </c>
      <c r="P42" s="24">
        <v>0</v>
      </c>
      <c r="Q42" s="24">
        <v>0.78465014814814815</v>
      </c>
      <c r="R42" s="25">
        <v>104</v>
      </c>
      <c r="S42" s="25">
        <v>98</v>
      </c>
      <c r="T42" s="25">
        <v>4</v>
      </c>
      <c r="U42" s="25">
        <v>4</v>
      </c>
      <c r="V42" s="25">
        <v>108</v>
      </c>
      <c r="W42" s="25">
        <v>10</v>
      </c>
      <c r="X42" s="26">
        <v>19357637.57</v>
      </c>
      <c r="Y42" s="26">
        <v>1852769.68</v>
      </c>
      <c r="Z42" s="25">
        <v>38</v>
      </c>
      <c r="AA42" s="25">
        <v>4</v>
      </c>
      <c r="AB42" s="25">
        <v>42</v>
      </c>
      <c r="AC42" s="25">
        <v>0</v>
      </c>
      <c r="AD42" s="25">
        <v>16</v>
      </c>
      <c r="AE42" s="25">
        <v>21</v>
      </c>
      <c r="AF42" s="25">
        <v>125</v>
      </c>
      <c r="AG42" s="25">
        <v>2</v>
      </c>
      <c r="AH42" s="25">
        <v>2</v>
      </c>
      <c r="AI42" s="25">
        <v>0</v>
      </c>
      <c r="AJ42" s="25">
        <v>0</v>
      </c>
      <c r="AK42" s="25">
        <v>1</v>
      </c>
      <c r="AL42" s="25">
        <v>3</v>
      </c>
      <c r="AM42" s="25">
        <v>1048</v>
      </c>
      <c r="AN42" s="25">
        <v>1074</v>
      </c>
      <c r="AO42" s="25">
        <v>152</v>
      </c>
      <c r="AP42" s="23">
        <v>139542.15296052632</v>
      </c>
      <c r="AQ42" s="26">
        <v>6.8947368421052628</v>
      </c>
      <c r="AR42" s="23">
        <v>352200</v>
      </c>
      <c r="AS42" s="23">
        <v>92650</v>
      </c>
      <c r="AT42" s="24">
        <v>2.0973194656599532E-2</v>
      </c>
      <c r="AU42" s="23">
        <v>505009.69642857142</v>
      </c>
      <c r="AV42" s="27">
        <v>146</v>
      </c>
      <c r="AW42" s="27">
        <v>1467</v>
      </c>
      <c r="AX42" s="42">
        <v>7781.96</v>
      </c>
      <c r="AY42" s="27">
        <v>79</v>
      </c>
      <c r="AZ42" s="27">
        <v>42</v>
      </c>
      <c r="BA42" s="27">
        <v>58</v>
      </c>
      <c r="BB42" s="27">
        <v>8</v>
      </c>
      <c r="BC42" s="29"/>
      <c r="BD42" s="21"/>
      <c r="BE42" s="3">
        <v>0.41999999806284904</v>
      </c>
    </row>
    <row r="43" spans="1:57" ht="13.2">
      <c r="A43" s="2" t="s">
        <v>201</v>
      </c>
      <c r="B43" s="19" t="s">
        <v>481</v>
      </c>
      <c r="C43" s="19" t="s">
        <v>145</v>
      </c>
      <c r="D43" s="21" t="s">
        <v>521</v>
      </c>
      <c r="E43" s="44">
        <v>44501</v>
      </c>
      <c r="F43" s="21" t="s">
        <v>517</v>
      </c>
      <c r="G43" s="23">
        <v>6088405.5</v>
      </c>
      <c r="H43" s="28">
        <v>28500</v>
      </c>
      <c r="I43" s="28">
        <v>1760000</v>
      </c>
      <c r="J43" s="23">
        <v>0</v>
      </c>
      <c r="K43" s="23">
        <v>10560000</v>
      </c>
      <c r="L43" s="23">
        <v>4692324.22</v>
      </c>
      <c r="M43" s="23">
        <v>0</v>
      </c>
      <c r="N43" s="23">
        <v>4036610</v>
      </c>
      <c r="O43" s="24">
        <v>0.44434888446969695</v>
      </c>
      <c r="P43" s="24">
        <v>0</v>
      </c>
      <c r="Q43" s="24">
        <v>0.38225473484848482</v>
      </c>
      <c r="R43" s="25">
        <v>73</v>
      </c>
      <c r="S43" s="25">
        <v>65</v>
      </c>
      <c r="T43" s="25">
        <v>3</v>
      </c>
      <c r="U43" s="25">
        <v>3</v>
      </c>
      <c r="V43" s="25">
        <v>76</v>
      </c>
      <c r="W43" s="25">
        <v>11</v>
      </c>
      <c r="X43" s="26">
        <v>3737563.2</v>
      </c>
      <c r="Y43" s="26">
        <v>954761.02</v>
      </c>
      <c r="Z43" s="25">
        <v>35</v>
      </c>
      <c r="AA43" s="25">
        <v>3</v>
      </c>
      <c r="AB43" s="25">
        <v>38</v>
      </c>
      <c r="AC43" s="25">
        <v>0</v>
      </c>
      <c r="AD43" s="25">
        <v>56</v>
      </c>
      <c r="AE43" s="25">
        <v>91</v>
      </c>
      <c r="AF43" s="25">
        <v>239</v>
      </c>
      <c r="AG43" s="25">
        <v>2</v>
      </c>
      <c r="AH43" s="25">
        <v>5</v>
      </c>
      <c r="AI43" s="25">
        <v>0</v>
      </c>
      <c r="AJ43" s="25">
        <v>0</v>
      </c>
      <c r="AK43" s="25">
        <v>0</v>
      </c>
      <c r="AL43" s="25">
        <v>0</v>
      </c>
      <c r="AM43" s="25">
        <v>468</v>
      </c>
      <c r="AN43" s="25">
        <v>564</v>
      </c>
      <c r="AO43" s="25">
        <v>146</v>
      </c>
      <c r="AP43" s="23">
        <v>32139.206986301368</v>
      </c>
      <c r="AQ43" s="26">
        <v>3.2054794520547945</v>
      </c>
      <c r="AR43" s="23">
        <v>171000</v>
      </c>
      <c r="AS43" s="23">
        <v>45636</v>
      </c>
      <c r="AT43" s="24">
        <v>4.6168165250951056E-2</v>
      </c>
      <c r="AU43" s="23">
        <v>123482.21631578947</v>
      </c>
      <c r="AV43" s="27">
        <v>186</v>
      </c>
      <c r="AW43" s="27">
        <v>1781</v>
      </c>
      <c r="AX43" s="42">
        <v>16976.3</v>
      </c>
      <c r="AY43" s="27">
        <v>261</v>
      </c>
      <c r="AZ43" s="27">
        <v>38</v>
      </c>
      <c r="BA43" s="27">
        <v>29</v>
      </c>
      <c r="BB43" s="27">
        <v>9</v>
      </c>
      <c r="BC43" s="29"/>
      <c r="BD43" s="21"/>
      <c r="BE43" s="3">
        <v>4.9999999813735485E-2</v>
      </c>
    </row>
    <row r="44" spans="1:57" ht="15.6">
      <c r="A44" s="2" t="s">
        <v>118</v>
      </c>
      <c r="B44" s="19" t="s">
        <v>436</v>
      </c>
      <c r="C44" s="20" t="s">
        <v>146</v>
      </c>
      <c r="D44" s="21" t="s">
        <v>522</v>
      </c>
      <c r="E44" s="44">
        <v>44508</v>
      </c>
      <c r="F44" s="21" t="s">
        <v>499</v>
      </c>
      <c r="G44" s="23">
        <v>3914074</v>
      </c>
      <c r="H44" s="28">
        <v>21667</v>
      </c>
      <c r="I44" s="28"/>
      <c r="J44" s="23">
        <v>0</v>
      </c>
      <c r="K44" s="23">
        <v>0</v>
      </c>
      <c r="L44" s="23">
        <v>44994.400000000001</v>
      </c>
      <c r="M44" s="23">
        <v>0</v>
      </c>
      <c r="N44" s="23">
        <v>0</v>
      </c>
      <c r="O44" s="24"/>
      <c r="P44" s="24">
        <v>0</v>
      </c>
      <c r="Q44" s="24"/>
      <c r="R44" s="25">
        <v>95</v>
      </c>
      <c r="S44" s="25">
        <v>40</v>
      </c>
      <c r="T44" s="25">
        <v>0</v>
      </c>
      <c r="U44" s="25">
        <v>0</v>
      </c>
      <c r="V44" s="25">
        <v>95</v>
      </c>
      <c r="W44" s="25">
        <v>55</v>
      </c>
      <c r="X44" s="26">
        <v>44994.400000000001</v>
      </c>
      <c r="Y44" s="26">
        <v>0</v>
      </c>
      <c r="Z44" s="25">
        <v>7</v>
      </c>
      <c r="AA44" s="25">
        <v>0</v>
      </c>
      <c r="AB44" s="25">
        <v>7</v>
      </c>
      <c r="AC44" s="25">
        <v>0</v>
      </c>
      <c r="AD44" s="25">
        <v>14</v>
      </c>
      <c r="AE44" s="25">
        <v>14</v>
      </c>
      <c r="AF44" s="25">
        <v>82</v>
      </c>
      <c r="AG44" s="25">
        <v>1</v>
      </c>
      <c r="AH44" s="25">
        <v>1</v>
      </c>
      <c r="AI44" s="25">
        <v>0</v>
      </c>
      <c r="AJ44" s="25">
        <v>0</v>
      </c>
      <c r="AK44" s="25">
        <v>0</v>
      </c>
      <c r="AL44" s="25">
        <v>0</v>
      </c>
      <c r="AM44" s="25">
        <v>47</v>
      </c>
      <c r="AN44" s="25">
        <v>62</v>
      </c>
      <c r="AO44" s="25">
        <v>10</v>
      </c>
      <c r="AP44" s="23">
        <v>4499.4400000000005</v>
      </c>
      <c r="AQ44" s="26">
        <v>4.7</v>
      </c>
      <c r="AR44" s="23">
        <v>8666.8000000000011</v>
      </c>
      <c r="AS44" s="23">
        <v>6357</v>
      </c>
      <c r="AT44" s="24">
        <v>0.3339037746919617</v>
      </c>
      <c r="AU44" s="23">
        <v>6427.7714285714292</v>
      </c>
      <c r="AV44" s="27">
        <v>7</v>
      </c>
      <c r="AW44" s="27">
        <v>126</v>
      </c>
      <c r="AX44" s="42">
        <v>987.37</v>
      </c>
      <c r="AY44" s="27">
        <v>25</v>
      </c>
      <c r="AZ44" s="27">
        <v>7</v>
      </c>
      <c r="BA44" s="27">
        <v>33</v>
      </c>
      <c r="BB44" s="27">
        <v>55</v>
      </c>
      <c r="BC44" s="29">
        <v>45759</v>
      </c>
      <c r="BD44" s="21"/>
      <c r="BE44" s="3">
        <v>0</v>
      </c>
    </row>
    <row r="45" spans="1:57" ht="15.6">
      <c r="A45" s="2" t="s">
        <v>201</v>
      </c>
      <c r="B45" s="19" t="s">
        <v>431</v>
      </c>
      <c r="C45" s="20" t="s">
        <v>147</v>
      </c>
      <c r="D45" s="21" t="s">
        <v>523</v>
      </c>
      <c r="E45" s="44">
        <v>44511</v>
      </c>
      <c r="F45" s="21" t="s">
        <v>431</v>
      </c>
      <c r="G45" s="23">
        <v>14942928.359999999</v>
      </c>
      <c r="H45" s="28">
        <v>44000</v>
      </c>
      <c r="I45" s="28">
        <v>2166667</v>
      </c>
      <c r="J45" s="23">
        <v>1200000</v>
      </c>
      <c r="K45" s="23">
        <v>11800002</v>
      </c>
      <c r="L45" s="23">
        <v>7362557.25</v>
      </c>
      <c r="M45" s="23">
        <v>789216.53</v>
      </c>
      <c r="N45" s="23">
        <v>6995822</v>
      </c>
      <c r="O45" s="24">
        <v>0.62705942506778078</v>
      </c>
      <c r="P45" s="24">
        <v>0.66</v>
      </c>
      <c r="Q45" s="24">
        <v>0.53814007105537365</v>
      </c>
      <c r="R45" s="25">
        <v>74</v>
      </c>
      <c r="S45" s="25">
        <v>71</v>
      </c>
      <c r="T45" s="25">
        <v>7</v>
      </c>
      <c r="U45" s="25">
        <v>7</v>
      </c>
      <c r="V45" s="25">
        <v>81</v>
      </c>
      <c r="W45" s="25">
        <v>10</v>
      </c>
      <c r="X45" s="26">
        <v>6734447.5099999998</v>
      </c>
      <c r="Y45" s="26">
        <v>628109.74</v>
      </c>
      <c r="Z45" s="25">
        <v>49</v>
      </c>
      <c r="AA45" s="25">
        <v>7</v>
      </c>
      <c r="AB45" s="25">
        <v>56</v>
      </c>
      <c r="AC45" s="25">
        <v>1</v>
      </c>
      <c r="AD45" s="25">
        <v>8</v>
      </c>
      <c r="AE45" s="25">
        <v>14</v>
      </c>
      <c r="AF45" s="25">
        <v>63</v>
      </c>
      <c r="AG45" s="25">
        <v>4</v>
      </c>
      <c r="AH45" s="25">
        <v>31</v>
      </c>
      <c r="AI45" s="25">
        <v>3</v>
      </c>
      <c r="AJ45" s="25">
        <v>15</v>
      </c>
      <c r="AK45" s="25">
        <v>3</v>
      </c>
      <c r="AL45" s="25">
        <v>7</v>
      </c>
      <c r="AM45" s="25">
        <v>442</v>
      </c>
      <c r="AN45" s="25">
        <v>509</v>
      </c>
      <c r="AO45" s="25">
        <v>148</v>
      </c>
      <c r="AP45" s="23">
        <v>55079.552567567567</v>
      </c>
      <c r="AQ45" s="26">
        <v>2.9864864864864864</v>
      </c>
      <c r="AR45" s="23">
        <v>264000</v>
      </c>
      <c r="AS45" s="23">
        <v>29836</v>
      </c>
      <c r="AT45" s="24">
        <v>3.6045651894918013E-2</v>
      </c>
      <c r="AU45" s="23">
        <v>131474.23660714287</v>
      </c>
      <c r="AV45" s="27">
        <v>152</v>
      </c>
      <c r="AW45" s="27">
        <v>1041</v>
      </c>
      <c r="AX45" s="42">
        <v>6861.91</v>
      </c>
      <c r="AY45" s="27">
        <v>97</v>
      </c>
      <c r="AZ45" s="27">
        <v>56</v>
      </c>
      <c r="BA45" s="27">
        <v>15</v>
      </c>
      <c r="BB45" s="27">
        <v>10</v>
      </c>
      <c r="BC45" s="29"/>
      <c r="BD45" s="21"/>
      <c r="BE45" s="3">
        <v>-0.1015625</v>
      </c>
    </row>
    <row r="46" spans="1:57" ht="15.6">
      <c r="A46" s="2" t="s">
        <v>124</v>
      </c>
      <c r="B46" s="19" t="s">
        <v>443</v>
      </c>
      <c r="C46" s="20" t="s">
        <v>149</v>
      </c>
      <c r="D46" s="21" t="s">
        <v>524</v>
      </c>
      <c r="E46" s="44">
        <v>44635</v>
      </c>
      <c r="F46" s="21" t="s">
        <v>517</v>
      </c>
      <c r="G46" s="23">
        <v>13608518</v>
      </c>
      <c r="H46" s="28">
        <v>38000</v>
      </c>
      <c r="I46" s="28"/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4"/>
      <c r="P46" s="24">
        <v>0</v>
      </c>
      <c r="Q46" s="24"/>
      <c r="R46" s="25">
        <v>116</v>
      </c>
      <c r="S46" s="25">
        <v>6</v>
      </c>
      <c r="T46" s="25">
        <v>1</v>
      </c>
      <c r="U46" s="25">
        <v>0</v>
      </c>
      <c r="V46" s="25">
        <v>117</v>
      </c>
      <c r="W46" s="25">
        <v>111</v>
      </c>
      <c r="X46" s="26">
        <v>0</v>
      </c>
      <c r="Y46" s="26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128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9</v>
      </c>
      <c r="AN46" s="25">
        <v>9</v>
      </c>
      <c r="AO46" s="25">
        <v>3</v>
      </c>
      <c r="AP46" s="23">
        <v>0</v>
      </c>
      <c r="AQ46" s="26">
        <v>3</v>
      </c>
      <c r="AR46" s="23">
        <v>8740</v>
      </c>
      <c r="AS46" s="23"/>
      <c r="AT46" s="24"/>
      <c r="AU46" s="23"/>
      <c r="AV46" s="27">
        <v>0</v>
      </c>
      <c r="AW46" s="27">
        <v>24</v>
      </c>
      <c r="AX46" s="42">
        <v>24.37</v>
      </c>
      <c r="AY46" s="27">
        <v>4</v>
      </c>
      <c r="AZ46" s="27">
        <v>0</v>
      </c>
      <c r="BA46" s="27">
        <v>6</v>
      </c>
      <c r="BB46" s="27">
        <v>111</v>
      </c>
      <c r="BC46" s="29">
        <v>45754</v>
      </c>
      <c r="BD46" s="21"/>
      <c r="BE46" s="3">
        <v>0</v>
      </c>
    </row>
    <row r="47" spans="1:57" ht="15.6">
      <c r="A47" s="2" t="s">
        <v>201</v>
      </c>
      <c r="B47" s="19" t="s">
        <v>469</v>
      </c>
      <c r="C47" s="20" t="s">
        <v>150</v>
      </c>
      <c r="D47" s="21" t="s">
        <v>525</v>
      </c>
      <c r="E47" s="44">
        <v>44662</v>
      </c>
      <c r="F47" s="21" t="s">
        <v>470</v>
      </c>
      <c r="G47" s="23">
        <v>6008130</v>
      </c>
      <c r="H47" s="28">
        <v>51950</v>
      </c>
      <c r="I47" s="28">
        <v>1733333</v>
      </c>
      <c r="J47" s="23">
        <v>600000</v>
      </c>
      <c r="K47" s="23">
        <v>9799998</v>
      </c>
      <c r="L47" s="23">
        <v>4818495.79</v>
      </c>
      <c r="M47" s="23">
        <v>0</v>
      </c>
      <c r="N47" s="23">
        <v>4949714</v>
      </c>
      <c r="O47" s="24">
        <v>0.46331699198403692</v>
      </c>
      <c r="P47" s="24">
        <v>0</v>
      </c>
      <c r="Q47" s="24">
        <v>0.4759341299873327</v>
      </c>
      <c r="R47" s="25">
        <v>41</v>
      </c>
      <c r="S47" s="25">
        <v>37</v>
      </c>
      <c r="T47" s="25">
        <v>3</v>
      </c>
      <c r="U47" s="25">
        <v>3</v>
      </c>
      <c r="V47" s="25">
        <v>44</v>
      </c>
      <c r="W47" s="25">
        <v>7</v>
      </c>
      <c r="X47" s="26">
        <v>4687555.99</v>
      </c>
      <c r="Y47" s="26">
        <v>130939.8</v>
      </c>
      <c r="Z47" s="25">
        <v>23</v>
      </c>
      <c r="AA47" s="25">
        <v>3</v>
      </c>
      <c r="AB47" s="25">
        <v>26</v>
      </c>
      <c r="AC47" s="25">
        <v>0</v>
      </c>
      <c r="AD47" s="25">
        <v>173</v>
      </c>
      <c r="AE47" s="25">
        <v>270</v>
      </c>
      <c r="AF47" s="25">
        <v>296</v>
      </c>
      <c r="AG47" s="25">
        <v>0</v>
      </c>
      <c r="AH47" s="25">
        <v>0</v>
      </c>
      <c r="AI47" s="25">
        <v>1</v>
      </c>
      <c r="AJ47" s="25">
        <v>2</v>
      </c>
      <c r="AK47" s="25">
        <v>2</v>
      </c>
      <c r="AL47" s="25">
        <v>14</v>
      </c>
      <c r="AM47" s="25">
        <v>255</v>
      </c>
      <c r="AN47" s="25">
        <v>541</v>
      </c>
      <c r="AO47" s="25">
        <v>117</v>
      </c>
      <c r="AP47" s="23">
        <v>41183.724700854698</v>
      </c>
      <c r="AQ47" s="26">
        <v>2.1794871794871793</v>
      </c>
      <c r="AR47" s="23">
        <v>311700</v>
      </c>
      <c r="AS47" s="23"/>
      <c r="AT47" s="24">
        <v>6.4688237488322059E-2</v>
      </c>
      <c r="AU47" s="23">
        <v>185326.76115384616</v>
      </c>
      <c r="AV47" s="27">
        <v>64</v>
      </c>
      <c r="AW47" s="27">
        <v>802</v>
      </c>
      <c r="AX47" s="42">
        <v>6472.41</v>
      </c>
      <c r="AY47" s="27">
        <v>175</v>
      </c>
      <c r="AZ47" s="27">
        <v>26</v>
      </c>
      <c r="BA47" s="27">
        <v>15</v>
      </c>
      <c r="BB47" s="27">
        <v>3</v>
      </c>
      <c r="BC47" s="29"/>
      <c r="BD47" s="21"/>
      <c r="BE47" s="3">
        <v>0.37000000011175871</v>
      </c>
    </row>
    <row r="48" spans="1:57" ht="15.6">
      <c r="A48" s="2" t="s">
        <v>136</v>
      </c>
      <c r="B48" s="19" t="s">
        <v>653</v>
      </c>
      <c r="C48" s="20" t="s">
        <v>152</v>
      </c>
      <c r="D48" s="21" t="s">
        <v>526</v>
      </c>
      <c r="E48" s="44">
        <v>44684</v>
      </c>
      <c r="F48" s="21" t="s">
        <v>421</v>
      </c>
      <c r="G48" s="23">
        <v>12210958</v>
      </c>
      <c r="H48" s="28">
        <v>43505</v>
      </c>
      <c r="I48" s="28">
        <v>2333333</v>
      </c>
      <c r="J48" s="23">
        <v>1999998</v>
      </c>
      <c r="K48" s="23">
        <v>12000000</v>
      </c>
      <c r="L48" s="23">
        <v>5490005.3700000001</v>
      </c>
      <c r="M48" s="23">
        <v>0</v>
      </c>
      <c r="N48" s="23">
        <v>5395516</v>
      </c>
      <c r="O48" s="24">
        <v>0.39214329673475667</v>
      </c>
      <c r="P48" s="24">
        <v>0.85</v>
      </c>
      <c r="Q48" s="24">
        <v>0.38539405505629359</v>
      </c>
      <c r="R48" s="25">
        <v>31</v>
      </c>
      <c r="S48" s="25">
        <v>26</v>
      </c>
      <c r="T48" s="25">
        <v>1</v>
      </c>
      <c r="U48" s="25">
        <v>1</v>
      </c>
      <c r="V48" s="25">
        <v>32</v>
      </c>
      <c r="W48" s="25">
        <v>6</v>
      </c>
      <c r="X48" s="26">
        <v>5431555.6699999999</v>
      </c>
      <c r="Y48" s="26">
        <v>58449.7</v>
      </c>
      <c r="Z48" s="25">
        <v>15</v>
      </c>
      <c r="AA48" s="25">
        <v>1</v>
      </c>
      <c r="AB48" s="25">
        <v>16</v>
      </c>
      <c r="AC48" s="25">
        <v>0</v>
      </c>
      <c r="AD48" s="25">
        <v>7</v>
      </c>
      <c r="AE48" s="25">
        <v>7</v>
      </c>
      <c r="AF48" s="25">
        <v>105</v>
      </c>
      <c r="AG48" s="25">
        <v>4</v>
      </c>
      <c r="AH48" s="25">
        <v>52</v>
      </c>
      <c r="AI48" s="25">
        <v>1</v>
      </c>
      <c r="AJ48" s="25">
        <v>3</v>
      </c>
      <c r="AK48" s="25">
        <v>0</v>
      </c>
      <c r="AL48" s="25">
        <v>0</v>
      </c>
      <c r="AM48" s="25">
        <v>337</v>
      </c>
      <c r="AN48" s="25">
        <v>399</v>
      </c>
      <c r="AO48" s="25">
        <v>143</v>
      </c>
      <c r="AP48" s="23">
        <v>38391.645944055948</v>
      </c>
      <c r="AQ48" s="26">
        <v>2.3566433566433567</v>
      </c>
      <c r="AR48" s="23">
        <v>261030</v>
      </c>
      <c r="AS48" s="23">
        <v>36430</v>
      </c>
      <c r="AT48" s="24">
        <v>5.4182096364688979E-2</v>
      </c>
      <c r="AU48" s="23">
        <v>343125.33562500001</v>
      </c>
      <c r="AV48" s="27">
        <v>49</v>
      </c>
      <c r="AW48" s="27">
        <v>21</v>
      </c>
      <c r="AX48" s="42">
        <v>81.78</v>
      </c>
      <c r="AY48" s="27">
        <v>20</v>
      </c>
      <c r="AZ48" s="27">
        <v>16</v>
      </c>
      <c r="BA48" s="27">
        <v>2</v>
      </c>
      <c r="BB48" s="27">
        <v>14</v>
      </c>
      <c r="BC48" s="29"/>
      <c r="BD48" s="21"/>
      <c r="BE48" s="3">
        <v>0.29015624988824129</v>
      </c>
    </row>
    <row r="49" spans="1:57" ht="15.6">
      <c r="A49" s="2" t="s">
        <v>108</v>
      </c>
      <c r="B49" s="19" t="s">
        <v>465</v>
      </c>
      <c r="C49" s="20" t="s">
        <v>156</v>
      </c>
      <c r="D49" s="21" t="s">
        <v>461</v>
      </c>
      <c r="E49" s="44">
        <v>44693</v>
      </c>
      <c r="F49" s="21" t="s">
        <v>506</v>
      </c>
      <c r="G49" s="23">
        <v>8046618</v>
      </c>
      <c r="H49" s="28">
        <v>32890</v>
      </c>
      <c r="I49" s="28">
        <v>1333333.3330000001</v>
      </c>
      <c r="J49" s="23">
        <v>0</v>
      </c>
      <c r="K49" s="23">
        <v>7360000</v>
      </c>
      <c r="L49" s="23">
        <v>5433993.9900000002</v>
      </c>
      <c r="M49" s="23">
        <v>0</v>
      </c>
      <c r="N49" s="23">
        <v>5178784</v>
      </c>
      <c r="O49" s="24">
        <v>0.73831440081521738</v>
      </c>
      <c r="P49" s="24">
        <v>0</v>
      </c>
      <c r="Q49" s="24">
        <v>0.70363913043478266</v>
      </c>
      <c r="R49" s="25">
        <v>69</v>
      </c>
      <c r="S49" s="25">
        <v>60</v>
      </c>
      <c r="T49" s="25">
        <v>5</v>
      </c>
      <c r="U49" s="25">
        <v>2</v>
      </c>
      <c r="V49" s="25">
        <v>74</v>
      </c>
      <c r="W49" s="25">
        <v>14</v>
      </c>
      <c r="X49" s="26">
        <v>5362485.99</v>
      </c>
      <c r="Y49" s="26">
        <v>71508</v>
      </c>
      <c r="Z49" s="25">
        <v>37</v>
      </c>
      <c r="AA49" s="25">
        <v>2</v>
      </c>
      <c r="AB49" s="25">
        <v>39</v>
      </c>
      <c r="AC49" s="25">
        <v>0</v>
      </c>
      <c r="AD49" s="25">
        <v>7</v>
      </c>
      <c r="AE49" s="25">
        <v>12</v>
      </c>
      <c r="AF49" s="25">
        <v>36</v>
      </c>
      <c r="AG49" s="25">
        <v>1</v>
      </c>
      <c r="AH49" s="25">
        <v>7</v>
      </c>
      <c r="AI49" s="25">
        <v>0</v>
      </c>
      <c r="AJ49" s="25">
        <v>0</v>
      </c>
      <c r="AK49" s="25">
        <v>0</v>
      </c>
      <c r="AL49" s="25">
        <v>0</v>
      </c>
      <c r="AM49" s="25">
        <v>646</v>
      </c>
      <c r="AN49" s="25">
        <v>665</v>
      </c>
      <c r="AO49" s="25">
        <v>140</v>
      </c>
      <c r="AP49" s="23">
        <v>38814.24278571429</v>
      </c>
      <c r="AQ49" s="26">
        <v>4.6142857142857139</v>
      </c>
      <c r="AR49" s="23">
        <v>197340</v>
      </c>
      <c r="AS49" s="23">
        <v>27640</v>
      </c>
      <c r="AT49" s="24">
        <v>4.14023277195417E-2</v>
      </c>
      <c r="AU49" s="23">
        <v>139333.17923076922</v>
      </c>
      <c r="AV49" s="27">
        <v>104</v>
      </c>
      <c r="AW49" s="27">
        <v>1272</v>
      </c>
      <c r="AX49" s="42">
        <v>5450.07</v>
      </c>
      <c r="AY49" s="27">
        <v>91</v>
      </c>
      <c r="AZ49" s="27">
        <v>39</v>
      </c>
      <c r="BA49" s="27">
        <v>24</v>
      </c>
      <c r="BB49" s="27">
        <v>11</v>
      </c>
      <c r="BC49" s="29"/>
      <c r="BD49" s="21"/>
      <c r="BE49" s="3">
        <v>0.75</v>
      </c>
    </row>
    <row r="50" spans="1:57" ht="15.6">
      <c r="A50" s="2" t="s">
        <v>124</v>
      </c>
      <c r="B50" s="19" t="s">
        <v>443</v>
      </c>
      <c r="C50" s="20" t="s">
        <v>153</v>
      </c>
      <c r="D50" s="21" t="s">
        <v>527</v>
      </c>
      <c r="E50" s="44">
        <v>44697</v>
      </c>
      <c r="F50" s="21" t="s">
        <v>517</v>
      </c>
      <c r="G50" s="23">
        <v>8307773</v>
      </c>
      <c r="H50" s="28">
        <v>36720</v>
      </c>
      <c r="I50" s="28">
        <v>1200000</v>
      </c>
      <c r="J50" s="23">
        <v>0</v>
      </c>
      <c r="K50" s="23">
        <v>7200000</v>
      </c>
      <c r="L50" s="23">
        <v>4147086.6</v>
      </c>
      <c r="M50" s="23">
        <v>0</v>
      </c>
      <c r="N50" s="23">
        <v>3952990</v>
      </c>
      <c r="O50" s="24">
        <v>0.57598424999999998</v>
      </c>
      <c r="P50" s="24">
        <v>0</v>
      </c>
      <c r="Q50" s="24">
        <v>0.54902638888888888</v>
      </c>
      <c r="R50" s="25">
        <v>75</v>
      </c>
      <c r="S50" s="25">
        <v>66</v>
      </c>
      <c r="T50" s="25">
        <v>5</v>
      </c>
      <c r="U50" s="25">
        <v>5</v>
      </c>
      <c r="V50" s="25">
        <v>80</v>
      </c>
      <c r="W50" s="25">
        <v>14</v>
      </c>
      <c r="X50" s="26">
        <v>3821002.78</v>
      </c>
      <c r="Y50" s="26">
        <v>326083.82</v>
      </c>
      <c r="Z50" s="25">
        <v>31</v>
      </c>
      <c r="AA50" s="25">
        <v>5</v>
      </c>
      <c r="AB50" s="25">
        <v>36</v>
      </c>
      <c r="AC50" s="25">
        <v>0</v>
      </c>
      <c r="AD50" s="25">
        <v>43</v>
      </c>
      <c r="AE50" s="25">
        <v>54</v>
      </c>
      <c r="AF50" s="25">
        <v>253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546</v>
      </c>
      <c r="AN50" s="25">
        <v>600</v>
      </c>
      <c r="AO50" s="25">
        <v>142</v>
      </c>
      <c r="AP50" s="23">
        <v>29204.835211267608</v>
      </c>
      <c r="AQ50" s="26">
        <v>3.8450704225352115</v>
      </c>
      <c r="AR50" s="23">
        <v>220320</v>
      </c>
      <c r="AS50" s="23">
        <v>36952</v>
      </c>
      <c r="AT50" s="24">
        <v>6.2036804343560126E-2</v>
      </c>
      <c r="AU50" s="23">
        <v>115196.85</v>
      </c>
      <c r="AV50" s="27">
        <v>151</v>
      </c>
      <c r="AW50" s="27">
        <v>1201</v>
      </c>
      <c r="AX50" s="42">
        <v>10080.49</v>
      </c>
      <c r="AY50" s="27">
        <v>153</v>
      </c>
      <c r="AZ50" s="27">
        <v>36</v>
      </c>
      <c r="BA50" s="27">
        <v>30</v>
      </c>
      <c r="BB50" s="27">
        <v>14</v>
      </c>
      <c r="BC50" s="29"/>
      <c r="BD50" s="21"/>
      <c r="BE50" s="3">
        <v>2.9999999329447746E-2</v>
      </c>
    </row>
    <row r="51" spans="1:57" ht="15.6">
      <c r="A51" s="2" t="s">
        <v>119</v>
      </c>
      <c r="B51" s="19" t="s">
        <v>375</v>
      </c>
      <c r="C51" s="20" t="s">
        <v>157</v>
      </c>
      <c r="D51" s="21" t="s">
        <v>502</v>
      </c>
      <c r="E51" s="44">
        <v>44743</v>
      </c>
      <c r="F51" s="21" t="s">
        <v>473</v>
      </c>
      <c r="G51" s="23">
        <v>4730158</v>
      </c>
      <c r="H51" s="28">
        <v>24445</v>
      </c>
      <c r="I51" s="28">
        <v>1200000</v>
      </c>
      <c r="J51" s="23">
        <v>0</v>
      </c>
      <c r="K51" s="23">
        <v>7200000</v>
      </c>
      <c r="L51" s="23">
        <v>2261087.4500000002</v>
      </c>
      <c r="M51" s="23">
        <v>0</v>
      </c>
      <c r="N51" s="23">
        <v>2259193</v>
      </c>
      <c r="O51" s="24">
        <v>0.31403992361111116</v>
      </c>
      <c r="P51" s="24">
        <v>0</v>
      </c>
      <c r="Q51" s="24">
        <v>0.31377680555555554</v>
      </c>
      <c r="R51" s="25">
        <v>73</v>
      </c>
      <c r="S51" s="25">
        <v>71</v>
      </c>
      <c r="T51" s="25">
        <v>3</v>
      </c>
      <c r="U51" s="25">
        <v>3</v>
      </c>
      <c r="V51" s="25">
        <v>76</v>
      </c>
      <c r="W51" s="25">
        <v>5</v>
      </c>
      <c r="X51" s="26">
        <v>2173887.15</v>
      </c>
      <c r="Y51" s="26">
        <v>87200.3</v>
      </c>
      <c r="Z51" s="25">
        <v>42</v>
      </c>
      <c r="AA51" s="25">
        <v>3</v>
      </c>
      <c r="AB51" s="25">
        <v>45</v>
      </c>
      <c r="AC51" s="25">
        <v>0</v>
      </c>
      <c r="AD51" s="25">
        <v>24</v>
      </c>
      <c r="AE51" s="25">
        <v>34</v>
      </c>
      <c r="AF51" s="25">
        <v>145</v>
      </c>
      <c r="AG51" s="25">
        <v>3</v>
      </c>
      <c r="AH51" s="25">
        <v>14</v>
      </c>
      <c r="AI51" s="25">
        <v>0</v>
      </c>
      <c r="AJ51" s="25">
        <v>0</v>
      </c>
      <c r="AK51" s="25">
        <v>0</v>
      </c>
      <c r="AL51" s="25">
        <v>0</v>
      </c>
      <c r="AM51" s="25">
        <v>567</v>
      </c>
      <c r="AN51" s="25">
        <v>615</v>
      </c>
      <c r="AO51" s="25">
        <v>152</v>
      </c>
      <c r="AP51" s="23">
        <v>14875.575328947371</v>
      </c>
      <c r="AQ51" s="26">
        <v>3.7302631578947367</v>
      </c>
      <c r="AR51" s="23">
        <v>146670</v>
      </c>
      <c r="AS51" s="23">
        <v>29589</v>
      </c>
      <c r="AT51" s="24">
        <v>7.7953199023770611E-2</v>
      </c>
      <c r="AU51" s="23">
        <v>50246.387777777782</v>
      </c>
      <c r="AV51" s="27">
        <v>133</v>
      </c>
      <c r="AW51" s="27">
        <v>1710</v>
      </c>
      <c r="AX51" s="42">
        <v>10805.69</v>
      </c>
      <c r="AY51" s="27">
        <v>152</v>
      </c>
      <c r="AZ51" s="27">
        <v>45</v>
      </c>
      <c r="BA51" s="27">
        <v>28</v>
      </c>
      <c r="BB51" s="27">
        <v>3</v>
      </c>
      <c r="BC51" s="29"/>
      <c r="BD51" s="21"/>
      <c r="BE51" s="3">
        <v>-0.11000000033527613</v>
      </c>
    </row>
    <row r="52" spans="1:57" ht="15.6">
      <c r="A52" s="2" t="s">
        <v>201</v>
      </c>
      <c r="B52" s="19" t="s">
        <v>469</v>
      </c>
      <c r="C52" s="20" t="s">
        <v>159</v>
      </c>
      <c r="D52" s="21" t="s">
        <v>528</v>
      </c>
      <c r="E52" s="44">
        <v>44805</v>
      </c>
      <c r="F52" s="21" t="s">
        <v>470</v>
      </c>
      <c r="G52" s="23">
        <v>3178281</v>
      </c>
      <c r="H52" s="28">
        <v>38834</v>
      </c>
      <c r="I52" s="28">
        <v>1666667</v>
      </c>
      <c r="J52" s="23">
        <v>1200000</v>
      </c>
      <c r="K52" s="23">
        <v>8800002</v>
      </c>
      <c r="L52" s="23">
        <v>1115217.75</v>
      </c>
      <c r="M52" s="23">
        <v>773216.52</v>
      </c>
      <c r="N52" s="23">
        <v>1342265</v>
      </c>
      <c r="O52" s="24">
        <v>0.18884338923132216</v>
      </c>
      <c r="P52" s="24">
        <v>0.64</v>
      </c>
      <c r="Q52" s="24">
        <v>0.13422647315470537</v>
      </c>
      <c r="R52" s="25">
        <v>76</v>
      </c>
      <c r="S52" s="25">
        <v>66</v>
      </c>
      <c r="T52" s="25">
        <v>2</v>
      </c>
      <c r="U52" s="25">
        <v>2</v>
      </c>
      <c r="V52" s="25">
        <v>78</v>
      </c>
      <c r="W52" s="25">
        <v>12</v>
      </c>
      <c r="X52" s="26">
        <v>1057744.05</v>
      </c>
      <c r="Y52" s="26">
        <v>57473.7</v>
      </c>
      <c r="Z52" s="25">
        <v>34</v>
      </c>
      <c r="AA52" s="25">
        <v>2</v>
      </c>
      <c r="AB52" s="25">
        <v>36</v>
      </c>
      <c r="AC52" s="25">
        <v>2</v>
      </c>
      <c r="AD52" s="25">
        <v>111</v>
      </c>
      <c r="AE52" s="25">
        <v>144</v>
      </c>
      <c r="AF52" s="25">
        <v>278</v>
      </c>
      <c r="AG52" s="25">
        <v>2</v>
      </c>
      <c r="AH52" s="25">
        <v>35</v>
      </c>
      <c r="AI52" s="25">
        <v>3</v>
      </c>
      <c r="AJ52" s="25">
        <v>24</v>
      </c>
      <c r="AK52" s="25">
        <v>1</v>
      </c>
      <c r="AL52" s="25">
        <v>1</v>
      </c>
      <c r="AM52" s="25">
        <v>347</v>
      </c>
      <c r="AN52" s="25">
        <v>551</v>
      </c>
      <c r="AO52" s="25">
        <v>130</v>
      </c>
      <c r="AP52" s="23">
        <v>14526.417461538462</v>
      </c>
      <c r="AQ52" s="26">
        <v>2.6692307692307691</v>
      </c>
      <c r="AR52" s="23">
        <v>233004</v>
      </c>
      <c r="AS52" s="23">
        <v>31675</v>
      </c>
      <c r="AT52" s="24">
        <v>0.14015790975875481</v>
      </c>
      <c r="AU52" s="23">
        <v>30978.270833333332</v>
      </c>
      <c r="AV52" s="27">
        <v>82</v>
      </c>
      <c r="AW52" s="27">
        <v>1062</v>
      </c>
      <c r="AX52" s="42">
        <v>5658.83</v>
      </c>
      <c r="AY52" s="27">
        <v>86</v>
      </c>
      <c r="AZ52" s="27">
        <v>36</v>
      </c>
      <c r="BA52" s="27">
        <v>30</v>
      </c>
      <c r="BB52" s="27">
        <v>12</v>
      </c>
      <c r="BC52" s="29">
        <v>45913</v>
      </c>
      <c r="BD52" s="21"/>
      <c r="BE52" s="3">
        <v>-1.0984375001862645</v>
      </c>
    </row>
    <row r="53" spans="1:57" ht="15.6">
      <c r="A53" s="2" t="s">
        <v>120</v>
      </c>
      <c r="B53" s="19" t="s">
        <v>206</v>
      </c>
      <c r="C53" s="20" t="s">
        <v>139</v>
      </c>
      <c r="D53" s="21" t="s">
        <v>141</v>
      </c>
      <c r="E53" s="44">
        <v>44809</v>
      </c>
      <c r="F53" s="21" t="s">
        <v>206</v>
      </c>
      <c r="G53" s="23">
        <v>21927090</v>
      </c>
      <c r="H53" s="28">
        <v>32910</v>
      </c>
      <c r="I53" s="28">
        <v>1800000</v>
      </c>
      <c r="J53" s="23">
        <v>0</v>
      </c>
      <c r="K53" s="23">
        <v>10800000</v>
      </c>
      <c r="L53" s="23">
        <v>9913740.8000000007</v>
      </c>
      <c r="M53" s="23">
        <v>0</v>
      </c>
      <c r="N53" s="23">
        <v>10766455</v>
      </c>
      <c r="O53" s="24">
        <v>0.91793896296296307</v>
      </c>
      <c r="P53" s="24">
        <v>0</v>
      </c>
      <c r="Q53" s="24">
        <v>0.99689398148148145</v>
      </c>
      <c r="R53" s="25">
        <v>95</v>
      </c>
      <c r="S53" s="25">
        <v>92</v>
      </c>
      <c r="T53" s="25">
        <v>8</v>
      </c>
      <c r="U53" s="25">
        <v>6</v>
      </c>
      <c r="V53" s="25">
        <v>103</v>
      </c>
      <c r="W53" s="25">
        <v>11</v>
      </c>
      <c r="X53" s="26">
        <v>9574744.7200000007</v>
      </c>
      <c r="Y53" s="26">
        <v>338996.08</v>
      </c>
      <c r="Z53" s="25">
        <v>72</v>
      </c>
      <c r="AA53" s="25">
        <v>6</v>
      </c>
      <c r="AB53" s="25">
        <v>78</v>
      </c>
      <c r="AC53" s="25">
        <v>0</v>
      </c>
      <c r="AD53" s="25">
        <v>36</v>
      </c>
      <c r="AE53" s="25">
        <v>53</v>
      </c>
      <c r="AF53" s="25">
        <v>179</v>
      </c>
      <c r="AG53" s="25">
        <v>6</v>
      </c>
      <c r="AH53" s="25">
        <v>120</v>
      </c>
      <c r="AI53" s="25">
        <v>0</v>
      </c>
      <c r="AJ53" s="25">
        <v>0</v>
      </c>
      <c r="AK53" s="25">
        <v>3</v>
      </c>
      <c r="AL53" s="25">
        <v>3</v>
      </c>
      <c r="AM53" s="25">
        <v>676</v>
      </c>
      <c r="AN53" s="25">
        <v>852</v>
      </c>
      <c r="AO53" s="25">
        <v>144</v>
      </c>
      <c r="AP53" s="23">
        <v>68845.422222222231</v>
      </c>
      <c r="AQ53" s="26">
        <v>4.6944444444444446</v>
      </c>
      <c r="AR53" s="23">
        <v>197460</v>
      </c>
      <c r="AS53" s="23">
        <v>33204</v>
      </c>
      <c r="AT53" s="24">
        <v>2.3267100144478255E-2</v>
      </c>
      <c r="AU53" s="23">
        <v>127099.24102564104</v>
      </c>
      <c r="AV53" s="27">
        <v>454</v>
      </c>
      <c r="AW53" s="27">
        <v>1385</v>
      </c>
      <c r="AX53" s="42">
        <v>5618.49</v>
      </c>
      <c r="AY53" s="27">
        <v>61</v>
      </c>
      <c r="AZ53" s="27">
        <v>78</v>
      </c>
      <c r="BA53" s="27">
        <v>18</v>
      </c>
      <c r="BB53" s="27">
        <v>7</v>
      </c>
      <c r="BC53" s="29"/>
      <c r="BD53" s="21"/>
      <c r="BE53" s="3">
        <v>1299668.3499999978</v>
      </c>
    </row>
    <row r="54" spans="1:57" ht="13.2">
      <c r="A54" s="2" t="s">
        <v>124</v>
      </c>
      <c r="B54" s="19" t="s">
        <v>443</v>
      </c>
      <c r="C54" s="19" t="s">
        <v>162</v>
      </c>
      <c r="D54" s="21" t="s">
        <v>503</v>
      </c>
      <c r="E54" s="44">
        <v>44825</v>
      </c>
      <c r="F54" s="21" t="s">
        <v>517</v>
      </c>
      <c r="G54" s="23">
        <v>11046346</v>
      </c>
      <c r="H54" s="28">
        <v>45000</v>
      </c>
      <c r="I54" s="28">
        <v>1800000</v>
      </c>
      <c r="J54" s="23">
        <v>0</v>
      </c>
      <c r="K54" s="23">
        <v>10800000</v>
      </c>
      <c r="L54" s="23">
        <v>4958695.66</v>
      </c>
      <c r="M54" s="23">
        <v>0</v>
      </c>
      <c r="N54" s="23">
        <v>4945000</v>
      </c>
      <c r="O54" s="24">
        <v>0.45913848703703702</v>
      </c>
      <c r="P54" s="24">
        <v>0</v>
      </c>
      <c r="Q54" s="24">
        <v>0.45787037037037037</v>
      </c>
      <c r="R54" s="25">
        <v>91</v>
      </c>
      <c r="S54" s="25">
        <v>86</v>
      </c>
      <c r="T54" s="25">
        <v>2</v>
      </c>
      <c r="U54" s="25">
        <v>2</v>
      </c>
      <c r="V54" s="25">
        <v>93</v>
      </c>
      <c r="W54" s="25">
        <v>7</v>
      </c>
      <c r="X54" s="26">
        <v>4903831.66</v>
      </c>
      <c r="Y54" s="26">
        <v>54864</v>
      </c>
      <c r="Z54" s="25">
        <v>47</v>
      </c>
      <c r="AA54" s="25">
        <v>2</v>
      </c>
      <c r="AB54" s="25">
        <v>49</v>
      </c>
      <c r="AC54" s="25">
        <v>0</v>
      </c>
      <c r="AD54" s="25">
        <v>27</v>
      </c>
      <c r="AE54" s="25">
        <v>50</v>
      </c>
      <c r="AF54" s="25">
        <v>144</v>
      </c>
      <c r="AG54" s="25">
        <v>1</v>
      </c>
      <c r="AH54" s="25">
        <v>48</v>
      </c>
      <c r="AI54" s="25">
        <v>1</v>
      </c>
      <c r="AJ54" s="25">
        <v>2</v>
      </c>
      <c r="AK54" s="25">
        <v>0</v>
      </c>
      <c r="AL54" s="25">
        <v>0</v>
      </c>
      <c r="AM54" s="25">
        <v>753</v>
      </c>
      <c r="AN54" s="25">
        <v>853</v>
      </c>
      <c r="AO54" s="25">
        <v>148</v>
      </c>
      <c r="AP54" s="23">
        <v>33504.700405405405</v>
      </c>
      <c r="AQ54" s="26">
        <v>5.0878378378378377</v>
      </c>
      <c r="AR54" s="23">
        <v>270000</v>
      </c>
      <c r="AS54" s="23">
        <v>45369</v>
      </c>
      <c r="AT54" s="24">
        <v>6.359918446779611E-2</v>
      </c>
      <c r="AU54" s="23">
        <v>101197.87061224491</v>
      </c>
      <c r="AV54" s="27">
        <v>176</v>
      </c>
      <c r="AW54" s="27">
        <v>1409</v>
      </c>
      <c r="AX54" s="42">
        <v>9831.18</v>
      </c>
      <c r="AY54" s="27">
        <v>114</v>
      </c>
      <c r="AZ54" s="27">
        <v>49</v>
      </c>
      <c r="BA54" s="27">
        <v>41</v>
      </c>
      <c r="BB54" s="27">
        <v>3</v>
      </c>
      <c r="BC54" s="29"/>
      <c r="BD54" s="21"/>
      <c r="BE54" s="3">
        <v>-4.0000000037252903E-2</v>
      </c>
    </row>
    <row r="55" spans="1:57" ht="15.6">
      <c r="A55" s="2" t="s">
        <v>118</v>
      </c>
      <c r="B55" s="19" t="s">
        <v>484</v>
      </c>
      <c r="C55" s="20" t="s">
        <v>133</v>
      </c>
      <c r="D55" s="21" t="s">
        <v>530</v>
      </c>
      <c r="E55" s="44">
        <v>44868</v>
      </c>
      <c r="F55" s="21" t="s">
        <v>529</v>
      </c>
      <c r="G55" s="23">
        <v>10577915.360000001</v>
      </c>
      <c r="H55" s="28">
        <v>31625</v>
      </c>
      <c r="I55" s="28">
        <v>1500000</v>
      </c>
      <c r="J55" s="23">
        <v>0</v>
      </c>
      <c r="K55" s="23">
        <v>9000000</v>
      </c>
      <c r="L55" s="23">
        <v>5102984.17</v>
      </c>
      <c r="M55" s="23">
        <v>0</v>
      </c>
      <c r="N55" s="23">
        <v>5199706.0200000005</v>
      </c>
      <c r="O55" s="24">
        <v>0.56699824111111108</v>
      </c>
      <c r="P55" s="24">
        <v>0</v>
      </c>
      <c r="Q55" s="24">
        <v>0.57774511333333334</v>
      </c>
      <c r="R55" s="25">
        <v>58</v>
      </c>
      <c r="S55" s="25">
        <v>50</v>
      </c>
      <c r="T55" s="25">
        <v>1</v>
      </c>
      <c r="U55" s="25">
        <v>1</v>
      </c>
      <c r="V55" s="25">
        <v>59</v>
      </c>
      <c r="W55" s="25">
        <v>9</v>
      </c>
      <c r="X55" s="26">
        <v>4940268.07</v>
      </c>
      <c r="Y55" s="26">
        <v>162716.1</v>
      </c>
      <c r="Z55" s="25">
        <v>30</v>
      </c>
      <c r="AA55" s="25">
        <v>1</v>
      </c>
      <c r="AB55" s="25">
        <v>31</v>
      </c>
      <c r="AC55" s="25">
        <v>0</v>
      </c>
      <c r="AD55" s="25">
        <v>1</v>
      </c>
      <c r="AE55" s="25">
        <v>2</v>
      </c>
      <c r="AF55" s="25">
        <v>38</v>
      </c>
      <c r="AG55" s="25">
        <v>1</v>
      </c>
      <c r="AH55" s="25">
        <v>38</v>
      </c>
      <c r="AI55" s="25">
        <v>0</v>
      </c>
      <c r="AJ55" s="25">
        <v>0</v>
      </c>
      <c r="AK55" s="25">
        <v>0</v>
      </c>
      <c r="AL55" s="25">
        <v>0</v>
      </c>
      <c r="AM55" s="25">
        <v>296</v>
      </c>
      <c r="AN55" s="25">
        <v>336</v>
      </c>
      <c r="AO55" s="25">
        <v>124</v>
      </c>
      <c r="AP55" s="23">
        <v>41153.09814516129</v>
      </c>
      <c r="AQ55" s="26">
        <v>2.3870967741935485</v>
      </c>
      <c r="AR55" s="23">
        <v>189750</v>
      </c>
      <c r="AS55" s="23">
        <v>33437</v>
      </c>
      <c r="AT55" s="24">
        <v>4.3736565226303654E-2</v>
      </c>
      <c r="AU55" s="23">
        <v>164612.39258064516</v>
      </c>
      <c r="AV55" s="27">
        <v>70</v>
      </c>
      <c r="AW55" s="27">
        <v>1136</v>
      </c>
      <c r="AX55" s="42">
        <v>2257.67</v>
      </c>
      <c r="AY55" s="27">
        <v>45</v>
      </c>
      <c r="AZ55" s="27">
        <v>31</v>
      </c>
      <c r="BA55" s="27">
        <v>20</v>
      </c>
      <c r="BB55" s="27">
        <v>8</v>
      </c>
      <c r="BC55" s="29"/>
      <c r="BD55" s="21"/>
      <c r="BE55" s="3">
        <v>0.10000000055879354</v>
      </c>
    </row>
    <row r="56" spans="1:57" ht="15.6">
      <c r="A56" s="2" t="s">
        <v>201</v>
      </c>
      <c r="B56" s="19" t="s">
        <v>431</v>
      </c>
      <c r="C56" s="20" t="s">
        <v>164</v>
      </c>
      <c r="D56" s="21" t="s">
        <v>531</v>
      </c>
      <c r="E56" s="44">
        <v>44911</v>
      </c>
      <c r="F56" s="21" t="s">
        <v>431</v>
      </c>
      <c r="G56" s="23">
        <v>13718152</v>
      </c>
      <c r="H56" s="28">
        <v>45935</v>
      </c>
      <c r="I56" s="28">
        <v>1666667</v>
      </c>
      <c r="J56" s="23">
        <v>0</v>
      </c>
      <c r="K56" s="23">
        <v>10000002</v>
      </c>
      <c r="L56" s="23">
        <v>9640241.6300000008</v>
      </c>
      <c r="M56" s="23">
        <v>0</v>
      </c>
      <c r="N56" s="23">
        <v>9852356</v>
      </c>
      <c r="O56" s="24">
        <v>0.96402397019520603</v>
      </c>
      <c r="P56" s="24">
        <v>0</v>
      </c>
      <c r="Q56" s="24">
        <v>0.98523540295291945</v>
      </c>
      <c r="R56" s="25">
        <v>203</v>
      </c>
      <c r="S56" s="25">
        <v>193</v>
      </c>
      <c r="T56" s="25">
        <v>37</v>
      </c>
      <c r="U56" s="25">
        <v>32</v>
      </c>
      <c r="V56" s="25">
        <v>240</v>
      </c>
      <c r="W56" s="25">
        <v>47</v>
      </c>
      <c r="X56" s="26">
        <v>8359730.8200000003</v>
      </c>
      <c r="Y56" s="26">
        <v>1280510.81</v>
      </c>
      <c r="Z56" s="25">
        <v>138</v>
      </c>
      <c r="AA56" s="25">
        <v>32</v>
      </c>
      <c r="AB56" s="25">
        <v>170</v>
      </c>
      <c r="AC56" s="25">
        <v>0</v>
      </c>
      <c r="AD56" s="25">
        <v>29</v>
      </c>
      <c r="AE56" s="25">
        <v>47</v>
      </c>
      <c r="AF56" s="25">
        <v>133</v>
      </c>
      <c r="AG56" s="25">
        <v>2</v>
      </c>
      <c r="AH56" s="25">
        <v>96</v>
      </c>
      <c r="AI56" s="25">
        <v>0</v>
      </c>
      <c r="AJ56" s="25">
        <v>0</v>
      </c>
      <c r="AK56" s="25">
        <v>0</v>
      </c>
      <c r="AL56" s="25">
        <v>0</v>
      </c>
      <c r="AM56" s="25">
        <v>823</v>
      </c>
      <c r="AN56" s="25">
        <v>966</v>
      </c>
      <c r="AO56" s="25">
        <v>146</v>
      </c>
      <c r="AP56" s="23">
        <v>66029.05226027398</v>
      </c>
      <c r="AQ56" s="26">
        <v>5.6369863013698627</v>
      </c>
      <c r="AR56" s="23">
        <v>275610</v>
      </c>
      <c r="AS56" s="23">
        <v>59325</v>
      </c>
      <c r="AT56" s="24">
        <v>3.4743423749638937E-2</v>
      </c>
      <c r="AU56" s="23">
        <v>56707.303705882361</v>
      </c>
      <c r="AV56" s="27">
        <v>531</v>
      </c>
      <c r="AW56" s="27">
        <v>1048</v>
      </c>
      <c r="AX56" s="42">
        <v>9176.4699999999993</v>
      </c>
      <c r="AY56" s="27">
        <v>48</v>
      </c>
      <c r="AZ56" s="27">
        <v>170</v>
      </c>
      <c r="BA56" s="27">
        <v>31</v>
      </c>
      <c r="BB56" s="27">
        <v>39</v>
      </c>
      <c r="BC56" s="29"/>
      <c r="BD56" s="21"/>
      <c r="BE56" s="3">
        <v>0.51051757670938969</v>
      </c>
    </row>
    <row r="57" spans="1:57" ht="15.6">
      <c r="A57" s="2" t="s">
        <v>117</v>
      </c>
      <c r="B57" s="19" t="s">
        <v>450</v>
      </c>
      <c r="C57" s="20" t="s">
        <v>165</v>
      </c>
      <c r="D57" s="21" t="s">
        <v>532</v>
      </c>
      <c r="E57" s="44">
        <v>44928</v>
      </c>
      <c r="F57" s="21" t="s">
        <v>482</v>
      </c>
      <c r="G57" s="23">
        <v>3181012</v>
      </c>
      <c r="H57" s="28">
        <v>49500</v>
      </c>
      <c r="I57" s="28">
        <v>833333</v>
      </c>
      <c r="J57" s="23">
        <v>0</v>
      </c>
      <c r="K57" s="23">
        <v>4999998</v>
      </c>
      <c r="L57" s="23">
        <v>1527386.21</v>
      </c>
      <c r="M57" s="23">
        <v>0</v>
      </c>
      <c r="N57" s="23">
        <v>638166</v>
      </c>
      <c r="O57" s="24">
        <v>0.30547736419094568</v>
      </c>
      <c r="P57" s="24">
        <v>0</v>
      </c>
      <c r="Q57" s="24">
        <v>0.12763325105330042</v>
      </c>
      <c r="R57" s="25">
        <v>64</v>
      </c>
      <c r="S57" s="25">
        <v>76</v>
      </c>
      <c r="T57" s="25">
        <v>18</v>
      </c>
      <c r="U57" s="25">
        <v>18</v>
      </c>
      <c r="V57" s="25">
        <v>82</v>
      </c>
      <c r="W57" s="25">
        <v>6</v>
      </c>
      <c r="X57" s="26">
        <v>1149561.1399999999</v>
      </c>
      <c r="Y57" s="26">
        <v>377825.07</v>
      </c>
      <c r="Z57" s="25">
        <v>42</v>
      </c>
      <c r="AA57" s="25">
        <v>18</v>
      </c>
      <c r="AB57" s="25">
        <v>60</v>
      </c>
      <c r="AC57" s="25">
        <v>0</v>
      </c>
      <c r="AD57" s="25">
        <v>92</v>
      </c>
      <c r="AE57" s="25">
        <v>185</v>
      </c>
      <c r="AF57" s="25">
        <v>140</v>
      </c>
      <c r="AG57" s="25">
        <v>3</v>
      </c>
      <c r="AH57" s="25">
        <v>52</v>
      </c>
      <c r="AI57" s="25">
        <v>0</v>
      </c>
      <c r="AJ57" s="25">
        <v>0</v>
      </c>
      <c r="AK57" s="25">
        <v>1</v>
      </c>
      <c r="AL57" s="25">
        <v>1</v>
      </c>
      <c r="AM57" s="25">
        <v>360</v>
      </c>
      <c r="AN57" s="25">
        <v>598</v>
      </c>
      <c r="AO57" s="25">
        <v>143</v>
      </c>
      <c r="AP57" s="23">
        <v>10681.022447552446</v>
      </c>
      <c r="AQ57" s="26">
        <v>2.5174825174825175</v>
      </c>
      <c r="AR57" s="23">
        <v>297000</v>
      </c>
      <c r="AS57" s="23">
        <v>28541</v>
      </c>
      <c r="AT57" s="24">
        <v>0.21313600834460852</v>
      </c>
      <c r="AU57" s="23">
        <v>25456.436833333333</v>
      </c>
      <c r="AV57" s="27">
        <v>100</v>
      </c>
      <c r="AW57" s="27">
        <v>1342</v>
      </c>
      <c r="AX57" s="42">
        <v>9707.59</v>
      </c>
      <c r="AY57" s="27">
        <v>128</v>
      </c>
      <c r="AZ57" s="27">
        <v>60</v>
      </c>
      <c r="BA57" s="27">
        <v>18</v>
      </c>
      <c r="BB57" s="27">
        <v>4</v>
      </c>
      <c r="BC57" s="29"/>
      <c r="BD57" s="21"/>
      <c r="BE57" s="3">
        <v>4.9999999813735485E-2</v>
      </c>
    </row>
    <row r="58" spans="1:57" ht="15.6">
      <c r="A58" s="2" t="s">
        <v>119</v>
      </c>
      <c r="B58" s="19" t="s">
        <v>375</v>
      </c>
      <c r="C58" s="20" t="s">
        <v>166</v>
      </c>
      <c r="D58" s="21" t="s">
        <v>508</v>
      </c>
      <c r="E58" s="44">
        <v>44953</v>
      </c>
      <c r="F58" s="21" t="s">
        <v>473</v>
      </c>
      <c r="G58" s="23">
        <v>11302117</v>
      </c>
      <c r="H58" s="28">
        <v>34920</v>
      </c>
      <c r="I58" s="28">
        <v>1400000</v>
      </c>
      <c r="J58" s="23">
        <v>0</v>
      </c>
      <c r="K58" s="23">
        <v>8400000</v>
      </c>
      <c r="L58" s="23">
        <v>4243473.5999999996</v>
      </c>
      <c r="M58" s="23">
        <v>0</v>
      </c>
      <c r="N58" s="23">
        <v>5497508</v>
      </c>
      <c r="O58" s="24">
        <v>0.5051754285714285</v>
      </c>
      <c r="P58" s="24">
        <v>0</v>
      </c>
      <c r="Q58" s="24">
        <v>0.65446523809523804</v>
      </c>
      <c r="R58" s="25">
        <v>133</v>
      </c>
      <c r="S58" s="25">
        <v>132</v>
      </c>
      <c r="T58" s="25">
        <v>10</v>
      </c>
      <c r="U58" s="25">
        <v>10</v>
      </c>
      <c r="V58" s="25">
        <v>143</v>
      </c>
      <c r="W58" s="25">
        <v>11</v>
      </c>
      <c r="X58" s="26">
        <v>3823720.12</v>
      </c>
      <c r="Y58" s="26">
        <v>419753.48</v>
      </c>
      <c r="Z58" s="25">
        <v>88</v>
      </c>
      <c r="AA58" s="25">
        <v>10</v>
      </c>
      <c r="AB58" s="25">
        <v>98</v>
      </c>
      <c r="AC58" s="25">
        <v>0</v>
      </c>
      <c r="AD58" s="25">
        <v>3</v>
      </c>
      <c r="AE58" s="25">
        <v>6</v>
      </c>
      <c r="AF58" s="25">
        <v>41</v>
      </c>
      <c r="AG58" s="25">
        <v>1</v>
      </c>
      <c r="AH58" s="25">
        <v>1</v>
      </c>
      <c r="AI58" s="25">
        <v>0</v>
      </c>
      <c r="AJ58" s="25">
        <v>0</v>
      </c>
      <c r="AK58" s="25">
        <v>0</v>
      </c>
      <c r="AL58" s="25">
        <v>0</v>
      </c>
      <c r="AM58" s="25">
        <v>1052</v>
      </c>
      <c r="AN58" s="25">
        <v>1059</v>
      </c>
      <c r="AO58" s="25">
        <v>145</v>
      </c>
      <c r="AP58" s="23">
        <v>29265.33517241379</v>
      </c>
      <c r="AQ58" s="26">
        <v>7.2551724137931037</v>
      </c>
      <c r="AR58" s="23">
        <v>209520</v>
      </c>
      <c r="AS58" s="23">
        <v>43738</v>
      </c>
      <c r="AT58" s="24">
        <v>5.9681766371776183E-2</v>
      </c>
      <c r="AU58" s="23">
        <v>43300.751020408163</v>
      </c>
      <c r="AV58" s="27">
        <v>359</v>
      </c>
      <c r="AW58" s="27">
        <v>1568</v>
      </c>
      <c r="AX58" s="42">
        <v>10196.98</v>
      </c>
      <c r="AY58" s="27">
        <v>77</v>
      </c>
      <c r="AZ58" s="27">
        <v>98</v>
      </c>
      <c r="BA58" s="27">
        <v>34</v>
      </c>
      <c r="BB58" s="27">
        <v>11</v>
      </c>
      <c r="BC58" s="29"/>
      <c r="BD58" s="21"/>
      <c r="BE58" s="3">
        <v>-0.1399999987334013</v>
      </c>
    </row>
    <row r="59" spans="1:57" ht="15.6">
      <c r="A59" s="2" t="s">
        <v>118</v>
      </c>
      <c r="B59" s="19" t="s">
        <v>362</v>
      </c>
      <c r="C59" s="20" t="s">
        <v>167</v>
      </c>
      <c r="D59" s="21" t="s">
        <v>533</v>
      </c>
      <c r="E59" s="44">
        <v>44958</v>
      </c>
      <c r="F59" s="21" t="s">
        <v>419</v>
      </c>
      <c r="G59" s="23">
        <v>19406539.399999999</v>
      </c>
      <c r="H59" s="28">
        <v>24116</v>
      </c>
      <c r="I59" s="28">
        <v>4000000</v>
      </c>
      <c r="J59" s="23">
        <v>0</v>
      </c>
      <c r="K59" s="23">
        <v>24000000</v>
      </c>
      <c r="L59" s="23">
        <v>18361902.91</v>
      </c>
      <c r="M59" s="23">
        <v>0</v>
      </c>
      <c r="N59" s="23">
        <v>19320783</v>
      </c>
      <c r="O59" s="24">
        <v>0.76507928791666668</v>
      </c>
      <c r="P59" s="24">
        <v>0</v>
      </c>
      <c r="Q59" s="24">
        <v>0.80503262499999995</v>
      </c>
      <c r="R59" s="25">
        <v>66</v>
      </c>
      <c r="S59" s="25">
        <v>69</v>
      </c>
      <c r="T59" s="25">
        <v>3</v>
      </c>
      <c r="U59" s="25">
        <v>3</v>
      </c>
      <c r="V59" s="25">
        <v>69</v>
      </c>
      <c r="W59" s="25">
        <v>0</v>
      </c>
      <c r="X59" s="26">
        <v>17988255.609999999</v>
      </c>
      <c r="Y59" s="26">
        <v>373647.3</v>
      </c>
      <c r="Z59" s="25">
        <v>61</v>
      </c>
      <c r="AA59" s="25">
        <v>3</v>
      </c>
      <c r="AB59" s="25">
        <v>64</v>
      </c>
      <c r="AC59" s="25">
        <v>0</v>
      </c>
      <c r="AD59" s="25">
        <v>1</v>
      </c>
      <c r="AE59" s="25">
        <v>2</v>
      </c>
      <c r="AF59" s="25">
        <v>62</v>
      </c>
      <c r="AG59" s="25">
        <v>2</v>
      </c>
      <c r="AH59" s="25">
        <v>18</v>
      </c>
      <c r="AI59" s="25">
        <v>0</v>
      </c>
      <c r="AJ59" s="25">
        <v>0</v>
      </c>
      <c r="AK59" s="25">
        <v>0</v>
      </c>
      <c r="AL59" s="25">
        <v>0</v>
      </c>
      <c r="AM59" s="25">
        <v>684</v>
      </c>
      <c r="AN59" s="25">
        <v>704</v>
      </c>
      <c r="AO59" s="25">
        <v>147</v>
      </c>
      <c r="AP59" s="23">
        <v>124910.90414965987</v>
      </c>
      <c r="AQ59" s="26">
        <v>4.6530612244897958</v>
      </c>
      <c r="AR59" s="23">
        <v>144696</v>
      </c>
      <c r="AS59" s="23">
        <v>29840</v>
      </c>
      <c r="AT59" s="24">
        <v>9.5053329088755096E-3</v>
      </c>
      <c r="AU59" s="23">
        <v>286904.73296875</v>
      </c>
      <c r="AV59" s="27">
        <v>195</v>
      </c>
      <c r="AW59" s="27">
        <v>1625</v>
      </c>
      <c r="AX59" s="42">
        <v>7156.78</v>
      </c>
      <c r="AY59" s="27">
        <v>104</v>
      </c>
      <c r="AZ59" s="27">
        <v>64</v>
      </c>
      <c r="BA59" s="27">
        <v>5</v>
      </c>
      <c r="BB59" s="27">
        <v>0</v>
      </c>
      <c r="BC59" s="29"/>
      <c r="BD59" s="21"/>
      <c r="BE59" s="3">
        <v>-3.9999999105930328E-2</v>
      </c>
    </row>
    <row r="60" spans="1:57" ht="13.2">
      <c r="A60" s="2" t="s">
        <v>120</v>
      </c>
      <c r="B60" s="19" t="s">
        <v>163</v>
      </c>
      <c r="C60" s="19" t="s">
        <v>170</v>
      </c>
      <c r="D60" s="21" t="s">
        <v>163</v>
      </c>
      <c r="E60" s="44">
        <v>44994</v>
      </c>
      <c r="F60" s="21" t="s">
        <v>534</v>
      </c>
      <c r="G60" s="23">
        <v>11621619</v>
      </c>
      <c r="H60" s="28">
        <v>46390</v>
      </c>
      <c r="I60" s="28">
        <v>1700000</v>
      </c>
      <c r="J60" s="23">
        <v>1200000</v>
      </c>
      <c r="K60" s="23">
        <v>9000000</v>
      </c>
      <c r="L60" s="23">
        <v>5575734.3600000003</v>
      </c>
      <c r="M60" s="23">
        <v>649320.89</v>
      </c>
      <c r="N60" s="23">
        <v>6437162</v>
      </c>
      <c r="O60" s="24">
        <v>0.61029953431372552</v>
      </c>
      <c r="P60" s="24">
        <v>0.54</v>
      </c>
      <c r="Q60" s="24">
        <v>0.63109431372549019</v>
      </c>
      <c r="R60" s="25">
        <v>83</v>
      </c>
      <c r="S60" s="25">
        <v>58</v>
      </c>
      <c r="T60" s="25">
        <v>3</v>
      </c>
      <c r="U60" s="25">
        <v>3</v>
      </c>
      <c r="V60" s="25">
        <v>86</v>
      </c>
      <c r="W60" s="25">
        <v>28</v>
      </c>
      <c r="X60" s="26">
        <v>5443840.1600000001</v>
      </c>
      <c r="Y60" s="26">
        <v>131894.20000000001</v>
      </c>
      <c r="Z60" s="25">
        <v>39</v>
      </c>
      <c r="AA60" s="25">
        <v>3</v>
      </c>
      <c r="AB60" s="25">
        <v>42</v>
      </c>
      <c r="AC60" s="25">
        <v>4</v>
      </c>
      <c r="AD60" s="25">
        <v>8</v>
      </c>
      <c r="AE60" s="25">
        <v>8</v>
      </c>
      <c r="AF60" s="25">
        <v>120</v>
      </c>
      <c r="AG60" s="25">
        <v>3</v>
      </c>
      <c r="AH60" s="25">
        <v>50</v>
      </c>
      <c r="AI60" s="25">
        <v>6</v>
      </c>
      <c r="AJ60" s="25">
        <v>83</v>
      </c>
      <c r="AK60" s="25">
        <v>2</v>
      </c>
      <c r="AL60" s="25">
        <v>34</v>
      </c>
      <c r="AM60" s="25">
        <v>576</v>
      </c>
      <c r="AN60" s="25">
        <v>751</v>
      </c>
      <c r="AO60" s="25">
        <v>139</v>
      </c>
      <c r="AP60" s="23">
        <v>44784.570143884892</v>
      </c>
      <c r="AQ60" s="26">
        <v>4.1438848920863309</v>
      </c>
      <c r="AR60" s="23">
        <v>278340</v>
      </c>
      <c r="AS60" s="23">
        <v>22190</v>
      </c>
      <c r="AT60" s="24">
        <v>4.827748315968762E-2</v>
      </c>
      <c r="AU60" s="23">
        <v>132755.58000000002</v>
      </c>
      <c r="AV60" s="27">
        <v>159</v>
      </c>
      <c r="AW60" s="27">
        <v>1394</v>
      </c>
      <c r="AX60" s="42">
        <v>4324</v>
      </c>
      <c r="AY60" s="27">
        <v>75</v>
      </c>
      <c r="AZ60" s="27">
        <v>42</v>
      </c>
      <c r="BA60" s="27">
        <v>20</v>
      </c>
      <c r="BB60" s="27">
        <v>24</v>
      </c>
      <c r="BC60" s="29"/>
      <c r="BD60" s="21"/>
      <c r="BE60" s="3">
        <v>679579.22999999952</v>
      </c>
    </row>
    <row r="61" spans="1:57" ht="15.6">
      <c r="A61" s="2" t="s">
        <v>201</v>
      </c>
      <c r="B61" s="19" t="s">
        <v>431</v>
      </c>
      <c r="C61" s="20" t="s">
        <v>171</v>
      </c>
      <c r="D61" s="21" t="s">
        <v>535</v>
      </c>
      <c r="E61" s="44">
        <v>45000</v>
      </c>
      <c r="F61" s="21" t="s">
        <v>431</v>
      </c>
      <c r="G61" s="23">
        <v>8973760</v>
      </c>
      <c r="H61" s="28">
        <v>28360</v>
      </c>
      <c r="I61" s="28">
        <v>2083333</v>
      </c>
      <c r="J61" s="23">
        <v>0</v>
      </c>
      <c r="K61" s="23">
        <v>10416665</v>
      </c>
      <c r="L61" s="23">
        <v>1970484.12</v>
      </c>
      <c r="M61" s="23">
        <v>0</v>
      </c>
      <c r="N61" s="23">
        <v>1513261</v>
      </c>
      <c r="O61" s="24">
        <v>0.18916650578664093</v>
      </c>
      <c r="P61" s="24">
        <v>0</v>
      </c>
      <c r="Q61" s="24">
        <v>0.14527307924369268</v>
      </c>
      <c r="R61" s="25">
        <v>30</v>
      </c>
      <c r="S61" s="25">
        <v>29</v>
      </c>
      <c r="T61" s="25">
        <v>4</v>
      </c>
      <c r="U61" s="25">
        <v>4</v>
      </c>
      <c r="V61" s="25">
        <v>34</v>
      </c>
      <c r="W61" s="25">
        <v>5</v>
      </c>
      <c r="X61" s="26">
        <v>1733087.18</v>
      </c>
      <c r="Y61" s="26">
        <v>237396.94</v>
      </c>
      <c r="Z61" s="25">
        <v>17</v>
      </c>
      <c r="AA61" s="25">
        <v>4</v>
      </c>
      <c r="AB61" s="25">
        <v>21</v>
      </c>
      <c r="AC61" s="25">
        <v>0</v>
      </c>
      <c r="AD61" s="25">
        <v>8</v>
      </c>
      <c r="AE61" s="25">
        <v>9</v>
      </c>
      <c r="AF61" s="25">
        <v>100</v>
      </c>
      <c r="AG61" s="25">
        <v>1</v>
      </c>
      <c r="AH61" s="25">
        <v>23</v>
      </c>
      <c r="AI61" s="25">
        <v>0</v>
      </c>
      <c r="AJ61" s="25">
        <v>0</v>
      </c>
      <c r="AK61" s="25">
        <v>0</v>
      </c>
      <c r="AL61" s="25">
        <v>0</v>
      </c>
      <c r="AM61" s="25">
        <v>418</v>
      </c>
      <c r="AN61" s="25">
        <v>450</v>
      </c>
      <c r="AO61" s="25">
        <v>111</v>
      </c>
      <c r="AP61" s="23">
        <v>17752.109189189192</v>
      </c>
      <c r="AQ61" s="26">
        <v>3.7657657657657659</v>
      </c>
      <c r="AR61" s="23">
        <v>141800</v>
      </c>
      <c r="AS61" s="23">
        <v>44700</v>
      </c>
      <c r="AT61" s="24">
        <v>9.4646791672698169E-2</v>
      </c>
      <c r="AU61" s="23">
        <v>93832.577142857146</v>
      </c>
      <c r="AV61" s="27">
        <v>40</v>
      </c>
      <c r="AW61" s="27">
        <v>773</v>
      </c>
      <c r="AX61" s="42">
        <v>4479.54</v>
      </c>
      <c r="AY61" s="27">
        <v>154</v>
      </c>
      <c r="AZ61" s="27">
        <v>21</v>
      </c>
      <c r="BA61" s="27">
        <v>8</v>
      </c>
      <c r="BB61" s="27">
        <v>5</v>
      </c>
      <c r="BC61" s="29">
        <v>45900</v>
      </c>
      <c r="BD61" s="21"/>
      <c r="BE61" s="3">
        <v>0.38953124987892807</v>
      </c>
    </row>
    <row r="62" spans="1:57" ht="15.6">
      <c r="A62" s="2" t="s">
        <v>118</v>
      </c>
      <c r="B62" s="19" t="s">
        <v>468</v>
      </c>
      <c r="C62" s="20" t="s">
        <v>173</v>
      </c>
      <c r="D62" s="21" t="s">
        <v>536</v>
      </c>
      <c r="E62" s="44">
        <v>45040</v>
      </c>
      <c r="F62" s="21" t="s">
        <v>509</v>
      </c>
      <c r="G62" s="23">
        <v>9731676</v>
      </c>
      <c r="H62" s="28">
        <v>36400</v>
      </c>
      <c r="I62" s="28">
        <v>1500000</v>
      </c>
      <c r="J62" s="23">
        <v>0</v>
      </c>
      <c r="K62" s="23">
        <v>9000000</v>
      </c>
      <c r="L62" s="23">
        <v>5978200.7000000002</v>
      </c>
      <c r="M62" s="23">
        <v>0</v>
      </c>
      <c r="N62" s="23">
        <v>5233737</v>
      </c>
      <c r="O62" s="24">
        <v>0.66424452222222219</v>
      </c>
      <c r="P62" s="24">
        <v>0</v>
      </c>
      <c r="Q62" s="24">
        <v>0.58152633333333337</v>
      </c>
      <c r="R62" s="25">
        <v>27</v>
      </c>
      <c r="S62" s="25">
        <v>36</v>
      </c>
      <c r="T62" s="25">
        <v>9</v>
      </c>
      <c r="U62" s="25">
        <v>9</v>
      </c>
      <c r="V62" s="25">
        <v>36</v>
      </c>
      <c r="W62" s="25">
        <v>0</v>
      </c>
      <c r="X62" s="26">
        <v>4695432.4800000004</v>
      </c>
      <c r="Y62" s="26">
        <v>1282768.22</v>
      </c>
      <c r="Z62" s="25">
        <v>17</v>
      </c>
      <c r="AA62" s="25">
        <v>9</v>
      </c>
      <c r="AB62" s="25">
        <v>26</v>
      </c>
      <c r="AC62" s="25">
        <v>0</v>
      </c>
      <c r="AD62" s="25">
        <v>48</v>
      </c>
      <c r="AE62" s="25">
        <v>84</v>
      </c>
      <c r="AF62" s="25">
        <v>65</v>
      </c>
      <c r="AG62" s="25">
        <v>1</v>
      </c>
      <c r="AH62" s="25">
        <v>6</v>
      </c>
      <c r="AI62" s="25">
        <v>0</v>
      </c>
      <c r="AJ62" s="25">
        <v>0</v>
      </c>
      <c r="AK62" s="25">
        <v>0</v>
      </c>
      <c r="AL62" s="25">
        <v>0</v>
      </c>
      <c r="AM62" s="25">
        <v>700</v>
      </c>
      <c r="AN62" s="25">
        <v>790</v>
      </c>
      <c r="AO62" s="25">
        <v>148</v>
      </c>
      <c r="AP62" s="23">
        <v>40393.247972972975</v>
      </c>
      <c r="AQ62" s="26">
        <v>4.7297297297297298</v>
      </c>
      <c r="AR62" s="23">
        <v>218400</v>
      </c>
      <c r="AS62" s="23">
        <v>53741</v>
      </c>
      <c r="AT62" s="24">
        <v>4.5522225441511188E-2</v>
      </c>
      <c r="AU62" s="23">
        <v>229930.79615384617</v>
      </c>
      <c r="AV62" s="27">
        <v>61</v>
      </c>
      <c r="AW62" s="27">
        <v>1247</v>
      </c>
      <c r="AX62" s="42">
        <v>8579.9</v>
      </c>
      <c r="AY62" s="27">
        <v>238</v>
      </c>
      <c r="AZ62" s="27">
        <v>26</v>
      </c>
      <c r="BA62" s="27">
        <v>10</v>
      </c>
      <c r="BB62" s="27">
        <v>0</v>
      </c>
      <c r="BC62" s="29"/>
      <c r="BD62" s="21"/>
      <c r="BE62" s="3">
        <v>-0.25999999977648258</v>
      </c>
    </row>
    <row r="63" spans="1:57" ht="13.2">
      <c r="A63" s="2" t="s">
        <v>118</v>
      </c>
      <c r="B63" s="19" t="s">
        <v>362</v>
      </c>
      <c r="C63" s="19" t="s">
        <v>174</v>
      </c>
      <c r="D63" s="21" t="s">
        <v>490</v>
      </c>
      <c r="E63" s="44">
        <v>45040</v>
      </c>
      <c r="F63" s="21" t="s">
        <v>419</v>
      </c>
      <c r="G63" s="23">
        <v>2909376</v>
      </c>
      <c r="H63" s="28">
        <v>25690</v>
      </c>
      <c r="I63" s="28">
        <v>1500000</v>
      </c>
      <c r="J63" s="23">
        <v>0</v>
      </c>
      <c r="K63" s="23">
        <v>9000000</v>
      </c>
      <c r="L63" s="23">
        <v>4573013.75</v>
      </c>
      <c r="M63" s="23">
        <v>0</v>
      </c>
      <c r="N63" s="23">
        <v>3153649</v>
      </c>
      <c r="O63" s="24">
        <v>0.50811263888888891</v>
      </c>
      <c r="P63" s="24">
        <v>0</v>
      </c>
      <c r="Q63" s="24">
        <v>0.35040544444444444</v>
      </c>
      <c r="R63" s="25">
        <v>75</v>
      </c>
      <c r="S63" s="25">
        <v>63</v>
      </c>
      <c r="T63" s="25">
        <v>1</v>
      </c>
      <c r="U63" s="25">
        <v>1</v>
      </c>
      <c r="V63" s="25">
        <v>76</v>
      </c>
      <c r="W63" s="25">
        <v>13</v>
      </c>
      <c r="X63" s="26">
        <v>4571337.3499999996</v>
      </c>
      <c r="Y63" s="26">
        <v>1676.4</v>
      </c>
      <c r="Z63" s="25">
        <v>28</v>
      </c>
      <c r="AA63" s="25">
        <v>1</v>
      </c>
      <c r="AB63" s="25">
        <v>29</v>
      </c>
      <c r="AC63" s="25">
        <v>0</v>
      </c>
      <c r="AD63" s="25">
        <v>6</v>
      </c>
      <c r="AE63" s="25">
        <v>17</v>
      </c>
      <c r="AF63" s="25">
        <v>45</v>
      </c>
      <c r="AG63" s="25">
        <v>2</v>
      </c>
      <c r="AH63" s="25">
        <v>2</v>
      </c>
      <c r="AI63" s="25">
        <v>0</v>
      </c>
      <c r="AJ63" s="25">
        <v>0</v>
      </c>
      <c r="AK63" s="25">
        <v>0</v>
      </c>
      <c r="AL63" s="25">
        <v>0</v>
      </c>
      <c r="AM63" s="25">
        <v>669</v>
      </c>
      <c r="AN63" s="25">
        <v>688</v>
      </c>
      <c r="AO63" s="25">
        <v>140</v>
      </c>
      <c r="AP63" s="23">
        <v>32664.383928571428</v>
      </c>
      <c r="AQ63" s="26">
        <v>4.7785714285714285</v>
      </c>
      <c r="AR63" s="23">
        <v>154140</v>
      </c>
      <c r="AS63" s="23">
        <v>23987</v>
      </c>
      <c r="AT63" s="24">
        <v>3.8951774417909854E-2</v>
      </c>
      <c r="AU63" s="23">
        <v>157690.12931034484</v>
      </c>
      <c r="AV63" s="27">
        <v>83</v>
      </c>
      <c r="AW63" s="27">
        <v>1169</v>
      </c>
      <c r="AX63" s="42">
        <v>6311.22</v>
      </c>
      <c r="AY63" s="27">
        <v>100</v>
      </c>
      <c r="AZ63" s="27">
        <v>29</v>
      </c>
      <c r="BA63" s="27">
        <v>34</v>
      </c>
      <c r="BB63" s="27">
        <v>13</v>
      </c>
      <c r="BC63" s="29"/>
      <c r="BD63" s="21"/>
      <c r="BE63" s="3">
        <v>9.999999962747097E-2</v>
      </c>
    </row>
    <row r="64" spans="1:57" ht="15.6">
      <c r="A64" s="2" t="s">
        <v>124</v>
      </c>
      <c r="B64" s="19" t="s">
        <v>443</v>
      </c>
      <c r="C64" s="20" t="s">
        <v>175</v>
      </c>
      <c r="D64" s="21" t="s">
        <v>518</v>
      </c>
      <c r="E64" s="44">
        <v>45047</v>
      </c>
      <c r="F64" s="21" t="s">
        <v>517</v>
      </c>
      <c r="G64" s="23">
        <v>7311644</v>
      </c>
      <c r="H64" s="28">
        <v>37990</v>
      </c>
      <c r="I64" s="28">
        <v>1200000</v>
      </c>
      <c r="J64" s="23">
        <v>0</v>
      </c>
      <c r="K64" s="23">
        <v>7200000</v>
      </c>
      <c r="L64" s="23">
        <v>2635386.58</v>
      </c>
      <c r="M64" s="23">
        <v>0</v>
      </c>
      <c r="N64" s="23">
        <v>3018704</v>
      </c>
      <c r="O64" s="24">
        <v>0.36602591388888889</v>
      </c>
      <c r="P64" s="24">
        <v>0</v>
      </c>
      <c r="Q64" s="24">
        <v>0.41926444444444444</v>
      </c>
      <c r="R64" s="25">
        <v>113</v>
      </c>
      <c r="S64" s="25">
        <v>98</v>
      </c>
      <c r="T64" s="25">
        <v>5</v>
      </c>
      <c r="U64" s="25">
        <v>4</v>
      </c>
      <c r="V64" s="25">
        <v>118</v>
      </c>
      <c r="W64" s="25">
        <v>20</v>
      </c>
      <c r="X64" s="26">
        <v>2541596.66</v>
      </c>
      <c r="Y64" s="26">
        <v>93789.92</v>
      </c>
      <c r="Z64" s="25">
        <v>68</v>
      </c>
      <c r="AA64" s="25">
        <v>4</v>
      </c>
      <c r="AB64" s="25">
        <v>72</v>
      </c>
      <c r="AC64" s="25">
        <v>0</v>
      </c>
      <c r="AD64" s="25">
        <v>9</v>
      </c>
      <c r="AE64" s="25">
        <v>18</v>
      </c>
      <c r="AF64" s="25">
        <v>159</v>
      </c>
      <c r="AG64" s="25">
        <v>1</v>
      </c>
      <c r="AH64" s="25">
        <v>15</v>
      </c>
      <c r="AI64" s="25">
        <v>0</v>
      </c>
      <c r="AJ64" s="25">
        <v>0</v>
      </c>
      <c r="AK64" s="25">
        <v>0</v>
      </c>
      <c r="AL64" s="25">
        <v>0</v>
      </c>
      <c r="AM64" s="25">
        <v>616</v>
      </c>
      <c r="AN64" s="25">
        <v>649</v>
      </c>
      <c r="AO64" s="25">
        <v>144</v>
      </c>
      <c r="AP64" s="23">
        <v>18301.295694444445</v>
      </c>
      <c r="AQ64" s="26">
        <v>4.2777777777777777</v>
      </c>
      <c r="AR64" s="23">
        <v>227940</v>
      </c>
      <c r="AS64" s="23">
        <v>35214</v>
      </c>
      <c r="AT64" s="24">
        <v>9.9854041147921457E-2</v>
      </c>
      <c r="AU64" s="23">
        <v>36602.59138888889</v>
      </c>
      <c r="AV64" s="27">
        <v>244</v>
      </c>
      <c r="AW64" s="27">
        <v>1475</v>
      </c>
      <c r="AX64" s="42">
        <v>8504.98</v>
      </c>
      <c r="AY64" s="27">
        <v>87</v>
      </c>
      <c r="AZ64" s="27">
        <v>72</v>
      </c>
      <c r="BA64" s="27">
        <v>29</v>
      </c>
      <c r="BB64" s="27">
        <v>17</v>
      </c>
      <c r="BC64" s="29"/>
      <c r="BD64" s="21"/>
      <c r="BE64" s="3">
        <v>-2.0000000018626451E-2</v>
      </c>
    </row>
    <row r="65" spans="1:57" ht="15.6">
      <c r="A65" s="2" t="s">
        <v>124</v>
      </c>
      <c r="B65" s="19" t="s">
        <v>443</v>
      </c>
      <c r="C65" s="20" t="s">
        <v>176</v>
      </c>
      <c r="D65" s="21" t="s">
        <v>537</v>
      </c>
      <c r="E65" s="44">
        <v>45047</v>
      </c>
      <c r="F65" s="21" t="s">
        <v>517</v>
      </c>
      <c r="G65" s="23">
        <v>3836040</v>
      </c>
      <c r="H65" s="28">
        <v>37335</v>
      </c>
      <c r="I65" s="28"/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4"/>
      <c r="P65" s="24">
        <v>0</v>
      </c>
      <c r="Q65" s="24"/>
      <c r="R65" s="25">
        <v>35</v>
      </c>
      <c r="S65" s="25">
        <v>28</v>
      </c>
      <c r="T65" s="25">
        <v>1</v>
      </c>
      <c r="U65" s="25">
        <v>0</v>
      </c>
      <c r="V65" s="25">
        <v>36</v>
      </c>
      <c r="W65" s="25">
        <v>8</v>
      </c>
      <c r="X65" s="26">
        <v>0</v>
      </c>
      <c r="Y65" s="26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3</v>
      </c>
      <c r="AE65" s="25">
        <v>4</v>
      </c>
      <c r="AF65" s="25">
        <v>120</v>
      </c>
      <c r="AG65" s="25">
        <v>5</v>
      </c>
      <c r="AH65" s="25">
        <v>26</v>
      </c>
      <c r="AI65" s="25">
        <v>1</v>
      </c>
      <c r="AJ65" s="25">
        <v>4</v>
      </c>
      <c r="AK65" s="25">
        <v>2</v>
      </c>
      <c r="AL65" s="25">
        <v>5</v>
      </c>
      <c r="AM65" s="25">
        <v>74</v>
      </c>
      <c r="AN65" s="25">
        <v>113</v>
      </c>
      <c r="AO65" s="25">
        <v>32</v>
      </c>
      <c r="AP65" s="23">
        <v>0</v>
      </c>
      <c r="AQ65" s="26">
        <v>2.3125</v>
      </c>
      <c r="AR65" s="23">
        <v>47042.1</v>
      </c>
      <c r="AS65" s="23">
        <v>11050</v>
      </c>
      <c r="AT65" s="24"/>
      <c r="AU65" s="23"/>
      <c r="AV65" s="27">
        <v>0</v>
      </c>
      <c r="AW65" s="27">
        <v>275</v>
      </c>
      <c r="AX65" s="42">
        <v>2661.84</v>
      </c>
      <c r="AY65" s="27">
        <v>95</v>
      </c>
      <c r="AZ65" s="27">
        <v>0</v>
      </c>
      <c r="BA65" s="27">
        <v>28</v>
      </c>
      <c r="BB65" s="27">
        <v>8</v>
      </c>
      <c r="BC65" s="29">
        <v>45785</v>
      </c>
      <c r="BD65" s="21"/>
      <c r="BE65" s="3">
        <v>0</v>
      </c>
    </row>
    <row r="66" spans="1:57" ht="15.6">
      <c r="A66" s="2" t="s">
        <v>118</v>
      </c>
      <c r="B66" s="19" t="s">
        <v>362</v>
      </c>
      <c r="C66" s="20" t="s">
        <v>179</v>
      </c>
      <c r="D66" s="21" t="s">
        <v>538</v>
      </c>
      <c r="E66" s="44">
        <v>45047</v>
      </c>
      <c r="F66" s="21" t="s">
        <v>419</v>
      </c>
      <c r="G66" s="23">
        <v>7721539</v>
      </c>
      <c r="H66" s="28">
        <v>31500</v>
      </c>
      <c r="I66" s="28">
        <v>1500000</v>
      </c>
      <c r="J66" s="23">
        <v>0</v>
      </c>
      <c r="K66" s="23">
        <v>9000000</v>
      </c>
      <c r="L66" s="23">
        <v>6760723.0199999996</v>
      </c>
      <c r="M66" s="23">
        <v>0</v>
      </c>
      <c r="N66" s="23">
        <v>6227211</v>
      </c>
      <c r="O66" s="24">
        <v>0.7511914466666666</v>
      </c>
      <c r="P66" s="24">
        <v>0</v>
      </c>
      <c r="Q66" s="24">
        <v>0.69191233333333335</v>
      </c>
      <c r="R66" s="25">
        <v>45</v>
      </c>
      <c r="S66" s="25">
        <v>47</v>
      </c>
      <c r="T66" s="25">
        <v>5</v>
      </c>
      <c r="U66" s="25">
        <v>3</v>
      </c>
      <c r="V66" s="25">
        <v>50</v>
      </c>
      <c r="W66" s="25">
        <v>3</v>
      </c>
      <c r="X66" s="26">
        <v>6336932.5899999999</v>
      </c>
      <c r="Y66" s="26">
        <v>423790.43</v>
      </c>
      <c r="Z66" s="25">
        <v>14</v>
      </c>
      <c r="AA66" s="25">
        <v>3</v>
      </c>
      <c r="AB66" s="25">
        <v>17</v>
      </c>
      <c r="AC66" s="25">
        <v>0</v>
      </c>
      <c r="AD66" s="25">
        <v>52</v>
      </c>
      <c r="AE66" s="25">
        <v>121</v>
      </c>
      <c r="AF66" s="25">
        <v>166</v>
      </c>
      <c r="AG66" s="25">
        <v>2</v>
      </c>
      <c r="AH66" s="25">
        <v>5</v>
      </c>
      <c r="AI66" s="25">
        <v>0</v>
      </c>
      <c r="AJ66" s="25">
        <v>0</v>
      </c>
      <c r="AK66" s="25">
        <v>0</v>
      </c>
      <c r="AL66" s="25">
        <v>0</v>
      </c>
      <c r="AM66" s="25">
        <v>757</v>
      </c>
      <c r="AN66" s="25">
        <v>883</v>
      </c>
      <c r="AO66" s="25">
        <v>148</v>
      </c>
      <c r="AP66" s="23">
        <v>45680.560945945945</v>
      </c>
      <c r="AQ66" s="26">
        <v>5.1148648648648649</v>
      </c>
      <c r="AR66" s="23">
        <v>189000</v>
      </c>
      <c r="AS66" s="23">
        <v>33968</v>
      </c>
      <c r="AT66" s="24">
        <v>3.297990456647934E-2</v>
      </c>
      <c r="AU66" s="23">
        <v>397689.5894117647</v>
      </c>
      <c r="AV66" s="27">
        <v>54</v>
      </c>
      <c r="AW66" s="27">
        <v>1475</v>
      </c>
      <c r="AX66" s="42">
        <v>12908.71</v>
      </c>
      <c r="AY66" s="27">
        <v>275</v>
      </c>
      <c r="AZ66" s="27">
        <v>17</v>
      </c>
      <c r="BA66" s="27">
        <v>30</v>
      </c>
      <c r="BB66" s="27">
        <v>3</v>
      </c>
      <c r="BC66" s="29"/>
      <c r="BD66" s="21"/>
      <c r="BE66" s="3">
        <v>1.4100000001490116</v>
      </c>
    </row>
    <row r="67" spans="1:57" ht="15.6">
      <c r="A67" s="2" t="s">
        <v>118</v>
      </c>
      <c r="B67" s="19" t="s">
        <v>362</v>
      </c>
      <c r="C67" s="20" t="s">
        <v>181</v>
      </c>
      <c r="D67" s="21" t="s">
        <v>538</v>
      </c>
      <c r="E67" s="44">
        <v>45047</v>
      </c>
      <c r="F67" s="21" t="s">
        <v>419</v>
      </c>
      <c r="G67" s="23">
        <v>10161192</v>
      </c>
      <c r="H67" s="28">
        <v>26000</v>
      </c>
      <c r="I67" s="28">
        <v>1500000</v>
      </c>
      <c r="J67" s="23">
        <v>0</v>
      </c>
      <c r="K67" s="23">
        <v>9000000</v>
      </c>
      <c r="L67" s="23">
        <v>6784112.0800000001</v>
      </c>
      <c r="M67" s="23">
        <v>0</v>
      </c>
      <c r="N67" s="23">
        <v>6039867</v>
      </c>
      <c r="O67" s="24">
        <v>0.7537902311111111</v>
      </c>
      <c r="P67" s="24">
        <v>0</v>
      </c>
      <c r="Q67" s="24">
        <v>0.67109633333333329</v>
      </c>
      <c r="R67" s="25">
        <v>48</v>
      </c>
      <c r="S67" s="25">
        <v>38</v>
      </c>
      <c r="T67" s="25">
        <v>5</v>
      </c>
      <c r="U67" s="25">
        <v>2</v>
      </c>
      <c r="V67" s="25">
        <v>53</v>
      </c>
      <c r="W67" s="25">
        <v>15</v>
      </c>
      <c r="X67" s="26">
        <v>6643142.0800000001</v>
      </c>
      <c r="Y67" s="26">
        <v>140970</v>
      </c>
      <c r="Z67" s="25">
        <v>14</v>
      </c>
      <c r="AA67" s="25">
        <v>2</v>
      </c>
      <c r="AB67" s="25">
        <v>16</v>
      </c>
      <c r="AC67" s="25">
        <v>0</v>
      </c>
      <c r="AD67" s="25">
        <v>54</v>
      </c>
      <c r="AE67" s="25">
        <v>93</v>
      </c>
      <c r="AF67" s="25">
        <v>220</v>
      </c>
      <c r="AG67" s="25">
        <v>2</v>
      </c>
      <c r="AH67" s="25">
        <v>4</v>
      </c>
      <c r="AI67" s="25">
        <v>0</v>
      </c>
      <c r="AJ67" s="25">
        <v>0</v>
      </c>
      <c r="AK67" s="25">
        <v>0</v>
      </c>
      <c r="AL67" s="25">
        <v>0</v>
      </c>
      <c r="AM67" s="25">
        <v>548</v>
      </c>
      <c r="AN67" s="25">
        <v>645</v>
      </c>
      <c r="AO67" s="25">
        <v>153</v>
      </c>
      <c r="AP67" s="23">
        <v>44340.60183006536</v>
      </c>
      <c r="AQ67" s="26">
        <v>3.5816993464052289</v>
      </c>
      <c r="AR67" s="23">
        <v>156000</v>
      </c>
      <c r="AS67" s="23">
        <v>33769</v>
      </c>
      <c r="AT67" s="24">
        <v>2.7972562623110438E-2</v>
      </c>
      <c r="AU67" s="23">
        <v>424007.005</v>
      </c>
      <c r="AV67" s="27">
        <v>54</v>
      </c>
      <c r="AW67" s="27">
        <v>1152</v>
      </c>
      <c r="AX67" s="81">
        <v>6978.11</v>
      </c>
      <c r="AY67" s="83">
        <v>184</v>
      </c>
      <c r="AZ67" s="83">
        <v>16</v>
      </c>
      <c r="BA67" s="83">
        <v>22</v>
      </c>
      <c r="BB67" s="83">
        <v>15</v>
      </c>
      <c r="BC67" s="84"/>
      <c r="BD67" s="85"/>
      <c r="BE67" s="3">
        <v>-0.85999999940395355</v>
      </c>
    </row>
    <row r="68" spans="1:57" ht="15.6">
      <c r="A68" s="2" t="s">
        <v>118</v>
      </c>
      <c r="B68" s="19" t="s">
        <v>362</v>
      </c>
      <c r="C68" s="20" t="s">
        <v>184</v>
      </c>
      <c r="D68" s="21" t="s">
        <v>539</v>
      </c>
      <c r="E68" s="44">
        <v>45047</v>
      </c>
      <c r="F68" s="21" t="s">
        <v>419</v>
      </c>
      <c r="G68" s="23">
        <v>26259193</v>
      </c>
      <c r="H68" s="28">
        <v>27260</v>
      </c>
      <c r="I68" s="28">
        <v>3300000</v>
      </c>
      <c r="J68" s="23">
        <v>0</v>
      </c>
      <c r="K68" s="23">
        <v>13200000</v>
      </c>
      <c r="L68" s="23">
        <v>6097041.9199999999</v>
      </c>
      <c r="M68" s="23">
        <v>0</v>
      </c>
      <c r="N68" s="23">
        <v>6203031</v>
      </c>
      <c r="O68" s="24">
        <v>0.46189711515151516</v>
      </c>
      <c r="P68" s="24">
        <v>0</v>
      </c>
      <c r="Q68" s="24">
        <v>0.46992659090909089</v>
      </c>
      <c r="R68" s="25">
        <v>108</v>
      </c>
      <c r="S68" s="25">
        <v>107</v>
      </c>
      <c r="T68" s="25">
        <v>6</v>
      </c>
      <c r="U68" s="25">
        <v>3</v>
      </c>
      <c r="V68" s="25">
        <v>114</v>
      </c>
      <c r="W68" s="25">
        <v>7</v>
      </c>
      <c r="X68" s="26">
        <v>5950781.9000000004</v>
      </c>
      <c r="Y68" s="26">
        <v>146260.01999999999</v>
      </c>
      <c r="Z68" s="25">
        <v>76</v>
      </c>
      <c r="AA68" s="25">
        <v>3</v>
      </c>
      <c r="AB68" s="25">
        <v>79</v>
      </c>
      <c r="AC68" s="25">
        <v>0</v>
      </c>
      <c r="AD68" s="25">
        <v>2</v>
      </c>
      <c r="AE68" s="25">
        <v>5</v>
      </c>
      <c r="AF68" s="25">
        <v>48</v>
      </c>
      <c r="AG68" s="25">
        <v>1</v>
      </c>
      <c r="AH68" s="25">
        <v>15</v>
      </c>
      <c r="AI68" s="25">
        <v>0</v>
      </c>
      <c r="AJ68" s="25">
        <v>0</v>
      </c>
      <c r="AK68" s="25">
        <v>0</v>
      </c>
      <c r="AL68" s="25">
        <v>0</v>
      </c>
      <c r="AM68" s="25">
        <v>518</v>
      </c>
      <c r="AN68" s="25">
        <v>538</v>
      </c>
      <c r="AO68" s="25">
        <v>103</v>
      </c>
      <c r="AP68" s="23">
        <v>59194.581747572818</v>
      </c>
      <c r="AQ68" s="26">
        <v>5.0291262135922334</v>
      </c>
      <c r="AR68" s="23">
        <v>109040</v>
      </c>
      <c r="AS68" s="23">
        <v>29074</v>
      </c>
      <c r="AT68" s="24">
        <v>2.2652624307362479E-2</v>
      </c>
      <c r="AU68" s="23">
        <v>77177.745822784811</v>
      </c>
      <c r="AV68" s="27">
        <v>208</v>
      </c>
      <c r="AW68" s="27">
        <v>1027</v>
      </c>
      <c r="AX68" s="81">
        <v>6261.03</v>
      </c>
      <c r="AY68" s="83">
        <v>59</v>
      </c>
      <c r="AZ68" s="83">
        <v>79</v>
      </c>
      <c r="BA68" s="83">
        <v>28</v>
      </c>
      <c r="BB68" s="83">
        <v>7</v>
      </c>
      <c r="BC68" s="84">
        <v>45869</v>
      </c>
      <c r="BD68" s="85"/>
      <c r="BE68" s="3">
        <v>-0.47999999951571226</v>
      </c>
    </row>
    <row r="69" spans="1:57" ht="13.2">
      <c r="A69" s="2" t="s">
        <v>118</v>
      </c>
      <c r="B69" s="19" t="s">
        <v>362</v>
      </c>
      <c r="C69" s="19" t="s">
        <v>183</v>
      </c>
      <c r="D69" s="21" t="s">
        <v>540</v>
      </c>
      <c r="E69" s="44">
        <v>45048</v>
      </c>
      <c r="F69" s="21" t="s">
        <v>419</v>
      </c>
      <c r="G69" s="23">
        <v>10441561</v>
      </c>
      <c r="H69" s="28">
        <v>26000</v>
      </c>
      <c r="I69" s="28">
        <v>1500000</v>
      </c>
      <c r="J69" s="23">
        <v>0</v>
      </c>
      <c r="K69" s="23">
        <v>9000000</v>
      </c>
      <c r="L69" s="23">
        <v>7585689.3099999996</v>
      </c>
      <c r="M69" s="23">
        <v>0</v>
      </c>
      <c r="N69" s="23">
        <v>9009319</v>
      </c>
      <c r="O69" s="24">
        <v>0.84285436777777778</v>
      </c>
      <c r="P69" s="24">
        <v>0</v>
      </c>
      <c r="Q69" s="24">
        <v>1.0010354444444445</v>
      </c>
      <c r="R69" s="25">
        <v>49</v>
      </c>
      <c r="S69" s="25">
        <v>54</v>
      </c>
      <c r="T69" s="25">
        <v>5</v>
      </c>
      <c r="U69" s="25">
        <v>5</v>
      </c>
      <c r="V69" s="25">
        <v>54</v>
      </c>
      <c r="W69" s="25">
        <v>0</v>
      </c>
      <c r="X69" s="26">
        <v>7042432.3499999996</v>
      </c>
      <c r="Y69" s="26">
        <v>543256.96</v>
      </c>
      <c r="Z69" s="25">
        <v>38</v>
      </c>
      <c r="AA69" s="25">
        <v>5</v>
      </c>
      <c r="AB69" s="25">
        <v>43</v>
      </c>
      <c r="AC69" s="25">
        <v>0</v>
      </c>
      <c r="AD69" s="25">
        <v>0</v>
      </c>
      <c r="AE69" s="25">
        <v>0</v>
      </c>
      <c r="AF69" s="25">
        <v>1</v>
      </c>
      <c r="AG69" s="25">
        <v>3</v>
      </c>
      <c r="AH69" s="25">
        <v>117</v>
      </c>
      <c r="AI69" s="25">
        <v>0</v>
      </c>
      <c r="AJ69" s="25">
        <v>0</v>
      </c>
      <c r="AK69" s="25">
        <v>0</v>
      </c>
      <c r="AL69" s="25">
        <v>0</v>
      </c>
      <c r="AM69" s="25">
        <v>537</v>
      </c>
      <c r="AN69" s="25">
        <v>654</v>
      </c>
      <c r="AO69" s="25">
        <v>142</v>
      </c>
      <c r="AP69" s="23">
        <v>53420.347253521126</v>
      </c>
      <c r="AQ69" s="26">
        <v>3.7816901408450705</v>
      </c>
      <c r="AR69" s="23">
        <v>156000</v>
      </c>
      <c r="AS69" s="23">
        <v>36338</v>
      </c>
      <c r="AT69" s="24">
        <v>2.5355375383809386E-2</v>
      </c>
      <c r="AU69" s="23">
        <v>176411.37930232557</v>
      </c>
      <c r="AV69" s="27">
        <v>163</v>
      </c>
      <c r="AW69" s="27">
        <v>1335</v>
      </c>
      <c r="AX69" s="81">
        <v>8373.9</v>
      </c>
      <c r="AY69" s="83">
        <v>155</v>
      </c>
      <c r="AZ69" s="83">
        <v>43</v>
      </c>
      <c r="BA69" s="83">
        <v>11</v>
      </c>
      <c r="BB69" s="83">
        <v>0</v>
      </c>
      <c r="BC69" s="84"/>
      <c r="BD69" s="85"/>
      <c r="BE69" s="3">
        <v>4.0000000037252903E-2</v>
      </c>
    </row>
    <row r="70" spans="1:57" ht="15.6">
      <c r="A70" s="2" t="s">
        <v>118</v>
      </c>
      <c r="B70" s="19" t="s">
        <v>436</v>
      </c>
      <c r="C70" s="20" t="s">
        <v>178</v>
      </c>
      <c r="D70" s="21" t="s">
        <v>437</v>
      </c>
      <c r="E70" s="44">
        <v>45054</v>
      </c>
      <c r="F70" s="21" t="s">
        <v>499</v>
      </c>
      <c r="G70" s="23">
        <v>5601796</v>
      </c>
      <c r="H70" s="28">
        <v>22300</v>
      </c>
      <c r="I70" s="28"/>
      <c r="J70" s="23">
        <v>0</v>
      </c>
      <c r="K70" s="23">
        <v>0</v>
      </c>
      <c r="L70" s="23">
        <v>490239.23</v>
      </c>
      <c r="M70" s="23">
        <v>0</v>
      </c>
      <c r="N70" s="23">
        <v>314657</v>
      </c>
      <c r="O70" s="24"/>
      <c r="P70" s="24">
        <v>0</v>
      </c>
      <c r="Q70" s="24"/>
      <c r="R70" s="25">
        <v>86</v>
      </c>
      <c r="S70" s="25">
        <v>71</v>
      </c>
      <c r="T70" s="25">
        <v>3</v>
      </c>
      <c r="U70" s="25">
        <v>3</v>
      </c>
      <c r="V70" s="25">
        <v>89</v>
      </c>
      <c r="W70" s="25">
        <v>18</v>
      </c>
      <c r="X70" s="26">
        <v>466978.31</v>
      </c>
      <c r="Y70" s="26">
        <v>23260.92</v>
      </c>
      <c r="Z70" s="25">
        <v>22</v>
      </c>
      <c r="AA70" s="25">
        <v>3</v>
      </c>
      <c r="AB70" s="25">
        <v>25</v>
      </c>
      <c r="AC70" s="25">
        <v>0</v>
      </c>
      <c r="AD70" s="25">
        <v>1</v>
      </c>
      <c r="AE70" s="25">
        <v>1</v>
      </c>
      <c r="AF70" s="25">
        <v>9</v>
      </c>
      <c r="AG70" s="25">
        <v>1</v>
      </c>
      <c r="AH70" s="25">
        <v>2</v>
      </c>
      <c r="AI70" s="25">
        <v>0</v>
      </c>
      <c r="AJ70" s="25">
        <v>0</v>
      </c>
      <c r="AK70" s="25">
        <v>0</v>
      </c>
      <c r="AL70" s="25">
        <v>0</v>
      </c>
      <c r="AM70" s="25">
        <v>241</v>
      </c>
      <c r="AN70" s="25">
        <v>244</v>
      </c>
      <c r="AO70" s="25">
        <v>43</v>
      </c>
      <c r="AP70" s="23">
        <v>11400.912325581396</v>
      </c>
      <c r="AQ70" s="26">
        <v>5.6046511627906979</v>
      </c>
      <c r="AR70" s="23">
        <v>39471</v>
      </c>
      <c r="AS70" s="23">
        <v>31945</v>
      </c>
      <c r="AT70" s="24">
        <v>0.14567581627443402</v>
      </c>
      <c r="AU70" s="23">
        <v>19609.569199999998</v>
      </c>
      <c r="AV70" s="27">
        <v>31</v>
      </c>
      <c r="AW70" s="27">
        <v>431</v>
      </c>
      <c r="AX70" s="81">
        <v>5661.48</v>
      </c>
      <c r="AY70" s="83">
        <v>80</v>
      </c>
      <c r="AZ70" s="83">
        <v>25</v>
      </c>
      <c r="BA70" s="83">
        <v>48</v>
      </c>
      <c r="BB70" s="83">
        <v>16</v>
      </c>
      <c r="BC70" s="84">
        <v>45801</v>
      </c>
      <c r="BD70" s="85"/>
      <c r="BE70" s="3">
        <v>-3.9999999920837581E-2</v>
      </c>
    </row>
    <row r="71" spans="1:57" ht="15.6">
      <c r="A71" s="2" t="s">
        <v>118</v>
      </c>
      <c r="B71" s="19" t="s">
        <v>362</v>
      </c>
      <c r="C71" s="20" t="s">
        <v>186</v>
      </c>
      <c r="D71" s="21" t="s">
        <v>538</v>
      </c>
      <c r="E71" s="44">
        <v>45056</v>
      </c>
      <c r="F71" s="21" t="s">
        <v>419</v>
      </c>
      <c r="G71" s="23">
        <v>10208613</v>
      </c>
      <c r="H71" s="28">
        <v>24850</v>
      </c>
      <c r="I71" s="28">
        <v>1500000</v>
      </c>
      <c r="J71" s="23">
        <v>0</v>
      </c>
      <c r="K71" s="23">
        <v>9000000</v>
      </c>
      <c r="L71" s="23">
        <v>8162637.71</v>
      </c>
      <c r="M71" s="23">
        <v>0</v>
      </c>
      <c r="N71" s="23">
        <v>7639007</v>
      </c>
      <c r="O71" s="24">
        <v>0.90695974555555559</v>
      </c>
      <c r="P71" s="24">
        <v>0</v>
      </c>
      <c r="Q71" s="24">
        <v>0.84877855555555559</v>
      </c>
      <c r="R71" s="25">
        <v>57</v>
      </c>
      <c r="S71" s="25">
        <v>60</v>
      </c>
      <c r="T71" s="25">
        <v>8</v>
      </c>
      <c r="U71" s="25">
        <v>6</v>
      </c>
      <c r="V71" s="25">
        <v>65</v>
      </c>
      <c r="W71" s="25">
        <v>5</v>
      </c>
      <c r="X71" s="26">
        <v>6630746.5800000001</v>
      </c>
      <c r="Y71" s="26">
        <v>1531891.13</v>
      </c>
      <c r="Z71" s="25">
        <v>22</v>
      </c>
      <c r="AA71" s="25">
        <v>6</v>
      </c>
      <c r="AB71" s="25">
        <v>28</v>
      </c>
      <c r="AC71" s="25">
        <v>0</v>
      </c>
      <c r="AD71" s="25">
        <v>110</v>
      </c>
      <c r="AE71" s="25">
        <v>276</v>
      </c>
      <c r="AF71" s="25">
        <v>162</v>
      </c>
      <c r="AG71" s="25">
        <v>2</v>
      </c>
      <c r="AH71" s="25">
        <v>4</v>
      </c>
      <c r="AI71" s="25">
        <v>0</v>
      </c>
      <c r="AJ71" s="25">
        <v>0</v>
      </c>
      <c r="AK71" s="25">
        <v>0</v>
      </c>
      <c r="AL71" s="25">
        <v>0</v>
      </c>
      <c r="AM71" s="25">
        <v>603</v>
      </c>
      <c r="AN71" s="25">
        <v>883</v>
      </c>
      <c r="AO71" s="25">
        <v>143</v>
      </c>
      <c r="AP71" s="23">
        <v>57081.382587412591</v>
      </c>
      <c r="AQ71" s="26">
        <v>4.2167832167832167</v>
      </c>
      <c r="AR71" s="23">
        <v>149100</v>
      </c>
      <c r="AS71" s="23">
        <v>39809</v>
      </c>
      <c r="AT71" s="24">
        <v>2.3143131756119553E-2</v>
      </c>
      <c r="AU71" s="23">
        <v>291522.77535714285</v>
      </c>
      <c r="AV71" s="27">
        <v>72</v>
      </c>
      <c r="AW71" s="27">
        <v>1552</v>
      </c>
      <c r="AX71" s="81">
        <v>9244.17</v>
      </c>
      <c r="AY71" s="83">
        <v>154</v>
      </c>
      <c r="AZ71" s="83">
        <v>28</v>
      </c>
      <c r="BA71" s="83">
        <v>32</v>
      </c>
      <c r="BB71" s="83">
        <v>5</v>
      </c>
      <c r="BC71" s="84"/>
      <c r="BD71" s="85"/>
      <c r="BE71" s="3">
        <v>-6.0000001452863216E-2</v>
      </c>
    </row>
    <row r="72" spans="1:57" ht="15.6">
      <c r="A72" s="2" t="s">
        <v>118</v>
      </c>
      <c r="B72" s="19" t="s">
        <v>372</v>
      </c>
      <c r="C72" s="20" t="s">
        <v>187</v>
      </c>
      <c r="D72" s="21" t="s">
        <v>514</v>
      </c>
      <c r="E72" s="44">
        <v>45058</v>
      </c>
      <c r="F72" s="21" t="s">
        <v>447</v>
      </c>
      <c r="G72" s="23">
        <v>3487336</v>
      </c>
      <c r="H72" s="28">
        <v>30770</v>
      </c>
      <c r="I72" s="28">
        <v>2000000</v>
      </c>
      <c r="J72" s="23">
        <v>0</v>
      </c>
      <c r="K72" s="23">
        <v>12000000</v>
      </c>
      <c r="L72" s="23">
        <v>4258196.0199999996</v>
      </c>
      <c r="M72" s="23">
        <v>0</v>
      </c>
      <c r="N72" s="23">
        <v>8829316.8000000007</v>
      </c>
      <c r="O72" s="24">
        <v>0.35484966833333331</v>
      </c>
      <c r="P72" s="24">
        <v>0</v>
      </c>
      <c r="Q72" s="24">
        <v>0.73577640000000011</v>
      </c>
      <c r="R72" s="25">
        <v>111</v>
      </c>
      <c r="S72" s="25">
        <v>96</v>
      </c>
      <c r="T72" s="25">
        <v>6</v>
      </c>
      <c r="U72" s="25">
        <v>4</v>
      </c>
      <c r="V72" s="25">
        <v>117</v>
      </c>
      <c r="W72" s="25">
        <v>21</v>
      </c>
      <c r="X72" s="26">
        <v>4116976.9</v>
      </c>
      <c r="Y72" s="26">
        <v>141219.12</v>
      </c>
      <c r="Z72" s="25">
        <v>45</v>
      </c>
      <c r="AA72" s="25">
        <v>4</v>
      </c>
      <c r="AB72" s="25">
        <v>49</v>
      </c>
      <c r="AC72" s="25">
        <v>0</v>
      </c>
      <c r="AD72" s="25">
        <v>91</v>
      </c>
      <c r="AE72" s="25">
        <v>118</v>
      </c>
      <c r="AF72" s="25">
        <v>297</v>
      </c>
      <c r="AG72" s="25">
        <v>1</v>
      </c>
      <c r="AH72" s="25">
        <v>73</v>
      </c>
      <c r="AI72" s="25">
        <v>0</v>
      </c>
      <c r="AJ72" s="25">
        <v>0</v>
      </c>
      <c r="AK72" s="25">
        <v>0</v>
      </c>
      <c r="AL72" s="25">
        <v>0</v>
      </c>
      <c r="AM72" s="25">
        <v>422</v>
      </c>
      <c r="AN72" s="25">
        <v>613</v>
      </c>
      <c r="AO72" s="25">
        <v>142</v>
      </c>
      <c r="AP72" s="23">
        <v>29987.295915492956</v>
      </c>
      <c r="AQ72" s="26">
        <v>2.971830985915493</v>
      </c>
      <c r="AR72" s="23">
        <v>184620</v>
      </c>
      <c r="AS72" s="23">
        <v>37403</v>
      </c>
      <c r="AT72" s="24">
        <v>5.2140154881831866E-2</v>
      </c>
      <c r="AU72" s="23">
        <v>86901.959591836727</v>
      </c>
      <c r="AV72" s="27">
        <v>97</v>
      </c>
      <c r="AW72" s="27">
        <v>1387</v>
      </c>
      <c r="AX72" s="81">
        <v>4807.34</v>
      </c>
      <c r="AY72" s="83">
        <v>50</v>
      </c>
      <c r="AZ72" s="83">
        <v>49</v>
      </c>
      <c r="BA72" s="83">
        <v>48</v>
      </c>
      <c r="BB72" s="83">
        <v>20</v>
      </c>
      <c r="BC72" s="84"/>
      <c r="BD72" s="85"/>
      <c r="BE72" s="3">
        <v>0.12999999988824129</v>
      </c>
    </row>
    <row r="73" spans="1:57" ht="15.6">
      <c r="A73" s="2" t="s">
        <v>154</v>
      </c>
      <c r="B73" s="19" t="s">
        <v>370</v>
      </c>
      <c r="C73" s="20" t="s">
        <v>188</v>
      </c>
      <c r="D73" s="21" t="s">
        <v>369</v>
      </c>
      <c r="E73" s="44">
        <v>45061</v>
      </c>
      <c r="F73" s="21" t="s">
        <v>542</v>
      </c>
      <c r="G73" s="23">
        <v>10859936</v>
      </c>
      <c r="H73" s="28">
        <v>40590</v>
      </c>
      <c r="I73" s="28">
        <v>1500000</v>
      </c>
      <c r="J73" s="23">
        <v>0</v>
      </c>
      <c r="K73" s="23">
        <v>8800000</v>
      </c>
      <c r="L73" s="23">
        <v>7324325.21</v>
      </c>
      <c r="M73" s="23">
        <v>0</v>
      </c>
      <c r="N73" s="23">
        <v>8004712</v>
      </c>
      <c r="O73" s="24">
        <v>0.83230968295454544</v>
      </c>
      <c r="P73" s="24">
        <v>0</v>
      </c>
      <c r="Q73" s="24">
        <v>0.90962636363636362</v>
      </c>
      <c r="R73" s="25">
        <v>115</v>
      </c>
      <c r="S73" s="25">
        <v>111</v>
      </c>
      <c r="T73" s="25">
        <v>14</v>
      </c>
      <c r="U73" s="25">
        <v>14</v>
      </c>
      <c r="V73" s="25">
        <v>129</v>
      </c>
      <c r="W73" s="25">
        <v>18</v>
      </c>
      <c r="X73" s="26">
        <v>6440050.0700000003</v>
      </c>
      <c r="Y73" s="26">
        <v>884275.14</v>
      </c>
      <c r="Z73" s="25">
        <v>46</v>
      </c>
      <c r="AA73" s="25">
        <v>14</v>
      </c>
      <c r="AB73" s="25">
        <v>60</v>
      </c>
      <c r="AC73" s="25">
        <v>0</v>
      </c>
      <c r="AD73" s="25">
        <v>125</v>
      </c>
      <c r="AE73" s="25">
        <v>187</v>
      </c>
      <c r="AF73" s="25">
        <v>368</v>
      </c>
      <c r="AG73" s="25">
        <v>3</v>
      </c>
      <c r="AH73" s="25">
        <v>37</v>
      </c>
      <c r="AI73" s="25">
        <v>0</v>
      </c>
      <c r="AJ73" s="25">
        <v>0</v>
      </c>
      <c r="AK73" s="25">
        <v>3</v>
      </c>
      <c r="AL73" s="25">
        <v>10</v>
      </c>
      <c r="AM73" s="25">
        <v>827</v>
      </c>
      <c r="AN73" s="25">
        <v>1061</v>
      </c>
      <c r="AO73" s="25">
        <v>139</v>
      </c>
      <c r="AP73" s="23">
        <v>52692.987122302155</v>
      </c>
      <c r="AQ73" s="26">
        <v>5.9496402877697845</v>
      </c>
      <c r="AR73" s="23">
        <v>243540</v>
      </c>
      <c r="AS73" s="23">
        <v>56596</v>
      </c>
      <c r="AT73" s="24">
        <v>4.0977972904619291E-2</v>
      </c>
      <c r="AU73" s="23">
        <v>122072.08683333333</v>
      </c>
      <c r="AV73" s="27">
        <v>155</v>
      </c>
      <c r="AW73" s="27">
        <v>1527</v>
      </c>
      <c r="AX73" s="81">
        <v>12600.09</v>
      </c>
      <c r="AY73" s="83">
        <v>114</v>
      </c>
      <c r="AZ73" s="83">
        <v>60</v>
      </c>
      <c r="BA73" s="83">
        <v>51</v>
      </c>
      <c r="BB73" s="83">
        <v>18</v>
      </c>
      <c r="BC73" s="99"/>
      <c r="BD73" s="99"/>
      <c r="BE73" s="3">
        <v>0.13999999966472387</v>
      </c>
    </row>
    <row r="74" spans="1:57" ht="15.6">
      <c r="A74" s="2" t="s">
        <v>136</v>
      </c>
      <c r="B74" s="19" t="s">
        <v>653</v>
      </c>
      <c r="C74" s="20" t="s">
        <v>192</v>
      </c>
      <c r="D74" s="21" t="s">
        <v>422</v>
      </c>
      <c r="E74" s="44">
        <v>45068</v>
      </c>
      <c r="F74" s="21" t="s">
        <v>421</v>
      </c>
      <c r="G74" s="23">
        <v>9383403</v>
      </c>
      <c r="H74" s="28">
        <v>31660</v>
      </c>
      <c r="I74" s="28">
        <v>2125000</v>
      </c>
      <c r="J74" s="23">
        <v>750000</v>
      </c>
      <c r="K74" s="23">
        <v>12000000</v>
      </c>
      <c r="L74" s="23">
        <v>3458308.05</v>
      </c>
      <c r="M74" s="23">
        <v>3713626.9</v>
      </c>
      <c r="N74" s="23">
        <v>6934733</v>
      </c>
      <c r="O74" s="24">
        <v>0.56250470196078428</v>
      </c>
      <c r="P74" s="24">
        <v>4.95</v>
      </c>
      <c r="Q74" s="24">
        <v>0.54390062745098045</v>
      </c>
      <c r="R74" s="25">
        <v>48</v>
      </c>
      <c r="S74" s="25">
        <v>38</v>
      </c>
      <c r="T74" s="25">
        <v>0</v>
      </c>
      <c r="U74" s="25">
        <v>0</v>
      </c>
      <c r="V74" s="25">
        <v>48</v>
      </c>
      <c r="W74" s="25">
        <v>10</v>
      </c>
      <c r="X74" s="26">
        <v>3458308.05</v>
      </c>
      <c r="Y74" s="26">
        <v>0</v>
      </c>
      <c r="Z74" s="25">
        <v>23</v>
      </c>
      <c r="AA74" s="25">
        <v>0</v>
      </c>
      <c r="AB74" s="25">
        <v>23</v>
      </c>
      <c r="AC74" s="25">
        <v>9</v>
      </c>
      <c r="AD74" s="25">
        <v>19</v>
      </c>
      <c r="AE74" s="25">
        <v>55</v>
      </c>
      <c r="AF74" s="25">
        <v>133</v>
      </c>
      <c r="AG74" s="25">
        <v>8</v>
      </c>
      <c r="AH74" s="25">
        <v>58</v>
      </c>
      <c r="AI74" s="25">
        <v>11</v>
      </c>
      <c r="AJ74" s="25">
        <v>108</v>
      </c>
      <c r="AK74" s="25">
        <v>7</v>
      </c>
      <c r="AL74" s="25">
        <v>15</v>
      </c>
      <c r="AM74" s="25">
        <v>257</v>
      </c>
      <c r="AN74" s="25">
        <v>493</v>
      </c>
      <c r="AO74" s="25">
        <v>153</v>
      </c>
      <c r="AP74" s="23">
        <v>46875.391830065353</v>
      </c>
      <c r="AQ74" s="26">
        <v>1.6797385620915033</v>
      </c>
      <c r="AR74" s="23">
        <v>189960</v>
      </c>
      <c r="AS74" s="23">
        <v>30670</v>
      </c>
      <c r="AT74" s="24">
        <v>3.0762967251954793E-2</v>
      </c>
      <c r="AU74" s="23">
        <v>150361.21956521738</v>
      </c>
      <c r="AV74" s="27">
        <v>75</v>
      </c>
      <c r="AW74" s="27">
        <v>1245</v>
      </c>
      <c r="AX74" s="81">
        <v>5877.66</v>
      </c>
      <c r="AY74" s="83">
        <v>155</v>
      </c>
      <c r="AZ74" s="83">
        <v>23</v>
      </c>
      <c r="BA74" s="83">
        <v>15</v>
      </c>
      <c r="BB74" s="83">
        <v>10</v>
      </c>
      <c r="BC74" s="99"/>
      <c r="BD74" s="99"/>
      <c r="BE74" s="3">
        <v>0.40234374906867743</v>
      </c>
    </row>
    <row r="75" spans="1:57" ht="15.6">
      <c r="A75" s="2" t="s">
        <v>118</v>
      </c>
      <c r="B75" s="19" t="s">
        <v>362</v>
      </c>
      <c r="C75" s="20" t="s">
        <v>189</v>
      </c>
      <c r="D75" s="21" t="s">
        <v>544</v>
      </c>
      <c r="E75" s="44">
        <v>45069</v>
      </c>
      <c r="F75" s="21" t="s">
        <v>419</v>
      </c>
      <c r="G75" s="23">
        <v>12280918.9</v>
      </c>
      <c r="H75" s="28">
        <v>29042</v>
      </c>
      <c r="I75" s="28">
        <v>1500000</v>
      </c>
      <c r="J75" s="23">
        <v>0</v>
      </c>
      <c r="K75" s="23">
        <v>9000000</v>
      </c>
      <c r="L75" s="23">
        <v>5289049.53</v>
      </c>
      <c r="M75" s="23">
        <v>0</v>
      </c>
      <c r="N75" s="23">
        <v>5458146</v>
      </c>
      <c r="O75" s="24">
        <v>0.58767217000000005</v>
      </c>
      <c r="P75" s="24">
        <v>0</v>
      </c>
      <c r="Q75" s="24">
        <v>0.60646066666666665</v>
      </c>
      <c r="R75" s="25">
        <v>41</v>
      </c>
      <c r="S75" s="25">
        <v>38</v>
      </c>
      <c r="T75" s="25">
        <v>4</v>
      </c>
      <c r="U75" s="25">
        <v>4</v>
      </c>
      <c r="V75" s="25">
        <v>45</v>
      </c>
      <c r="W75" s="25">
        <v>7</v>
      </c>
      <c r="X75" s="26">
        <v>4363896.42</v>
      </c>
      <c r="Y75" s="26">
        <v>925153.11</v>
      </c>
      <c r="Z75" s="25">
        <v>23</v>
      </c>
      <c r="AA75" s="25">
        <v>4</v>
      </c>
      <c r="AB75" s="25">
        <v>27</v>
      </c>
      <c r="AC75" s="25">
        <v>0</v>
      </c>
      <c r="AD75" s="25">
        <v>23</v>
      </c>
      <c r="AE75" s="25">
        <v>70</v>
      </c>
      <c r="AF75" s="25">
        <v>74</v>
      </c>
      <c r="AG75" s="25">
        <v>2</v>
      </c>
      <c r="AH75" s="25">
        <v>10</v>
      </c>
      <c r="AI75" s="25">
        <v>0</v>
      </c>
      <c r="AJ75" s="25">
        <v>0</v>
      </c>
      <c r="AK75" s="25">
        <v>0</v>
      </c>
      <c r="AL75" s="25">
        <v>0</v>
      </c>
      <c r="AM75" s="25">
        <v>655</v>
      </c>
      <c r="AN75" s="25">
        <v>735</v>
      </c>
      <c r="AO75" s="25">
        <v>150</v>
      </c>
      <c r="AP75" s="23">
        <v>35260.330200000004</v>
      </c>
      <c r="AQ75" s="26">
        <v>4.3666666666666663</v>
      </c>
      <c r="AR75" s="23">
        <v>174252</v>
      </c>
      <c r="AS75" s="23">
        <v>26330</v>
      </c>
      <c r="AT75" s="24">
        <v>3.7924016188972988E-2</v>
      </c>
      <c r="AU75" s="23">
        <v>195890.72333333336</v>
      </c>
      <c r="AV75" s="27">
        <v>103</v>
      </c>
      <c r="AW75" s="27">
        <v>1665</v>
      </c>
      <c r="AX75" s="81">
        <v>8305.39</v>
      </c>
      <c r="AY75" s="83">
        <v>219</v>
      </c>
      <c r="AZ75" s="83">
        <v>27</v>
      </c>
      <c r="BA75" s="83">
        <v>11</v>
      </c>
      <c r="BB75" s="83">
        <v>7</v>
      </c>
      <c r="BC75" s="99"/>
      <c r="BD75" s="99"/>
      <c r="BE75" s="3">
        <v>-0.80999999959021807</v>
      </c>
    </row>
    <row r="76" spans="1:57" ht="15.6">
      <c r="A76" s="2" t="s">
        <v>118</v>
      </c>
      <c r="B76" s="19" t="s">
        <v>362</v>
      </c>
      <c r="C76" s="20" t="s">
        <v>190</v>
      </c>
      <c r="D76" s="21" t="s">
        <v>539</v>
      </c>
      <c r="E76" s="44">
        <v>45069</v>
      </c>
      <c r="F76" s="21" t="s">
        <v>419</v>
      </c>
      <c r="G76" s="23">
        <v>16611055.629999999</v>
      </c>
      <c r="H76" s="28">
        <v>25212</v>
      </c>
      <c r="I76" s="28">
        <v>1500000</v>
      </c>
      <c r="J76" s="23">
        <v>0</v>
      </c>
      <c r="K76" s="23">
        <v>9000000</v>
      </c>
      <c r="L76" s="23">
        <v>7877592.21</v>
      </c>
      <c r="M76" s="23">
        <v>0</v>
      </c>
      <c r="N76" s="23">
        <v>8241696</v>
      </c>
      <c r="O76" s="24">
        <v>0.87528802333333333</v>
      </c>
      <c r="P76" s="24">
        <v>0</v>
      </c>
      <c r="Q76" s="24">
        <v>0.915744</v>
      </c>
      <c r="R76" s="25">
        <v>122</v>
      </c>
      <c r="S76" s="25">
        <v>111</v>
      </c>
      <c r="T76" s="25">
        <v>6</v>
      </c>
      <c r="U76" s="25">
        <v>2</v>
      </c>
      <c r="V76" s="25">
        <v>128</v>
      </c>
      <c r="W76" s="25">
        <v>17</v>
      </c>
      <c r="X76" s="26">
        <v>7806762.71</v>
      </c>
      <c r="Y76" s="26">
        <v>70829.5</v>
      </c>
      <c r="Z76" s="25">
        <v>95</v>
      </c>
      <c r="AA76" s="25">
        <v>2</v>
      </c>
      <c r="AB76" s="25">
        <v>97</v>
      </c>
      <c r="AC76" s="25">
        <v>0</v>
      </c>
      <c r="AD76" s="25">
        <v>3</v>
      </c>
      <c r="AE76" s="25">
        <v>3</v>
      </c>
      <c r="AF76" s="25">
        <v>71</v>
      </c>
      <c r="AG76" s="25">
        <v>1</v>
      </c>
      <c r="AH76" s="25">
        <v>28</v>
      </c>
      <c r="AI76" s="25">
        <v>0</v>
      </c>
      <c r="AJ76" s="25">
        <v>0</v>
      </c>
      <c r="AK76" s="25">
        <v>0</v>
      </c>
      <c r="AL76" s="25">
        <v>0</v>
      </c>
      <c r="AM76" s="25">
        <v>782</v>
      </c>
      <c r="AN76" s="25">
        <v>813</v>
      </c>
      <c r="AO76" s="25">
        <v>148</v>
      </c>
      <c r="AP76" s="23">
        <v>53226.97439189189</v>
      </c>
      <c r="AQ76" s="26">
        <v>5.2837837837837842</v>
      </c>
      <c r="AR76" s="23">
        <v>151272</v>
      </c>
      <c r="AS76" s="23">
        <v>15970</v>
      </c>
      <c r="AT76" s="24">
        <v>2.1230091066112702E-2</v>
      </c>
      <c r="AU76" s="23">
        <v>81212.290824742275</v>
      </c>
      <c r="AV76" s="27">
        <v>299</v>
      </c>
      <c r="AW76" s="27">
        <v>1594</v>
      </c>
      <c r="AX76" s="81">
        <v>8862.31</v>
      </c>
      <c r="AY76" s="83">
        <v>80</v>
      </c>
      <c r="AZ76" s="83">
        <v>97</v>
      </c>
      <c r="BA76" s="83">
        <v>17</v>
      </c>
      <c r="BB76" s="83">
        <v>14</v>
      </c>
      <c r="BC76" s="99"/>
      <c r="BD76" s="99"/>
      <c r="BE76" s="3">
        <v>-0.11921874992549419</v>
      </c>
    </row>
    <row r="77" spans="1:57" ht="15.6">
      <c r="A77" s="2" t="s">
        <v>119</v>
      </c>
      <c r="B77" s="19" t="s">
        <v>375</v>
      </c>
      <c r="C77" s="20" t="s">
        <v>191</v>
      </c>
      <c r="D77" s="21" t="s">
        <v>545</v>
      </c>
      <c r="E77" s="44">
        <v>45071</v>
      </c>
      <c r="F77" s="21" t="s">
        <v>473</v>
      </c>
      <c r="G77" s="23">
        <v>3069474</v>
      </c>
      <c r="H77" s="28">
        <v>24167</v>
      </c>
      <c r="I77" s="28">
        <v>1200000</v>
      </c>
      <c r="J77" s="23">
        <v>0</v>
      </c>
      <c r="K77" s="23">
        <v>2400000</v>
      </c>
      <c r="L77" s="23">
        <v>606786.61</v>
      </c>
      <c r="M77" s="23">
        <v>0</v>
      </c>
      <c r="N77" s="23">
        <v>0</v>
      </c>
      <c r="O77" s="24">
        <v>0.25282775416666664</v>
      </c>
      <c r="P77" s="24">
        <v>0</v>
      </c>
      <c r="Q77" s="24">
        <v>0</v>
      </c>
      <c r="R77" s="25">
        <v>56</v>
      </c>
      <c r="S77" s="25">
        <v>55</v>
      </c>
      <c r="T77" s="25">
        <v>2</v>
      </c>
      <c r="U77" s="25">
        <v>1</v>
      </c>
      <c r="V77" s="25">
        <v>58</v>
      </c>
      <c r="W77" s="25">
        <v>3</v>
      </c>
      <c r="X77" s="26">
        <v>581284.21</v>
      </c>
      <c r="Y77" s="26">
        <v>25502.400000000001</v>
      </c>
      <c r="Z77" s="25">
        <v>21</v>
      </c>
      <c r="AA77" s="25">
        <v>1</v>
      </c>
      <c r="AB77" s="25">
        <v>22</v>
      </c>
      <c r="AC77" s="25">
        <v>0</v>
      </c>
      <c r="AD77" s="25">
        <v>32</v>
      </c>
      <c r="AE77" s="25">
        <v>44</v>
      </c>
      <c r="AF77" s="25">
        <v>185</v>
      </c>
      <c r="AG77" s="25">
        <v>1</v>
      </c>
      <c r="AH77" s="25">
        <v>1</v>
      </c>
      <c r="AI77" s="25">
        <v>0</v>
      </c>
      <c r="AJ77" s="25">
        <v>0</v>
      </c>
      <c r="AK77" s="25">
        <v>0</v>
      </c>
      <c r="AL77" s="25">
        <v>0</v>
      </c>
      <c r="AM77" s="25">
        <v>221</v>
      </c>
      <c r="AN77" s="25">
        <v>266</v>
      </c>
      <c r="AO77" s="25">
        <v>49</v>
      </c>
      <c r="AP77" s="23">
        <v>12383.400204081632</v>
      </c>
      <c r="AQ77" s="26">
        <v>4.5102040816326534</v>
      </c>
      <c r="AR77" s="23">
        <v>48334</v>
      </c>
      <c r="AS77" s="23">
        <v>27708</v>
      </c>
      <c r="AT77" s="24">
        <v>0.12531917934049336</v>
      </c>
      <c r="AU77" s="23">
        <v>27581.209545454545</v>
      </c>
      <c r="AV77" s="27">
        <v>31</v>
      </c>
      <c r="AW77" s="27">
        <v>400</v>
      </c>
      <c r="AX77" s="81">
        <v>3724</v>
      </c>
      <c r="AY77" s="83">
        <v>68</v>
      </c>
      <c r="AZ77" s="83">
        <v>22</v>
      </c>
      <c r="BA77" s="83">
        <v>33</v>
      </c>
      <c r="BB77" s="83">
        <v>3</v>
      </c>
      <c r="BC77" s="99">
        <v>45808</v>
      </c>
      <c r="BD77" s="99"/>
      <c r="BE77" s="3">
        <v>-9.9999998928979039E-3</v>
      </c>
    </row>
    <row r="78" spans="1:57" ht="15.6">
      <c r="A78" s="2" t="s">
        <v>154</v>
      </c>
      <c r="B78" s="19" t="s">
        <v>370</v>
      </c>
      <c r="C78" s="20" t="s">
        <v>193</v>
      </c>
      <c r="D78" s="21" t="s">
        <v>369</v>
      </c>
      <c r="E78" s="44">
        <v>45079</v>
      </c>
      <c r="F78" s="21" t="s">
        <v>542</v>
      </c>
      <c r="G78" s="23">
        <v>6258334</v>
      </c>
      <c r="H78" s="28">
        <v>24085</v>
      </c>
      <c r="I78" s="28"/>
      <c r="J78" s="23">
        <v>0</v>
      </c>
      <c r="K78" s="23">
        <v>0</v>
      </c>
      <c r="L78" s="23">
        <v>301773.34999999998</v>
      </c>
      <c r="M78" s="23">
        <v>0</v>
      </c>
      <c r="N78" s="23">
        <v>0</v>
      </c>
      <c r="O78" s="24"/>
      <c r="P78" s="24">
        <v>0</v>
      </c>
      <c r="Q78" s="24"/>
      <c r="R78" s="25">
        <v>94</v>
      </c>
      <c r="S78" s="25">
        <v>71</v>
      </c>
      <c r="T78" s="25">
        <v>7</v>
      </c>
      <c r="U78" s="25">
        <v>1</v>
      </c>
      <c r="V78" s="25">
        <v>101</v>
      </c>
      <c r="W78" s="25">
        <v>30</v>
      </c>
      <c r="X78" s="26">
        <v>284357.99</v>
      </c>
      <c r="Y78" s="26">
        <v>17415.36</v>
      </c>
      <c r="Z78" s="25">
        <v>30</v>
      </c>
      <c r="AA78" s="25">
        <v>1</v>
      </c>
      <c r="AB78" s="25">
        <v>31</v>
      </c>
      <c r="AC78" s="25">
        <v>0</v>
      </c>
      <c r="AD78" s="25">
        <v>107</v>
      </c>
      <c r="AE78" s="25">
        <v>116</v>
      </c>
      <c r="AF78" s="25">
        <v>514</v>
      </c>
      <c r="AG78" s="25">
        <v>3</v>
      </c>
      <c r="AH78" s="25">
        <v>12</v>
      </c>
      <c r="AI78" s="25">
        <v>0</v>
      </c>
      <c r="AJ78" s="25">
        <v>0</v>
      </c>
      <c r="AK78" s="25">
        <v>1</v>
      </c>
      <c r="AL78" s="25">
        <v>1</v>
      </c>
      <c r="AM78" s="25">
        <v>127</v>
      </c>
      <c r="AN78" s="25">
        <v>256</v>
      </c>
      <c r="AO78" s="25">
        <v>37</v>
      </c>
      <c r="AP78" s="23">
        <v>8156.036486486486</v>
      </c>
      <c r="AQ78" s="26">
        <v>3.4324324324324325</v>
      </c>
      <c r="AR78" s="23">
        <v>37331.75</v>
      </c>
      <c r="AS78" s="23">
        <v>24883</v>
      </c>
      <c r="AT78" s="24">
        <v>0.20616383123294355</v>
      </c>
      <c r="AU78" s="23">
        <v>9734.6241935483868</v>
      </c>
      <c r="AV78" s="27">
        <v>35</v>
      </c>
      <c r="AW78" s="27">
        <v>441</v>
      </c>
      <c r="AX78" s="81">
        <v>3921.81</v>
      </c>
      <c r="AY78" s="83">
        <v>55</v>
      </c>
      <c r="AZ78" s="83">
        <v>31</v>
      </c>
      <c r="BA78" s="83">
        <v>43</v>
      </c>
      <c r="BB78" s="83">
        <v>27</v>
      </c>
      <c r="BC78" s="99">
        <v>45794</v>
      </c>
      <c r="BD78" s="99"/>
      <c r="BE78" s="3">
        <v>9.9999999976716936E-2</v>
      </c>
    </row>
    <row r="79" spans="1:57" ht="15.6">
      <c r="A79" s="2" t="s">
        <v>201</v>
      </c>
      <c r="B79" s="19" t="s">
        <v>431</v>
      </c>
      <c r="C79" s="20" t="s">
        <v>195</v>
      </c>
      <c r="D79" s="21" t="s">
        <v>541</v>
      </c>
      <c r="E79" s="44">
        <v>45080</v>
      </c>
      <c r="F79" s="21" t="s">
        <v>431</v>
      </c>
      <c r="G79" s="23">
        <v>17874712</v>
      </c>
      <c r="H79" s="28">
        <v>57990</v>
      </c>
      <c r="I79" s="28">
        <v>2500000</v>
      </c>
      <c r="J79" s="23">
        <v>2400000</v>
      </c>
      <c r="K79" s="23">
        <v>12600000</v>
      </c>
      <c r="L79" s="23">
        <v>7899784.4800000004</v>
      </c>
      <c r="M79" s="23">
        <v>3105990.45</v>
      </c>
      <c r="N79" s="23">
        <v>9689750</v>
      </c>
      <c r="O79" s="24">
        <v>0.73371832866666664</v>
      </c>
      <c r="P79" s="24">
        <v>1.29</v>
      </c>
      <c r="Q79" s="24">
        <v>0.64598333333333335</v>
      </c>
      <c r="R79" s="25">
        <v>119</v>
      </c>
      <c r="S79" s="25">
        <v>108</v>
      </c>
      <c r="T79" s="25">
        <v>9</v>
      </c>
      <c r="U79" s="25">
        <v>7</v>
      </c>
      <c r="V79" s="25">
        <v>128</v>
      </c>
      <c r="W79" s="25">
        <v>20</v>
      </c>
      <c r="X79" s="26">
        <v>7018522.2000000002</v>
      </c>
      <c r="Y79" s="26">
        <v>881262.28</v>
      </c>
      <c r="Z79" s="25">
        <v>44</v>
      </c>
      <c r="AA79" s="25">
        <v>7</v>
      </c>
      <c r="AB79" s="25">
        <v>51</v>
      </c>
      <c r="AC79" s="25">
        <v>8</v>
      </c>
      <c r="AD79" s="25">
        <v>94</v>
      </c>
      <c r="AE79" s="25">
        <v>160</v>
      </c>
      <c r="AF79" s="25">
        <v>214</v>
      </c>
      <c r="AG79" s="25">
        <v>4</v>
      </c>
      <c r="AH79" s="25">
        <v>60</v>
      </c>
      <c r="AI79" s="25">
        <v>9</v>
      </c>
      <c r="AJ79" s="25">
        <v>70</v>
      </c>
      <c r="AK79" s="25">
        <v>0</v>
      </c>
      <c r="AL79" s="25">
        <v>0</v>
      </c>
      <c r="AM79" s="25">
        <v>659</v>
      </c>
      <c r="AN79" s="25">
        <v>949</v>
      </c>
      <c r="AO79" s="25">
        <v>150</v>
      </c>
      <c r="AP79" s="23">
        <v>73371.832866666664</v>
      </c>
      <c r="AQ79" s="26">
        <v>4.3933333333333335</v>
      </c>
      <c r="AR79" s="23">
        <v>347940</v>
      </c>
      <c r="AS79" s="23">
        <v>53892</v>
      </c>
      <c r="AT79" s="24">
        <v>3.6511013768296276E-2</v>
      </c>
      <c r="AU79" s="23">
        <v>154897.73490196079</v>
      </c>
      <c r="AV79" s="27">
        <v>146</v>
      </c>
      <c r="AW79" s="27">
        <v>1611</v>
      </c>
      <c r="AX79" s="81">
        <v>11242.57</v>
      </c>
      <c r="AY79" s="83">
        <v>104</v>
      </c>
      <c r="AZ79" s="83">
        <v>51</v>
      </c>
      <c r="BA79" s="83">
        <v>59</v>
      </c>
      <c r="BB79" s="83">
        <v>18</v>
      </c>
      <c r="BC79" s="99"/>
      <c r="BD79" s="99"/>
      <c r="BE79" s="3">
        <v>-0.43000000156462193</v>
      </c>
    </row>
    <row r="80" spans="1:57" ht="15.6">
      <c r="A80" s="2" t="s">
        <v>118</v>
      </c>
      <c r="B80" s="19" t="s">
        <v>362</v>
      </c>
      <c r="C80" s="20" t="s">
        <v>197</v>
      </c>
      <c r="D80" s="21" t="s">
        <v>547</v>
      </c>
      <c r="E80" s="44">
        <v>45084</v>
      </c>
      <c r="F80" s="21" t="s">
        <v>419</v>
      </c>
      <c r="G80" s="23">
        <v>7732005</v>
      </c>
      <c r="H80" s="28">
        <v>25850</v>
      </c>
      <c r="I80" s="28">
        <v>2500000</v>
      </c>
      <c r="J80" s="23">
        <v>0</v>
      </c>
      <c r="K80" s="23">
        <v>10000000</v>
      </c>
      <c r="L80" s="23">
        <v>2069428.86</v>
      </c>
      <c r="M80" s="23">
        <v>0</v>
      </c>
      <c r="N80" s="23">
        <v>2835805</v>
      </c>
      <c r="O80" s="24">
        <v>0.20694288600000002</v>
      </c>
      <c r="P80" s="24">
        <v>0</v>
      </c>
      <c r="Q80" s="24">
        <v>0.28358050000000001</v>
      </c>
      <c r="R80" s="25">
        <v>80</v>
      </c>
      <c r="S80" s="25">
        <v>81</v>
      </c>
      <c r="T80" s="25">
        <v>11</v>
      </c>
      <c r="U80" s="25">
        <v>3</v>
      </c>
      <c r="V80" s="25">
        <v>91</v>
      </c>
      <c r="W80" s="25">
        <v>10</v>
      </c>
      <c r="X80" s="26">
        <v>1755462.62</v>
      </c>
      <c r="Y80" s="26">
        <v>313966.24</v>
      </c>
      <c r="Z80" s="25">
        <v>19</v>
      </c>
      <c r="AA80" s="25">
        <v>3</v>
      </c>
      <c r="AB80" s="25">
        <v>22</v>
      </c>
      <c r="AC80" s="25">
        <v>0</v>
      </c>
      <c r="AD80" s="25">
        <v>40</v>
      </c>
      <c r="AE80" s="25">
        <v>72</v>
      </c>
      <c r="AF80" s="25">
        <v>143</v>
      </c>
      <c r="AG80" s="25">
        <v>2</v>
      </c>
      <c r="AH80" s="25">
        <v>10</v>
      </c>
      <c r="AI80" s="25">
        <v>0</v>
      </c>
      <c r="AJ80" s="25">
        <v>0</v>
      </c>
      <c r="AK80" s="25">
        <v>0</v>
      </c>
      <c r="AL80" s="25">
        <v>0</v>
      </c>
      <c r="AM80" s="25">
        <v>305</v>
      </c>
      <c r="AN80" s="25">
        <v>387</v>
      </c>
      <c r="AO80" s="25">
        <v>69</v>
      </c>
      <c r="AP80" s="23">
        <v>29991.722608695654</v>
      </c>
      <c r="AQ80" s="26">
        <v>4.4202898550724639</v>
      </c>
      <c r="AR80" s="23">
        <v>103400</v>
      </c>
      <c r="AS80" s="23">
        <v>9300</v>
      </c>
      <c r="AT80" s="24">
        <v>5.4459470522702579E-2</v>
      </c>
      <c r="AU80" s="23">
        <v>94064.948181818181</v>
      </c>
      <c r="AV80" s="27">
        <v>35</v>
      </c>
      <c r="AW80" s="27">
        <v>564</v>
      </c>
      <c r="AX80" s="81">
        <v>7454.25</v>
      </c>
      <c r="AY80" s="83">
        <v>92</v>
      </c>
      <c r="AZ80" s="83">
        <v>22</v>
      </c>
      <c r="BA80" s="83">
        <v>59</v>
      </c>
      <c r="BB80" s="83">
        <v>10</v>
      </c>
      <c r="BC80" s="99">
        <v>45869</v>
      </c>
      <c r="BD80" s="99"/>
      <c r="BE80" s="3">
        <v>0.11000000010244548</v>
      </c>
    </row>
    <row r="81" spans="1:57" ht="15.6">
      <c r="A81" s="2" t="s">
        <v>118</v>
      </c>
      <c r="B81" s="19" t="s">
        <v>484</v>
      </c>
      <c r="C81" s="20" t="s">
        <v>199</v>
      </c>
      <c r="D81" s="21" t="s">
        <v>549</v>
      </c>
      <c r="E81" s="44">
        <v>45108</v>
      </c>
      <c r="F81" s="21" t="s">
        <v>548</v>
      </c>
      <c r="G81" s="23">
        <v>10769962</v>
      </c>
      <c r="H81" s="28">
        <v>27680</v>
      </c>
      <c r="I81" s="28">
        <v>1500000</v>
      </c>
      <c r="J81" s="23">
        <v>0</v>
      </c>
      <c r="K81" s="23">
        <v>9000000</v>
      </c>
      <c r="L81" s="23">
        <v>8202432.8499999996</v>
      </c>
      <c r="M81" s="23">
        <v>0</v>
      </c>
      <c r="N81" s="23">
        <v>6842178</v>
      </c>
      <c r="O81" s="24">
        <v>0.91138142777777775</v>
      </c>
      <c r="P81" s="24">
        <v>0</v>
      </c>
      <c r="Q81" s="24">
        <v>0.76024199999999997</v>
      </c>
      <c r="R81" s="25">
        <v>62</v>
      </c>
      <c r="S81" s="25">
        <v>70</v>
      </c>
      <c r="T81" s="25">
        <v>10</v>
      </c>
      <c r="U81" s="25">
        <v>10</v>
      </c>
      <c r="V81" s="25">
        <v>72</v>
      </c>
      <c r="W81" s="25">
        <v>2</v>
      </c>
      <c r="X81" s="26">
        <v>6257358.8600000003</v>
      </c>
      <c r="Y81" s="26">
        <v>1945073.99</v>
      </c>
      <c r="Z81" s="25">
        <v>33</v>
      </c>
      <c r="AA81" s="25">
        <v>10</v>
      </c>
      <c r="AB81" s="25">
        <v>43</v>
      </c>
      <c r="AC81" s="25">
        <v>0</v>
      </c>
      <c r="AD81" s="25">
        <v>90</v>
      </c>
      <c r="AE81" s="25">
        <v>186</v>
      </c>
      <c r="AF81" s="25">
        <v>215</v>
      </c>
      <c r="AG81" s="25">
        <v>1</v>
      </c>
      <c r="AH81" s="25">
        <v>1</v>
      </c>
      <c r="AI81" s="25">
        <v>0</v>
      </c>
      <c r="AJ81" s="25">
        <v>0</v>
      </c>
      <c r="AK81" s="25">
        <v>0</v>
      </c>
      <c r="AL81" s="25">
        <v>0</v>
      </c>
      <c r="AM81" s="25">
        <v>686</v>
      </c>
      <c r="AN81" s="25">
        <v>873</v>
      </c>
      <c r="AO81" s="25">
        <v>151</v>
      </c>
      <c r="AP81" s="23">
        <v>54320.747350993377</v>
      </c>
      <c r="AQ81" s="26">
        <v>4.5430463576158937</v>
      </c>
      <c r="AR81" s="23">
        <v>166080</v>
      </c>
      <c r="AS81" s="23">
        <v>47597</v>
      </c>
      <c r="AT81" s="24">
        <v>2.6050441851529452E-2</v>
      </c>
      <c r="AU81" s="23">
        <v>190754.25232558139</v>
      </c>
      <c r="AV81" s="27">
        <v>83</v>
      </c>
      <c r="AW81" s="27">
        <v>1637</v>
      </c>
      <c r="AX81" s="81">
        <v>14525.5</v>
      </c>
      <c r="AY81" s="83">
        <v>208</v>
      </c>
      <c r="AZ81" s="83">
        <v>43</v>
      </c>
      <c r="BA81" s="83">
        <v>29</v>
      </c>
      <c r="BB81" s="83">
        <v>0</v>
      </c>
      <c r="BC81" s="99"/>
      <c r="BD81" s="99"/>
      <c r="BE81" s="3">
        <v>-1.2399999983608723</v>
      </c>
    </row>
    <row r="82" spans="1:57" ht="15.6">
      <c r="A82" s="2" t="s">
        <v>118</v>
      </c>
      <c r="B82" s="19" t="s">
        <v>362</v>
      </c>
      <c r="C82" s="20" t="s">
        <v>200</v>
      </c>
      <c r="D82" s="21" t="s">
        <v>551</v>
      </c>
      <c r="E82" s="44">
        <v>45108</v>
      </c>
      <c r="F82" s="21" t="s">
        <v>419</v>
      </c>
      <c r="G82" s="23">
        <v>16550810.310000001</v>
      </c>
      <c r="H82" s="28">
        <v>20520</v>
      </c>
      <c r="I82" s="28">
        <v>4000000</v>
      </c>
      <c r="J82" s="23">
        <v>0</v>
      </c>
      <c r="K82" s="23">
        <v>24000000</v>
      </c>
      <c r="L82" s="23">
        <v>19034267.850000001</v>
      </c>
      <c r="M82" s="23">
        <v>0</v>
      </c>
      <c r="N82" s="23">
        <v>15305384</v>
      </c>
      <c r="O82" s="24">
        <v>0.79309449375000007</v>
      </c>
      <c r="P82" s="24">
        <v>0</v>
      </c>
      <c r="Q82" s="24">
        <v>0.63772433333333334</v>
      </c>
      <c r="R82" s="25">
        <v>137</v>
      </c>
      <c r="S82" s="25">
        <v>84</v>
      </c>
      <c r="T82" s="25">
        <v>10</v>
      </c>
      <c r="U82" s="25">
        <v>7</v>
      </c>
      <c r="V82" s="25">
        <v>147</v>
      </c>
      <c r="W82" s="25">
        <v>63</v>
      </c>
      <c r="X82" s="26">
        <v>17535211.609999999</v>
      </c>
      <c r="Y82" s="26">
        <v>1499056.24</v>
      </c>
      <c r="Z82" s="25">
        <v>43</v>
      </c>
      <c r="AA82" s="25">
        <v>7</v>
      </c>
      <c r="AB82" s="25">
        <v>50</v>
      </c>
      <c r="AC82" s="25">
        <v>0</v>
      </c>
      <c r="AD82" s="25">
        <v>3</v>
      </c>
      <c r="AE82" s="25">
        <v>5</v>
      </c>
      <c r="AF82" s="25">
        <v>67</v>
      </c>
      <c r="AG82" s="25">
        <v>2</v>
      </c>
      <c r="AH82" s="25">
        <v>31</v>
      </c>
      <c r="AI82" s="25">
        <v>0</v>
      </c>
      <c r="AJ82" s="25">
        <v>0</v>
      </c>
      <c r="AK82" s="25">
        <v>0</v>
      </c>
      <c r="AL82" s="25">
        <v>0</v>
      </c>
      <c r="AM82" s="25">
        <v>745</v>
      </c>
      <c r="AN82" s="25">
        <v>781</v>
      </c>
      <c r="AO82" s="25">
        <v>149</v>
      </c>
      <c r="AP82" s="23">
        <v>127746.76409395975</v>
      </c>
      <c r="AQ82" s="26">
        <v>5</v>
      </c>
      <c r="AR82" s="23">
        <v>123120</v>
      </c>
      <c r="AS82" s="23">
        <v>30786</v>
      </c>
      <c r="AT82" s="24">
        <v>8.0857325962238151E-3</v>
      </c>
      <c r="AU82" s="23">
        <v>380685.35700000002</v>
      </c>
      <c r="AV82" s="27">
        <v>144</v>
      </c>
      <c r="AW82" s="27">
        <v>1508</v>
      </c>
      <c r="AX82" s="81">
        <v>5948.64</v>
      </c>
      <c r="AY82" s="83">
        <v>71</v>
      </c>
      <c r="AZ82" s="83">
        <v>50</v>
      </c>
      <c r="BA82" s="83">
        <v>34</v>
      </c>
      <c r="BB82" s="83">
        <v>63</v>
      </c>
      <c r="BC82" s="99"/>
      <c r="BD82" s="99"/>
      <c r="BE82" s="3">
        <v>2.6999999955296516</v>
      </c>
    </row>
    <row r="83" spans="1:57" ht="15.6">
      <c r="A83" s="2" t="s">
        <v>118</v>
      </c>
      <c r="B83" s="19" t="s">
        <v>362</v>
      </c>
      <c r="C83" s="20" t="s">
        <v>202</v>
      </c>
      <c r="D83" s="21" t="s">
        <v>490</v>
      </c>
      <c r="E83" s="44">
        <v>45117</v>
      </c>
      <c r="F83" s="21" t="s">
        <v>419</v>
      </c>
      <c r="G83" s="23">
        <v>13630333</v>
      </c>
      <c r="H83" s="28">
        <v>24356</v>
      </c>
      <c r="I83" s="28">
        <v>1500000</v>
      </c>
      <c r="J83" s="23">
        <v>0</v>
      </c>
      <c r="K83" s="23">
        <v>9000000</v>
      </c>
      <c r="L83" s="23">
        <v>6319929.9699999997</v>
      </c>
      <c r="M83" s="23">
        <v>0</v>
      </c>
      <c r="N83" s="23">
        <v>5923663</v>
      </c>
      <c r="O83" s="24">
        <v>0.70221444111111109</v>
      </c>
      <c r="P83" s="24">
        <v>0</v>
      </c>
      <c r="Q83" s="24">
        <v>0.65818477777777773</v>
      </c>
      <c r="R83" s="25">
        <v>58</v>
      </c>
      <c r="S83" s="25">
        <v>55</v>
      </c>
      <c r="T83" s="25">
        <v>12</v>
      </c>
      <c r="U83" s="25">
        <v>12</v>
      </c>
      <c r="V83" s="25">
        <v>70</v>
      </c>
      <c r="W83" s="25">
        <v>15</v>
      </c>
      <c r="X83" s="26">
        <v>5057477.38</v>
      </c>
      <c r="Y83" s="26">
        <v>1262452.5900000001</v>
      </c>
      <c r="Z83" s="25">
        <v>27</v>
      </c>
      <c r="AA83" s="25">
        <v>12</v>
      </c>
      <c r="AB83" s="25">
        <v>39</v>
      </c>
      <c r="AC83" s="25">
        <v>0</v>
      </c>
      <c r="AD83" s="25">
        <v>14</v>
      </c>
      <c r="AE83" s="25">
        <v>50</v>
      </c>
      <c r="AF83" s="25">
        <v>58</v>
      </c>
      <c r="AG83" s="25">
        <v>2</v>
      </c>
      <c r="AH83" s="25">
        <v>21</v>
      </c>
      <c r="AI83" s="25">
        <v>0</v>
      </c>
      <c r="AJ83" s="25">
        <v>0</v>
      </c>
      <c r="AK83" s="25">
        <v>0</v>
      </c>
      <c r="AL83" s="25">
        <v>0</v>
      </c>
      <c r="AM83" s="25">
        <v>729</v>
      </c>
      <c r="AN83" s="25">
        <v>800</v>
      </c>
      <c r="AO83" s="25">
        <v>142</v>
      </c>
      <c r="AP83" s="23">
        <v>44506.549084507038</v>
      </c>
      <c r="AQ83" s="26">
        <v>5.1338028169014081</v>
      </c>
      <c r="AR83" s="23">
        <v>146136</v>
      </c>
      <c r="AS83" s="23">
        <v>31077</v>
      </c>
      <c r="AT83" s="24">
        <v>2.8040342352084639E-2</v>
      </c>
      <c r="AU83" s="23">
        <v>162049.48641025642</v>
      </c>
      <c r="AV83" s="27">
        <v>169</v>
      </c>
      <c r="AW83" s="27">
        <v>1532</v>
      </c>
      <c r="AX83" s="81">
        <v>8782.6200000000008</v>
      </c>
      <c r="AY83" s="83">
        <v>160</v>
      </c>
      <c r="AZ83" s="83">
        <v>39</v>
      </c>
      <c r="BA83" s="83">
        <v>16</v>
      </c>
      <c r="BB83" s="83">
        <v>15</v>
      </c>
      <c r="BC83" s="99"/>
      <c r="BD83" s="99"/>
      <c r="BE83" s="3">
        <v>5.156250111758709E-2</v>
      </c>
    </row>
    <row r="84" spans="1:57" ht="15.6">
      <c r="A84" s="2" t="s">
        <v>201</v>
      </c>
      <c r="B84" s="19" t="s">
        <v>431</v>
      </c>
      <c r="C84" s="20" t="s">
        <v>204</v>
      </c>
      <c r="D84" s="21" t="s">
        <v>543</v>
      </c>
      <c r="E84" s="44">
        <v>45121</v>
      </c>
      <c r="F84" s="21" t="s">
        <v>431</v>
      </c>
      <c r="G84" s="23">
        <v>22188990</v>
      </c>
      <c r="H84" s="28">
        <v>27784</v>
      </c>
      <c r="I84" s="28">
        <v>2208333</v>
      </c>
      <c r="J84" s="23">
        <v>0</v>
      </c>
      <c r="K84" s="23">
        <v>13249998</v>
      </c>
      <c r="L84" s="23">
        <v>13531351.1</v>
      </c>
      <c r="M84" s="23">
        <v>0</v>
      </c>
      <c r="N84" s="23">
        <v>13377483</v>
      </c>
      <c r="O84" s="24">
        <v>1.0212341994315772</v>
      </c>
      <c r="P84" s="24">
        <v>0</v>
      </c>
      <c r="Q84" s="24">
        <v>1.0096215108862658</v>
      </c>
      <c r="R84" s="25">
        <v>61</v>
      </c>
      <c r="S84" s="25">
        <v>66</v>
      </c>
      <c r="T84" s="25">
        <v>8</v>
      </c>
      <c r="U84" s="25">
        <v>8</v>
      </c>
      <c r="V84" s="25">
        <v>69</v>
      </c>
      <c r="W84" s="25">
        <v>3</v>
      </c>
      <c r="X84" s="26">
        <v>11953548.130000001</v>
      </c>
      <c r="Y84" s="26">
        <v>1577802.97</v>
      </c>
      <c r="Z84" s="25">
        <v>39</v>
      </c>
      <c r="AA84" s="25">
        <v>8</v>
      </c>
      <c r="AB84" s="25">
        <v>47</v>
      </c>
      <c r="AC84" s="25">
        <v>0</v>
      </c>
      <c r="AD84" s="25">
        <v>24</v>
      </c>
      <c r="AE84" s="25">
        <v>38</v>
      </c>
      <c r="AF84" s="25">
        <v>65</v>
      </c>
      <c r="AG84" s="25">
        <v>2</v>
      </c>
      <c r="AH84" s="25">
        <v>18</v>
      </c>
      <c r="AI84" s="25">
        <v>0</v>
      </c>
      <c r="AJ84" s="25">
        <v>0</v>
      </c>
      <c r="AK84" s="25">
        <v>0</v>
      </c>
      <c r="AL84" s="25">
        <v>0</v>
      </c>
      <c r="AM84" s="25">
        <v>397</v>
      </c>
      <c r="AN84" s="25">
        <v>453</v>
      </c>
      <c r="AO84" s="25">
        <v>141</v>
      </c>
      <c r="AP84" s="23">
        <v>95967.02907801418</v>
      </c>
      <c r="AQ84" s="26">
        <v>2.8156028368794326</v>
      </c>
      <c r="AR84" s="23">
        <v>166704</v>
      </c>
      <c r="AS84" s="23">
        <v>19156</v>
      </c>
      <c r="AT84" s="24">
        <v>1.373550938309479E-2</v>
      </c>
      <c r="AU84" s="23">
        <v>287901.08723404253</v>
      </c>
      <c r="AV84" s="27">
        <v>107</v>
      </c>
      <c r="AW84" s="27">
        <v>1086</v>
      </c>
      <c r="AX84" s="81">
        <v>3797.17</v>
      </c>
      <c r="AY84" s="83">
        <v>58</v>
      </c>
      <c r="AZ84" s="83">
        <v>47</v>
      </c>
      <c r="BA84" s="83">
        <v>20</v>
      </c>
      <c r="BB84" s="83">
        <v>2</v>
      </c>
      <c r="BC84" s="99"/>
      <c r="BD84" s="99"/>
      <c r="BE84" s="3">
        <v>-0.12999999895691872</v>
      </c>
    </row>
    <row r="85" spans="1:57" ht="15.6">
      <c r="A85" s="2" t="s">
        <v>201</v>
      </c>
      <c r="B85" s="19" t="s">
        <v>431</v>
      </c>
      <c r="C85" s="20" t="s">
        <v>205</v>
      </c>
      <c r="D85" s="21" t="s">
        <v>546</v>
      </c>
      <c r="E85" s="44">
        <v>45122</v>
      </c>
      <c r="F85" s="21" t="s">
        <v>431</v>
      </c>
      <c r="G85" s="23">
        <v>6564514</v>
      </c>
      <c r="H85" s="28">
        <v>24182</v>
      </c>
      <c r="I85" s="28">
        <v>1791667</v>
      </c>
      <c r="J85" s="23">
        <v>0</v>
      </c>
      <c r="K85" s="23">
        <v>10750002</v>
      </c>
      <c r="L85" s="23">
        <v>6124718.75</v>
      </c>
      <c r="M85" s="23">
        <v>0</v>
      </c>
      <c r="N85" s="23">
        <v>6006713</v>
      </c>
      <c r="O85" s="24">
        <v>0.5697411730714097</v>
      </c>
      <c r="P85" s="24">
        <v>0</v>
      </c>
      <c r="Q85" s="24">
        <v>0.55876389604392629</v>
      </c>
      <c r="R85" s="25">
        <v>46</v>
      </c>
      <c r="S85" s="25">
        <v>48</v>
      </c>
      <c r="T85" s="25">
        <v>9</v>
      </c>
      <c r="U85" s="25">
        <v>9</v>
      </c>
      <c r="V85" s="25">
        <v>55</v>
      </c>
      <c r="W85" s="25">
        <v>7</v>
      </c>
      <c r="X85" s="26">
        <v>5577154.9100000001</v>
      </c>
      <c r="Y85" s="26">
        <v>547563.84</v>
      </c>
      <c r="Z85" s="25">
        <v>30</v>
      </c>
      <c r="AA85" s="25">
        <v>9</v>
      </c>
      <c r="AB85" s="25">
        <v>39</v>
      </c>
      <c r="AC85" s="25">
        <v>0</v>
      </c>
      <c r="AD85" s="25">
        <v>104</v>
      </c>
      <c r="AE85" s="25">
        <v>159</v>
      </c>
      <c r="AF85" s="25">
        <v>258</v>
      </c>
      <c r="AG85" s="25">
        <v>3</v>
      </c>
      <c r="AH85" s="25">
        <v>7</v>
      </c>
      <c r="AI85" s="25">
        <v>0</v>
      </c>
      <c r="AJ85" s="25">
        <v>0</v>
      </c>
      <c r="AK85" s="25">
        <v>0</v>
      </c>
      <c r="AL85" s="25">
        <v>0</v>
      </c>
      <c r="AM85" s="25">
        <v>751</v>
      </c>
      <c r="AN85" s="25">
        <v>917</v>
      </c>
      <c r="AO85" s="25">
        <v>143</v>
      </c>
      <c r="AP85" s="23">
        <v>42830.20104895105</v>
      </c>
      <c r="AQ85" s="26">
        <v>5.2517482517482517</v>
      </c>
      <c r="AR85" s="23">
        <v>145092</v>
      </c>
      <c r="AS85" s="23">
        <v>14950</v>
      </c>
      <c r="AT85" s="24">
        <v>2.6130505992622111E-2</v>
      </c>
      <c r="AU85" s="23">
        <v>157044.0705128205</v>
      </c>
      <c r="AV85" s="27">
        <v>167</v>
      </c>
      <c r="AW85" s="27">
        <v>1013</v>
      </c>
      <c r="AX85" s="81">
        <v>6215.05</v>
      </c>
      <c r="AY85" s="83">
        <v>129</v>
      </c>
      <c r="AZ85" s="83">
        <v>39</v>
      </c>
      <c r="BA85" s="83">
        <v>10</v>
      </c>
      <c r="BB85" s="83">
        <v>6</v>
      </c>
      <c r="BC85" s="99"/>
      <c r="BD85" s="99"/>
      <c r="BE85" s="3">
        <v>-0.5400000000372529</v>
      </c>
    </row>
    <row r="86" spans="1:57" ht="15.6">
      <c r="A86" s="2" t="s">
        <v>201</v>
      </c>
      <c r="B86" s="19" t="s">
        <v>481</v>
      </c>
      <c r="C86" s="20" t="s">
        <v>203</v>
      </c>
      <c r="D86" s="21" t="s">
        <v>550</v>
      </c>
      <c r="E86" s="44">
        <v>45124</v>
      </c>
      <c r="F86" s="21" t="s">
        <v>517</v>
      </c>
      <c r="G86" s="23">
        <v>9816935</v>
      </c>
      <c r="H86" s="28">
        <v>26500</v>
      </c>
      <c r="I86" s="28">
        <v>1650000</v>
      </c>
      <c r="J86" s="23">
        <v>0</v>
      </c>
      <c r="K86" s="23">
        <v>9900000</v>
      </c>
      <c r="L86" s="23">
        <v>5022754.8600000003</v>
      </c>
      <c r="M86" s="23">
        <v>0</v>
      </c>
      <c r="N86" s="23">
        <v>3707732</v>
      </c>
      <c r="O86" s="24">
        <v>0.50734897575757576</v>
      </c>
      <c r="P86" s="24">
        <v>0</v>
      </c>
      <c r="Q86" s="24">
        <v>0.37451838383838382</v>
      </c>
      <c r="R86" s="25">
        <v>40</v>
      </c>
      <c r="S86" s="25">
        <v>38</v>
      </c>
      <c r="T86" s="25">
        <v>2</v>
      </c>
      <c r="U86" s="25">
        <v>2</v>
      </c>
      <c r="V86" s="25">
        <v>42</v>
      </c>
      <c r="W86" s="25">
        <v>4</v>
      </c>
      <c r="X86" s="26">
        <v>4797465.4800000004</v>
      </c>
      <c r="Y86" s="26">
        <v>225289.38</v>
      </c>
      <c r="Z86" s="25">
        <v>31</v>
      </c>
      <c r="AA86" s="25">
        <v>2</v>
      </c>
      <c r="AB86" s="25">
        <v>33</v>
      </c>
      <c r="AC86" s="25">
        <v>0</v>
      </c>
      <c r="AD86" s="25">
        <v>154</v>
      </c>
      <c r="AE86" s="25">
        <v>342</v>
      </c>
      <c r="AF86" s="25">
        <v>152</v>
      </c>
      <c r="AG86" s="25">
        <v>2</v>
      </c>
      <c r="AH86" s="25">
        <v>5</v>
      </c>
      <c r="AI86" s="25">
        <v>0</v>
      </c>
      <c r="AJ86" s="25">
        <v>0</v>
      </c>
      <c r="AK86" s="25">
        <v>0</v>
      </c>
      <c r="AL86" s="25">
        <v>0</v>
      </c>
      <c r="AM86" s="25">
        <v>150</v>
      </c>
      <c r="AN86" s="25">
        <v>497</v>
      </c>
      <c r="AO86" s="25">
        <v>126</v>
      </c>
      <c r="AP86" s="23">
        <v>39863.13380952381</v>
      </c>
      <c r="AQ86" s="26">
        <v>1.1904761904761905</v>
      </c>
      <c r="AR86" s="23">
        <v>159000</v>
      </c>
      <c r="AS86" s="23">
        <v>45977</v>
      </c>
      <c r="AT86" s="24">
        <v>4.0809676305803226E-2</v>
      </c>
      <c r="AU86" s="23">
        <v>152204.69272727275</v>
      </c>
      <c r="AV86" s="27">
        <v>175</v>
      </c>
      <c r="AW86" s="27">
        <v>1465</v>
      </c>
      <c r="AX86" s="81">
        <v>8269.9</v>
      </c>
      <c r="AY86" s="83">
        <v>218</v>
      </c>
      <c r="AZ86" s="83">
        <v>33</v>
      </c>
      <c r="BA86" s="83">
        <v>6</v>
      </c>
      <c r="BB86" s="83">
        <v>3</v>
      </c>
      <c r="BC86" s="99"/>
      <c r="BD86" s="99"/>
      <c r="BE86" s="3">
        <v>0.1399999987334013</v>
      </c>
    </row>
    <row r="87" spans="1:57" ht="15.6">
      <c r="A87" s="2" t="s">
        <v>201</v>
      </c>
      <c r="B87" s="19" t="s">
        <v>469</v>
      </c>
      <c r="C87" s="20" t="s">
        <v>208</v>
      </c>
      <c r="D87" s="21" t="s">
        <v>552</v>
      </c>
      <c r="E87" s="44">
        <v>45145</v>
      </c>
      <c r="F87" s="21" t="s">
        <v>432</v>
      </c>
      <c r="G87" s="23">
        <v>11115196.659999998</v>
      </c>
      <c r="H87" s="28">
        <v>36187</v>
      </c>
      <c r="I87" s="28">
        <v>1833333</v>
      </c>
      <c r="J87" s="23">
        <v>0</v>
      </c>
      <c r="K87" s="23">
        <v>10999998</v>
      </c>
      <c r="L87" s="23">
        <v>5777608.9699999997</v>
      </c>
      <c r="M87" s="23">
        <v>0</v>
      </c>
      <c r="N87" s="23">
        <v>4770261.7300000004</v>
      </c>
      <c r="O87" s="24">
        <v>0.52523727458859537</v>
      </c>
      <c r="P87" s="24">
        <v>0</v>
      </c>
      <c r="Q87" s="24">
        <v>0.43366023612004295</v>
      </c>
      <c r="R87" s="25">
        <v>66</v>
      </c>
      <c r="S87" s="25">
        <v>66</v>
      </c>
      <c r="T87" s="25">
        <v>7</v>
      </c>
      <c r="U87" s="25">
        <v>7</v>
      </c>
      <c r="V87" s="25">
        <v>73</v>
      </c>
      <c r="W87" s="25">
        <v>7</v>
      </c>
      <c r="X87" s="26">
        <v>5526501.6600000001</v>
      </c>
      <c r="Y87" s="26">
        <v>251107.31</v>
      </c>
      <c r="Z87" s="25">
        <v>43</v>
      </c>
      <c r="AA87" s="25">
        <v>7</v>
      </c>
      <c r="AB87" s="25">
        <v>50</v>
      </c>
      <c r="AC87" s="25">
        <v>0</v>
      </c>
      <c r="AD87" s="25">
        <v>45</v>
      </c>
      <c r="AE87" s="25">
        <v>62</v>
      </c>
      <c r="AF87" s="25">
        <v>167</v>
      </c>
      <c r="AG87" s="25">
        <v>3</v>
      </c>
      <c r="AH87" s="25">
        <v>48</v>
      </c>
      <c r="AI87" s="25">
        <v>0</v>
      </c>
      <c r="AJ87" s="25">
        <v>0</v>
      </c>
      <c r="AK87" s="25">
        <v>0</v>
      </c>
      <c r="AL87" s="25">
        <v>0</v>
      </c>
      <c r="AM87" s="25">
        <v>463</v>
      </c>
      <c r="AN87" s="25">
        <v>573</v>
      </c>
      <c r="AO87" s="25">
        <v>143</v>
      </c>
      <c r="AP87" s="23">
        <v>40402.859930069928</v>
      </c>
      <c r="AQ87" s="26">
        <v>3.2377622377622379</v>
      </c>
      <c r="AR87" s="23">
        <v>217122</v>
      </c>
      <c r="AS87" s="23">
        <v>36260</v>
      </c>
      <c r="AT87" s="24">
        <v>4.3855858247880006E-2</v>
      </c>
      <c r="AU87" s="23">
        <v>115552.17939999999</v>
      </c>
      <c r="AV87" s="27">
        <v>296</v>
      </c>
      <c r="AW87" s="27">
        <v>1331</v>
      </c>
      <c r="AX87" s="81">
        <v>9500.74</v>
      </c>
      <c r="AY87" s="83">
        <v>144</v>
      </c>
      <c r="AZ87" s="83">
        <v>50</v>
      </c>
      <c r="BA87" s="83">
        <v>18</v>
      </c>
      <c r="BB87" s="83">
        <v>5</v>
      </c>
      <c r="BC87" s="99"/>
      <c r="BD87" s="99"/>
      <c r="BE87" s="3">
        <v>-8.9999998919665813E-2</v>
      </c>
    </row>
    <row r="88" spans="1:57" ht="15.6">
      <c r="A88" s="2" t="s">
        <v>118</v>
      </c>
      <c r="B88" s="19" t="s">
        <v>362</v>
      </c>
      <c r="C88" s="20" t="s">
        <v>210</v>
      </c>
      <c r="D88" s="21" t="s">
        <v>553</v>
      </c>
      <c r="E88" s="44">
        <v>45148</v>
      </c>
      <c r="F88" s="21" t="s">
        <v>419</v>
      </c>
      <c r="G88" s="23">
        <v>13172623</v>
      </c>
      <c r="H88" s="28">
        <v>26870</v>
      </c>
      <c r="I88" s="28">
        <v>1733333</v>
      </c>
      <c r="J88" s="23">
        <v>0</v>
      </c>
      <c r="K88" s="23">
        <v>10399998</v>
      </c>
      <c r="L88" s="23">
        <v>6947957.9800000004</v>
      </c>
      <c r="M88" s="23">
        <v>0</v>
      </c>
      <c r="N88" s="23">
        <v>6625476</v>
      </c>
      <c r="O88" s="24">
        <v>0.66807301116788675</v>
      </c>
      <c r="P88" s="24">
        <v>0</v>
      </c>
      <c r="Q88" s="24">
        <v>0.63706512251252356</v>
      </c>
      <c r="R88" s="25">
        <v>87</v>
      </c>
      <c r="S88" s="25">
        <v>96</v>
      </c>
      <c r="T88" s="25">
        <v>12</v>
      </c>
      <c r="U88" s="25">
        <v>8</v>
      </c>
      <c r="V88" s="25">
        <v>99</v>
      </c>
      <c r="W88" s="25">
        <v>3</v>
      </c>
      <c r="X88" s="26">
        <v>5610014.4699999997</v>
      </c>
      <c r="Y88" s="26">
        <v>1337943.51</v>
      </c>
      <c r="Z88" s="25">
        <v>49</v>
      </c>
      <c r="AA88" s="25">
        <v>8</v>
      </c>
      <c r="AB88" s="25">
        <v>57</v>
      </c>
      <c r="AC88" s="25">
        <v>0</v>
      </c>
      <c r="AD88" s="25">
        <v>51</v>
      </c>
      <c r="AE88" s="25">
        <v>76</v>
      </c>
      <c r="AF88" s="25">
        <v>197</v>
      </c>
      <c r="AG88" s="25">
        <v>2</v>
      </c>
      <c r="AH88" s="25">
        <v>47</v>
      </c>
      <c r="AI88" s="25">
        <v>0</v>
      </c>
      <c r="AJ88" s="25">
        <v>0</v>
      </c>
      <c r="AK88" s="25">
        <v>0</v>
      </c>
      <c r="AL88" s="25">
        <v>0</v>
      </c>
      <c r="AM88" s="25">
        <v>644</v>
      </c>
      <c r="AN88" s="25">
        <v>767</v>
      </c>
      <c r="AO88" s="25">
        <v>143</v>
      </c>
      <c r="AP88" s="23">
        <v>48587.118741258746</v>
      </c>
      <c r="AQ88" s="26">
        <v>4.5034965034965033</v>
      </c>
      <c r="AR88" s="23">
        <v>161220</v>
      </c>
      <c r="AS88" s="23">
        <v>32528</v>
      </c>
      <c r="AT88" s="24">
        <v>2.78856033035479E-2</v>
      </c>
      <c r="AU88" s="23">
        <v>121893.99964912281</v>
      </c>
      <c r="AV88" s="27">
        <v>147</v>
      </c>
      <c r="AW88" s="27">
        <v>1632</v>
      </c>
      <c r="AX88" s="81">
        <v>10973.18</v>
      </c>
      <c r="AY88" s="83">
        <v>114</v>
      </c>
      <c r="AZ88" s="83">
        <v>57</v>
      </c>
      <c r="BA88" s="83">
        <v>40</v>
      </c>
      <c r="BB88" s="83">
        <v>2</v>
      </c>
      <c r="BC88" s="99"/>
      <c r="BD88" s="99"/>
      <c r="BE88" s="3">
        <v>-0.99000000022351742</v>
      </c>
    </row>
    <row r="89" spans="1:57" ht="15.6">
      <c r="A89" s="2" t="s">
        <v>201</v>
      </c>
      <c r="B89" s="19" t="s">
        <v>469</v>
      </c>
      <c r="C89" s="20" t="s">
        <v>211</v>
      </c>
      <c r="D89" s="21" t="s">
        <v>471</v>
      </c>
      <c r="E89" s="44">
        <v>45152</v>
      </c>
      <c r="F89" s="21" t="s">
        <v>470</v>
      </c>
      <c r="G89" s="23">
        <v>8371588</v>
      </c>
      <c r="H89" s="28">
        <v>43314</v>
      </c>
      <c r="I89" s="28">
        <v>2000000</v>
      </c>
      <c r="J89" s="23">
        <v>0</v>
      </c>
      <c r="K89" s="23">
        <v>12000000</v>
      </c>
      <c r="L89" s="23">
        <v>10548571.640000001</v>
      </c>
      <c r="M89" s="23">
        <v>0</v>
      </c>
      <c r="N89" s="23">
        <v>9903975</v>
      </c>
      <c r="O89" s="24">
        <v>0.87904763666666674</v>
      </c>
      <c r="P89" s="24">
        <v>0</v>
      </c>
      <c r="Q89" s="24">
        <v>0.82533124999999996</v>
      </c>
      <c r="R89" s="25">
        <v>88</v>
      </c>
      <c r="S89" s="25">
        <v>114</v>
      </c>
      <c r="T89" s="25">
        <v>39</v>
      </c>
      <c r="U89" s="25">
        <v>33</v>
      </c>
      <c r="V89" s="25">
        <v>127</v>
      </c>
      <c r="W89" s="25">
        <v>13</v>
      </c>
      <c r="X89" s="26">
        <v>8141537.6500000004</v>
      </c>
      <c r="Y89" s="26">
        <v>2407033.9900000002</v>
      </c>
      <c r="Z89" s="25">
        <v>52</v>
      </c>
      <c r="AA89" s="25">
        <v>33</v>
      </c>
      <c r="AB89" s="25">
        <v>85</v>
      </c>
      <c r="AC89" s="25">
        <v>0</v>
      </c>
      <c r="AD89" s="25">
        <v>59</v>
      </c>
      <c r="AE89" s="25">
        <v>72</v>
      </c>
      <c r="AF89" s="25">
        <v>237</v>
      </c>
      <c r="AG89" s="25">
        <v>2</v>
      </c>
      <c r="AH89" s="25">
        <v>25</v>
      </c>
      <c r="AI89" s="25">
        <v>0</v>
      </c>
      <c r="AJ89" s="25">
        <v>0</v>
      </c>
      <c r="AK89" s="25">
        <v>1</v>
      </c>
      <c r="AL89" s="25">
        <v>37</v>
      </c>
      <c r="AM89" s="25">
        <v>394</v>
      </c>
      <c r="AN89" s="25">
        <v>528</v>
      </c>
      <c r="AO89" s="25">
        <v>144</v>
      </c>
      <c r="AP89" s="23">
        <v>73253.969722222231</v>
      </c>
      <c r="AQ89" s="26">
        <v>2.7361111111111112</v>
      </c>
      <c r="AR89" s="23">
        <v>259884</v>
      </c>
      <c r="AS89" s="23">
        <v>41400</v>
      </c>
      <c r="AT89" s="24">
        <v>2.8561592060249778E-2</v>
      </c>
      <c r="AU89" s="23">
        <v>124100.84282352941</v>
      </c>
      <c r="AV89" s="27">
        <v>554</v>
      </c>
      <c r="AW89" s="27">
        <v>1238</v>
      </c>
      <c r="AX89" s="81">
        <v>7663.82</v>
      </c>
      <c r="AY89" s="83">
        <v>67</v>
      </c>
      <c r="AZ89" s="83">
        <v>85</v>
      </c>
      <c r="BA89" s="83">
        <v>32</v>
      </c>
      <c r="BB89" s="83">
        <v>10</v>
      </c>
      <c r="BC89" s="99"/>
      <c r="BD89" s="99"/>
      <c r="BE89" s="3">
        <v>-7.4169926345348358E-2</v>
      </c>
    </row>
    <row r="90" spans="1:57" ht="15.6">
      <c r="A90" s="2" t="s">
        <v>124</v>
      </c>
      <c r="B90" s="19" t="s">
        <v>443</v>
      </c>
      <c r="C90" s="20" t="s">
        <v>212</v>
      </c>
      <c r="D90" s="21" t="s">
        <v>554</v>
      </c>
      <c r="E90" s="44">
        <v>45159</v>
      </c>
      <c r="F90" s="21" t="s">
        <v>517</v>
      </c>
      <c r="G90" s="23">
        <v>13420107</v>
      </c>
      <c r="H90" s="28">
        <v>30195</v>
      </c>
      <c r="I90" s="28">
        <v>1500000</v>
      </c>
      <c r="J90" s="23">
        <v>0</v>
      </c>
      <c r="K90" s="23">
        <v>9000000</v>
      </c>
      <c r="L90" s="23">
        <v>5470098.3799999999</v>
      </c>
      <c r="M90" s="23">
        <v>0</v>
      </c>
      <c r="N90" s="23">
        <v>5581459</v>
      </c>
      <c r="O90" s="24">
        <v>0.60778870888888892</v>
      </c>
      <c r="P90" s="24">
        <v>0</v>
      </c>
      <c r="Q90" s="24">
        <v>0.62016211111111108</v>
      </c>
      <c r="R90" s="25">
        <v>65</v>
      </c>
      <c r="S90" s="25">
        <v>66</v>
      </c>
      <c r="T90" s="25">
        <v>7</v>
      </c>
      <c r="U90" s="25">
        <v>7</v>
      </c>
      <c r="V90" s="25">
        <v>72</v>
      </c>
      <c r="W90" s="25">
        <v>6</v>
      </c>
      <c r="X90" s="26">
        <v>5123786.6500000004</v>
      </c>
      <c r="Y90" s="26">
        <v>346311.73</v>
      </c>
      <c r="Z90" s="25">
        <v>41</v>
      </c>
      <c r="AA90" s="25">
        <v>7</v>
      </c>
      <c r="AB90" s="25">
        <v>48</v>
      </c>
      <c r="AC90" s="25">
        <v>0</v>
      </c>
      <c r="AD90" s="25">
        <v>54</v>
      </c>
      <c r="AE90" s="25">
        <v>96</v>
      </c>
      <c r="AF90" s="25">
        <v>126</v>
      </c>
      <c r="AG90" s="25">
        <v>0</v>
      </c>
      <c r="AH90" s="25">
        <v>0</v>
      </c>
      <c r="AI90" s="25">
        <v>0</v>
      </c>
      <c r="AJ90" s="25">
        <v>0</v>
      </c>
      <c r="AK90" s="25">
        <v>0</v>
      </c>
      <c r="AL90" s="25">
        <v>0</v>
      </c>
      <c r="AM90" s="25">
        <v>680</v>
      </c>
      <c r="AN90" s="25">
        <v>776</v>
      </c>
      <c r="AO90" s="25">
        <v>148</v>
      </c>
      <c r="AP90" s="23">
        <v>36960.124189189191</v>
      </c>
      <c r="AQ90" s="26">
        <v>4.5945945945945947</v>
      </c>
      <c r="AR90" s="23">
        <v>181170</v>
      </c>
      <c r="AS90" s="23">
        <v>31146</v>
      </c>
      <c r="AT90" s="24">
        <v>3.881392714549313E-2</v>
      </c>
      <c r="AU90" s="23">
        <v>113960.38291666667</v>
      </c>
      <c r="AV90" s="27">
        <v>166</v>
      </c>
      <c r="AW90" s="27">
        <v>1520</v>
      </c>
      <c r="AX90" s="81">
        <v>10820.41</v>
      </c>
      <c r="AY90" s="83">
        <v>164</v>
      </c>
      <c r="AZ90" s="83">
        <v>48</v>
      </c>
      <c r="BA90" s="83">
        <v>20</v>
      </c>
      <c r="BB90" s="83">
        <v>4</v>
      </c>
      <c r="BC90" s="99"/>
      <c r="BD90" s="99"/>
      <c r="BE90" s="3">
        <v>9.9999997764825821E-3</v>
      </c>
    </row>
    <row r="91" spans="1:57" ht="15.6">
      <c r="A91" s="2" t="s">
        <v>118</v>
      </c>
      <c r="B91" s="19" t="s">
        <v>468</v>
      </c>
      <c r="C91" s="20" t="s">
        <v>213</v>
      </c>
      <c r="D91" s="21" t="s">
        <v>555</v>
      </c>
      <c r="E91" s="44">
        <v>45170</v>
      </c>
      <c r="F91" s="21" t="s">
        <v>509</v>
      </c>
      <c r="G91" s="23"/>
      <c r="H91" s="28">
        <v>95640</v>
      </c>
      <c r="I91" s="28"/>
      <c r="J91" s="23">
        <v>0</v>
      </c>
      <c r="K91" s="23">
        <v>0</v>
      </c>
      <c r="L91" s="23">
        <v>0</v>
      </c>
      <c r="M91" s="23">
        <v>0</v>
      </c>
      <c r="N91" s="23"/>
      <c r="O91" s="24"/>
      <c r="P91" s="24">
        <v>0</v>
      </c>
      <c r="Q91" s="24"/>
      <c r="R91" s="25">
        <v>173</v>
      </c>
      <c r="S91" s="25">
        <v>161</v>
      </c>
      <c r="T91" s="25">
        <v>20</v>
      </c>
      <c r="U91" s="25">
        <v>0</v>
      </c>
      <c r="V91" s="25">
        <v>193</v>
      </c>
      <c r="W91" s="25">
        <v>32</v>
      </c>
      <c r="X91" s="26">
        <v>0</v>
      </c>
      <c r="Y91" s="26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60</v>
      </c>
      <c r="AE91" s="25">
        <v>75</v>
      </c>
      <c r="AF91" s="25">
        <v>24</v>
      </c>
      <c r="AG91" s="25">
        <v>4</v>
      </c>
      <c r="AH91" s="25">
        <v>92</v>
      </c>
      <c r="AI91" s="25">
        <v>0</v>
      </c>
      <c r="AJ91" s="25">
        <v>0</v>
      </c>
      <c r="AK91" s="25">
        <v>0</v>
      </c>
      <c r="AL91" s="25">
        <v>0</v>
      </c>
      <c r="AM91" s="25">
        <v>330</v>
      </c>
      <c r="AN91" s="25">
        <v>497</v>
      </c>
      <c r="AO91" s="25">
        <v>140</v>
      </c>
      <c r="AP91" s="23">
        <v>0</v>
      </c>
      <c r="AQ91" s="26">
        <v>2.3571428571428572</v>
      </c>
      <c r="AR91" s="23">
        <v>573840</v>
      </c>
      <c r="AS91" s="23">
        <v>143936</v>
      </c>
      <c r="AT91" s="24"/>
      <c r="AU91" s="23"/>
      <c r="AV91" s="27">
        <v>0</v>
      </c>
      <c r="AW91" s="27">
        <v>1389</v>
      </c>
      <c r="AX91" s="81">
        <v>8487.5</v>
      </c>
      <c r="AY91" s="83">
        <v>53</v>
      </c>
      <c r="AZ91" s="83">
        <v>0</v>
      </c>
      <c r="BA91" s="83">
        <v>161</v>
      </c>
      <c r="BB91" s="83">
        <v>32</v>
      </c>
      <c r="BC91" s="99"/>
      <c r="BD91" s="99"/>
      <c r="BE91" s="3" t="e">
        <v>#N/A</v>
      </c>
    </row>
    <row r="92" spans="1:57" ht="15.6">
      <c r="A92" s="2" t="s">
        <v>201</v>
      </c>
      <c r="B92" s="19" t="s">
        <v>431</v>
      </c>
      <c r="C92" s="20" t="s">
        <v>214</v>
      </c>
      <c r="D92" s="21" t="s">
        <v>557</v>
      </c>
      <c r="E92" s="44">
        <v>45171</v>
      </c>
      <c r="F92" s="21" t="s">
        <v>556</v>
      </c>
      <c r="G92" s="23">
        <v>711581</v>
      </c>
      <c r="H92" s="28">
        <v>34090</v>
      </c>
      <c r="I92" s="28">
        <v>1000000</v>
      </c>
      <c r="J92" s="23">
        <v>0</v>
      </c>
      <c r="K92" s="23">
        <v>6000000</v>
      </c>
      <c r="L92" s="23">
        <v>960611.01</v>
      </c>
      <c r="M92" s="23">
        <v>0</v>
      </c>
      <c r="N92" s="23">
        <v>937753</v>
      </c>
      <c r="O92" s="24">
        <v>0.160101835</v>
      </c>
      <c r="P92" s="24">
        <v>0</v>
      </c>
      <c r="Q92" s="24">
        <v>0.15629216666666668</v>
      </c>
      <c r="R92" s="25">
        <v>23</v>
      </c>
      <c r="S92" s="25">
        <v>24</v>
      </c>
      <c r="T92" s="25">
        <v>3</v>
      </c>
      <c r="U92" s="25">
        <v>3</v>
      </c>
      <c r="V92" s="25">
        <v>26</v>
      </c>
      <c r="W92" s="25">
        <v>2</v>
      </c>
      <c r="X92" s="26">
        <v>926325.42</v>
      </c>
      <c r="Y92" s="26">
        <v>34285.589999999997</v>
      </c>
      <c r="Z92" s="25">
        <v>14</v>
      </c>
      <c r="AA92" s="25">
        <v>3</v>
      </c>
      <c r="AB92" s="25">
        <v>17</v>
      </c>
      <c r="AC92" s="25">
        <v>0</v>
      </c>
      <c r="AD92" s="25">
        <v>88</v>
      </c>
      <c r="AE92" s="25">
        <v>146</v>
      </c>
      <c r="AF92" s="25">
        <v>160</v>
      </c>
      <c r="AG92" s="25">
        <v>3</v>
      </c>
      <c r="AH92" s="25">
        <v>69</v>
      </c>
      <c r="AI92" s="25">
        <v>1</v>
      </c>
      <c r="AJ92" s="25">
        <v>9</v>
      </c>
      <c r="AK92" s="25">
        <v>34</v>
      </c>
      <c r="AL92" s="25">
        <v>115</v>
      </c>
      <c r="AM92" s="25">
        <v>351</v>
      </c>
      <c r="AN92" s="25">
        <v>690</v>
      </c>
      <c r="AO92" s="25">
        <v>148</v>
      </c>
      <c r="AP92" s="23">
        <v>6490.6149324324324</v>
      </c>
      <c r="AQ92" s="26">
        <v>2.3716216216216215</v>
      </c>
      <c r="AR92" s="23">
        <v>204540</v>
      </c>
      <c r="AS92" s="23">
        <v>25690</v>
      </c>
      <c r="AT92" s="24">
        <v>0.23967037396333818</v>
      </c>
      <c r="AU92" s="23">
        <v>56506.53</v>
      </c>
      <c r="AV92" s="27">
        <v>54</v>
      </c>
      <c r="AW92" s="27">
        <v>1410</v>
      </c>
      <c r="AX92" s="81">
        <v>6298.09</v>
      </c>
      <c r="AY92" s="83">
        <v>262</v>
      </c>
      <c r="AZ92" s="83">
        <v>17</v>
      </c>
      <c r="BA92" s="83">
        <v>7</v>
      </c>
      <c r="BB92" s="83">
        <v>2</v>
      </c>
      <c r="BC92" s="99"/>
      <c r="BD92" s="99"/>
      <c r="BE92" s="3">
        <v>-9.9999999976716936E-2</v>
      </c>
    </row>
    <row r="93" spans="1:57" ht="15.6">
      <c r="A93" s="2" t="s">
        <v>118</v>
      </c>
      <c r="B93" s="19" t="s">
        <v>468</v>
      </c>
      <c r="C93" s="20" t="s">
        <v>215</v>
      </c>
      <c r="D93" s="21" t="s">
        <v>558</v>
      </c>
      <c r="E93" s="44">
        <v>45184</v>
      </c>
      <c r="F93" s="21" t="s">
        <v>509</v>
      </c>
      <c r="G93" s="23">
        <v>14852727</v>
      </c>
      <c r="H93" s="28">
        <v>36400</v>
      </c>
      <c r="I93" s="28">
        <v>1858333</v>
      </c>
      <c r="J93" s="23">
        <v>0</v>
      </c>
      <c r="K93" s="23">
        <v>11149998</v>
      </c>
      <c r="L93" s="23">
        <v>7145001.7599999998</v>
      </c>
      <c r="M93" s="23">
        <v>0</v>
      </c>
      <c r="N93" s="23">
        <v>7131805</v>
      </c>
      <c r="O93" s="24">
        <v>0.64080744767846598</v>
      </c>
      <c r="P93" s="24">
        <v>0</v>
      </c>
      <c r="Q93" s="24">
        <v>0.63962388154688454</v>
      </c>
      <c r="R93" s="25">
        <v>45</v>
      </c>
      <c r="S93" s="25">
        <v>43</v>
      </c>
      <c r="T93" s="25">
        <v>4</v>
      </c>
      <c r="U93" s="25">
        <v>4</v>
      </c>
      <c r="V93" s="25">
        <v>49</v>
      </c>
      <c r="W93" s="25">
        <v>6</v>
      </c>
      <c r="X93" s="26">
        <v>6465955.3600000003</v>
      </c>
      <c r="Y93" s="26">
        <v>679046.4</v>
      </c>
      <c r="Z93" s="25">
        <v>26</v>
      </c>
      <c r="AA93" s="25">
        <v>4</v>
      </c>
      <c r="AB93" s="25">
        <v>30</v>
      </c>
      <c r="AC93" s="25">
        <v>0</v>
      </c>
      <c r="AD93" s="25">
        <v>27</v>
      </c>
      <c r="AE93" s="25">
        <v>36</v>
      </c>
      <c r="AF93" s="25">
        <v>101</v>
      </c>
      <c r="AG93" s="25">
        <v>1</v>
      </c>
      <c r="AH93" s="25">
        <v>7</v>
      </c>
      <c r="AI93" s="25">
        <v>0</v>
      </c>
      <c r="AJ93" s="25">
        <v>0</v>
      </c>
      <c r="AK93" s="25">
        <v>0</v>
      </c>
      <c r="AL93" s="25">
        <v>0</v>
      </c>
      <c r="AM93" s="25">
        <v>511</v>
      </c>
      <c r="AN93" s="25">
        <v>554</v>
      </c>
      <c r="AO93" s="25">
        <v>152</v>
      </c>
      <c r="AP93" s="23">
        <v>47006.590526315791</v>
      </c>
      <c r="AQ93" s="26">
        <v>3.361842105263158</v>
      </c>
      <c r="AR93" s="23">
        <v>218400</v>
      </c>
      <c r="AS93" s="23">
        <v>56204</v>
      </c>
      <c r="AT93" s="24">
        <v>3.8433020623916542E-2</v>
      </c>
      <c r="AU93" s="23">
        <v>238166.72533333334</v>
      </c>
      <c r="AV93" s="27">
        <v>107</v>
      </c>
      <c r="AW93" s="27">
        <v>1317</v>
      </c>
      <c r="AX93" s="81">
        <v>7279.59</v>
      </c>
      <c r="AY93" s="83">
        <v>169</v>
      </c>
      <c r="AZ93" s="83">
        <v>30</v>
      </c>
      <c r="BA93" s="83">
        <v>13</v>
      </c>
      <c r="BB93" s="83">
        <v>6</v>
      </c>
      <c r="BC93" s="99"/>
      <c r="BD93" s="99"/>
      <c r="BE93" s="3">
        <v>1.1499999994412065</v>
      </c>
    </row>
    <row r="94" spans="1:57" ht="15.6">
      <c r="A94" s="2" t="s">
        <v>201</v>
      </c>
      <c r="B94" s="19" t="s">
        <v>431</v>
      </c>
      <c r="C94" s="20" t="s">
        <v>217</v>
      </c>
      <c r="D94" s="21" t="s">
        <v>531</v>
      </c>
      <c r="E94" s="44">
        <v>45187</v>
      </c>
      <c r="F94" s="21" t="s">
        <v>431</v>
      </c>
      <c r="G94" s="23">
        <v>5985747</v>
      </c>
      <c r="H94" s="28">
        <v>47925</v>
      </c>
      <c r="I94" s="28">
        <v>1833333</v>
      </c>
      <c r="J94" s="23">
        <v>0</v>
      </c>
      <c r="K94" s="23">
        <v>10999998</v>
      </c>
      <c r="L94" s="23">
        <v>4956654.45</v>
      </c>
      <c r="M94" s="23">
        <v>0</v>
      </c>
      <c r="N94" s="23">
        <v>4929037</v>
      </c>
      <c r="O94" s="24">
        <v>0.45060503192818763</v>
      </c>
      <c r="P94" s="24">
        <v>0</v>
      </c>
      <c r="Q94" s="24">
        <v>0.44809435419897348</v>
      </c>
      <c r="R94" s="25">
        <v>106</v>
      </c>
      <c r="S94" s="25">
        <v>112</v>
      </c>
      <c r="T94" s="25">
        <v>31</v>
      </c>
      <c r="U94" s="25">
        <v>22</v>
      </c>
      <c r="V94" s="25">
        <v>137</v>
      </c>
      <c r="W94" s="25">
        <v>25</v>
      </c>
      <c r="X94" s="26">
        <v>4162883.62</v>
      </c>
      <c r="Y94" s="26">
        <v>793770.83</v>
      </c>
      <c r="Z94" s="25">
        <v>57</v>
      </c>
      <c r="AA94" s="25">
        <v>22</v>
      </c>
      <c r="AB94" s="25">
        <v>79</v>
      </c>
      <c r="AC94" s="25">
        <v>0</v>
      </c>
      <c r="AD94" s="25">
        <v>48</v>
      </c>
      <c r="AE94" s="25">
        <v>57</v>
      </c>
      <c r="AF94" s="25">
        <v>178</v>
      </c>
      <c r="AG94" s="25">
        <v>4</v>
      </c>
      <c r="AH94" s="25">
        <v>69</v>
      </c>
      <c r="AI94" s="25">
        <v>0</v>
      </c>
      <c r="AJ94" s="25">
        <v>0</v>
      </c>
      <c r="AK94" s="25">
        <v>0</v>
      </c>
      <c r="AL94" s="25">
        <v>0</v>
      </c>
      <c r="AM94" s="25">
        <v>603</v>
      </c>
      <c r="AN94" s="25">
        <v>729</v>
      </c>
      <c r="AO94" s="25">
        <v>147</v>
      </c>
      <c r="AP94" s="23">
        <v>33718.73775510204</v>
      </c>
      <c r="AQ94" s="26">
        <v>4.1020408163265305</v>
      </c>
      <c r="AR94" s="23">
        <v>287550</v>
      </c>
      <c r="AS94" s="23">
        <v>24338</v>
      </c>
      <c r="AT94" s="24">
        <v>6.2923087164165739E-2</v>
      </c>
      <c r="AU94" s="23">
        <v>62742.461392405065</v>
      </c>
      <c r="AV94" s="27">
        <v>283</v>
      </c>
      <c r="AW94" s="27">
        <v>1280</v>
      </c>
      <c r="AX94" s="81">
        <v>6129.94</v>
      </c>
      <c r="AY94" s="83">
        <v>55</v>
      </c>
      <c r="AZ94" s="83">
        <v>79</v>
      </c>
      <c r="BA94" s="83">
        <v>36</v>
      </c>
      <c r="BB94" s="83">
        <v>22</v>
      </c>
      <c r="BC94" s="99"/>
      <c r="BD94" s="99"/>
      <c r="BE94" s="3">
        <v>-2.0000000484287739E-2</v>
      </c>
    </row>
    <row r="95" spans="1:57" ht="15.6">
      <c r="A95" s="2" t="s">
        <v>118</v>
      </c>
      <c r="B95" s="19" t="s">
        <v>362</v>
      </c>
      <c r="C95" s="20" t="s">
        <v>218</v>
      </c>
      <c r="D95" s="21" t="s">
        <v>560</v>
      </c>
      <c r="E95" s="44">
        <v>45202</v>
      </c>
      <c r="F95" s="21" t="s">
        <v>559</v>
      </c>
      <c r="G95" s="23">
        <v>9796166</v>
      </c>
      <c r="H95" s="28">
        <v>25325</v>
      </c>
      <c r="I95" s="28">
        <v>1500000</v>
      </c>
      <c r="J95" s="23">
        <v>0</v>
      </c>
      <c r="K95" s="23">
        <v>9000000</v>
      </c>
      <c r="L95" s="23">
        <v>6836552.1399999997</v>
      </c>
      <c r="M95" s="23">
        <v>0</v>
      </c>
      <c r="N95" s="23">
        <v>4554518</v>
      </c>
      <c r="O95" s="24">
        <v>0.75961690444444441</v>
      </c>
      <c r="P95" s="24">
        <v>0</v>
      </c>
      <c r="Q95" s="24">
        <v>0.50605755555555554</v>
      </c>
      <c r="R95" s="25">
        <v>53</v>
      </c>
      <c r="S95" s="25">
        <v>54</v>
      </c>
      <c r="T95" s="25">
        <v>1</v>
      </c>
      <c r="U95" s="25">
        <v>1</v>
      </c>
      <c r="V95" s="25">
        <v>54</v>
      </c>
      <c r="W95" s="25">
        <v>0</v>
      </c>
      <c r="X95" s="26">
        <v>6804597.1399999997</v>
      </c>
      <c r="Y95" s="26">
        <v>31955</v>
      </c>
      <c r="Z95" s="25">
        <v>22</v>
      </c>
      <c r="AA95" s="25">
        <v>1</v>
      </c>
      <c r="AB95" s="25">
        <v>23</v>
      </c>
      <c r="AC95" s="25">
        <v>0</v>
      </c>
      <c r="AD95" s="25">
        <v>8</v>
      </c>
      <c r="AE95" s="25">
        <v>17</v>
      </c>
      <c r="AF95" s="25">
        <v>68</v>
      </c>
      <c r="AG95" s="25">
        <v>2</v>
      </c>
      <c r="AH95" s="25">
        <v>7</v>
      </c>
      <c r="AI95" s="25">
        <v>0</v>
      </c>
      <c r="AJ95" s="25">
        <v>0</v>
      </c>
      <c r="AK95" s="25">
        <v>0</v>
      </c>
      <c r="AL95" s="25">
        <v>0</v>
      </c>
      <c r="AM95" s="25">
        <v>649</v>
      </c>
      <c r="AN95" s="25">
        <v>673</v>
      </c>
      <c r="AO95" s="25">
        <v>138</v>
      </c>
      <c r="AP95" s="23">
        <v>49540.232898550719</v>
      </c>
      <c r="AQ95" s="26">
        <v>4.7028985507246377</v>
      </c>
      <c r="AR95" s="23">
        <v>151950</v>
      </c>
      <c r="AS95" s="23">
        <v>34625</v>
      </c>
      <c r="AT95" s="24">
        <v>2.7290803343452599E-2</v>
      </c>
      <c r="AU95" s="23">
        <v>297241.39739130432</v>
      </c>
      <c r="AV95" s="27">
        <v>112</v>
      </c>
      <c r="AW95" s="27">
        <v>1600</v>
      </c>
      <c r="AX95" s="81">
        <v>6421.6</v>
      </c>
      <c r="AY95" s="83">
        <v>119</v>
      </c>
      <c r="AZ95" s="83">
        <v>23</v>
      </c>
      <c r="BA95" s="83">
        <v>31</v>
      </c>
      <c r="BB95" s="83">
        <v>0</v>
      </c>
      <c r="BC95" s="99"/>
      <c r="BD95" s="99"/>
      <c r="BE95" s="3">
        <v>1.1600000001490116</v>
      </c>
    </row>
    <row r="96" spans="1:57" ht="15.6">
      <c r="A96" s="2" t="s">
        <v>118</v>
      </c>
      <c r="B96" s="19" t="s">
        <v>362</v>
      </c>
      <c r="C96" s="20" t="s">
        <v>219</v>
      </c>
      <c r="D96" s="21" t="s">
        <v>539</v>
      </c>
      <c r="E96" s="44">
        <v>45202</v>
      </c>
      <c r="F96" s="21" t="s">
        <v>419</v>
      </c>
      <c r="G96" s="23"/>
      <c r="H96" s="28">
        <v>93820</v>
      </c>
      <c r="I96" s="28"/>
      <c r="J96" s="23">
        <v>0</v>
      </c>
      <c r="K96" s="23">
        <v>0</v>
      </c>
      <c r="L96" s="23">
        <v>0</v>
      </c>
      <c r="M96" s="23">
        <v>0</v>
      </c>
      <c r="N96" s="23"/>
      <c r="O96" s="24"/>
      <c r="P96" s="24">
        <v>0</v>
      </c>
      <c r="Q96" s="24"/>
      <c r="R96" s="25">
        <v>133</v>
      </c>
      <c r="S96" s="25">
        <v>117</v>
      </c>
      <c r="T96" s="25">
        <v>4</v>
      </c>
      <c r="U96" s="25">
        <v>0</v>
      </c>
      <c r="V96" s="25">
        <v>137</v>
      </c>
      <c r="W96" s="25">
        <v>20</v>
      </c>
      <c r="X96" s="26">
        <v>0</v>
      </c>
      <c r="Y96" s="26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16</v>
      </c>
      <c r="AE96" s="25">
        <v>29</v>
      </c>
      <c r="AF96" s="25">
        <v>18</v>
      </c>
      <c r="AG96" s="25">
        <v>10</v>
      </c>
      <c r="AH96" s="25">
        <v>54</v>
      </c>
      <c r="AI96" s="25">
        <v>0</v>
      </c>
      <c r="AJ96" s="25">
        <v>0</v>
      </c>
      <c r="AK96" s="25">
        <v>0</v>
      </c>
      <c r="AL96" s="25">
        <v>0</v>
      </c>
      <c r="AM96" s="25">
        <v>232</v>
      </c>
      <c r="AN96" s="25">
        <v>315</v>
      </c>
      <c r="AO96" s="25">
        <v>147</v>
      </c>
      <c r="AP96" s="23">
        <v>0</v>
      </c>
      <c r="AQ96" s="26">
        <v>1.5782312925170068</v>
      </c>
      <c r="AR96" s="23">
        <v>562920</v>
      </c>
      <c r="AS96" s="23">
        <v>45853</v>
      </c>
      <c r="AT96" s="24"/>
      <c r="AU96" s="23"/>
      <c r="AV96" s="27">
        <v>0</v>
      </c>
      <c r="AW96" s="27">
        <v>1447</v>
      </c>
      <c r="AX96" s="81">
        <v>9602.4500000000007</v>
      </c>
      <c r="AY96" s="83">
        <v>82</v>
      </c>
      <c r="AZ96" s="83">
        <v>0</v>
      </c>
      <c r="BA96" s="83">
        <v>117</v>
      </c>
      <c r="BB96" s="83">
        <v>20</v>
      </c>
      <c r="BC96" s="99"/>
      <c r="BD96" s="99"/>
      <c r="BE96" s="3" t="e">
        <v>#N/A</v>
      </c>
    </row>
    <row r="97" spans="1:57" ht="15.6">
      <c r="A97" s="2" t="s">
        <v>136</v>
      </c>
      <c r="B97" s="19" t="s">
        <v>653</v>
      </c>
      <c r="C97" s="20" t="s">
        <v>220</v>
      </c>
      <c r="D97" s="21" t="s">
        <v>424</v>
      </c>
      <c r="E97" s="44">
        <v>45208</v>
      </c>
      <c r="F97" s="21" t="s">
        <v>421</v>
      </c>
      <c r="G97" s="23">
        <v>2772546</v>
      </c>
      <c r="H97" s="28">
        <v>24226</v>
      </c>
      <c r="I97" s="28">
        <v>1166667</v>
      </c>
      <c r="J97" s="23">
        <v>1000002</v>
      </c>
      <c r="K97" s="23">
        <v>6000000</v>
      </c>
      <c r="L97" s="23">
        <v>570102.41</v>
      </c>
      <c r="M97" s="23">
        <v>435045.81</v>
      </c>
      <c r="N97" s="23">
        <v>874626</v>
      </c>
      <c r="O97" s="24">
        <v>0.1435925618306966</v>
      </c>
      <c r="P97" s="24">
        <v>0.43</v>
      </c>
      <c r="Q97" s="24">
        <v>0.12494653572956121</v>
      </c>
      <c r="R97" s="25">
        <v>22</v>
      </c>
      <c r="S97" s="25">
        <v>23</v>
      </c>
      <c r="T97" s="25">
        <v>1</v>
      </c>
      <c r="U97" s="25">
        <v>1</v>
      </c>
      <c r="V97" s="25">
        <v>23</v>
      </c>
      <c r="W97" s="25">
        <v>0</v>
      </c>
      <c r="X97" s="26">
        <v>465980.15999999997</v>
      </c>
      <c r="Y97" s="26">
        <v>104122.25</v>
      </c>
      <c r="Z97" s="25">
        <v>10</v>
      </c>
      <c r="AA97" s="25">
        <v>1</v>
      </c>
      <c r="AB97" s="25">
        <v>11</v>
      </c>
      <c r="AC97" s="25">
        <v>2</v>
      </c>
      <c r="AD97" s="25">
        <v>12</v>
      </c>
      <c r="AE97" s="25">
        <v>19</v>
      </c>
      <c r="AF97" s="25">
        <v>109</v>
      </c>
      <c r="AG97" s="25">
        <v>2</v>
      </c>
      <c r="AH97" s="25">
        <v>23</v>
      </c>
      <c r="AI97" s="25">
        <v>2</v>
      </c>
      <c r="AJ97" s="25">
        <v>26</v>
      </c>
      <c r="AK97" s="25">
        <v>0</v>
      </c>
      <c r="AL97" s="25">
        <v>0</v>
      </c>
      <c r="AM97" s="25">
        <v>446</v>
      </c>
      <c r="AN97" s="25">
        <v>514</v>
      </c>
      <c r="AO97" s="25">
        <v>136</v>
      </c>
      <c r="AP97" s="23">
        <v>7390.7957352941175</v>
      </c>
      <c r="AQ97" s="26">
        <v>3.2794117647058822</v>
      </c>
      <c r="AR97" s="23">
        <v>145356</v>
      </c>
      <c r="AS97" s="23">
        <v>20325</v>
      </c>
      <c r="AT97" s="24">
        <v>0.16483240650816652</v>
      </c>
      <c r="AU97" s="23">
        <v>51827.491818181821</v>
      </c>
      <c r="AV97" s="27">
        <v>23</v>
      </c>
      <c r="AW97" s="27">
        <v>1336</v>
      </c>
      <c r="AX97" s="81">
        <v>5505.04</v>
      </c>
      <c r="AY97" s="83">
        <v>239</v>
      </c>
      <c r="AZ97" s="83">
        <v>11</v>
      </c>
      <c r="BA97" s="83">
        <v>12</v>
      </c>
      <c r="BB97" s="83">
        <v>0</v>
      </c>
      <c r="BC97" s="99"/>
      <c r="BD97" s="99"/>
      <c r="BE97" s="3">
        <v>-0.85000000009313226</v>
      </c>
    </row>
    <row r="98" spans="1:57" ht="15.6">
      <c r="A98" s="2" t="s">
        <v>118</v>
      </c>
      <c r="B98" s="19" t="s">
        <v>372</v>
      </c>
      <c r="C98" s="20" t="s">
        <v>221</v>
      </c>
      <c r="D98" s="21" t="s">
        <v>562</v>
      </c>
      <c r="E98" s="44">
        <v>45231</v>
      </c>
      <c r="F98" s="21" t="s">
        <v>515</v>
      </c>
      <c r="G98" s="23">
        <v>4021075</v>
      </c>
      <c r="H98" s="28">
        <v>25803</v>
      </c>
      <c r="I98" s="28">
        <v>1500000</v>
      </c>
      <c r="J98" s="23">
        <v>0</v>
      </c>
      <c r="K98" s="23">
        <v>9000000</v>
      </c>
      <c r="L98" s="23">
        <v>4269879.6900000004</v>
      </c>
      <c r="M98" s="23">
        <v>0</v>
      </c>
      <c r="N98" s="23">
        <v>4827740</v>
      </c>
      <c r="O98" s="24">
        <v>0.47443107666666673</v>
      </c>
      <c r="P98" s="24">
        <v>0</v>
      </c>
      <c r="Q98" s="24">
        <v>0.53641555555555553</v>
      </c>
      <c r="R98" s="25">
        <v>38</v>
      </c>
      <c r="S98" s="25">
        <v>38</v>
      </c>
      <c r="T98" s="25">
        <v>2</v>
      </c>
      <c r="U98" s="25">
        <v>2</v>
      </c>
      <c r="V98" s="25">
        <v>40</v>
      </c>
      <c r="W98" s="25">
        <v>2</v>
      </c>
      <c r="X98" s="26">
        <v>4059616.89</v>
      </c>
      <c r="Y98" s="26">
        <v>210262.8</v>
      </c>
      <c r="Z98" s="25">
        <v>14</v>
      </c>
      <c r="AA98" s="25">
        <v>2</v>
      </c>
      <c r="AB98" s="25">
        <v>16</v>
      </c>
      <c r="AC98" s="25">
        <v>0</v>
      </c>
      <c r="AD98" s="25">
        <v>26</v>
      </c>
      <c r="AE98" s="25">
        <v>52</v>
      </c>
      <c r="AF98" s="25">
        <v>62</v>
      </c>
      <c r="AG98" s="25">
        <v>1</v>
      </c>
      <c r="AH98" s="25">
        <v>100</v>
      </c>
      <c r="AI98" s="25">
        <v>0</v>
      </c>
      <c r="AJ98" s="25">
        <v>0</v>
      </c>
      <c r="AK98" s="25">
        <v>0</v>
      </c>
      <c r="AL98" s="25">
        <v>0</v>
      </c>
      <c r="AM98" s="25">
        <v>439</v>
      </c>
      <c r="AN98" s="25">
        <v>591</v>
      </c>
      <c r="AO98" s="25">
        <v>130</v>
      </c>
      <c r="AP98" s="23">
        <v>32845.228384615388</v>
      </c>
      <c r="AQ98" s="26">
        <v>3.3769230769230769</v>
      </c>
      <c r="AR98" s="23">
        <v>154818</v>
      </c>
      <c r="AS98" s="23">
        <v>34094</v>
      </c>
      <c r="AT98" s="24">
        <v>4.4242932755793871E-2</v>
      </c>
      <c r="AU98" s="23">
        <v>266867.48062500003</v>
      </c>
      <c r="AV98" s="27">
        <v>24</v>
      </c>
      <c r="AW98" s="27">
        <v>1245</v>
      </c>
      <c r="AX98" s="81">
        <v>5733.66</v>
      </c>
      <c r="AY98" s="83">
        <v>151</v>
      </c>
      <c r="AZ98" s="83">
        <v>16</v>
      </c>
      <c r="BA98" s="83">
        <v>22</v>
      </c>
      <c r="BB98" s="83">
        <v>2</v>
      </c>
      <c r="BC98" s="99"/>
      <c r="BD98" s="99"/>
      <c r="BE98" s="3">
        <v>3.8399999998509884</v>
      </c>
    </row>
    <row r="99" spans="1:57" ht="15.6">
      <c r="A99" s="2" t="s">
        <v>118</v>
      </c>
      <c r="B99" s="19" t="s">
        <v>372</v>
      </c>
      <c r="C99" s="20" t="s">
        <v>222</v>
      </c>
      <c r="D99" s="21" t="s">
        <v>564</v>
      </c>
      <c r="E99" s="44">
        <v>45233</v>
      </c>
      <c r="F99" s="21" t="s">
        <v>447</v>
      </c>
      <c r="G99" s="23">
        <v>11446272.782999998</v>
      </c>
      <c r="H99" s="28">
        <v>26530</v>
      </c>
      <c r="I99" s="28">
        <v>1500000</v>
      </c>
      <c r="J99" s="23">
        <v>0</v>
      </c>
      <c r="K99" s="23">
        <v>9000000</v>
      </c>
      <c r="L99" s="23">
        <v>4417691.7</v>
      </c>
      <c r="M99" s="23">
        <v>0</v>
      </c>
      <c r="N99" s="23">
        <v>5654838.2699999996</v>
      </c>
      <c r="O99" s="24">
        <v>0.49085463333333335</v>
      </c>
      <c r="P99" s="24">
        <v>0</v>
      </c>
      <c r="Q99" s="24">
        <v>0.62831536333333327</v>
      </c>
      <c r="R99" s="25">
        <v>34</v>
      </c>
      <c r="S99" s="25">
        <v>53</v>
      </c>
      <c r="T99" s="25">
        <v>20</v>
      </c>
      <c r="U99" s="25">
        <v>20</v>
      </c>
      <c r="V99" s="25">
        <v>54</v>
      </c>
      <c r="W99" s="25">
        <v>1</v>
      </c>
      <c r="X99" s="26">
        <v>3172709.25</v>
      </c>
      <c r="Y99" s="26">
        <v>1244982.45</v>
      </c>
      <c r="Z99" s="25">
        <v>22</v>
      </c>
      <c r="AA99" s="25">
        <v>20</v>
      </c>
      <c r="AB99" s="25">
        <v>42</v>
      </c>
      <c r="AC99" s="25">
        <v>0</v>
      </c>
      <c r="AD99" s="25">
        <v>35</v>
      </c>
      <c r="AE99" s="25">
        <v>60</v>
      </c>
      <c r="AF99" s="25">
        <v>62</v>
      </c>
      <c r="AG99" s="25">
        <v>2</v>
      </c>
      <c r="AH99" s="25">
        <v>57</v>
      </c>
      <c r="AI99" s="25">
        <v>2</v>
      </c>
      <c r="AJ99" s="25">
        <v>15</v>
      </c>
      <c r="AK99" s="25">
        <v>2</v>
      </c>
      <c r="AL99" s="25">
        <v>3</v>
      </c>
      <c r="AM99" s="25">
        <v>294</v>
      </c>
      <c r="AN99" s="25">
        <v>429</v>
      </c>
      <c r="AO99" s="25">
        <v>136</v>
      </c>
      <c r="AP99" s="23">
        <v>32483.027205882354</v>
      </c>
      <c r="AQ99" s="26">
        <v>2.1617647058823528</v>
      </c>
      <c r="AR99" s="23">
        <v>159180</v>
      </c>
      <c r="AS99" s="23">
        <v>32871</v>
      </c>
      <c r="AT99" s="24">
        <v>4.3473155901757474E-2</v>
      </c>
      <c r="AU99" s="23">
        <v>105183.13571428572</v>
      </c>
      <c r="AV99" s="27">
        <v>120</v>
      </c>
      <c r="AW99" s="27">
        <v>1386</v>
      </c>
      <c r="AX99" s="81">
        <v>7969.62</v>
      </c>
      <c r="AY99" s="83">
        <v>150</v>
      </c>
      <c r="AZ99" s="83">
        <v>42</v>
      </c>
      <c r="BA99" s="83">
        <v>12</v>
      </c>
      <c r="BB99" s="83">
        <v>0</v>
      </c>
      <c r="BC99" s="99"/>
      <c r="BD99" s="99"/>
      <c r="BE99" s="3">
        <v>0.13999999966472387</v>
      </c>
    </row>
    <row r="100" spans="1:57" ht="15.6">
      <c r="A100" s="2" t="s">
        <v>118</v>
      </c>
      <c r="B100" s="19" t="s">
        <v>372</v>
      </c>
      <c r="C100" s="20" t="s">
        <v>223</v>
      </c>
      <c r="D100" s="21" t="s">
        <v>565</v>
      </c>
      <c r="E100" s="44">
        <v>45236</v>
      </c>
      <c r="F100" s="21" t="s">
        <v>447</v>
      </c>
      <c r="G100" s="23">
        <v>7452303</v>
      </c>
      <c r="H100" s="28">
        <v>27680</v>
      </c>
      <c r="I100" s="28">
        <v>1500000</v>
      </c>
      <c r="J100" s="23">
        <v>0</v>
      </c>
      <c r="K100" s="23">
        <v>9000000</v>
      </c>
      <c r="L100" s="23">
        <v>6936800.6100000003</v>
      </c>
      <c r="M100" s="23">
        <v>0</v>
      </c>
      <c r="N100" s="23">
        <v>5600279</v>
      </c>
      <c r="O100" s="24">
        <v>0.77075562333333336</v>
      </c>
      <c r="P100" s="24">
        <v>0</v>
      </c>
      <c r="Q100" s="24">
        <v>0.62225322222222224</v>
      </c>
      <c r="R100" s="25">
        <v>53</v>
      </c>
      <c r="S100" s="25">
        <v>60</v>
      </c>
      <c r="T100" s="25">
        <v>8</v>
      </c>
      <c r="U100" s="25">
        <v>8</v>
      </c>
      <c r="V100" s="25">
        <v>61</v>
      </c>
      <c r="W100" s="25">
        <v>1</v>
      </c>
      <c r="X100" s="26">
        <v>5944164.25</v>
      </c>
      <c r="Y100" s="26">
        <v>992636.36</v>
      </c>
      <c r="Z100" s="25">
        <v>37</v>
      </c>
      <c r="AA100" s="25">
        <v>8</v>
      </c>
      <c r="AB100" s="25">
        <v>45</v>
      </c>
      <c r="AC100" s="25">
        <v>0</v>
      </c>
      <c r="AD100" s="25">
        <v>30</v>
      </c>
      <c r="AE100" s="25">
        <v>58</v>
      </c>
      <c r="AF100" s="25">
        <v>138</v>
      </c>
      <c r="AG100" s="25">
        <v>0</v>
      </c>
      <c r="AH100" s="25">
        <v>0</v>
      </c>
      <c r="AI100" s="25">
        <v>0</v>
      </c>
      <c r="AJ100" s="25">
        <v>0</v>
      </c>
      <c r="AK100" s="25">
        <v>0</v>
      </c>
      <c r="AL100" s="25">
        <v>0</v>
      </c>
      <c r="AM100" s="25">
        <v>810</v>
      </c>
      <c r="AN100" s="25">
        <v>868</v>
      </c>
      <c r="AO100" s="25">
        <v>147</v>
      </c>
      <c r="AP100" s="23">
        <v>47189.11979591837</v>
      </c>
      <c r="AQ100" s="26">
        <v>5.5102040816326534</v>
      </c>
      <c r="AR100" s="23">
        <v>166080</v>
      </c>
      <c r="AS100" s="23">
        <v>49701</v>
      </c>
      <c r="AT100" s="24">
        <v>3.1106703526829496E-2</v>
      </c>
      <c r="AU100" s="23">
        <v>154151.12466666667</v>
      </c>
      <c r="AV100" s="27">
        <v>314</v>
      </c>
      <c r="AW100" s="27">
        <v>1113</v>
      </c>
      <c r="AX100" s="81">
        <v>9948.61</v>
      </c>
      <c r="AY100" s="83">
        <v>166</v>
      </c>
      <c r="AZ100" s="83">
        <v>45</v>
      </c>
      <c r="BA100" s="83">
        <v>15</v>
      </c>
      <c r="BB100" s="83">
        <v>1</v>
      </c>
      <c r="BC100" s="99"/>
      <c r="BD100" s="99"/>
      <c r="BE100" s="3">
        <v>0.23000000044703484</v>
      </c>
    </row>
    <row r="101" spans="1:57" ht="15.6">
      <c r="A101" s="2" t="s">
        <v>118</v>
      </c>
      <c r="B101" s="19" t="s">
        <v>468</v>
      </c>
      <c r="C101" s="20" t="s">
        <v>224</v>
      </c>
      <c r="D101" s="21" t="s">
        <v>566</v>
      </c>
      <c r="E101" s="44">
        <v>45236</v>
      </c>
      <c r="F101" s="21" t="s">
        <v>515</v>
      </c>
      <c r="G101" s="23">
        <v>16070321</v>
      </c>
      <c r="H101" s="28">
        <v>29985</v>
      </c>
      <c r="I101" s="28">
        <v>1950000</v>
      </c>
      <c r="J101" s="23">
        <v>0</v>
      </c>
      <c r="K101" s="23">
        <v>11700000</v>
      </c>
      <c r="L101" s="23">
        <v>7955844.4800000004</v>
      </c>
      <c r="M101" s="23">
        <v>0</v>
      </c>
      <c r="N101" s="23">
        <v>8629494.1999999993</v>
      </c>
      <c r="O101" s="24">
        <v>0.67998670769230773</v>
      </c>
      <c r="P101" s="24">
        <v>0</v>
      </c>
      <c r="Q101" s="24">
        <v>0.7375636068376068</v>
      </c>
      <c r="R101" s="25">
        <v>28</v>
      </c>
      <c r="S101" s="25">
        <v>31</v>
      </c>
      <c r="T101" s="25">
        <v>4</v>
      </c>
      <c r="U101" s="25">
        <v>3</v>
      </c>
      <c r="V101" s="25">
        <v>32</v>
      </c>
      <c r="W101" s="25">
        <v>1</v>
      </c>
      <c r="X101" s="26">
        <v>7423169.0300000003</v>
      </c>
      <c r="Y101" s="26">
        <v>532675.44999999995</v>
      </c>
      <c r="Z101" s="25">
        <v>20</v>
      </c>
      <c r="AA101" s="25">
        <v>3</v>
      </c>
      <c r="AB101" s="25">
        <v>23</v>
      </c>
      <c r="AC101" s="25">
        <v>0</v>
      </c>
      <c r="AD101" s="25">
        <v>17</v>
      </c>
      <c r="AE101" s="25">
        <v>30</v>
      </c>
      <c r="AF101" s="25">
        <v>104</v>
      </c>
      <c r="AG101" s="25">
        <v>1</v>
      </c>
      <c r="AH101" s="25">
        <v>3</v>
      </c>
      <c r="AI101" s="25">
        <v>0</v>
      </c>
      <c r="AJ101" s="25">
        <v>0</v>
      </c>
      <c r="AK101" s="25">
        <v>0</v>
      </c>
      <c r="AL101" s="25">
        <v>0</v>
      </c>
      <c r="AM101" s="25">
        <v>541</v>
      </c>
      <c r="AN101" s="25">
        <v>574</v>
      </c>
      <c r="AO101" s="25">
        <v>143</v>
      </c>
      <c r="AP101" s="23">
        <v>55635.276083916084</v>
      </c>
      <c r="AQ101" s="26">
        <v>3.7832167832167833</v>
      </c>
      <c r="AR101" s="23">
        <v>179910</v>
      </c>
      <c r="AS101" s="23">
        <v>51825</v>
      </c>
      <c r="AT101" s="24">
        <v>2.9127643279422171E-2</v>
      </c>
      <c r="AU101" s="23">
        <v>345906.28173913044</v>
      </c>
      <c r="AV101" s="27">
        <v>58</v>
      </c>
      <c r="AW101" s="27">
        <v>1495</v>
      </c>
      <c r="AX101" s="81">
        <v>10379.799999999999</v>
      </c>
      <c r="AY101" s="83">
        <v>335</v>
      </c>
      <c r="AZ101" s="83">
        <v>23</v>
      </c>
      <c r="BA101" s="83">
        <v>8</v>
      </c>
      <c r="BB101" s="83">
        <v>1</v>
      </c>
      <c r="BC101" s="99"/>
      <c r="BD101" s="99"/>
      <c r="BE101" s="3">
        <v>-0.44000000134110451</v>
      </c>
    </row>
    <row r="102" spans="1:57" ht="15.6">
      <c r="A102" s="2" t="s">
        <v>120</v>
      </c>
      <c r="B102" s="19" t="s">
        <v>206</v>
      </c>
      <c r="C102" s="20" t="s">
        <v>180</v>
      </c>
      <c r="D102" s="21" t="s">
        <v>182</v>
      </c>
      <c r="E102" s="44">
        <v>45261</v>
      </c>
      <c r="F102" s="21" t="s">
        <v>206</v>
      </c>
      <c r="G102" s="23">
        <v>10296470</v>
      </c>
      <c r="H102" s="28">
        <v>29360</v>
      </c>
      <c r="I102" s="28">
        <v>1400000</v>
      </c>
      <c r="J102" s="23">
        <v>1200000</v>
      </c>
      <c r="K102" s="23">
        <v>7200000</v>
      </c>
      <c r="L102" s="23">
        <v>6252836.5199999996</v>
      </c>
      <c r="M102" s="23">
        <v>374537.39</v>
      </c>
      <c r="N102" s="23">
        <v>6721430</v>
      </c>
      <c r="O102" s="24">
        <v>0.78897308452380943</v>
      </c>
      <c r="P102" s="24">
        <v>0.31</v>
      </c>
      <c r="Q102" s="24">
        <v>0.80017023809523813</v>
      </c>
      <c r="R102" s="25">
        <v>71</v>
      </c>
      <c r="S102" s="25">
        <v>83</v>
      </c>
      <c r="T102" s="25">
        <v>15</v>
      </c>
      <c r="U102" s="25">
        <v>15</v>
      </c>
      <c r="V102" s="25">
        <v>86</v>
      </c>
      <c r="W102" s="25">
        <v>3</v>
      </c>
      <c r="X102" s="26">
        <v>3990742.58</v>
      </c>
      <c r="Y102" s="26">
        <v>2262093.94</v>
      </c>
      <c r="Z102" s="25">
        <v>37</v>
      </c>
      <c r="AA102" s="25">
        <v>15</v>
      </c>
      <c r="AB102" s="25">
        <v>52</v>
      </c>
      <c r="AC102" s="25">
        <v>2</v>
      </c>
      <c r="AD102" s="25">
        <v>56</v>
      </c>
      <c r="AE102" s="25">
        <v>129</v>
      </c>
      <c r="AF102" s="25">
        <v>74</v>
      </c>
      <c r="AG102" s="25">
        <v>4</v>
      </c>
      <c r="AH102" s="25">
        <v>125</v>
      </c>
      <c r="AI102" s="25">
        <v>4</v>
      </c>
      <c r="AJ102" s="25">
        <v>19</v>
      </c>
      <c r="AK102" s="25">
        <v>0</v>
      </c>
      <c r="AL102" s="25">
        <v>0</v>
      </c>
      <c r="AM102" s="25">
        <v>627</v>
      </c>
      <c r="AN102" s="25">
        <v>900</v>
      </c>
      <c r="AO102" s="25">
        <v>153</v>
      </c>
      <c r="AP102" s="23">
        <v>43316.169346405222</v>
      </c>
      <c r="AQ102" s="26">
        <v>4.0980392156862742</v>
      </c>
      <c r="AR102" s="23">
        <v>176160</v>
      </c>
      <c r="AS102" s="23">
        <v>32211</v>
      </c>
      <c r="AT102" s="24">
        <v>3.1440960300367304E-2</v>
      </c>
      <c r="AU102" s="23">
        <v>120246.85615384615</v>
      </c>
      <c r="AV102" s="27">
        <v>159</v>
      </c>
      <c r="AW102" s="27">
        <v>1544</v>
      </c>
      <c r="AX102" s="81">
        <v>9145.0499999999993</v>
      </c>
      <c r="AY102" s="83">
        <v>110</v>
      </c>
      <c r="AZ102" s="83">
        <v>52</v>
      </c>
      <c r="BA102" s="83">
        <v>31</v>
      </c>
      <c r="BB102" s="83">
        <v>3</v>
      </c>
      <c r="BC102" s="99"/>
      <c r="BD102" s="99"/>
      <c r="BE102" s="3">
        <v>907253.8200000003</v>
      </c>
    </row>
    <row r="103" spans="1:57" ht="15.6">
      <c r="A103" s="2" t="s">
        <v>118</v>
      </c>
      <c r="B103" s="19" t="s">
        <v>649</v>
      </c>
      <c r="C103" s="20" t="s">
        <v>119</v>
      </c>
      <c r="D103" s="21" t="s">
        <v>519</v>
      </c>
      <c r="E103" s="44">
        <v>45264</v>
      </c>
      <c r="F103" s="21" t="s">
        <v>567</v>
      </c>
      <c r="G103" s="23"/>
      <c r="H103" s="28">
        <v>73990</v>
      </c>
      <c r="I103" s="28"/>
      <c r="J103" s="23">
        <v>0</v>
      </c>
      <c r="K103" s="23">
        <v>0</v>
      </c>
      <c r="L103" s="23">
        <v>1925142.63</v>
      </c>
      <c r="M103" s="23">
        <v>0</v>
      </c>
      <c r="N103" s="23"/>
      <c r="O103" s="24"/>
      <c r="P103" s="24">
        <v>0</v>
      </c>
      <c r="Q103" s="24"/>
      <c r="R103" s="25">
        <v>267</v>
      </c>
      <c r="S103" s="25">
        <v>198</v>
      </c>
      <c r="T103" s="25">
        <v>45</v>
      </c>
      <c r="U103" s="25">
        <v>2</v>
      </c>
      <c r="V103" s="25">
        <v>312</v>
      </c>
      <c r="W103" s="25">
        <v>114</v>
      </c>
      <c r="X103" s="26">
        <v>1838605.83</v>
      </c>
      <c r="Y103" s="26">
        <v>86536.8</v>
      </c>
      <c r="Z103" s="25">
        <v>27</v>
      </c>
      <c r="AA103" s="25">
        <v>2</v>
      </c>
      <c r="AB103" s="25">
        <v>29</v>
      </c>
      <c r="AC103" s="25">
        <v>0</v>
      </c>
      <c r="AD103" s="25">
        <v>125</v>
      </c>
      <c r="AE103" s="25">
        <v>187</v>
      </c>
      <c r="AF103" s="25">
        <v>53</v>
      </c>
      <c r="AG103" s="25">
        <v>3</v>
      </c>
      <c r="AH103" s="25">
        <v>45</v>
      </c>
      <c r="AI103" s="25">
        <v>2</v>
      </c>
      <c r="AJ103" s="25">
        <v>2</v>
      </c>
      <c r="AK103" s="25">
        <v>2</v>
      </c>
      <c r="AL103" s="25">
        <v>4</v>
      </c>
      <c r="AM103" s="25">
        <v>432</v>
      </c>
      <c r="AN103" s="25">
        <v>670</v>
      </c>
      <c r="AO103" s="25">
        <v>150</v>
      </c>
      <c r="AP103" s="23">
        <v>12834.2842</v>
      </c>
      <c r="AQ103" s="26">
        <v>2.88</v>
      </c>
      <c r="AR103" s="23">
        <v>443940</v>
      </c>
      <c r="AS103" s="23">
        <v>140087</v>
      </c>
      <c r="AT103" s="24">
        <v>0.30336817173904668</v>
      </c>
      <c r="AU103" s="23">
        <v>66384.228620689653</v>
      </c>
      <c r="AV103" s="27">
        <v>77</v>
      </c>
      <c r="AW103" s="27">
        <v>1748</v>
      </c>
      <c r="AX103" s="81">
        <v>9989.34</v>
      </c>
      <c r="AY103" s="83">
        <v>50</v>
      </c>
      <c r="AZ103" s="83">
        <v>29</v>
      </c>
      <c r="BA103" s="83">
        <v>186</v>
      </c>
      <c r="BB103" s="83">
        <v>97</v>
      </c>
      <c r="BC103" s="99"/>
      <c r="BD103" s="99"/>
      <c r="BE103" s="3" t="e">
        <v>#N/A</v>
      </c>
    </row>
    <row r="104" spans="1:57" ht="15.6">
      <c r="A104" s="2" t="s">
        <v>177</v>
      </c>
      <c r="B104" s="19" t="s">
        <v>364</v>
      </c>
      <c r="C104" s="20" t="s">
        <v>225</v>
      </c>
      <c r="D104" s="21" t="s">
        <v>569</v>
      </c>
      <c r="E104" s="44">
        <v>45271</v>
      </c>
      <c r="F104" s="21" t="s">
        <v>568</v>
      </c>
      <c r="G104" s="23"/>
      <c r="H104" s="28">
        <v>40365</v>
      </c>
      <c r="I104" s="28"/>
      <c r="J104" s="23">
        <v>0</v>
      </c>
      <c r="K104" s="23">
        <v>0</v>
      </c>
      <c r="L104" s="23">
        <v>0</v>
      </c>
      <c r="M104" s="23">
        <v>0</v>
      </c>
      <c r="N104" s="23"/>
      <c r="O104" s="24"/>
      <c r="P104" s="24">
        <v>0</v>
      </c>
      <c r="Q104" s="24"/>
      <c r="R104" s="25">
        <v>66</v>
      </c>
      <c r="S104" s="25">
        <v>35</v>
      </c>
      <c r="T104" s="25">
        <v>1</v>
      </c>
      <c r="U104" s="25">
        <v>0</v>
      </c>
      <c r="V104" s="25">
        <v>67</v>
      </c>
      <c r="W104" s="25">
        <v>32</v>
      </c>
      <c r="X104" s="26">
        <v>0</v>
      </c>
      <c r="Y104" s="26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16</v>
      </c>
      <c r="AE104" s="25">
        <v>25</v>
      </c>
      <c r="AF104" s="25">
        <v>76</v>
      </c>
      <c r="AG104" s="25">
        <v>6</v>
      </c>
      <c r="AH104" s="25">
        <v>71</v>
      </c>
      <c r="AI104" s="25">
        <v>0</v>
      </c>
      <c r="AJ104" s="25">
        <v>0</v>
      </c>
      <c r="AK104" s="25">
        <v>95</v>
      </c>
      <c r="AL104" s="25">
        <v>218</v>
      </c>
      <c r="AM104" s="25">
        <v>45</v>
      </c>
      <c r="AN104" s="25">
        <v>359</v>
      </c>
      <c r="AO104" s="25">
        <v>133</v>
      </c>
      <c r="AP104" s="23">
        <v>0</v>
      </c>
      <c r="AQ104" s="26">
        <v>0.33834586466165412</v>
      </c>
      <c r="AR104" s="23">
        <v>242190</v>
      </c>
      <c r="AS104" s="23">
        <v>69317</v>
      </c>
      <c r="AT104" s="24"/>
      <c r="AU104" s="23"/>
      <c r="AV104" s="27">
        <v>0</v>
      </c>
      <c r="AW104" s="27">
        <v>1251</v>
      </c>
      <c r="AX104" s="81">
        <v>16876.080000000002</v>
      </c>
      <c r="AY104" s="83">
        <v>482</v>
      </c>
      <c r="AZ104" s="83">
        <v>0</v>
      </c>
      <c r="BA104" s="83">
        <v>35</v>
      </c>
      <c r="BB104" s="83">
        <v>32</v>
      </c>
      <c r="BC104" s="99">
        <v>45930</v>
      </c>
      <c r="BD104" s="99"/>
      <c r="BE104" s="3" t="e">
        <v>#N/A</v>
      </c>
    </row>
    <row r="105" spans="1:57" ht="15.6">
      <c r="A105" s="2" t="s">
        <v>118</v>
      </c>
      <c r="B105" s="19" t="s">
        <v>359</v>
      </c>
      <c r="C105" s="20" t="s">
        <v>226</v>
      </c>
      <c r="D105" s="21" t="s">
        <v>571</v>
      </c>
      <c r="E105" s="44">
        <v>45278</v>
      </c>
      <c r="F105" s="21" t="s">
        <v>442</v>
      </c>
      <c r="G105" s="23">
        <v>10015957.879999999</v>
      </c>
      <c r="H105" s="28">
        <v>39855</v>
      </c>
      <c r="I105" s="28">
        <v>1700000</v>
      </c>
      <c r="J105" s="23">
        <v>0</v>
      </c>
      <c r="K105" s="23">
        <v>10200000</v>
      </c>
      <c r="L105" s="23">
        <v>5742644.3499999996</v>
      </c>
      <c r="M105" s="23">
        <v>0</v>
      </c>
      <c r="N105" s="23">
        <v>8646224</v>
      </c>
      <c r="O105" s="24">
        <v>0.56300434803921562</v>
      </c>
      <c r="P105" s="24">
        <v>0</v>
      </c>
      <c r="Q105" s="24">
        <v>0.84766901960784313</v>
      </c>
      <c r="R105" s="25">
        <v>62</v>
      </c>
      <c r="S105" s="25">
        <v>66</v>
      </c>
      <c r="T105" s="25">
        <v>6</v>
      </c>
      <c r="U105" s="25">
        <v>6</v>
      </c>
      <c r="V105" s="25">
        <v>68</v>
      </c>
      <c r="W105" s="25">
        <v>2</v>
      </c>
      <c r="X105" s="26">
        <v>5316538.67</v>
      </c>
      <c r="Y105" s="26">
        <v>426105.68</v>
      </c>
      <c r="Z105" s="25">
        <v>31</v>
      </c>
      <c r="AA105" s="25">
        <v>6</v>
      </c>
      <c r="AB105" s="25">
        <v>37</v>
      </c>
      <c r="AC105" s="25">
        <v>0</v>
      </c>
      <c r="AD105" s="25">
        <v>41</v>
      </c>
      <c r="AE105" s="25">
        <v>101</v>
      </c>
      <c r="AF105" s="25">
        <v>89</v>
      </c>
      <c r="AG105" s="25">
        <v>2</v>
      </c>
      <c r="AH105" s="25">
        <v>23</v>
      </c>
      <c r="AI105" s="25">
        <v>0</v>
      </c>
      <c r="AJ105" s="25">
        <v>0</v>
      </c>
      <c r="AK105" s="25">
        <v>0</v>
      </c>
      <c r="AL105" s="25">
        <v>0</v>
      </c>
      <c r="AM105" s="25">
        <v>649</v>
      </c>
      <c r="AN105" s="25">
        <v>773</v>
      </c>
      <c r="AO105" s="25">
        <v>148</v>
      </c>
      <c r="AP105" s="23">
        <v>38801.65101351351</v>
      </c>
      <c r="AQ105" s="26">
        <v>4.3851351351351351</v>
      </c>
      <c r="AR105" s="23">
        <v>239130</v>
      </c>
      <c r="AS105" s="23">
        <v>53928</v>
      </c>
      <c r="AT105" s="24">
        <v>5.1031890909281195E-2</v>
      </c>
      <c r="AU105" s="23">
        <v>155206.60405405404</v>
      </c>
      <c r="AV105" s="27">
        <v>165</v>
      </c>
      <c r="AW105" s="27">
        <v>1714</v>
      </c>
      <c r="AX105" s="81">
        <v>12949.04</v>
      </c>
      <c r="AY105" s="83">
        <v>196</v>
      </c>
      <c r="AZ105" s="83">
        <v>37</v>
      </c>
      <c r="BA105" s="83">
        <v>29</v>
      </c>
      <c r="BB105" s="83">
        <v>2</v>
      </c>
      <c r="BC105" s="99"/>
      <c r="BD105" s="99"/>
      <c r="BE105" s="3">
        <v>0.44000000040978193</v>
      </c>
    </row>
    <row r="106" spans="1:57" ht="15.6">
      <c r="A106" s="2" t="s">
        <v>118</v>
      </c>
      <c r="B106" s="19" t="s">
        <v>484</v>
      </c>
      <c r="C106" s="20" t="s">
        <v>227</v>
      </c>
      <c r="D106" s="21" t="s">
        <v>573</v>
      </c>
      <c r="E106" s="44">
        <v>45292</v>
      </c>
      <c r="F106" s="21" t="s">
        <v>572</v>
      </c>
      <c r="G106" s="23">
        <v>9030360</v>
      </c>
      <c r="H106" s="28">
        <v>29430</v>
      </c>
      <c r="I106" s="28">
        <v>1500000</v>
      </c>
      <c r="J106" s="23">
        <v>0</v>
      </c>
      <c r="K106" s="23">
        <v>9000000</v>
      </c>
      <c r="L106" s="23">
        <v>8084651.6299999999</v>
      </c>
      <c r="M106" s="23">
        <v>0</v>
      </c>
      <c r="N106" s="23">
        <v>8081997</v>
      </c>
      <c r="O106" s="24">
        <v>0.8982946255555555</v>
      </c>
      <c r="P106" s="24">
        <v>0</v>
      </c>
      <c r="Q106" s="24">
        <v>0.89799966666666664</v>
      </c>
      <c r="R106" s="25">
        <v>41</v>
      </c>
      <c r="S106" s="25">
        <v>38</v>
      </c>
      <c r="T106" s="25">
        <v>1</v>
      </c>
      <c r="U106" s="25">
        <v>1</v>
      </c>
      <c r="V106" s="25">
        <v>42</v>
      </c>
      <c r="W106" s="25">
        <v>4</v>
      </c>
      <c r="X106" s="26">
        <v>7595906.9299999997</v>
      </c>
      <c r="Y106" s="26">
        <v>488744.7</v>
      </c>
      <c r="Z106" s="25">
        <v>26</v>
      </c>
      <c r="AA106" s="25">
        <v>1</v>
      </c>
      <c r="AB106" s="25">
        <v>27</v>
      </c>
      <c r="AC106" s="25">
        <v>0</v>
      </c>
      <c r="AD106" s="25">
        <v>18</v>
      </c>
      <c r="AE106" s="25">
        <v>30</v>
      </c>
      <c r="AF106" s="25">
        <v>69</v>
      </c>
      <c r="AG106" s="25">
        <v>1</v>
      </c>
      <c r="AH106" s="25">
        <v>1</v>
      </c>
      <c r="AI106" s="25">
        <v>0</v>
      </c>
      <c r="AJ106" s="25">
        <v>0</v>
      </c>
      <c r="AK106" s="25">
        <v>0</v>
      </c>
      <c r="AL106" s="25">
        <v>0</v>
      </c>
      <c r="AM106" s="25">
        <v>756</v>
      </c>
      <c r="AN106" s="25">
        <v>787</v>
      </c>
      <c r="AO106" s="25">
        <v>137</v>
      </c>
      <c r="AP106" s="23">
        <v>59012.055693430659</v>
      </c>
      <c r="AQ106" s="26">
        <v>5.5182481751824817</v>
      </c>
      <c r="AR106" s="23">
        <v>176580</v>
      </c>
      <c r="AS106" s="23">
        <v>48600</v>
      </c>
      <c r="AT106" s="24">
        <v>2.7852777127021364E-2</v>
      </c>
      <c r="AU106" s="23">
        <v>299431.54185185186</v>
      </c>
      <c r="AV106" s="27">
        <v>81</v>
      </c>
      <c r="AW106" s="27">
        <v>1603</v>
      </c>
      <c r="AX106" s="81">
        <v>4307.55</v>
      </c>
      <c r="AY106" s="83">
        <v>113</v>
      </c>
      <c r="AZ106" s="83">
        <v>27</v>
      </c>
      <c r="BA106" s="83">
        <v>12</v>
      </c>
      <c r="BB106" s="83">
        <v>3</v>
      </c>
      <c r="BC106" s="99"/>
      <c r="BD106" s="99"/>
      <c r="BE106" s="3">
        <v>0.36000000033527613</v>
      </c>
    </row>
    <row r="107" spans="1:57" ht="15.6">
      <c r="A107" s="2" t="s">
        <v>118</v>
      </c>
      <c r="B107" s="19" t="s">
        <v>436</v>
      </c>
      <c r="C107" s="20" t="s">
        <v>228</v>
      </c>
      <c r="D107" s="21" t="s">
        <v>449</v>
      </c>
      <c r="E107" s="44">
        <v>45294</v>
      </c>
      <c r="F107" s="21" t="s">
        <v>499</v>
      </c>
      <c r="G107" s="23">
        <v>6456256</v>
      </c>
      <c r="H107" s="28">
        <v>66887</v>
      </c>
      <c r="I107" s="28">
        <v>1666667</v>
      </c>
      <c r="J107" s="23">
        <v>0</v>
      </c>
      <c r="K107" s="23">
        <v>10000002</v>
      </c>
      <c r="L107" s="23">
        <v>6289211.4000000004</v>
      </c>
      <c r="M107" s="23">
        <v>0</v>
      </c>
      <c r="N107" s="23">
        <v>5655590.0999999996</v>
      </c>
      <c r="O107" s="24">
        <v>0.62892101421579716</v>
      </c>
      <c r="P107" s="24">
        <v>0</v>
      </c>
      <c r="Q107" s="24">
        <v>0.56555889688822059</v>
      </c>
      <c r="R107" s="25">
        <v>85</v>
      </c>
      <c r="S107" s="25">
        <v>68</v>
      </c>
      <c r="T107" s="25">
        <v>20</v>
      </c>
      <c r="U107" s="25">
        <v>18</v>
      </c>
      <c r="V107" s="25">
        <v>105</v>
      </c>
      <c r="W107" s="25">
        <v>37</v>
      </c>
      <c r="X107" s="26">
        <v>5318140.5</v>
      </c>
      <c r="Y107" s="26">
        <v>971070.9</v>
      </c>
      <c r="Z107" s="25">
        <v>32</v>
      </c>
      <c r="AA107" s="25">
        <v>18</v>
      </c>
      <c r="AB107" s="25">
        <v>50</v>
      </c>
      <c r="AC107" s="25">
        <v>0</v>
      </c>
      <c r="AD107" s="25">
        <v>8</v>
      </c>
      <c r="AE107" s="25">
        <v>10</v>
      </c>
      <c r="AF107" s="25">
        <v>90</v>
      </c>
      <c r="AG107" s="25">
        <v>4</v>
      </c>
      <c r="AH107" s="25">
        <v>32</v>
      </c>
      <c r="AI107" s="25">
        <v>2</v>
      </c>
      <c r="AJ107" s="25">
        <v>39</v>
      </c>
      <c r="AK107" s="25">
        <v>3</v>
      </c>
      <c r="AL107" s="25">
        <v>7</v>
      </c>
      <c r="AM107" s="25">
        <v>259</v>
      </c>
      <c r="AN107" s="25">
        <v>347</v>
      </c>
      <c r="AO107" s="25">
        <v>149</v>
      </c>
      <c r="AP107" s="23">
        <v>42209.472483221478</v>
      </c>
      <c r="AQ107" s="26">
        <v>1.738255033557047</v>
      </c>
      <c r="AR107" s="23">
        <v>401322</v>
      </c>
      <c r="AS107" s="23">
        <v>99819</v>
      </c>
      <c r="AT107" s="24">
        <v>7.9682645108733338E-2</v>
      </c>
      <c r="AU107" s="23">
        <v>125784.228</v>
      </c>
      <c r="AV107" s="27">
        <v>115</v>
      </c>
      <c r="AW107" s="27">
        <v>1569</v>
      </c>
      <c r="AX107" s="81">
        <v>10445.64</v>
      </c>
      <c r="AY107" s="83">
        <v>154</v>
      </c>
      <c r="AZ107" s="83">
        <v>50</v>
      </c>
      <c r="BA107" s="83">
        <v>23</v>
      </c>
      <c r="BB107" s="83">
        <v>32</v>
      </c>
      <c r="BC107" s="99"/>
      <c r="BD107" s="99"/>
      <c r="BE107" s="3">
        <v>-5.0000001676380634E-2</v>
      </c>
    </row>
    <row r="108" spans="1:57" ht="15.6">
      <c r="A108" s="2" t="s">
        <v>118</v>
      </c>
      <c r="B108" s="19" t="s">
        <v>362</v>
      </c>
      <c r="C108" s="20" t="s">
        <v>229</v>
      </c>
      <c r="D108" s="21" t="s">
        <v>539</v>
      </c>
      <c r="E108" s="44">
        <v>45295</v>
      </c>
      <c r="F108" s="21" t="s">
        <v>419</v>
      </c>
      <c r="G108" s="23"/>
      <c r="H108" s="28">
        <v>88555</v>
      </c>
      <c r="I108" s="28"/>
      <c r="J108" s="23">
        <v>0</v>
      </c>
      <c r="K108" s="23">
        <v>0</v>
      </c>
      <c r="L108" s="23">
        <v>0</v>
      </c>
      <c r="M108" s="23">
        <v>0</v>
      </c>
      <c r="N108" s="23"/>
      <c r="O108" s="24"/>
      <c r="P108" s="24">
        <v>0</v>
      </c>
      <c r="Q108" s="24"/>
      <c r="R108" s="25">
        <v>158</v>
      </c>
      <c r="S108" s="25">
        <v>148</v>
      </c>
      <c r="T108" s="25">
        <v>12</v>
      </c>
      <c r="U108" s="25">
        <v>0</v>
      </c>
      <c r="V108" s="25">
        <v>170</v>
      </c>
      <c r="W108" s="25">
        <v>22</v>
      </c>
      <c r="X108" s="26">
        <v>0</v>
      </c>
      <c r="Y108" s="26">
        <v>0</v>
      </c>
      <c r="Z108" s="25">
        <v>0</v>
      </c>
      <c r="AA108" s="25">
        <v>0</v>
      </c>
      <c r="AB108" s="25">
        <v>0</v>
      </c>
      <c r="AC108" s="25">
        <v>0</v>
      </c>
      <c r="AD108" s="25">
        <v>16</v>
      </c>
      <c r="AE108" s="25">
        <v>21</v>
      </c>
      <c r="AF108" s="25">
        <v>7</v>
      </c>
      <c r="AG108" s="25">
        <v>10</v>
      </c>
      <c r="AH108" s="25">
        <v>39</v>
      </c>
      <c r="AI108" s="25">
        <v>0</v>
      </c>
      <c r="AJ108" s="25">
        <v>0</v>
      </c>
      <c r="AK108" s="25">
        <v>0</v>
      </c>
      <c r="AL108" s="25">
        <v>0</v>
      </c>
      <c r="AM108" s="25">
        <v>281</v>
      </c>
      <c r="AN108" s="25">
        <v>341</v>
      </c>
      <c r="AO108" s="25">
        <v>148</v>
      </c>
      <c r="AP108" s="23">
        <v>0</v>
      </c>
      <c r="AQ108" s="26">
        <v>1.8986486486486487</v>
      </c>
      <c r="AR108" s="23">
        <v>531330</v>
      </c>
      <c r="AS108" s="23">
        <v>50271</v>
      </c>
      <c r="AT108" s="24"/>
      <c r="AU108" s="23"/>
      <c r="AV108" s="27">
        <v>0</v>
      </c>
      <c r="AW108" s="27">
        <v>1661</v>
      </c>
      <c r="AX108" s="81">
        <v>15278.65</v>
      </c>
      <c r="AY108" s="83">
        <v>103</v>
      </c>
      <c r="AZ108" s="83">
        <v>0</v>
      </c>
      <c r="BA108" s="83">
        <v>148</v>
      </c>
      <c r="BB108" s="83">
        <v>22</v>
      </c>
      <c r="BC108" s="99"/>
      <c r="BD108" s="99"/>
      <c r="BE108" s="3" t="e">
        <v>#N/A</v>
      </c>
    </row>
    <row r="109" spans="1:57" ht="15.6">
      <c r="A109" s="2" t="s">
        <v>118</v>
      </c>
      <c r="B109" s="19" t="s">
        <v>484</v>
      </c>
      <c r="C109" s="20" t="s">
        <v>232</v>
      </c>
      <c r="D109" s="21" t="s">
        <v>575</v>
      </c>
      <c r="E109" s="44">
        <v>45309</v>
      </c>
      <c r="F109" s="21" t="s">
        <v>574</v>
      </c>
      <c r="G109" s="23">
        <v>11640474</v>
      </c>
      <c r="H109" s="28">
        <v>42820</v>
      </c>
      <c r="I109" s="28">
        <v>1500000</v>
      </c>
      <c r="J109" s="23">
        <v>0</v>
      </c>
      <c r="K109" s="23">
        <v>9000000</v>
      </c>
      <c r="L109" s="23">
        <v>8801397.5399999991</v>
      </c>
      <c r="M109" s="23">
        <v>0</v>
      </c>
      <c r="N109" s="23">
        <v>8724214</v>
      </c>
      <c r="O109" s="24">
        <v>0.97793305999999991</v>
      </c>
      <c r="P109" s="24">
        <v>0</v>
      </c>
      <c r="Q109" s="24">
        <v>0.96935711111111111</v>
      </c>
      <c r="R109" s="25">
        <v>104</v>
      </c>
      <c r="S109" s="25">
        <v>100</v>
      </c>
      <c r="T109" s="25">
        <v>2</v>
      </c>
      <c r="U109" s="25">
        <v>2</v>
      </c>
      <c r="V109" s="25">
        <v>106</v>
      </c>
      <c r="W109" s="25">
        <v>6</v>
      </c>
      <c r="X109" s="26">
        <v>8580668.5800000001</v>
      </c>
      <c r="Y109" s="26">
        <v>220728.95999999999</v>
      </c>
      <c r="Z109" s="25">
        <v>47</v>
      </c>
      <c r="AA109" s="25">
        <v>2</v>
      </c>
      <c r="AB109" s="25">
        <v>49</v>
      </c>
      <c r="AC109" s="25">
        <v>0</v>
      </c>
      <c r="AD109" s="25">
        <v>8</v>
      </c>
      <c r="AE109" s="25">
        <v>22</v>
      </c>
      <c r="AF109" s="25">
        <v>83</v>
      </c>
      <c r="AG109" s="25">
        <v>1</v>
      </c>
      <c r="AH109" s="25">
        <v>11</v>
      </c>
      <c r="AI109" s="25">
        <v>0</v>
      </c>
      <c r="AJ109" s="25">
        <v>0</v>
      </c>
      <c r="AK109" s="25">
        <v>0</v>
      </c>
      <c r="AL109" s="25">
        <v>0</v>
      </c>
      <c r="AM109" s="25">
        <v>635</v>
      </c>
      <c r="AN109" s="25">
        <v>668</v>
      </c>
      <c r="AO109" s="25">
        <v>138</v>
      </c>
      <c r="AP109" s="23">
        <v>63778.243043478251</v>
      </c>
      <c r="AQ109" s="26">
        <v>4.6014492753623184</v>
      </c>
      <c r="AR109" s="23">
        <v>256920</v>
      </c>
      <c r="AS109" s="23">
        <v>52740</v>
      </c>
      <c r="AT109" s="24">
        <v>3.5183048895664364E-2</v>
      </c>
      <c r="AU109" s="23">
        <v>179620.35795918366</v>
      </c>
      <c r="AV109" s="27">
        <v>137</v>
      </c>
      <c r="AW109" s="27">
        <v>1314</v>
      </c>
      <c r="AX109" s="81">
        <v>6593.72</v>
      </c>
      <c r="AY109" s="83">
        <v>66</v>
      </c>
      <c r="AZ109" s="83">
        <v>49</v>
      </c>
      <c r="BA109" s="83">
        <v>51</v>
      </c>
      <c r="BB109" s="83">
        <v>6</v>
      </c>
      <c r="BC109" s="99"/>
      <c r="BD109" s="99"/>
      <c r="BE109" s="3">
        <v>-0.70999999903142452</v>
      </c>
    </row>
    <row r="110" spans="1:57" ht="15.6">
      <c r="A110" s="2" t="s">
        <v>177</v>
      </c>
      <c r="B110" s="19" t="s">
        <v>364</v>
      </c>
      <c r="C110" s="20" t="s">
        <v>231</v>
      </c>
      <c r="D110" s="21" t="s">
        <v>361</v>
      </c>
      <c r="E110" s="44">
        <v>45311</v>
      </c>
      <c r="F110" s="21" t="s">
        <v>576</v>
      </c>
      <c r="G110" s="23">
        <v>5256136</v>
      </c>
      <c r="H110" s="28">
        <v>28835</v>
      </c>
      <c r="I110" s="28">
        <v>833333</v>
      </c>
      <c r="J110" s="23">
        <v>0</v>
      </c>
      <c r="K110" s="23">
        <v>4999998</v>
      </c>
      <c r="L110" s="23">
        <v>2905131.02</v>
      </c>
      <c r="M110" s="23">
        <v>0</v>
      </c>
      <c r="N110" s="23">
        <v>2932986</v>
      </c>
      <c r="O110" s="24">
        <v>0.58102643641057461</v>
      </c>
      <c r="P110" s="24">
        <v>0</v>
      </c>
      <c r="Q110" s="24">
        <v>0.58659743463897385</v>
      </c>
      <c r="R110" s="25">
        <v>69</v>
      </c>
      <c r="S110" s="25">
        <v>74</v>
      </c>
      <c r="T110" s="25">
        <v>5</v>
      </c>
      <c r="U110" s="25">
        <v>5</v>
      </c>
      <c r="V110" s="25">
        <v>74</v>
      </c>
      <c r="W110" s="25">
        <v>0</v>
      </c>
      <c r="X110" s="26">
        <v>2665873.73</v>
      </c>
      <c r="Y110" s="26">
        <v>239257.29</v>
      </c>
      <c r="Z110" s="25">
        <v>65</v>
      </c>
      <c r="AA110" s="25">
        <v>5</v>
      </c>
      <c r="AB110" s="25">
        <v>70</v>
      </c>
      <c r="AC110" s="25">
        <v>0</v>
      </c>
      <c r="AD110" s="25">
        <v>57</v>
      </c>
      <c r="AE110" s="25">
        <v>116</v>
      </c>
      <c r="AF110" s="25">
        <v>175</v>
      </c>
      <c r="AG110" s="25">
        <v>1</v>
      </c>
      <c r="AH110" s="25">
        <v>94</v>
      </c>
      <c r="AI110" s="25">
        <v>1</v>
      </c>
      <c r="AJ110" s="25">
        <v>1</v>
      </c>
      <c r="AK110" s="25">
        <v>0</v>
      </c>
      <c r="AL110" s="25">
        <v>0</v>
      </c>
      <c r="AM110" s="25">
        <v>792</v>
      </c>
      <c r="AN110" s="25">
        <v>1003</v>
      </c>
      <c r="AO110" s="25">
        <v>142</v>
      </c>
      <c r="AP110" s="23">
        <v>20458.669154929579</v>
      </c>
      <c r="AQ110" s="26">
        <v>5.577464788732394</v>
      </c>
      <c r="AR110" s="23">
        <v>173010</v>
      </c>
      <c r="AS110" s="23">
        <v>30853</v>
      </c>
      <c r="AT110" s="24">
        <v>7.0173427152349227E-2</v>
      </c>
      <c r="AU110" s="23">
        <v>41501.871714285713</v>
      </c>
      <c r="AV110" s="27">
        <v>462</v>
      </c>
      <c r="AW110" s="27">
        <v>1342</v>
      </c>
      <c r="AX110" s="81">
        <v>17293.05</v>
      </c>
      <c r="AY110" s="83">
        <v>234</v>
      </c>
      <c r="AZ110" s="83">
        <v>70</v>
      </c>
      <c r="BA110" s="83">
        <v>4</v>
      </c>
      <c r="BB110" s="83">
        <v>0</v>
      </c>
      <c r="BC110" s="99"/>
      <c r="BD110" s="99"/>
      <c r="BE110" s="3">
        <v>0.10000000009313226</v>
      </c>
    </row>
    <row r="111" spans="1:57" ht="15.6">
      <c r="A111" s="2" t="s">
        <v>154</v>
      </c>
      <c r="B111" s="19" t="s">
        <v>367</v>
      </c>
      <c r="C111" s="20" t="s">
        <v>234</v>
      </c>
      <c r="D111" s="21" t="s">
        <v>578</v>
      </c>
      <c r="E111" s="44">
        <v>45313</v>
      </c>
      <c r="F111" s="21" t="s">
        <v>577</v>
      </c>
      <c r="G111" s="23">
        <v>675146</v>
      </c>
      <c r="H111" s="28">
        <v>24425</v>
      </c>
      <c r="I111" s="28">
        <v>600000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4"/>
      <c r="P111" s="24">
        <v>0</v>
      </c>
      <c r="Q111" s="24"/>
      <c r="R111" s="25">
        <v>41</v>
      </c>
      <c r="S111" s="25">
        <v>20</v>
      </c>
      <c r="T111" s="25">
        <v>5</v>
      </c>
      <c r="U111" s="25">
        <v>0</v>
      </c>
      <c r="V111" s="25">
        <v>46</v>
      </c>
      <c r="W111" s="25">
        <v>26</v>
      </c>
      <c r="X111" s="26">
        <v>0</v>
      </c>
      <c r="Y111" s="26">
        <v>0</v>
      </c>
      <c r="Z111" s="25">
        <v>0</v>
      </c>
      <c r="AA111" s="25">
        <v>0</v>
      </c>
      <c r="AB111" s="25">
        <v>0</v>
      </c>
      <c r="AC111" s="25">
        <v>0</v>
      </c>
      <c r="AD111" s="25">
        <v>18</v>
      </c>
      <c r="AE111" s="25">
        <v>21</v>
      </c>
      <c r="AF111" s="25">
        <v>345</v>
      </c>
      <c r="AG111" s="25">
        <v>3</v>
      </c>
      <c r="AH111" s="25">
        <v>9</v>
      </c>
      <c r="AI111" s="25">
        <v>0</v>
      </c>
      <c r="AJ111" s="25">
        <v>0</v>
      </c>
      <c r="AK111" s="25">
        <v>0</v>
      </c>
      <c r="AL111" s="25">
        <v>0</v>
      </c>
      <c r="AM111" s="25">
        <v>34</v>
      </c>
      <c r="AN111" s="25">
        <v>64</v>
      </c>
      <c r="AO111" s="25">
        <v>16</v>
      </c>
      <c r="AP111" s="23">
        <v>0</v>
      </c>
      <c r="AQ111" s="26">
        <v>2.125</v>
      </c>
      <c r="AR111" s="23">
        <v>17097.5</v>
      </c>
      <c r="AS111" s="23">
        <v>11425</v>
      </c>
      <c r="AT111" s="24"/>
      <c r="AU111" s="23"/>
      <c r="AV111" s="27">
        <v>0</v>
      </c>
      <c r="AW111" s="27">
        <v>130</v>
      </c>
      <c r="AX111" s="81">
        <v>1233.1199999999999</v>
      </c>
      <c r="AY111" s="83">
        <v>62</v>
      </c>
      <c r="AZ111" s="83">
        <v>0</v>
      </c>
      <c r="BA111" s="83">
        <v>20</v>
      </c>
      <c r="BB111" s="83">
        <v>26</v>
      </c>
      <c r="BC111" s="99">
        <v>45768</v>
      </c>
      <c r="BD111" s="99"/>
      <c r="BE111" s="3">
        <v>0</v>
      </c>
    </row>
    <row r="112" spans="1:57" ht="15.6">
      <c r="A112" s="2" t="s">
        <v>201</v>
      </c>
      <c r="B112" s="19" t="s">
        <v>431</v>
      </c>
      <c r="C112" s="20" t="s">
        <v>105</v>
      </c>
      <c r="D112" s="21" t="s">
        <v>541</v>
      </c>
      <c r="E112" s="44">
        <v>45323</v>
      </c>
      <c r="F112" s="21" t="s">
        <v>431</v>
      </c>
      <c r="G112" s="23">
        <v>13537922</v>
      </c>
      <c r="H112" s="28">
        <v>56000</v>
      </c>
      <c r="I112" s="28">
        <v>2500000</v>
      </c>
      <c r="J112" s="23">
        <v>2400000</v>
      </c>
      <c r="K112" s="23">
        <v>12600000</v>
      </c>
      <c r="L112" s="23">
        <v>8976798.7400000002</v>
      </c>
      <c r="M112" s="23">
        <v>194495.19</v>
      </c>
      <c r="N112" s="23">
        <v>10426431</v>
      </c>
      <c r="O112" s="24">
        <v>0.61141959533333334</v>
      </c>
      <c r="P112" s="24">
        <v>0.08</v>
      </c>
      <c r="Q112" s="24">
        <v>0.69509540000000003</v>
      </c>
      <c r="R112" s="25">
        <v>118</v>
      </c>
      <c r="S112" s="25">
        <v>119</v>
      </c>
      <c r="T112" s="25">
        <v>10</v>
      </c>
      <c r="U112" s="25">
        <v>8</v>
      </c>
      <c r="V112" s="25">
        <v>128</v>
      </c>
      <c r="W112" s="25">
        <v>9</v>
      </c>
      <c r="X112" s="26">
        <v>8118148.7599999998</v>
      </c>
      <c r="Y112" s="26">
        <v>858649.98</v>
      </c>
      <c r="Z112" s="25">
        <v>76</v>
      </c>
      <c r="AA112" s="25">
        <v>8</v>
      </c>
      <c r="AB112" s="25">
        <v>84</v>
      </c>
      <c r="AC112" s="25">
        <v>2</v>
      </c>
      <c r="AD112" s="25">
        <v>41</v>
      </c>
      <c r="AE112" s="25">
        <v>58</v>
      </c>
      <c r="AF112" s="25">
        <v>103</v>
      </c>
      <c r="AG112" s="25">
        <v>5</v>
      </c>
      <c r="AH112" s="25">
        <v>134</v>
      </c>
      <c r="AI112" s="25">
        <v>4</v>
      </c>
      <c r="AJ112" s="25">
        <v>9</v>
      </c>
      <c r="AK112" s="25">
        <v>0</v>
      </c>
      <c r="AL112" s="25">
        <v>0</v>
      </c>
      <c r="AM112" s="25">
        <v>694</v>
      </c>
      <c r="AN112" s="25">
        <v>895</v>
      </c>
      <c r="AO112" s="25">
        <v>153</v>
      </c>
      <c r="AP112" s="23">
        <v>59943.097581699345</v>
      </c>
      <c r="AQ112" s="26">
        <v>4.5359477124183005</v>
      </c>
      <c r="AR112" s="23">
        <v>336000</v>
      </c>
      <c r="AS112" s="23">
        <v>39845</v>
      </c>
      <c r="AT112" s="24">
        <v>4.0980586040382204E-2</v>
      </c>
      <c r="AU112" s="23">
        <v>106866.65166666667</v>
      </c>
      <c r="AV112" s="27">
        <v>209</v>
      </c>
      <c r="AW112" s="27">
        <v>1302</v>
      </c>
      <c r="AX112" s="81">
        <v>8805.36</v>
      </c>
      <c r="AY112" s="83">
        <v>74</v>
      </c>
      <c r="AZ112" s="83">
        <v>84</v>
      </c>
      <c r="BA112" s="83">
        <v>36</v>
      </c>
      <c r="BB112" s="83">
        <v>8</v>
      </c>
      <c r="BC112" s="99"/>
      <c r="BD112" s="99"/>
      <c r="BE112" s="3">
        <v>-0.29999999888241291</v>
      </c>
    </row>
    <row r="113" spans="1:57" ht="15.6">
      <c r="A113" s="2" t="s">
        <v>118</v>
      </c>
      <c r="B113" s="19" t="s">
        <v>362</v>
      </c>
      <c r="C113" s="20" t="s">
        <v>235</v>
      </c>
      <c r="D113" s="21" t="s">
        <v>579</v>
      </c>
      <c r="E113" s="44">
        <v>45323</v>
      </c>
      <c r="F113" s="21" t="s">
        <v>419</v>
      </c>
      <c r="G113" s="23">
        <v>11715104</v>
      </c>
      <c r="H113" s="28">
        <v>30950</v>
      </c>
      <c r="I113" s="28">
        <v>2000000</v>
      </c>
      <c r="J113" s="23">
        <v>0</v>
      </c>
      <c r="K113" s="23">
        <v>12000000</v>
      </c>
      <c r="L113" s="23">
        <v>7692951.3200000003</v>
      </c>
      <c r="M113" s="23">
        <v>0</v>
      </c>
      <c r="N113" s="23">
        <v>7629373</v>
      </c>
      <c r="O113" s="24">
        <v>0.64107927666666664</v>
      </c>
      <c r="P113" s="24">
        <v>0</v>
      </c>
      <c r="Q113" s="24">
        <v>0.63578108333333339</v>
      </c>
      <c r="R113" s="25">
        <v>58</v>
      </c>
      <c r="S113" s="25">
        <v>64</v>
      </c>
      <c r="T113" s="25">
        <v>9</v>
      </c>
      <c r="U113" s="25">
        <v>9</v>
      </c>
      <c r="V113" s="25">
        <v>67</v>
      </c>
      <c r="W113" s="25">
        <v>3</v>
      </c>
      <c r="X113" s="26">
        <v>6885032.1200000001</v>
      </c>
      <c r="Y113" s="26">
        <v>807919.2</v>
      </c>
      <c r="Z113" s="25">
        <v>34</v>
      </c>
      <c r="AA113" s="25">
        <v>9</v>
      </c>
      <c r="AB113" s="25">
        <v>43</v>
      </c>
      <c r="AC113" s="25">
        <v>0</v>
      </c>
      <c r="AD113" s="25">
        <v>85</v>
      </c>
      <c r="AE113" s="25">
        <v>144</v>
      </c>
      <c r="AF113" s="25">
        <v>147</v>
      </c>
      <c r="AG113" s="25">
        <v>1</v>
      </c>
      <c r="AH113" s="25">
        <v>24</v>
      </c>
      <c r="AI113" s="25">
        <v>0</v>
      </c>
      <c r="AJ113" s="25">
        <v>0</v>
      </c>
      <c r="AK113" s="25">
        <v>0</v>
      </c>
      <c r="AL113" s="25">
        <v>0</v>
      </c>
      <c r="AM113" s="25">
        <v>585</v>
      </c>
      <c r="AN113" s="25">
        <v>753</v>
      </c>
      <c r="AO113" s="25">
        <v>146</v>
      </c>
      <c r="AP113" s="23">
        <v>52691.447397260279</v>
      </c>
      <c r="AQ113" s="26">
        <v>4.006849315068493</v>
      </c>
      <c r="AR113" s="23">
        <v>185700</v>
      </c>
      <c r="AS113" s="23">
        <v>43984</v>
      </c>
      <c r="AT113" s="24">
        <v>2.9856421865412246E-2</v>
      </c>
      <c r="AU113" s="23">
        <v>178905.8446511628</v>
      </c>
      <c r="AV113" s="27">
        <v>178</v>
      </c>
      <c r="AW113" s="27">
        <v>1733</v>
      </c>
      <c r="AX113" s="81">
        <v>10267.719999999999</v>
      </c>
      <c r="AY113" s="83">
        <v>160</v>
      </c>
      <c r="AZ113" s="83">
        <v>43</v>
      </c>
      <c r="BA113" s="83">
        <v>21</v>
      </c>
      <c r="BB113" s="83">
        <v>3</v>
      </c>
      <c r="BC113" s="99"/>
      <c r="BD113" s="99"/>
      <c r="BE113" s="3">
        <v>7.0000000298023224E-2</v>
      </c>
    </row>
    <row r="114" spans="1:57" ht="15.6">
      <c r="A114" s="2" t="s">
        <v>201</v>
      </c>
      <c r="B114" s="19" t="s">
        <v>481</v>
      </c>
      <c r="C114" s="20" t="s">
        <v>236</v>
      </c>
      <c r="D114" s="21" t="s">
        <v>563</v>
      </c>
      <c r="E114" s="44">
        <v>45331</v>
      </c>
      <c r="F114" s="21" t="s">
        <v>517</v>
      </c>
      <c r="G114" s="23">
        <v>4318430</v>
      </c>
      <c r="H114" s="28">
        <v>26212</v>
      </c>
      <c r="I114" s="28">
        <v>1150000</v>
      </c>
      <c r="J114" s="23">
        <v>0</v>
      </c>
      <c r="K114" s="23">
        <v>6900000</v>
      </c>
      <c r="L114" s="23">
        <v>3369624.98</v>
      </c>
      <c r="M114" s="23">
        <v>0</v>
      </c>
      <c r="N114" s="23">
        <v>2292680</v>
      </c>
      <c r="O114" s="24">
        <v>0.4883514463768116</v>
      </c>
      <c r="P114" s="24">
        <v>0</v>
      </c>
      <c r="Q114" s="24">
        <v>0.33227246376811592</v>
      </c>
      <c r="R114" s="25">
        <v>30</v>
      </c>
      <c r="S114" s="25">
        <v>31</v>
      </c>
      <c r="T114" s="25">
        <v>3</v>
      </c>
      <c r="U114" s="25">
        <v>3</v>
      </c>
      <c r="V114" s="25">
        <v>33</v>
      </c>
      <c r="W114" s="25">
        <v>2</v>
      </c>
      <c r="X114" s="26">
        <v>2941410.84</v>
      </c>
      <c r="Y114" s="26">
        <v>428214.14</v>
      </c>
      <c r="Z114" s="25">
        <v>24</v>
      </c>
      <c r="AA114" s="25">
        <v>3</v>
      </c>
      <c r="AB114" s="25">
        <v>27</v>
      </c>
      <c r="AC114" s="25">
        <v>0</v>
      </c>
      <c r="AD114" s="25">
        <v>100</v>
      </c>
      <c r="AE114" s="25">
        <v>253</v>
      </c>
      <c r="AF114" s="25">
        <v>116</v>
      </c>
      <c r="AG114" s="25">
        <v>2</v>
      </c>
      <c r="AH114" s="25">
        <v>6</v>
      </c>
      <c r="AI114" s="25">
        <v>0</v>
      </c>
      <c r="AJ114" s="25">
        <v>0</v>
      </c>
      <c r="AK114" s="25">
        <v>0</v>
      </c>
      <c r="AL114" s="25">
        <v>0</v>
      </c>
      <c r="AM114" s="25">
        <v>428</v>
      </c>
      <c r="AN114" s="25">
        <v>687</v>
      </c>
      <c r="AO114" s="25">
        <v>143</v>
      </c>
      <c r="AP114" s="23">
        <v>23563.811048951047</v>
      </c>
      <c r="AQ114" s="26">
        <v>2.9930069930069929</v>
      </c>
      <c r="AR114" s="23">
        <v>157272</v>
      </c>
      <c r="AS114" s="23">
        <v>43954</v>
      </c>
      <c r="AT114" s="24">
        <v>5.9717624719175723E-2</v>
      </c>
      <c r="AU114" s="23">
        <v>124800.92518518519</v>
      </c>
      <c r="AV114" s="27">
        <v>121</v>
      </c>
      <c r="AW114" s="27">
        <v>1684</v>
      </c>
      <c r="AX114" s="81">
        <v>9616.1200000000008</v>
      </c>
      <c r="AY114" s="83">
        <v>310</v>
      </c>
      <c r="AZ114" s="83">
        <v>27</v>
      </c>
      <c r="BA114" s="83">
        <v>5</v>
      </c>
      <c r="BB114" s="83">
        <v>1</v>
      </c>
      <c r="BC114" s="99"/>
      <c r="BD114" s="99"/>
      <c r="BE114" s="3">
        <v>0.12000000011175871</v>
      </c>
    </row>
    <row r="115" spans="1:57" ht="15.6">
      <c r="A115" s="2" t="s">
        <v>120</v>
      </c>
      <c r="B115" s="19" t="s">
        <v>206</v>
      </c>
      <c r="C115" s="20" t="s">
        <v>238</v>
      </c>
      <c r="D115" s="21" t="s">
        <v>360</v>
      </c>
      <c r="E115" s="44">
        <v>45384</v>
      </c>
      <c r="F115" s="21" t="s">
        <v>206</v>
      </c>
      <c r="G115" s="23">
        <v>9014519</v>
      </c>
      <c r="H115" s="28">
        <v>36400</v>
      </c>
      <c r="I115" s="28">
        <v>1500000</v>
      </c>
      <c r="J115" s="23">
        <v>1800000</v>
      </c>
      <c r="K115" s="23">
        <v>7200000</v>
      </c>
      <c r="L115" s="23">
        <v>4931886.45</v>
      </c>
      <c r="M115" s="23">
        <v>285509.65999999997</v>
      </c>
      <c r="N115" s="23">
        <v>4967531</v>
      </c>
      <c r="O115" s="24">
        <v>0.57971067888888894</v>
      </c>
      <c r="P115" s="24">
        <v>0.16</v>
      </c>
      <c r="Q115" s="24">
        <v>0.5519478888888889</v>
      </c>
      <c r="R115" s="25">
        <v>54</v>
      </c>
      <c r="S115" s="25">
        <v>57</v>
      </c>
      <c r="T115" s="25">
        <v>9</v>
      </c>
      <c r="U115" s="25">
        <v>9</v>
      </c>
      <c r="V115" s="25">
        <v>63</v>
      </c>
      <c r="W115" s="25">
        <v>6</v>
      </c>
      <c r="X115" s="26">
        <v>3744369.65</v>
      </c>
      <c r="Y115" s="26">
        <v>1187516.8</v>
      </c>
      <c r="Z115" s="25">
        <v>42</v>
      </c>
      <c r="AA115" s="25">
        <v>9</v>
      </c>
      <c r="AB115" s="25">
        <v>51</v>
      </c>
      <c r="AC115" s="25">
        <v>2</v>
      </c>
      <c r="AD115" s="25">
        <v>106</v>
      </c>
      <c r="AE115" s="25">
        <v>123</v>
      </c>
      <c r="AF115" s="25">
        <v>306</v>
      </c>
      <c r="AG115" s="25">
        <v>5</v>
      </c>
      <c r="AH115" s="25">
        <v>22</v>
      </c>
      <c r="AI115" s="25">
        <v>5</v>
      </c>
      <c r="AJ115" s="25">
        <v>11</v>
      </c>
      <c r="AK115" s="25">
        <v>1</v>
      </c>
      <c r="AL115" s="25">
        <v>1</v>
      </c>
      <c r="AM115" s="25">
        <v>264</v>
      </c>
      <c r="AN115" s="25">
        <v>421</v>
      </c>
      <c r="AO115" s="25">
        <v>141</v>
      </c>
      <c r="AP115" s="23">
        <v>37002.809290780147</v>
      </c>
      <c r="AQ115" s="26">
        <v>1.8723404255319149</v>
      </c>
      <c r="AR115" s="23">
        <v>218400</v>
      </c>
      <c r="AS115" s="23">
        <v>41700</v>
      </c>
      <c r="AT115" s="24">
        <v>4.9852454081735414E-2</v>
      </c>
      <c r="AU115" s="23">
        <v>96703.655882352949</v>
      </c>
      <c r="AV115" s="27">
        <v>198</v>
      </c>
      <c r="AW115" s="27">
        <v>1622</v>
      </c>
      <c r="AX115" s="81">
        <v>11349.26</v>
      </c>
      <c r="AY115" s="83">
        <v>199</v>
      </c>
      <c r="AZ115" s="83">
        <v>51</v>
      </c>
      <c r="BA115" s="83">
        <v>8</v>
      </c>
      <c r="BB115" s="83">
        <v>4</v>
      </c>
      <c r="BC115" s="99"/>
      <c r="BD115" s="99"/>
      <c r="BE115" s="3">
        <v>773132.19999999925</v>
      </c>
    </row>
    <row r="116" spans="1:57" ht="15.6">
      <c r="A116" s="2" t="s">
        <v>177</v>
      </c>
      <c r="B116" s="19" t="s">
        <v>364</v>
      </c>
      <c r="C116" s="20" t="s">
        <v>237</v>
      </c>
      <c r="D116" s="21" t="s">
        <v>365</v>
      </c>
      <c r="E116" s="44">
        <v>45393</v>
      </c>
      <c r="F116" s="21" t="s">
        <v>576</v>
      </c>
      <c r="G116" s="23">
        <v>2751805</v>
      </c>
      <c r="H116" s="28">
        <v>27000</v>
      </c>
      <c r="I116" s="28">
        <v>1250000</v>
      </c>
      <c r="J116" s="23">
        <v>0</v>
      </c>
      <c r="K116" s="23">
        <v>6000000</v>
      </c>
      <c r="L116" s="23">
        <v>2485115.9900000002</v>
      </c>
      <c r="M116" s="23">
        <v>0</v>
      </c>
      <c r="N116" s="23">
        <v>2324513.5</v>
      </c>
      <c r="O116" s="24">
        <v>0.41418599833333336</v>
      </c>
      <c r="P116" s="24">
        <v>0</v>
      </c>
      <c r="Q116" s="24">
        <v>0.38741891666666667</v>
      </c>
      <c r="R116" s="25">
        <v>124</v>
      </c>
      <c r="S116" s="25">
        <v>118</v>
      </c>
      <c r="T116" s="25">
        <v>22</v>
      </c>
      <c r="U116" s="25">
        <v>22</v>
      </c>
      <c r="V116" s="25">
        <v>146</v>
      </c>
      <c r="W116" s="25">
        <v>28</v>
      </c>
      <c r="X116" s="26">
        <v>1929137.08</v>
      </c>
      <c r="Y116" s="26">
        <v>555978.91</v>
      </c>
      <c r="Z116" s="25">
        <v>62</v>
      </c>
      <c r="AA116" s="25">
        <v>22</v>
      </c>
      <c r="AB116" s="25">
        <v>84</v>
      </c>
      <c r="AC116" s="25">
        <v>0</v>
      </c>
      <c r="AD116" s="25">
        <v>68</v>
      </c>
      <c r="AE116" s="25">
        <v>101</v>
      </c>
      <c r="AF116" s="25">
        <v>367</v>
      </c>
      <c r="AG116" s="25">
        <v>3</v>
      </c>
      <c r="AH116" s="25">
        <v>49</v>
      </c>
      <c r="AI116" s="25">
        <v>0</v>
      </c>
      <c r="AJ116" s="25">
        <v>0</v>
      </c>
      <c r="AK116" s="25">
        <v>0</v>
      </c>
      <c r="AL116" s="25">
        <v>0</v>
      </c>
      <c r="AM116" s="25">
        <v>852</v>
      </c>
      <c r="AN116" s="25">
        <v>1002</v>
      </c>
      <c r="AO116" s="25">
        <v>147</v>
      </c>
      <c r="AP116" s="23">
        <v>16905.550952380952</v>
      </c>
      <c r="AQ116" s="26">
        <v>5.795918367346939</v>
      </c>
      <c r="AR116" s="23">
        <v>162000</v>
      </c>
      <c r="AS116" s="23">
        <v>53447</v>
      </c>
      <c r="AT116" s="24">
        <v>8.6694947385534293E-2</v>
      </c>
      <c r="AU116" s="23">
        <v>29584.714166666668</v>
      </c>
      <c r="AV116" s="27">
        <v>259</v>
      </c>
      <c r="AW116" s="27">
        <v>1316</v>
      </c>
      <c r="AX116" s="81">
        <v>9982.34</v>
      </c>
      <c r="AY116" s="83">
        <v>85</v>
      </c>
      <c r="AZ116" s="83">
        <v>84</v>
      </c>
      <c r="BA116" s="83">
        <v>36</v>
      </c>
      <c r="BB116" s="83">
        <v>26</v>
      </c>
      <c r="BC116" s="99"/>
      <c r="BD116" s="99"/>
      <c r="BE116" s="3">
        <v>-0.19000000040978193</v>
      </c>
    </row>
    <row r="117" spans="1:57" ht="15.6">
      <c r="A117" s="2" t="s">
        <v>177</v>
      </c>
      <c r="B117" s="19" t="s">
        <v>458</v>
      </c>
      <c r="C117" s="20" t="s">
        <v>239</v>
      </c>
      <c r="D117" s="21" t="s">
        <v>582</v>
      </c>
      <c r="E117" s="44">
        <v>45411</v>
      </c>
      <c r="F117" s="21" t="s">
        <v>581</v>
      </c>
      <c r="G117" s="23">
        <v>3448380.07</v>
      </c>
      <c r="H117" s="28">
        <v>27784</v>
      </c>
      <c r="I117" s="28">
        <v>583333</v>
      </c>
      <c r="J117" s="23">
        <v>0</v>
      </c>
      <c r="K117" s="23">
        <v>2916665</v>
      </c>
      <c r="L117" s="23">
        <v>1467822.95</v>
      </c>
      <c r="M117" s="23">
        <v>0</v>
      </c>
      <c r="N117" s="23">
        <v>971833.61</v>
      </c>
      <c r="O117" s="24">
        <v>0.50325387043078307</v>
      </c>
      <c r="P117" s="24">
        <v>0</v>
      </c>
      <c r="Q117" s="24">
        <v>0.33320028525730588</v>
      </c>
      <c r="R117" s="25">
        <v>85</v>
      </c>
      <c r="S117" s="25">
        <v>85</v>
      </c>
      <c r="T117" s="25">
        <v>14</v>
      </c>
      <c r="U117" s="25">
        <v>5</v>
      </c>
      <c r="V117" s="25">
        <v>99</v>
      </c>
      <c r="W117" s="25">
        <v>14</v>
      </c>
      <c r="X117" s="26">
        <v>1345372.05</v>
      </c>
      <c r="Y117" s="26">
        <v>122450.9</v>
      </c>
      <c r="Z117" s="25">
        <v>34</v>
      </c>
      <c r="AA117" s="25">
        <v>5</v>
      </c>
      <c r="AB117" s="25">
        <v>39</v>
      </c>
      <c r="AC117" s="25">
        <v>0</v>
      </c>
      <c r="AD117" s="25">
        <v>181</v>
      </c>
      <c r="AE117" s="25">
        <v>289</v>
      </c>
      <c r="AF117" s="25">
        <v>425</v>
      </c>
      <c r="AG117" s="25">
        <v>4</v>
      </c>
      <c r="AH117" s="25">
        <v>7</v>
      </c>
      <c r="AI117" s="25">
        <v>0</v>
      </c>
      <c r="AJ117" s="25">
        <v>0</v>
      </c>
      <c r="AK117" s="25">
        <v>20</v>
      </c>
      <c r="AL117" s="25">
        <v>29</v>
      </c>
      <c r="AM117" s="25">
        <v>373</v>
      </c>
      <c r="AN117" s="25">
        <v>698</v>
      </c>
      <c r="AO117" s="25">
        <v>102</v>
      </c>
      <c r="AP117" s="23">
        <v>14390.421078431373</v>
      </c>
      <c r="AQ117" s="26">
        <v>3.6568627450980391</v>
      </c>
      <c r="AR117" s="23">
        <v>127250.72</v>
      </c>
      <c r="AS117" s="23">
        <v>65038</v>
      </c>
      <c r="AT117" s="24">
        <v>0.1310026662275583</v>
      </c>
      <c r="AU117" s="23">
        <v>37636.485897435894</v>
      </c>
      <c r="AV117" s="27">
        <v>59</v>
      </c>
      <c r="AW117" s="27">
        <v>1148</v>
      </c>
      <c r="AX117" s="81">
        <v>8221.9599999999991</v>
      </c>
      <c r="AY117" s="83">
        <v>97</v>
      </c>
      <c r="AZ117" s="83">
        <v>39</v>
      </c>
      <c r="BA117" s="83">
        <v>47</v>
      </c>
      <c r="BB117" s="83">
        <v>13</v>
      </c>
      <c r="BC117" s="99">
        <v>45887</v>
      </c>
      <c r="BD117" s="99"/>
      <c r="BE117" s="3">
        <v>-0.94999999995343387</v>
      </c>
    </row>
    <row r="118" spans="1:57" ht="15.6">
      <c r="A118" s="2" t="s">
        <v>154</v>
      </c>
      <c r="B118" s="19" t="s">
        <v>367</v>
      </c>
      <c r="C118" s="20" t="s">
        <v>185</v>
      </c>
      <c r="D118" s="21" t="s">
        <v>583</v>
      </c>
      <c r="E118" s="44">
        <v>45428</v>
      </c>
      <c r="F118" s="21" t="s">
        <v>577</v>
      </c>
      <c r="G118" s="23"/>
      <c r="H118" s="28">
        <v>29880</v>
      </c>
      <c r="I118" s="28"/>
      <c r="J118" s="23">
        <v>0</v>
      </c>
      <c r="K118" s="23">
        <v>0</v>
      </c>
      <c r="L118" s="23">
        <v>0</v>
      </c>
      <c r="M118" s="23">
        <v>0</v>
      </c>
      <c r="N118" s="23"/>
      <c r="O118" s="24"/>
      <c r="P118" s="24">
        <v>0</v>
      </c>
      <c r="Q118" s="24"/>
      <c r="R118" s="25">
        <v>64</v>
      </c>
      <c r="S118" s="25">
        <v>46</v>
      </c>
      <c r="T118" s="25">
        <v>4</v>
      </c>
      <c r="U118" s="25">
        <v>0</v>
      </c>
      <c r="V118" s="25">
        <v>68</v>
      </c>
      <c r="W118" s="25">
        <v>22</v>
      </c>
      <c r="X118" s="26">
        <v>0</v>
      </c>
      <c r="Y118" s="26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151</v>
      </c>
      <c r="AE118" s="25">
        <v>284</v>
      </c>
      <c r="AF118" s="25">
        <v>143</v>
      </c>
      <c r="AG118" s="25">
        <v>11</v>
      </c>
      <c r="AH118" s="25">
        <v>73</v>
      </c>
      <c r="AI118" s="25">
        <v>0</v>
      </c>
      <c r="AJ118" s="25">
        <v>0</v>
      </c>
      <c r="AK118" s="25">
        <v>19</v>
      </c>
      <c r="AL118" s="25">
        <v>29</v>
      </c>
      <c r="AM118" s="25">
        <v>171</v>
      </c>
      <c r="AN118" s="25">
        <v>557</v>
      </c>
      <c r="AO118" s="25">
        <v>139</v>
      </c>
      <c r="AP118" s="23">
        <v>0</v>
      </c>
      <c r="AQ118" s="26">
        <v>1.2302158273381294</v>
      </c>
      <c r="AR118" s="23">
        <v>179280</v>
      </c>
      <c r="AS118" s="23">
        <v>45105</v>
      </c>
      <c r="AT118" s="24"/>
      <c r="AU118" s="23"/>
      <c r="AV118" s="27">
        <v>0</v>
      </c>
      <c r="AW118" s="27">
        <v>1141</v>
      </c>
      <c r="AX118" s="81">
        <v>9740.65</v>
      </c>
      <c r="AY118" s="83">
        <v>212</v>
      </c>
      <c r="AZ118" s="83">
        <v>0</v>
      </c>
      <c r="BA118" s="83">
        <v>46</v>
      </c>
      <c r="BB118" s="83">
        <v>22</v>
      </c>
      <c r="BC118" s="99"/>
      <c r="BD118" s="99"/>
      <c r="BE118" s="3" t="e">
        <v>#N/A</v>
      </c>
    </row>
    <row r="119" spans="1:57" ht="15.6">
      <c r="A119" s="2" t="s">
        <v>154</v>
      </c>
      <c r="B119" s="19" t="s">
        <v>367</v>
      </c>
      <c r="C119" s="20" t="s">
        <v>194</v>
      </c>
      <c r="D119" s="21" t="s">
        <v>366</v>
      </c>
      <c r="E119" s="44">
        <v>45428</v>
      </c>
      <c r="F119" s="21" t="s">
        <v>577</v>
      </c>
      <c r="G119" s="23">
        <v>2995523</v>
      </c>
      <c r="H119" s="28">
        <v>26526</v>
      </c>
      <c r="I119" s="28">
        <v>1000000</v>
      </c>
      <c r="J119" s="23">
        <v>0</v>
      </c>
      <c r="K119" s="23">
        <v>5800000</v>
      </c>
      <c r="L119" s="23">
        <v>2671973.67</v>
      </c>
      <c r="M119" s="23">
        <v>0</v>
      </c>
      <c r="N119" s="23">
        <v>1349380</v>
      </c>
      <c r="O119" s="24">
        <v>0.46068511551724134</v>
      </c>
      <c r="P119" s="24">
        <v>0</v>
      </c>
      <c r="Q119" s="24">
        <v>0.23265172413793103</v>
      </c>
      <c r="R119" s="25">
        <v>81</v>
      </c>
      <c r="S119" s="25">
        <v>73</v>
      </c>
      <c r="T119" s="25">
        <v>10</v>
      </c>
      <c r="U119" s="25">
        <v>3</v>
      </c>
      <c r="V119" s="25">
        <v>91</v>
      </c>
      <c r="W119" s="25">
        <v>18</v>
      </c>
      <c r="X119" s="26">
        <v>2501952.7599999998</v>
      </c>
      <c r="Y119" s="26">
        <v>170020.91</v>
      </c>
      <c r="Z119" s="25">
        <v>40</v>
      </c>
      <c r="AA119" s="25">
        <v>3</v>
      </c>
      <c r="AB119" s="25">
        <v>43</v>
      </c>
      <c r="AC119" s="25">
        <v>0</v>
      </c>
      <c r="AD119" s="25">
        <v>94</v>
      </c>
      <c r="AE119" s="25">
        <v>166</v>
      </c>
      <c r="AF119" s="25">
        <v>414</v>
      </c>
      <c r="AG119" s="25">
        <v>4</v>
      </c>
      <c r="AH119" s="25">
        <v>75</v>
      </c>
      <c r="AI119" s="25">
        <v>0</v>
      </c>
      <c r="AJ119" s="25">
        <v>0</v>
      </c>
      <c r="AK119" s="25">
        <v>0</v>
      </c>
      <c r="AL119" s="25">
        <v>0</v>
      </c>
      <c r="AM119" s="25">
        <v>636</v>
      </c>
      <c r="AN119" s="25">
        <v>877</v>
      </c>
      <c r="AO119" s="25">
        <v>135</v>
      </c>
      <c r="AP119" s="23">
        <v>19792.397555555555</v>
      </c>
      <c r="AQ119" s="26">
        <v>4.7111111111111112</v>
      </c>
      <c r="AR119" s="23">
        <v>159156</v>
      </c>
      <c r="AS119" s="23">
        <v>31042</v>
      </c>
      <c r="AT119" s="24">
        <v>7.1182587663747451E-2</v>
      </c>
      <c r="AU119" s="23">
        <v>62138.922558139537</v>
      </c>
      <c r="AV119" s="27">
        <v>100</v>
      </c>
      <c r="AW119" s="27">
        <v>1338</v>
      </c>
      <c r="AX119" s="81">
        <v>9158.76</v>
      </c>
      <c r="AY119" s="83">
        <v>125</v>
      </c>
      <c r="AZ119" s="83">
        <v>43</v>
      </c>
      <c r="BA119" s="83">
        <v>31</v>
      </c>
      <c r="BB119" s="83">
        <v>17</v>
      </c>
      <c r="BC119" s="99"/>
      <c r="BD119" s="99"/>
      <c r="BE119" s="3">
        <v>0.98000000044703484</v>
      </c>
    </row>
    <row r="120" spans="1:57" ht="15.6">
      <c r="A120" s="2" t="s">
        <v>118</v>
      </c>
      <c r="B120" s="19" t="s">
        <v>468</v>
      </c>
      <c r="C120" s="20" t="s">
        <v>240</v>
      </c>
      <c r="D120" s="21" t="s">
        <v>585</v>
      </c>
      <c r="E120" s="44">
        <v>45432</v>
      </c>
      <c r="F120" s="21" t="s">
        <v>509</v>
      </c>
      <c r="G120" s="23">
        <v>20489164</v>
      </c>
      <c r="H120" s="28">
        <v>45100</v>
      </c>
      <c r="I120" s="28">
        <v>2483333</v>
      </c>
      <c r="J120" s="23">
        <v>0</v>
      </c>
      <c r="K120" s="23">
        <v>14899998</v>
      </c>
      <c r="L120" s="23">
        <v>12351551.17</v>
      </c>
      <c r="M120" s="23">
        <v>0</v>
      </c>
      <c r="N120" s="23">
        <v>10562483</v>
      </c>
      <c r="O120" s="24">
        <v>0.82896327704205064</v>
      </c>
      <c r="P120" s="24">
        <v>0</v>
      </c>
      <c r="Q120" s="24">
        <v>0.70889157166329819</v>
      </c>
      <c r="R120" s="25">
        <v>101</v>
      </c>
      <c r="S120" s="25">
        <v>100</v>
      </c>
      <c r="T120" s="25">
        <v>8</v>
      </c>
      <c r="U120" s="25">
        <v>8</v>
      </c>
      <c r="V120" s="25">
        <v>109</v>
      </c>
      <c r="W120" s="25">
        <v>9</v>
      </c>
      <c r="X120" s="26">
        <v>11978534.119999999</v>
      </c>
      <c r="Y120" s="26">
        <v>373017.05</v>
      </c>
      <c r="Z120" s="25">
        <v>73</v>
      </c>
      <c r="AA120" s="25">
        <v>8</v>
      </c>
      <c r="AB120" s="25">
        <v>81</v>
      </c>
      <c r="AC120" s="25">
        <v>0</v>
      </c>
      <c r="AD120" s="25">
        <v>91</v>
      </c>
      <c r="AE120" s="25">
        <v>141</v>
      </c>
      <c r="AF120" s="25">
        <v>90</v>
      </c>
      <c r="AG120" s="25">
        <v>1</v>
      </c>
      <c r="AH120" s="25">
        <v>83</v>
      </c>
      <c r="AI120" s="25">
        <v>0</v>
      </c>
      <c r="AJ120" s="25">
        <v>0</v>
      </c>
      <c r="AK120" s="25">
        <v>0</v>
      </c>
      <c r="AL120" s="25">
        <v>0</v>
      </c>
      <c r="AM120" s="25">
        <v>675</v>
      </c>
      <c r="AN120" s="25">
        <v>899</v>
      </c>
      <c r="AO120" s="25">
        <v>148</v>
      </c>
      <c r="AP120" s="23">
        <v>83456.426824324328</v>
      </c>
      <c r="AQ120" s="26">
        <v>4.5608108108108105</v>
      </c>
      <c r="AR120" s="23">
        <v>270600</v>
      </c>
      <c r="AS120" s="23">
        <v>33152</v>
      </c>
      <c r="AT120" s="24">
        <v>2.4592214841627862E-2</v>
      </c>
      <c r="AU120" s="23">
        <v>152488.2860493827</v>
      </c>
      <c r="AV120" s="27">
        <v>312</v>
      </c>
      <c r="AW120" s="27">
        <v>1414</v>
      </c>
      <c r="AX120" s="81">
        <v>5451.9</v>
      </c>
      <c r="AY120" s="83">
        <v>55</v>
      </c>
      <c r="AZ120" s="83">
        <v>81</v>
      </c>
      <c r="BA120" s="83">
        <v>23</v>
      </c>
      <c r="BB120" s="83">
        <v>5</v>
      </c>
      <c r="BC120" s="99"/>
      <c r="BD120" s="99"/>
      <c r="BE120" s="3">
        <v>0.72000000067055225</v>
      </c>
    </row>
    <row r="121" spans="1:57" ht="15.6">
      <c r="A121" s="2" t="s">
        <v>118</v>
      </c>
      <c r="B121" s="19" t="s">
        <v>359</v>
      </c>
      <c r="C121" s="20" t="s">
        <v>241</v>
      </c>
      <c r="D121" s="21" t="s">
        <v>586</v>
      </c>
      <c r="E121" s="44">
        <v>45434</v>
      </c>
      <c r="F121" s="21" t="s">
        <v>442</v>
      </c>
      <c r="G121" s="23">
        <v>5834843.7800000003</v>
      </c>
      <c r="H121" s="28">
        <v>69400</v>
      </c>
      <c r="I121" s="28">
        <v>2000000</v>
      </c>
      <c r="J121" s="23">
        <v>0</v>
      </c>
      <c r="K121" s="23">
        <v>12000000</v>
      </c>
      <c r="L121" s="23">
        <v>6670206.6100000003</v>
      </c>
      <c r="M121" s="23">
        <v>0</v>
      </c>
      <c r="N121" s="23">
        <v>7539845</v>
      </c>
      <c r="O121" s="24">
        <v>0.55585055083333335</v>
      </c>
      <c r="P121" s="24">
        <v>0</v>
      </c>
      <c r="Q121" s="24">
        <v>0.62832041666666671</v>
      </c>
      <c r="R121" s="25">
        <v>68</v>
      </c>
      <c r="S121" s="25">
        <v>62</v>
      </c>
      <c r="T121" s="25">
        <v>6</v>
      </c>
      <c r="U121" s="25">
        <v>4</v>
      </c>
      <c r="V121" s="25">
        <v>74</v>
      </c>
      <c r="W121" s="25">
        <v>12</v>
      </c>
      <c r="X121" s="26">
        <v>6411299.8899999997</v>
      </c>
      <c r="Y121" s="26">
        <v>258906.72</v>
      </c>
      <c r="Z121" s="25">
        <v>39</v>
      </c>
      <c r="AA121" s="25">
        <v>4</v>
      </c>
      <c r="AB121" s="25">
        <v>43</v>
      </c>
      <c r="AC121" s="25">
        <v>0</v>
      </c>
      <c r="AD121" s="25">
        <v>9</v>
      </c>
      <c r="AE121" s="25">
        <v>18</v>
      </c>
      <c r="AF121" s="25">
        <v>12</v>
      </c>
      <c r="AG121" s="25">
        <v>1</v>
      </c>
      <c r="AH121" s="25">
        <v>52</v>
      </c>
      <c r="AI121" s="25">
        <v>0</v>
      </c>
      <c r="AJ121" s="25">
        <v>0</v>
      </c>
      <c r="AK121" s="25">
        <v>0</v>
      </c>
      <c r="AL121" s="25">
        <v>0</v>
      </c>
      <c r="AM121" s="25">
        <v>490</v>
      </c>
      <c r="AN121" s="25">
        <v>560</v>
      </c>
      <c r="AO121" s="25">
        <v>140</v>
      </c>
      <c r="AP121" s="23">
        <v>47644.332928571428</v>
      </c>
      <c r="AQ121" s="26">
        <v>3.5</v>
      </c>
      <c r="AR121" s="23">
        <v>416400</v>
      </c>
      <c r="AS121" s="23">
        <v>25630</v>
      </c>
      <c r="AT121" s="24">
        <v>6.6269311558851393E-2</v>
      </c>
      <c r="AU121" s="23">
        <v>155121.08395348839</v>
      </c>
      <c r="AV121" s="27">
        <v>309</v>
      </c>
      <c r="AW121" s="27">
        <v>1545</v>
      </c>
      <c r="AX121" s="81">
        <v>9547.14</v>
      </c>
      <c r="AY121" s="83">
        <v>154</v>
      </c>
      <c r="AZ121" s="83">
        <v>43</v>
      </c>
      <c r="BA121" s="83">
        <v>20</v>
      </c>
      <c r="BB121" s="83">
        <v>11</v>
      </c>
      <c r="BC121" s="99"/>
      <c r="BD121" s="99"/>
      <c r="BE121" s="3">
        <v>0.15999999828636646</v>
      </c>
    </row>
    <row r="122" spans="1:57" ht="15.6">
      <c r="A122" s="2" t="s">
        <v>119</v>
      </c>
      <c r="B122" s="19" t="s">
        <v>375</v>
      </c>
      <c r="C122" s="20" t="s">
        <v>143</v>
      </c>
      <c r="D122" s="21" t="s">
        <v>587</v>
      </c>
      <c r="E122" s="44">
        <v>45444</v>
      </c>
      <c r="F122" s="21" t="s">
        <v>473</v>
      </c>
      <c r="G122" s="23">
        <v>1374117</v>
      </c>
      <c r="H122" s="28">
        <v>27000</v>
      </c>
      <c r="I122" s="28">
        <v>1000000</v>
      </c>
      <c r="J122" s="23">
        <v>0</v>
      </c>
      <c r="K122" s="23">
        <v>4000000</v>
      </c>
      <c r="L122" s="23">
        <v>560081.52</v>
      </c>
      <c r="M122" s="23">
        <v>0</v>
      </c>
      <c r="N122" s="23">
        <v>544771</v>
      </c>
      <c r="O122" s="24">
        <v>0.14002038</v>
      </c>
      <c r="P122" s="24">
        <v>0</v>
      </c>
      <c r="Q122" s="24">
        <v>0.13619275</v>
      </c>
      <c r="R122" s="25">
        <v>27</v>
      </c>
      <c r="S122" s="25">
        <v>24</v>
      </c>
      <c r="T122" s="25">
        <v>0</v>
      </c>
      <c r="U122" s="25">
        <v>0</v>
      </c>
      <c r="V122" s="25">
        <v>27</v>
      </c>
      <c r="W122" s="25">
        <v>3</v>
      </c>
      <c r="X122" s="26">
        <v>560081.52</v>
      </c>
      <c r="Y122" s="26">
        <v>0</v>
      </c>
      <c r="Z122" s="25">
        <v>11</v>
      </c>
      <c r="AA122" s="25">
        <v>0</v>
      </c>
      <c r="AB122" s="25">
        <v>11</v>
      </c>
      <c r="AC122" s="25">
        <v>0</v>
      </c>
      <c r="AD122" s="25">
        <v>38</v>
      </c>
      <c r="AE122" s="25">
        <v>38</v>
      </c>
      <c r="AF122" s="25">
        <v>132</v>
      </c>
      <c r="AG122" s="25">
        <v>2</v>
      </c>
      <c r="AH122" s="25">
        <v>5</v>
      </c>
      <c r="AI122" s="25">
        <v>0</v>
      </c>
      <c r="AJ122" s="25">
        <v>0</v>
      </c>
      <c r="AK122" s="25">
        <v>1</v>
      </c>
      <c r="AL122" s="25">
        <v>1</v>
      </c>
      <c r="AM122" s="25">
        <v>86</v>
      </c>
      <c r="AN122" s="25">
        <v>130</v>
      </c>
      <c r="AO122" s="25">
        <v>82</v>
      </c>
      <c r="AP122" s="23">
        <v>6830.2624390243909</v>
      </c>
      <c r="AQ122" s="26">
        <v>1.0487804878048781</v>
      </c>
      <c r="AR122" s="23">
        <v>94500</v>
      </c>
      <c r="AS122" s="23">
        <v>35750</v>
      </c>
      <c r="AT122" s="24">
        <v>0.23255543228778552</v>
      </c>
      <c r="AU122" s="23">
        <v>50916.501818181823</v>
      </c>
      <c r="AV122" s="27">
        <v>19</v>
      </c>
      <c r="AW122" s="27">
        <v>772</v>
      </c>
      <c r="AX122" s="81">
        <v>4636.96</v>
      </c>
      <c r="AY122" s="83">
        <v>193</v>
      </c>
      <c r="AZ122" s="83">
        <v>11</v>
      </c>
      <c r="BA122" s="83">
        <v>14</v>
      </c>
      <c r="BB122" s="83">
        <v>2</v>
      </c>
      <c r="BC122" s="99">
        <v>45853</v>
      </c>
      <c r="BD122" s="99"/>
      <c r="BE122" s="3">
        <v>0.19999999995343387</v>
      </c>
    </row>
    <row r="123" spans="1:57" ht="15.6">
      <c r="A123" s="2" t="s">
        <v>124</v>
      </c>
      <c r="B123" s="19" t="s">
        <v>443</v>
      </c>
      <c r="C123" s="20" t="s">
        <v>242</v>
      </c>
      <c r="D123" s="21" t="s">
        <v>518</v>
      </c>
      <c r="E123" s="44">
        <v>45446</v>
      </c>
      <c r="F123" s="21" t="s">
        <v>517</v>
      </c>
      <c r="G123" s="23">
        <v>2169373</v>
      </c>
      <c r="H123" s="28">
        <v>39837</v>
      </c>
      <c r="I123" s="28">
        <v>1200000</v>
      </c>
      <c r="J123" s="23">
        <v>0</v>
      </c>
      <c r="K123" s="23">
        <v>7200000</v>
      </c>
      <c r="L123" s="23">
        <v>5301578.7300000004</v>
      </c>
      <c r="M123" s="23">
        <v>0</v>
      </c>
      <c r="N123" s="23">
        <v>5301581</v>
      </c>
      <c r="O123" s="24">
        <v>0.73633037916666677</v>
      </c>
      <c r="P123" s="24">
        <v>0</v>
      </c>
      <c r="Q123" s="24">
        <v>0.73633069444444443</v>
      </c>
      <c r="R123" s="25">
        <v>29</v>
      </c>
      <c r="S123" s="25">
        <v>43</v>
      </c>
      <c r="T123" s="25">
        <v>16</v>
      </c>
      <c r="U123" s="25">
        <v>16</v>
      </c>
      <c r="V123" s="25">
        <v>45</v>
      </c>
      <c r="W123" s="25">
        <v>2</v>
      </c>
      <c r="X123" s="26">
        <v>1566081.32</v>
      </c>
      <c r="Y123" s="26">
        <v>3735497.41</v>
      </c>
      <c r="Z123" s="25">
        <v>16</v>
      </c>
      <c r="AA123" s="25">
        <v>16</v>
      </c>
      <c r="AB123" s="25">
        <v>32</v>
      </c>
      <c r="AC123" s="25">
        <v>0</v>
      </c>
      <c r="AD123" s="25">
        <v>107</v>
      </c>
      <c r="AE123" s="25">
        <v>194</v>
      </c>
      <c r="AF123" s="25">
        <v>114</v>
      </c>
      <c r="AG123" s="25">
        <v>6</v>
      </c>
      <c r="AH123" s="25">
        <v>114</v>
      </c>
      <c r="AI123" s="25">
        <v>0</v>
      </c>
      <c r="AJ123" s="25">
        <v>0</v>
      </c>
      <c r="AK123" s="25">
        <v>1</v>
      </c>
      <c r="AL123" s="25">
        <v>1</v>
      </c>
      <c r="AM123" s="25">
        <v>266</v>
      </c>
      <c r="AN123" s="25">
        <v>575</v>
      </c>
      <c r="AO123" s="25">
        <v>151</v>
      </c>
      <c r="AP123" s="23">
        <v>35109.792913907288</v>
      </c>
      <c r="AQ123" s="26">
        <v>1.7615894039735098</v>
      </c>
      <c r="AR123" s="23">
        <v>239022</v>
      </c>
      <c r="AS123" s="23">
        <v>25312</v>
      </c>
      <c r="AT123" s="24">
        <v>4.9859487798269472E-2</v>
      </c>
      <c r="AU123" s="23">
        <v>165674.33531250001</v>
      </c>
      <c r="AV123" s="27">
        <v>140</v>
      </c>
      <c r="AW123" s="27">
        <v>1525</v>
      </c>
      <c r="AX123" s="81">
        <v>6443.99</v>
      </c>
      <c r="AY123" s="83">
        <v>150</v>
      </c>
      <c r="AZ123" s="83">
        <v>32</v>
      </c>
      <c r="BA123" s="83">
        <v>11</v>
      </c>
      <c r="BB123" s="83">
        <v>2</v>
      </c>
      <c r="BC123" s="99"/>
      <c r="BD123" s="99"/>
      <c r="BE123" s="3">
        <v>7.9999998211860657E-2</v>
      </c>
    </row>
    <row r="124" spans="1:57" ht="15.6">
      <c r="A124" s="2" t="s">
        <v>119</v>
      </c>
      <c r="B124" s="19" t="s">
        <v>649</v>
      </c>
      <c r="C124" s="20" t="s">
        <v>243</v>
      </c>
      <c r="D124" s="21" t="s">
        <v>512</v>
      </c>
      <c r="E124" s="44">
        <v>45453</v>
      </c>
      <c r="F124" s="21" t="s">
        <v>486</v>
      </c>
      <c r="G124" s="23">
        <v>6342486.8500000006</v>
      </c>
      <c r="H124" s="28">
        <v>36925</v>
      </c>
      <c r="I124" s="28">
        <v>1200000</v>
      </c>
      <c r="J124" s="23">
        <v>0</v>
      </c>
      <c r="K124" s="23">
        <v>7200000</v>
      </c>
      <c r="L124" s="23">
        <v>5146123.3600000003</v>
      </c>
      <c r="M124" s="23">
        <v>0</v>
      </c>
      <c r="N124" s="23">
        <v>3829121.19</v>
      </c>
      <c r="O124" s="24">
        <v>0.71473935555555557</v>
      </c>
      <c r="P124" s="24">
        <v>0</v>
      </c>
      <c r="Q124" s="24">
        <v>0.53182238749999999</v>
      </c>
      <c r="R124" s="25">
        <v>112</v>
      </c>
      <c r="S124" s="25">
        <v>132</v>
      </c>
      <c r="T124" s="25">
        <v>23</v>
      </c>
      <c r="U124" s="25">
        <v>23</v>
      </c>
      <c r="V124" s="25">
        <v>135</v>
      </c>
      <c r="W124" s="25">
        <v>3</v>
      </c>
      <c r="X124" s="26">
        <v>4712406.5599999996</v>
      </c>
      <c r="Y124" s="26">
        <v>433716.8</v>
      </c>
      <c r="Z124" s="25">
        <v>71</v>
      </c>
      <c r="AA124" s="25">
        <v>23</v>
      </c>
      <c r="AB124" s="25">
        <v>94</v>
      </c>
      <c r="AC124" s="25">
        <v>0</v>
      </c>
      <c r="AD124" s="25">
        <v>58</v>
      </c>
      <c r="AE124" s="25">
        <v>121</v>
      </c>
      <c r="AF124" s="25">
        <v>149</v>
      </c>
      <c r="AG124" s="25">
        <v>0</v>
      </c>
      <c r="AH124" s="25">
        <v>0</v>
      </c>
      <c r="AI124" s="25">
        <v>0</v>
      </c>
      <c r="AJ124" s="25">
        <v>0</v>
      </c>
      <c r="AK124" s="25">
        <v>0</v>
      </c>
      <c r="AL124" s="25">
        <v>0</v>
      </c>
      <c r="AM124" s="25">
        <v>839</v>
      </c>
      <c r="AN124" s="25">
        <v>960</v>
      </c>
      <c r="AO124" s="25">
        <v>130</v>
      </c>
      <c r="AP124" s="23">
        <v>39585.564307692308</v>
      </c>
      <c r="AQ124" s="26">
        <v>6.453846153846154</v>
      </c>
      <c r="AR124" s="23">
        <v>221550</v>
      </c>
      <c r="AS124" s="23">
        <v>54724</v>
      </c>
      <c r="AT124" s="24">
        <v>5.3685848681248864E-2</v>
      </c>
      <c r="AU124" s="23">
        <v>54745.993191489368</v>
      </c>
      <c r="AV124" s="27">
        <v>267</v>
      </c>
      <c r="AW124" s="27">
        <v>1590</v>
      </c>
      <c r="AX124" s="81">
        <v>18449.009999999998</v>
      </c>
      <c r="AY124" s="83">
        <v>140</v>
      </c>
      <c r="AZ124" s="83">
        <v>94</v>
      </c>
      <c r="BA124" s="83">
        <v>40</v>
      </c>
      <c r="BB124" s="83">
        <v>1</v>
      </c>
      <c r="BC124" s="99"/>
      <c r="BD124" s="99"/>
      <c r="BE124" s="3">
        <v>-0.31000000052154064</v>
      </c>
    </row>
    <row r="125" spans="1:57" ht="15.6">
      <c r="A125" s="2" t="s">
        <v>118</v>
      </c>
      <c r="B125" s="19" t="s">
        <v>362</v>
      </c>
      <c r="C125" s="20" t="s">
        <v>245</v>
      </c>
      <c r="D125" s="21" t="s">
        <v>591</v>
      </c>
      <c r="E125" s="44">
        <v>45460</v>
      </c>
      <c r="F125" s="21" t="s">
        <v>419</v>
      </c>
      <c r="G125" s="23">
        <v>6346376</v>
      </c>
      <c r="H125" s="28">
        <v>29900</v>
      </c>
      <c r="I125" s="28">
        <v>1500000</v>
      </c>
      <c r="J125" s="23">
        <v>0</v>
      </c>
      <c r="K125" s="23">
        <v>9000000</v>
      </c>
      <c r="L125" s="23">
        <v>8649965.0299999993</v>
      </c>
      <c r="M125" s="23">
        <v>0</v>
      </c>
      <c r="N125" s="23">
        <v>7720219</v>
      </c>
      <c r="O125" s="24">
        <v>0.9611072255555555</v>
      </c>
      <c r="P125" s="24">
        <v>0</v>
      </c>
      <c r="Q125" s="24">
        <v>0.85780211111111115</v>
      </c>
      <c r="R125" s="25">
        <v>62</v>
      </c>
      <c r="S125" s="25">
        <v>67</v>
      </c>
      <c r="T125" s="25">
        <v>11</v>
      </c>
      <c r="U125" s="25">
        <v>11</v>
      </c>
      <c r="V125" s="25">
        <v>73</v>
      </c>
      <c r="W125" s="25">
        <v>6</v>
      </c>
      <c r="X125" s="26">
        <v>6196930.4900000002</v>
      </c>
      <c r="Y125" s="26">
        <v>2453034.54</v>
      </c>
      <c r="Z125" s="25">
        <v>34</v>
      </c>
      <c r="AA125" s="25">
        <v>11</v>
      </c>
      <c r="AB125" s="25">
        <v>45</v>
      </c>
      <c r="AC125" s="25">
        <v>0</v>
      </c>
      <c r="AD125" s="25">
        <v>15</v>
      </c>
      <c r="AE125" s="25">
        <v>19</v>
      </c>
      <c r="AF125" s="25">
        <v>55</v>
      </c>
      <c r="AG125" s="25">
        <v>2</v>
      </c>
      <c r="AH125" s="25">
        <v>7</v>
      </c>
      <c r="AI125" s="25">
        <v>0</v>
      </c>
      <c r="AJ125" s="25">
        <v>0</v>
      </c>
      <c r="AK125" s="25">
        <v>0</v>
      </c>
      <c r="AL125" s="25">
        <v>0</v>
      </c>
      <c r="AM125" s="25">
        <v>590</v>
      </c>
      <c r="AN125" s="25">
        <v>616</v>
      </c>
      <c r="AO125" s="25">
        <v>156</v>
      </c>
      <c r="AP125" s="23">
        <v>55448.493782051279</v>
      </c>
      <c r="AQ125" s="26">
        <v>3.7820512820512819</v>
      </c>
      <c r="AR125" s="23">
        <v>179400</v>
      </c>
      <c r="AS125" s="23">
        <v>42041</v>
      </c>
      <c r="AT125" s="24">
        <v>2.5600219102851103E-2</v>
      </c>
      <c r="AU125" s="23">
        <v>192221.4451111111</v>
      </c>
      <c r="AV125" s="27">
        <v>146</v>
      </c>
      <c r="AW125" s="27">
        <v>1746</v>
      </c>
      <c r="AX125" s="81">
        <v>9665.99</v>
      </c>
      <c r="AY125" s="83">
        <v>144</v>
      </c>
      <c r="AZ125" s="83">
        <v>45</v>
      </c>
      <c r="BA125" s="83">
        <v>22</v>
      </c>
      <c r="BB125" s="83">
        <v>6</v>
      </c>
      <c r="BC125" s="99"/>
      <c r="BD125" s="99"/>
      <c r="BE125" s="3">
        <v>1.0299999993294477</v>
      </c>
    </row>
    <row r="126" spans="1:57" ht="15.6">
      <c r="A126" s="2" t="s">
        <v>119</v>
      </c>
      <c r="B126" s="19" t="s">
        <v>375</v>
      </c>
      <c r="C126" s="20" t="s">
        <v>246</v>
      </c>
      <c r="D126" s="21" t="s">
        <v>594</v>
      </c>
      <c r="E126" s="44">
        <v>45462</v>
      </c>
      <c r="F126" s="21" t="s">
        <v>473</v>
      </c>
      <c r="G126" s="23">
        <v>1888089.46</v>
      </c>
      <c r="H126" s="28">
        <v>24116</v>
      </c>
      <c r="I126" s="28">
        <v>1200000</v>
      </c>
      <c r="J126" s="23">
        <v>0</v>
      </c>
      <c r="K126" s="23">
        <v>3600000</v>
      </c>
      <c r="L126" s="23">
        <v>812156.53</v>
      </c>
      <c r="M126" s="23">
        <v>0</v>
      </c>
      <c r="N126" s="23">
        <v>207270</v>
      </c>
      <c r="O126" s="24">
        <v>0.22559903611111112</v>
      </c>
      <c r="P126" s="24">
        <v>0</v>
      </c>
      <c r="Q126" s="24">
        <v>5.7575000000000001E-2</v>
      </c>
      <c r="R126" s="25">
        <v>48</v>
      </c>
      <c r="S126" s="25">
        <v>47</v>
      </c>
      <c r="T126" s="25">
        <v>0</v>
      </c>
      <c r="U126" s="25">
        <v>0</v>
      </c>
      <c r="V126" s="25">
        <v>48</v>
      </c>
      <c r="W126" s="25">
        <v>1</v>
      </c>
      <c r="X126" s="26">
        <v>812156.53</v>
      </c>
      <c r="Y126" s="26">
        <v>0</v>
      </c>
      <c r="Z126" s="25">
        <v>20</v>
      </c>
      <c r="AA126" s="25">
        <v>0</v>
      </c>
      <c r="AB126" s="25">
        <v>20</v>
      </c>
      <c r="AC126" s="25">
        <v>0</v>
      </c>
      <c r="AD126" s="25">
        <v>14</v>
      </c>
      <c r="AE126" s="25">
        <v>24</v>
      </c>
      <c r="AF126" s="25">
        <v>56</v>
      </c>
      <c r="AG126" s="25">
        <v>1</v>
      </c>
      <c r="AH126" s="25">
        <v>48</v>
      </c>
      <c r="AI126" s="25">
        <v>0</v>
      </c>
      <c r="AJ126" s="25">
        <v>0</v>
      </c>
      <c r="AK126" s="25">
        <v>0</v>
      </c>
      <c r="AL126" s="25">
        <v>0</v>
      </c>
      <c r="AM126" s="25">
        <v>228</v>
      </c>
      <c r="AN126" s="25">
        <v>300</v>
      </c>
      <c r="AO126" s="25">
        <v>61</v>
      </c>
      <c r="AP126" s="23">
        <v>13314.041475409836</v>
      </c>
      <c r="AQ126" s="26">
        <v>3.737704918032787</v>
      </c>
      <c r="AR126" s="23">
        <v>72348</v>
      </c>
      <c r="AS126" s="23">
        <v>27895</v>
      </c>
      <c r="AT126" s="24">
        <v>0.12342817707813049</v>
      </c>
      <c r="AU126" s="23">
        <v>40607.826500000003</v>
      </c>
      <c r="AV126" s="27">
        <v>38</v>
      </c>
      <c r="AW126" s="27">
        <v>493</v>
      </c>
      <c r="AX126" s="81">
        <v>4640.3</v>
      </c>
      <c r="AY126" s="83">
        <v>99</v>
      </c>
      <c r="AZ126" s="83">
        <v>20</v>
      </c>
      <c r="BA126" s="83">
        <v>27</v>
      </c>
      <c r="BB126" s="83">
        <v>1</v>
      </c>
      <c r="BC126" s="99">
        <v>45838</v>
      </c>
      <c r="BD126" s="99"/>
      <c r="BE126" s="3">
        <v>7.9999999958090484E-2</v>
      </c>
    </row>
    <row r="127" spans="1:57" ht="15.6">
      <c r="A127" s="2" t="s">
        <v>154</v>
      </c>
      <c r="B127" s="19" t="s">
        <v>367</v>
      </c>
      <c r="C127" s="20" t="s">
        <v>247</v>
      </c>
      <c r="D127" s="21" t="s">
        <v>377</v>
      </c>
      <c r="E127" s="44">
        <v>45464</v>
      </c>
      <c r="F127" s="21" t="s">
        <v>577</v>
      </c>
      <c r="G127" s="23">
        <v>698221</v>
      </c>
      <c r="H127" s="28">
        <v>38285</v>
      </c>
      <c r="I127" s="28">
        <v>1500000</v>
      </c>
      <c r="J127" s="23">
        <v>0</v>
      </c>
      <c r="K127" s="23">
        <v>4500000</v>
      </c>
      <c r="L127" s="23">
        <v>462446.74</v>
      </c>
      <c r="M127" s="23">
        <v>0</v>
      </c>
      <c r="N127" s="23"/>
      <c r="O127" s="24">
        <v>0.10276594222222223</v>
      </c>
      <c r="P127" s="24">
        <v>0</v>
      </c>
      <c r="Q127" s="24">
        <v>0</v>
      </c>
      <c r="R127" s="25">
        <v>31</v>
      </c>
      <c r="S127" s="25">
        <v>24</v>
      </c>
      <c r="T127" s="25">
        <v>3</v>
      </c>
      <c r="U127" s="25">
        <v>3</v>
      </c>
      <c r="V127" s="25">
        <v>34</v>
      </c>
      <c r="W127" s="25">
        <v>10</v>
      </c>
      <c r="X127" s="26">
        <v>290652.74</v>
      </c>
      <c r="Y127" s="26">
        <v>171794</v>
      </c>
      <c r="Z127" s="25">
        <v>5</v>
      </c>
      <c r="AA127" s="25">
        <v>3</v>
      </c>
      <c r="AB127" s="25">
        <v>8</v>
      </c>
      <c r="AC127" s="25">
        <v>0</v>
      </c>
      <c r="AD127" s="25">
        <v>94</v>
      </c>
      <c r="AE127" s="25">
        <v>145</v>
      </c>
      <c r="AF127" s="25">
        <v>308</v>
      </c>
      <c r="AG127" s="25">
        <v>4</v>
      </c>
      <c r="AH127" s="25">
        <v>23</v>
      </c>
      <c r="AI127" s="25">
        <v>0</v>
      </c>
      <c r="AJ127" s="25">
        <v>0</v>
      </c>
      <c r="AK127" s="25">
        <v>2</v>
      </c>
      <c r="AL127" s="25">
        <v>4</v>
      </c>
      <c r="AM127" s="25">
        <v>209</v>
      </c>
      <c r="AN127" s="25">
        <v>381</v>
      </c>
      <c r="AO127" s="25">
        <v>75</v>
      </c>
      <c r="AP127" s="23">
        <v>6165.956533333333</v>
      </c>
      <c r="AQ127" s="26">
        <v>2.7866666666666666</v>
      </c>
      <c r="AR127" s="23">
        <v>114855</v>
      </c>
      <c r="AS127" s="23">
        <v>27335</v>
      </c>
      <c r="AT127" s="24">
        <v>0.30747324545957444</v>
      </c>
      <c r="AU127" s="23">
        <v>57805.842499999999</v>
      </c>
      <c r="AV127" s="27">
        <v>15</v>
      </c>
      <c r="AW127" s="27">
        <v>792</v>
      </c>
      <c r="AX127" s="81">
        <v>2047.74</v>
      </c>
      <c r="AY127" s="83">
        <v>85</v>
      </c>
      <c r="AZ127" s="83">
        <v>8</v>
      </c>
      <c r="BA127" s="83">
        <v>16</v>
      </c>
      <c r="BB127" s="83">
        <v>10</v>
      </c>
      <c r="BC127" s="99">
        <v>45838</v>
      </c>
      <c r="BD127" s="99"/>
      <c r="BE127" s="3" t="e">
        <v>#REF!</v>
      </c>
    </row>
    <row r="128" spans="1:57" ht="15.6">
      <c r="A128" s="2" t="s">
        <v>201</v>
      </c>
      <c r="B128" s="19" t="s">
        <v>438</v>
      </c>
      <c r="C128" s="20" t="s">
        <v>248</v>
      </c>
      <c r="D128" s="21" t="s">
        <v>604</v>
      </c>
      <c r="E128" s="44">
        <v>45467</v>
      </c>
      <c r="F128" s="21" t="s">
        <v>504</v>
      </c>
      <c r="G128" s="23">
        <v>5519917</v>
      </c>
      <c r="H128" s="28">
        <v>27260</v>
      </c>
      <c r="I128" s="28">
        <v>1666667</v>
      </c>
      <c r="J128" s="23">
        <v>0</v>
      </c>
      <c r="K128" s="23">
        <v>10000002</v>
      </c>
      <c r="L128" s="23">
        <v>3116635.27</v>
      </c>
      <c r="M128" s="23">
        <v>0</v>
      </c>
      <c r="N128" s="23">
        <v>3080558</v>
      </c>
      <c r="O128" s="24">
        <v>0.31166346466730704</v>
      </c>
      <c r="P128" s="24">
        <v>0</v>
      </c>
      <c r="Q128" s="24">
        <v>0.30805573838885231</v>
      </c>
      <c r="R128" s="25">
        <v>46</v>
      </c>
      <c r="S128" s="25">
        <v>47</v>
      </c>
      <c r="T128" s="25">
        <v>2</v>
      </c>
      <c r="U128" s="25">
        <v>2</v>
      </c>
      <c r="V128" s="25">
        <v>48</v>
      </c>
      <c r="W128" s="25">
        <v>1</v>
      </c>
      <c r="X128" s="26">
        <v>2682522.2999999998</v>
      </c>
      <c r="Y128" s="26">
        <v>434112.97</v>
      </c>
      <c r="Z128" s="25">
        <v>32</v>
      </c>
      <c r="AA128" s="25">
        <v>2</v>
      </c>
      <c r="AB128" s="25">
        <v>34</v>
      </c>
      <c r="AC128" s="25">
        <v>0</v>
      </c>
      <c r="AD128" s="25">
        <v>8</v>
      </c>
      <c r="AE128" s="25">
        <v>13</v>
      </c>
      <c r="AF128" s="25">
        <v>11</v>
      </c>
      <c r="AG128" s="25">
        <v>2</v>
      </c>
      <c r="AH128" s="25">
        <v>19</v>
      </c>
      <c r="AI128" s="25">
        <v>0</v>
      </c>
      <c r="AJ128" s="25">
        <v>0</v>
      </c>
      <c r="AK128" s="25">
        <v>0</v>
      </c>
      <c r="AL128" s="25">
        <v>0</v>
      </c>
      <c r="AM128" s="25">
        <v>435</v>
      </c>
      <c r="AN128" s="25">
        <v>467</v>
      </c>
      <c r="AO128" s="25">
        <v>142</v>
      </c>
      <c r="AP128" s="23">
        <v>21948.135704225351</v>
      </c>
      <c r="AQ128" s="26">
        <v>3.063380281690141</v>
      </c>
      <c r="AR128" s="23">
        <v>163560</v>
      </c>
      <c r="AS128" s="23">
        <v>34383</v>
      </c>
      <c r="AT128" s="24">
        <v>6.3511762799244711E-2</v>
      </c>
      <c r="AU128" s="23">
        <v>91665.743235294125</v>
      </c>
      <c r="AV128" s="27">
        <v>75</v>
      </c>
      <c r="AW128" s="27">
        <v>1295</v>
      </c>
      <c r="AX128" s="81">
        <v>6394.31</v>
      </c>
      <c r="AY128" s="83">
        <v>136</v>
      </c>
      <c r="AZ128" s="83">
        <v>34</v>
      </c>
      <c r="BA128" s="83">
        <v>14</v>
      </c>
      <c r="BB128" s="83">
        <v>0</v>
      </c>
      <c r="BC128" s="99"/>
      <c r="BD128" s="99"/>
      <c r="BE128" s="3">
        <v>-0.38458007806912065</v>
      </c>
    </row>
    <row r="129" spans="1:57" ht="15.6">
      <c r="A129" s="2" t="s">
        <v>108</v>
      </c>
      <c r="B129" s="19" t="s">
        <v>465</v>
      </c>
      <c r="C129" s="20" t="s">
        <v>126</v>
      </c>
      <c r="D129" s="21" t="s">
        <v>605</v>
      </c>
      <c r="E129" s="44">
        <v>45474</v>
      </c>
      <c r="F129" s="21" t="s">
        <v>506</v>
      </c>
      <c r="G129" s="23">
        <v>13868680.720000001</v>
      </c>
      <c r="H129" s="28">
        <v>36000</v>
      </c>
      <c r="I129" s="28">
        <v>1375000</v>
      </c>
      <c r="J129" s="23">
        <v>0</v>
      </c>
      <c r="K129" s="23">
        <v>7590000</v>
      </c>
      <c r="L129" s="23">
        <v>4119947.2</v>
      </c>
      <c r="M129" s="23">
        <v>0</v>
      </c>
      <c r="N129" s="23">
        <v>0</v>
      </c>
      <c r="O129" s="24">
        <v>0.54281254281949931</v>
      </c>
      <c r="P129" s="24">
        <v>0</v>
      </c>
      <c r="Q129" s="24">
        <v>0</v>
      </c>
      <c r="R129" s="25">
        <v>81</v>
      </c>
      <c r="S129" s="25">
        <v>64</v>
      </c>
      <c r="T129" s="25">
        <v>0</v>
      </c>
      <c r="U129" s="25">
        <v>0</v>
      </c>
      <c r="V129" s="25">
        <v>81</v>
      </c>
      <c r="W129" s="25">
        <v>17</v>
      </c>
      <c r="X129" s="26">
        <v>4119947.2</v>
      </c>
      <c r="Y129" s="26">
        <v>0</v>
      </c>
      <c r="Z129" s="25">
        <v>33</v>
      </c>
      <c r="AA129" s="25">
        <v>0</v>
      </c>
      <c r="AB129" s="25">
        <v>33</v>
      </c>
      <c r="AC129" s="25">
        <v>0</v>
      </c>
      <c r="AD129" s="25">
        <v>4</v>
      </c>
      <c r="AE129" s="25">
        <v>4</v>
      </c>
      <c r="AF129" s="25">
        <v>20</v>
      </c>
      <c r="AG129" s="25">
        <v>3</v>
      </c>
      <c r="AH129" s="25">
        <v>10</v>
      </c>
      <c r="AI129" s="25">
        <v>0</v>
      </c>
      <c r="AJ129" s="25">
        <v>0</v>
      </c>
      <c r="AK129" s="25">
        <v>0</v>
      </c>
      <c r="AL129" s="25">
        <v>0</v>
      </c>
      <c r="AM129" s="25">
        <v>673</v>
      </c>
      <c r="AN129" s="25">
        <v>687</v>
      </c>
      <c r="AO129" s="25">
        <v>114</v>
      </c>
      <c r="AP129" s="23">
        <v>36139.887719298247</v>
      </c>
      <c r="AQ129" s="26">
        <v>5.9035087719298245</v>
      </c>
      <c r="AR129" s="23">
        <v>216000</v>
      </c>
      <c r="AS129" s="23"/>
      <c r="AT129" s="24">
        <v>5.2427856356994089E-2</v>
      </c>
      <c r="AU129" s="23">
        <v>124846.88484848486</v>
      </c>
      <c r="AV129" s="27">
        <v>114</v>
      </c>
      <c r="AW129" s="27">
        <v>956</v>
      </c>
      <c r="AX129" s="81">
        <v>6658.46</v>
      </c>
      <c r="AY129" s="83">
        <v>104</v>
      </c>
      <c r="AZ129" s="83">
        <v>33</v>
      </c>
      <c r="BA129" s="83">
        <v>31</v>
      </c>
      <c r="BB129" s="83">
        <v>17</v>
      </c>
      <c r="BC129" s="99"/>
      <c r="BD129" s="99"/>
      <c r="BE129" s="3">
        <v>-0.40000000037252903</v>
      </c>
    </row>
    <row r="130" spans="1:57" ht="15.6">
      <c r="A130" s="2" t="s">
        <v>118</v>
      </c>
      <c r="B130" s="19" t="s">
        <v>436</v>
      </c>
      <c r="C130" s="20" t="s">
        <v>249</v>
      </c>
      <c r="D130" s="21" t="s">
        <v>606</v>
      </c>
      <c r="E130" s="44">
        <v>45474</v>
      </c>
      <c r="F130" s="21" t="s">
        <v>499</v>
      </c>
      <c r="G130" s="23">
        <v>0</v>
      </c>
      <c r="H130" s="28">
        <v>35645</v>
      </c>
      <c r="I130" s="28">
        <v>1250000</v>
      </c>
      <c r="J130" s="23">
        <v>0</v>
      </c>
      <c r="K130" s="23">
        <v>6250000</v>
      </c>
      <c r="L130" s="23">
        <v>546972.11</v>
      </c>
      <c r="M130" s="23">
        <v>0</v>
      </c>
      <c r="N130" s="23">
        <v>561658</v>
      </c>
      <c r="O130" s="24">
        <v>8.7515537599999998E-2</v>
      </c>
      <c r="P130" s="24">
        <v>0</v>
      </c>
      <c r="Q130" s="24">
        <v>8.9865280000000006E-2</v>
      </c>
      <c r="R130" s="25">
        <v>20</v>
      </c>
      <c r="S130" s="25">
        <v>9</v>
      </c>
      <c r="T130" s="25">
        <v>1</v>
      </c>
      <c r="U130" s="25">
        <v>1</v>
      </c>
      <c r="V130" s="25">
        <v>21</v>
      </c>
      <c r="W130" s="25">
        <v>12</v>
      </c>
      <c r="X130" s="26">
        <v>0</v>
      </c>
      <c r="Y130" s="26">
        <v>546972.11</v>
      </c>
      <c r="Z130" s="25">
        <v>0</v>
      </c>
      <c r="AA130" s="25">
        <v>1</v>
      </c>
      <c r="AB130" s="25">
        <v>1</v>
      </c>
      <c r="AC130" s="25">
        <v>0</v>
      </c>
      <c r="AD130" s="25">
        <v>340</v>
      </c>
      <c r="AE130" s="25">
        <v>514</v>
      </c>
      <c r="AF130" s="25">
        <v>192</v>
      </c>
      <c r="AG130" s="25">
        <v>2</v>
      </c>
      <c r="AH130" s="25">
        <v>2</v>
      </c>
      <c r="AI130" s="25">
        <v>1</v>
      </c>
      <c r="AJ130" s="25">
        <v>1</v>
      </c>
      <c r="AK130" s="25">
        <v>2</v>
      </c>
      <c r="AL130" s="25">
        <v>2</v>
      </c>
      <c r="AM130" s="25">
        <v>19</v>
      </c>
      <c r="AN130" s="25">
        <v>538</v>
      </c>
      <c r="AO130" s="25">
        <v>94</v>
      </c>
      <c r="AP130" s="23">
        <v>5818.8522340425534</v>
      </c>
      <c r="AQ130" s="26">
        <v>0.20212765957446807</v>
      </c>
      <c r="AR130" s="23">
        <v>151491.25</v>
      </c>
      <c r="AS130" s="23">
        <v>61119</v>
      </c>
      <c r="AT130" s="24">
        <v>0.38870400540166483</v>
      </c>
      <c r="AU130" s="23">
        <v>546972.11</v>
      </c>
      <c r="AV130" s="27">
        <v>4</v>
      </c>
      <c r="AW130" s="27">
        <v>978</v>
      </c>
      <c r="AX130" s="81">
        <v>7568.51</v>
      </c>
      <c r="AY130" s="83">
        <v>841</v>
      </c>
      <c r="AZ130" s="83">
        <v>1</v>
      </c>
      <c r="BA130" s="83">
        <v>9</v>
      </c>
      <c r="BB130" s="83">
        <v>11</v>
      </c>
      <c r="BC130" s="99">
        <v>45877</v>
      </c>
      <c r="BD130" s="99"/>
      <c r="BE130" s="3">
        <v>-1.1099999999860302</v>
      </c>
    </row>
    <row r="131" spans="1:57" ht="15.6">
      <c r="A131" s="2" t="s">
        <v>201</v>
      </c>
      <c r="B131" s="19" t="s">
        <v>431</v>
      </c>
      <c r="C131" s="20" t="s">
        <v>250</v>
      </c>
      <c r="D131" s="21" t="s">
        <v>561</v>
      </c>
      <c r="E131" s="44">
        <v>45482</v>
      </c>
      <c r="F131" s="21" t="s">
        <v>431</v>
      </c>
      <c r="G131" s="23">
        <v>5199880</v>
      </c>
      <c r="H131" s="28">
        <v>28940</v>
      </c>
      <c r="I131" s="28">
        <v>1583333</v>
      </c>
      <c r="J131" s="23">
        <v>0</v>
      </c>
      <c r="K131" s="23">
        <v>9499998</v>
      </c>
      <c r="L131" s="23">
        <v>6517491.8799999999</v>
      </c>
      <c r="M131" s="23">
        <v>0</v>
      </c>
      <c r="N131" s="23">
        <v>6190985</v>
      </c>
      <c r="O131" s="24">
        <v>0.68605192127408865</v>
      </c>
      <c r="P131" s="24">
        <v>0</v>
      </c>
      <c r="Q131" s="24">
        <v>0.65168276877531972</v>
      </c>
      <c r="R131" s="25">
        <v>55</v>
      </c>
      <c r="S131" s="25">
        <v>65</v>
      </c>
      <c r="T131" s="25">
        <v>14</v>
      </c>
      <c r="U131" s="25">
        <v>14</v>
      </c>
      <c r="V131" s="25">
        <v>69</v>
      </c>
      <c r="W131" s="25">
        <v>4</v>
      </c>
      <c r="X131" s="26">
        <v>3650816.75</v>
      </c>
      <c r="Y131" s="26">
        <v>2866675.13</v>
      </c>
      <c r="Z131" s="25">
        <v>34</v>
      </c>
      <c r="AA131" s="25">
        <v>14</v>
      </c>
      <c r="AB131" s="25">
        <v>48</v>
      </c>
      <c r="AC131" s="25">
        <v>0</v>
      </c>
      <c r="AD131" s="25">
        <v>90</v>
      </c>
      <c r="AE131" s="25">
        <v>128</v>
      </c>
      <c r="AF131" s="25">
        <v>166</v>
      </c>
      <c r="AG131" s="25">
        <v>1</v>
      </c>
      <c r="AH131" s="25">
        <v>49</v>
      </c>
      <c r="AI131" s="25">
        <v>0</v>
      </c>
      <c r="AJ131" s="25">
        <v>0</v>
      </c>
      <c r="AK131" s="25">
        <v>0</v>
      </c>
      <c r="AL131" s="25">
        <v>0</v>
      </c>
      <c r="AM131" s="25">
        <v>517</v>
      </c>
      <c r="AN131" s="25">
        <v>694</v>
      </c>
      <c r="AO131" s="25">
        <v>141</v>
      </c>
      <c r="AP131" s="23">
        <v>46223.346666666665</v>
      </c>
      <c r="AQ131" s="26">
        <v>3.6666666666666665</v>
      </c>
      <c r="AR131" s="23">
        <v>173640</v>
      </c>
      <c r="AS131" s="23">
        <v>32149</v>
      </c>
      <c r="AT131" s="24">
        <v>3.1574876315764583E-2</v>
      </c>
      <c r="AU131" s="23">
        <v>135781.08083333334</v>
      </c>
      <c r="AV131" s="27">
        <v>189</v>
      </c>
      <c r="AW131" s="27">
        <v>1140</v>
      </c>
      <c r="AX131" s="81">
        <v>7620.43</v>
      </c>
      <c r="AY131" s="83">
        <v>117</v>
      </c>
      <c r="AZ131" s="83">
        <v>48</v>
      </c>
      <c r="BA131" s="83">
        <v>18</v>
      </c>
      <c r="BB131" s="83">
        <v>3</v>
      </c>
      <c r="BC131" s="99"/>
      <c r="BD131" s="99"/>
      <c r="BE131" s="3">
        <v>0.62000000011175871</v>
      </c>
    </row>
    <row r="132" spans="1:57" ht="15.6">
      <c r="A132" s="2" t="s">
        <v>124</v>
      </c>
      <c r="B132" s="19" t="s">
        <v>443</v>
      </c>
      <c r="C132" s="20" t="s">
        <v>251</v>
      </c>
      <c r="D132" s="21" t="s">
        <v>607</v>
      </c>
      <c r="E132" s="44">
        <v>45483</v>
      </c>
      <c r="F132" s="21" t="s">
        <v>517</v>
      </c>
      <c r="G132" s="23">
        <v>2646944</v>
      </c>
      <c r="H132" s="28">
        <v>42475</v>
      </c>
      <c r="I132" s="28">
        <v>1000000</v>
      </c>
      <c r="J132" s="23">
        <v>0</v>
      </c>
      <c r="K132" s="23">
        <v>6000000</v>
      </c>
      <c r="L132" s="23">
        <v>2743244.56</v>
      </c>
      <c r="M132" s="23">
        <v>0</v>
      </c>
      <c r="N132" s="23">
        <v>2477550</v>
      </c>
      <c r="O132" s="24">
        <v>0.45720742666666669</v>
      </c>
      <c r="P132" s="24">
        <v>0</v>
      </c>
      <c r="Q132" s="24">
        <v>0.41292499999999999</v>
      </c>
      <c r="R132" s="25">
        <v>57</v>
      </c>
      <c r="S132" s="25">
        <v>68</v>
      </c>
      <c r="T132" s="25">
        <v>14</v>
      </c>
      <c r="U132" s="25">
        <v>13</v>
      </c>
      <c r="V132" s="25">
        <v>71</v>
      </c>
      <c r="W132" s="25">
        <v>3</v>
      </c>
      <c r="X132" s="26">
        <v>2664560.6</v>
      </c>
      <c r="Y132" s="26">
        <v>78683.960000000006</v>
      </c>
      <c r="Z132" s="25">
        <v>49</v>
      </c>
      <c r="AA132" s="25">
        <v>13</v>
      </c>
      <c r="AB132" s="25">
        <v>62</v>
      </c>
      <c r="AC132" s="25">
        <v>0</v>
      </c>
      <c r="AD132" s="25">
        <v>115</v>
      </c>
      <c r="AE132" s="25">
        <v>199</v>
      </c>
      <c r="AF132" s="25">
        <v>78</v>
      </c>
      <c r="AG132" s="25">
        <v>2</v>
      </c>
      <c r="AH132" s="25">
        <v>67</v>
      </c>
      <c r="AI132" s="25">
        <v>0</v>
      </c>
      <c r="AJ132" s="25">
        <v>0</v>
      </c>
      <c r="AK132" s="25">
        <v>0</v>
      </c>
      <c r="AL132" s="25">
        <v>0</v>
      </c>
      <c r="AM132" s="25">
        <v>432</v>
      </c>
      <c r="AN132" s="25">
        <v>698</v>
      </c>
      <c r="AO132" s="25">
        <v>145</v>
      </c>
      <c r="AP132" s="23">
        <v>18918.928</v>
      </c>
      <c r="AQ132" s="26">
        <v>2.9793103448275864</v>
      </c>
      <c r="AR132" s="23">
        <v>254850</v>
      </c>
      <c r="AS132" s="23">
        <v>38660</v>
      </c>
      <c r="AT132" s="24">
        <v>0.10699374174645224</v>
      </c>
      <c r="AU132" s="23">
        <v>44245.88</v>
      </c>
      <c r="AV132" s="27">
        <v>207</v>
      </c>
      <c r="AW132" s="27">
        <v>1287</v>
      </c>
      <c r="AX132" s="81">
        <v>12614.63</v>
      </c>
      <c r="AY132" s="83">
        <v>186</v>
      </c>
      <c r="AZ132" s="83">
        <v>62</v>
      </c>
      <c r="BA132" s="83">
        <v>7</v>
      </c>
      <c r="BB132" s="83">
        <v>2</v>
      </c>
      <c r="BC132" s="99"/>
      <c r="BD132" s="99"/>
      <c r="BE132" s="3">
        <v>2089767.8199999998</v>
      </c>
    </row>
    <row r="133" spans="1:57" ht="15.6">
      <c r="A133" s="2" t="s">
        <v>154</v>
      </c>
      <c r="B133" s="19" t="s">
        <v>370</v>
      </c>
      <c r="C133" s="20" t="s">
        <v>168</v>
      </c>
      <c r="D133" s="21" t="s">
        <v>609</v>
      </c>
      <c r="E133" s="44">
        <v>45488</v>
      </c>
      <c r="F133" s="21" t="s">
        <v>608</v>
      </c>
      <c r="G133" s="23">
        <v>442567</v>
      </c>
      <c r="H133" s="28">
        <v>32500</v>
      </c>
      <c r="I133" s="28">
        <v>1500000</v>
      </c>
      <c r="J133" s="23">
        <v>0</v>
      </c>
      <c r="K133" s="23">
        <v>7500000</v>
      </c>
      <c r="L133" s="23">
        <v>477497.81</v>
      </c>
      <c r="M133" s="23">
        <v>0</v>
      </c>
      <c r="N133" s="23">
        <v>0</v>
      </c>
      <c r="O133" s="24">
        <v>6.3666374666666664E-2</v>
      </c>
      <c r="P133" s="24">
        <v>0</v>
      </c>
      <c r="Q133" s="24">
        <v>0</v>
      </c>
      <c r="R133" s="25">
        <v>92</v>
      </c>
      <c r="S133" s="25">
        <v>67</v>
      </c>
      <c r="T133" s="25">
        <v>8</v>
      </c>
      <c r="U133" s="25">
        <v>5</v>
      </c>
      <c r="V133" s="25">
        <v>100</v>
      </c>
      <c r="W133" s="25">
        <v>33</v>
      </c>
      <c r="X133" s="26">
        <v>399788.1</v>
      </c>
      <c r="Y133" s="26">
        <v>77709.710000000006</v>
      </c>
      <c r="Z133" s="25">
        <v>17</v>
      </c>
      <c r="AA133" s="25">
        <v>5</v>
      </c>
      <c r="AB133" s="25">
        <v>22</v>
      </c>
      <c r="AC133" s="25">
        <v>0</v>
      </c>
      <c r="AD133" s="25">
        <v>225</v>
      </c>
      <c r="AE133" s="25">
        <v>380</v>
      </c>
      <c r="AF133" s="25">
        <v>433</v>
      </c>
      <c r="AG133" s="25">
        <v>7</v>
      </c>
      <c r="AH133" s="25">
        <v>38</v>
      </c>
      <c r="AI133" s="25">
        <v>0</v>
      </c>
      <c r="AJ133" s="25">
        <v>0</v>
      </c>
      <c r="AK133" s="25">
        <v>12</v>
      </c>
      <c r="AL133" s="25">
        <v>51</v>
      </c>
      <c r="AM133" s="25">
        <v>184</v>
      </c>
      <c r="AN133" s="25">
        <v>653</v>
      </c>
      <c r="AO133" s="25">
        <v>104</v>
      </c>
      <c r="AP133" s="23">
        <v>4591.3250961538461</v>
      </c>
      <c r="AQ133" s="26">
        <v>1.7692307692307692</v>
      </c>
      <c r="AR133" s="23">
        <v>136175</v>
      </c>
      <c r="AS133" s="23">
        <v>28478</v>
      </c>
      <c r="AT133" s="24">
        <v>0.34482461814851045</v>
      </c>
      <c r="AU133" s="23">
        <v>21704.445909090908</v>
      </c>
      <c r="AV133" s="27">
        <v>36</v>
      </c>
      <c r="AW133" s="27">
        <v>1087</v>
      </c>
      <c r="AX133" s="81">
        <v>8462.67</v>
      </c>
      <c r="AY133" s="83">
        <v>126</v>
      </c>
      <c r="AZ133" s="83">
        <v>22</v>
      </c>
      <c r="BA133" s="83">
        <v>45</v>
      </c>
      <c r="BB133" s="83">
        <v>33</v>
      </c>
      <c r="BC133" s="99">
        <v>45875</v>
      </c>
      <c r="BD133" s="99"/>
      <c r="BE133" s="3">
        <v>1.9999999960418791E-2</v>
      </c>
    </row>
    <row r="134" spans="1:57" ht="15.6">
      <c r="A134" s="2" t="s">
        <v>108</v>
      </c>
      <c r="B134" s="19" t="s">
        <v>465</v>
      </c>
      <c r="C134" s="20" t="s">
        <v>253</v>
      </c>
      <c r="D134" s="21" t="s">
        <v>467</v>
      </c>
      <c r="E134" s="44">
        <v>45488</v>
      </c>
      <c r="F134" s="21" t="s">
        <v>506</v>
      </c>
      <c r="G134" s="23">
        <v>4785530</v>
      </c>
      <c r="H134" s="28">
        <v>20000</v>
      </c>
      <c r="I134" s="28">
        <v>1055416.7919999999</v>
      </c>
      <c r="J134" s="23">
        <v>0</v>
      </c>
      <c r="K134" s="23">
        <v>5825900</v>
      </c>
      <c r="L134" s="23">
        <v>3861272.4</v>
      </c>
      <c r="M134" s="23">
        <v>0</v>
      </c>
      <c r="N134" s="23">
        <v>4894985</v>
      </c>
      <c r="O134" s="24">
        <v>0.66277697866424068</v>
      </c>
      <c r="P134" s="24">
        <v>0</v>
      </c>
      <c r="Q134" s="24">
        <v>0.84021095453063044</v>
      </c>
      <c r="R134" s="25">
        <v>101</v>
      </c>
      <c r="S134" s="25">
        <v>106</v>
      </c>
      <c r="T134" s="25">
        <v>7</v>
      </c>
      <c r="U134" s="25">
        <v>7</v>
      </c>
      <c r="V134" s="25">
        <v>108</v>
      </c>
      <c r="W134" s="25">
        <v>2</v>
      </c>
      <c r="X134" s="26">
        <v>3441741</v>
      </c>
      <c r="Y134" s="26">
        <v>419531.4</v>
      </c>
      <c r="Z134" s="25">
        <v>62</v>
      </c>
      <c r="AA134" s="25">
        <v>7</v>
      </c>
      <c r="AB134" s="25">
        <v>69</v>
      </c>
      <c r="AC134" s="25">
        <v>0</v>
      </c>
      <c r="AD134" s="25">
        <v>16</v>
      </c>
      <c r="AE134" s="25">
        <v>41</v>
      </c>
      <c r="AF134" s="25">
        <v>35</v>
      </c>
      <c r="AG134" s="25">
        <v>2</v>
      </c>
      <c r="AH134" s="25">
        <v>33</v>
      </c>
      <c r="AI134" s="25">
        <v>0</v>
      </c>
      <c r="AJ134" s="25">
        <v>0</v>
      </c>
      <c r="AK134" s="25">
        <v>0</v>
      </c>
      <c r="AL134" s="25">
        <v>0</v>
      </c>
      <c r="AM134" s="25">
        <v>952</v>
      </c>
      <c r="AN134" s="25">
        <v>1026</v>
      </c>
      <c r="AO134" s="25">
        <v>141</v>
      </c>
      <c r="AP134" s="23">
        <v>27384.910638297872</v>
      </c>
      <c r="AQ134" s="26">
        <v>6.75177304964539</v>
      </c>
      <c r="AR134" s="23">
        <v>120000</v>
      </c>
      <c r="AS134" s="23">
        <v>29200</v>
      </c>
      <c r="AT134" s="24">
        <v>3.8640112518350173E-2</v>
      </c>
      <c r="AU134" s="23">
        <v>55960.46956521739</v>
      </c>
      <c r="AV134" s="27">
        <v>319</v>
      </c>
      <c r="AW134" s="27">
        <v>1303</v>
      </c>
      <c r="AX134" s="81">
        <v>10408.629999999999</v>
      </c>
      <c r="AY134" s="83">
        <v>98</v>
      </c>
      <c r="AZ134" s="83">
        <v>69</v>
      </c>
      <c r="BA134" s="83">
        <v>37</v>
      </c>
      <c r="BB134" s="83">
        <v>2</v>
      </c>
      <c r="BC134" s="99"/>
      <c r="BD134" s="99"/>
      <c r="BE134" s="3">
        <v>4.6566128730773926E-10</v>
      </c>
    </row>
    <row r="135" spans="1:57" ht="15.6">
      <c r="A135" s="2" t="s">
        <v>118</v>
      </c>
      <c r="B135" s="19" t="s">
        <v>372</v>
      </c>
      <c r="C135" s="20" t="s">
        <v>254</v>
      </c>
      <c r="D135" s="21" t="s">
        <v>610</v>
      </c>
      <c r="E135" s="44">
        <v>45488</v>
      </c>
      <c r="F135" s="21" t="s">
        <v>447</v>
      </c>
      <c r="G135" s="23">
        <v>5701215.5999999996</v>
      </c>
      <c r="H135" s="28">
        <v>30946</v>
      </c>
      <c r="I135" s="28">
        <v>1500000</v>
      </c>
      <c r="J135" s="23">
        <v>0</v>
      </c>
      <c r="K135" s="23">
        <v>9000000</v>
      </c>
      <c r="L135" s="23">
        <v>3778208.45</v>
      </c>
      <c r="M135" s="23">
        <v>0</v>
      </c>
      <c r="N135" s="23">
        <v>4675515.26</v>
      </c>
      <c r="O135" s="24">
        <v>0.41980093888888892</v>
      </c>
      <c r="P135" s="24">
        <v>0</v>
      </c>
      <c r="Q135" s="24">
        <v>0.51950169555555548</v>
      </c>
      <c r="R135" s="25">
        <v>44</v>
      </c>
      <c r="S135" s="25">
        <v>56</v>
      </c>
      <c r="T135" s="25">
        <v>14</v>
      </c>
      <c r="U135" s="25">
        <v>14</v>
      </c>
      <c r="V135" s="25">
        <v>58</v>
      </c>
      <c r="W135" s="25">
        <v>2</v>
      </c>
      <c r="X135" s="26">
        <v>2282724.2599999998</v>
      </c>
      <c r="Y135" s="26">
        <v>1495484.19</v>
      </c>
      <c r="Z135" s="25">
        <v>23</v>
      </c>
      <c r="AA135" s="25">
        <v>14</v>
      </c>
      <c r="AB135" s="25">
        <v>37</v>
      </c>
      <c r="AC135" s="25">
        <v>0</v>
      </c>
      <c r="AD135" s="25">
        <v>21</v>
      </c>
      <c r="AE135" s="25">
        <v>39</v>
      </c>
      <c r="AF135" s="25">
        <v>37</v>
      </c>
      <c r="AG135" s="25">
        <v>1</v>
      </c>
      <c r="AH135" s="25">
        <v>75</v>
      </c>
      <c r="AI135" s="25">
        <v>0</v>
      </c>
      <c r="AJ135" s="25">
        <v>0</v>
      </c>
      <c r="AK135" s="25">
        <v>0</v>
      </c>
      <c r="AL135" s="25">
        <v>0</v>
      </c>
      <c r="AM135" s="25">
        <v>347</v>
      </c>
      <c r="AN135" s="25">
        <v>461</v>
      </c>
      <c r="AO135" s="25">
        <v>137</v>
      </c>
      <c r="AP135" s="23">
        <v>27578.163868613141</v>
      </c>
      <c r="AQ135" s="26">
        <v>2.5328467153284673</v>
      </c>
      <c r="AR135" s="23">
        <v>185676</v>
      </c>
      <c r="AS135" s="23">
        <v>14578</v>
      </c>
      <c r="AT135" s="24">
        <v>5.3002369416647724E-2</v>
      </c>
      <c r="AU135" s="23">
        <v>102113.7418918919</v>
      </c>
      <c r="AV135" s="27">
        <v>88</v>
      </c>
      <c r="AW135" s="27">
        <v>1505</v>
      </c>
      <c r="AX135" s="81">
        <v>10197.870000000001</v>
      </c>
      <c r="AY135" s="83">
        <v>182</v>
      </c>
      <c r="AZ135" s="83">
        <v>37</v>
      </c>
      <c r="BA135" s="83">
        <v>19</v>
      </c>
      <c r="BB135" s="83">
        <v>2</v>
      </c>
      <c r="BC135" s="99"/>
      <c r="BD135" s="99"/>
      <c r="BE135" s="3">
        <v>-0.59000000078231096</v>
      </c>
    </row>
    <row r="136" spans="1:57" ht="15.6">
      <c r="A136" s="2" t="s">
        <v>154</v>
      </c>
      <c r="B136" s="19" t="s">
        <v>367</v>
      </c>
      <c r="C136" s="20" t="s">
        <v>257</v>
      </c>
      <c r="D136" s="21" t="s">
        <v>611</v>
      </c>
      <c r="E136" s="44">
        <v>45502</v>
      </c>
      <c r="F136" s="21" t="s">
        <v>577</v>
      </c>
      <c r="G136" s="23">
        <v>541267</v>
      </c>
      <c r="H136" s="28">
        <v>46670</v>
      </c>
      <c r="I136" s="28">
        <v>1500000</v>
      </c>
      <c r="J136" s="23">
        <v>0</v>
      </c>
      <c r="K136" s="23">
        <v>7500000</v>
      </c>
      <c r="L136" s="23">
        <v>454619.97</v>
      </c>
      <c r="M136" s="23">
        <v>0</v>
      </c>
      <c r="N136" s="23">
        <v>316192</v>
      </c>
      <c r="O136" s="24">
        <v>6.0615995999999998E-2</v>
      </c>
      <c r="P136" s="24">
        <v>0</v>
      </c>
      <c r="Q136" s="24">
        <v>4.2158933333333336E-2</v>
      </c>
      <c r="R136" s="25">
        <v>30</v>
      </c>
      <c r="S136" s="25">
        <v>27</v>
      </c>
      <c r="T136" s="25">
        <v>1</v>
      </c>
      <c r="U136" s="25">
        <v>1</v>
      </c>
      <c r="V136" s="25">
        <v>31</v>
      </c>
      <c r="W136" s="25">
        <v>4</v>
      </c>
      <c r="X136" s="26">
        <v>279361.21000000002</v>
      </c>
      <c r="Y136" s="26">
        <v>175258.76</v>
      </c>
      <c r="Z136" s="25">
        <v>7</v>
      </c>
      <c r="AA136" s="25">
        <v>1</v>
      </c>
      <c r="AB136" s="25">
        <v>8</v>
      </c>
      <c r="AC136" s="25">
        <v>0</v>
      </c>
      <c r="AD136" s="25">
        <v>34</v>
      </c>
      <c r="AE136" s="25">
        <v>73</v>
      </c>
      <c r="AF136" s="25">
        <v>96</v>
      </c>
      <c r="AG136" s="25">
        <v>1</v>
      </c>
      <c r="AH136" s="25">
        <v>48</v>
      </c>
      <c r="AI136" s="25">
        <v>0</v>
      </c>
      <c r="AJ136" s="25">
        <v>0</v>
      </c>
      <c r="AK136" s="25">
        <v>0</v>
      </c>
      <c r="AL136" s="25">
        <v>0</v>
      </c>
      <c r="AM136" s="25">
        <v>250</v>
      </c>
      <c r="AN136" s="25">
        <v>371</v>
      </c>
      <c r="AO136" s="25">
        <v>91</v>
      </c>
      <c r="AP136" s="23">
        <v>4995.8238461538458</v>
      </c>
      <c r="AQ136" s="26">
        <v>2.7472527472527473</v>
      </c>
      <c r="AR136" s="23">
        <v>215148.7</v>
      </c>
      <c r="AS136" s="23">
        <v>25737</v>
      </c>
      <c r="AT136" s="24">
        <v>0.52986167765573522</v>
      </c>
      <c r="AU136" s="23">
        <v>56827.496249999997</v>
      </c>
      <c r="AV136" s="27">
        <v>16</v>
      </c>
      <c r="AW136" s="27">
        <v>732</v>
      </c>
      <c r="AX136" s="81">
        <v>2383.0300000000002</v>
      </c>
      <c r="AY136" s="83">
        <v>88</v>
      </c>
      <c r="AZ136" s="83">
        <v>8</v>
      </c>
      <c r="BA136" s="83">
        <v>19</v>
      </c>
      <c r="BB136" s="83">
        <v>4</v>
      </c>
      <c r="BC136" s="99">
        <v>45882</v>
      </c>
      <c r="BD136" s="99"/>
      <c r="BE136" s="3">
        <v>-4.9999999988358468E-2</v>
      </c>
    </row>
    <row r="137" spans="1:57" ht="15.6">
      <c r="A137" s="2" t="s">
        <v>201</v>
      </c>
      <c r="B137" s="19" t="s">
        <v>431</v>
      </c>
      <c r="C137" s="20" t="s">
        <v>255</v>
      </c>
      <c r="D137" s="21" t="s">
        <v>612</v>
      </c>
      <c r="E137" s="44">
        <v>45506</v>
      </c>
      <c r="F137" s="21" t="s">
        <v>431</v>
      </c>
      <c r="G137" s="23">
        <v>985472.76</v>
      </c>
      <c r="H137" s="28">
        <v>29360</v>
      </c>
      <c r="I137" s="28">
        <v>1250000</v>
      </c>
      <c r="J137" s="23">
        <v>600000</v>
      </c>
      <c r="K137" s="23">
        <v>6900000</v>
      </c>
      <c r="L137" s="23">
        <v>1368757.04</v>
      </c>
      <c r="M137" s="23">
        <v>1483873.88</v>
      </c>
      <c r="N137" s="23">
        <v>1280488</v>
      </c>
      <c r="O137" s="24">
        <v>0.38035078933333333</v>
      </c>
      <c r="P137" s="24">
        <v>2.4700000000000002</v>
      </c>
      <c r="Q137" s="24">
        <v>0.17073173333333333</v>
      </c>
      <c r="R137" s="25">
        <v>33</v>
      </c>
      <c r="S137" s="25">
        <v>34</v>
      </c>
      <c r="T137" s="25">
        <v>9</v>
      </c>
      <c r="U137" s="25">
        <v>6</v>
      </c>
      <c r="V137" s="25">
        <v>42</v>
      </c>
      <c r="W137" s="25">
        <v>8</v>
      </c>
      <c r="X137" s="26">
        <v>1128705.04</v>
      </c>
      <c r="Y137" s="26">
        <v>240052</v>
      </c>
      <c r="Z137" s="25">
        <v>19</v>
      </c>
      <c r="AA137" s="25">
        <v>6</v>
      </c>
      <c r="AB137" s="25">
        <v>25</v>
      </c>
      <c r="AC137" s="25">
        <v>1</v>
      </c>
      <c r="AD137" s="25">
        <v>42</v>
      </c>
      <c r="AE137" s="25">
        <v>120</v>
      </c>
      <c r="AF137" s="25">
        <v>55</v>
      </c>
      <c r="AG137" s="25">
        <v>2</v>
      </c>
      <c r="AH137" s="25">
        <v>21</v>
      </c>
      <c r="AI137" s="25">
        <v>1</v>
      </c>
      <c r="AJ137" s="25">
        <v>108</v>
      </c>
      <c r="AK137" s="25">
        <v>3</v>
      </c>
      <c r="AL137" s="25">
        <v>9</v>
      </c>
      <c r="AM137" s="25">
        <v>256</v>
      </c>
      <c r="AN137" s="25">
        <v>514</v>
      </c>
      <c r="AO137" s="25">
        <v>145</v>
      </c>
      <c r="AP137" s="23">
        <v>19673.31668965517</v>
      </c>
      <c r="AQ137" s="26">
        <v>1.7655172413793103</v>
      </c>
      <c r="AR137" s="23">
        <v>176160</v>
      </c>
      <c r="AS137" s="23">
        <v>23550</v>
      </c>
      <c r="AT137" s="24">
        <v>7.0009056762239688E-2</v>
      </c>
      <c r="AU137" s="23">
        <v>54750.281600000002</v>
      </c>
      <c r="AV137" s="27">
        <v>53</v>
      </c>
      <c r="AW137" s="27">
        <v>1457</v>
      </c>
      <c r="AX137" s="81">
        <v>3106.02</v>
      </c>
      <c r="AY137" s="83">
        <v>91</v>
      </c>
      <c r="AZ137" s="83">
        <v>25</v>
      </c>
      <c r="BA137" s="83">
        <v>11</v>
      </c>
      <c r="BB137" s="83">
        <v>6</v>
      </c>
      <c r="BC137" s="99"/>
      <c r="BD137" s="99"/>
      <c r="BE137" s="3">
        <v>0.43999999994412065</v>
      </c>
    </row>
    <row r="138" spans="1:57" ht="15.6">
      <c r="A138" s="2" t="s">
        <v>118</v>
      </c>
      <c r="B138" s="19" t="s">
        <v>359</v>
      </c>
      <c r="C138" s="20" t="s">
        <v>260</v>
      </c>
      <c r="D138" s="21" t="s">
        <v>613</v>
      </c>
      <c r="E138" s="44">
        <v>45516</v>
      </c>
      <c r="F138" s="21" t="s">
        <v>442</v>
      </c>
      <c r="G138" s="23">
        <v>0</v>
      </c>
      <c r="H138" s="28">
        <v>25700</v>
      </c>
      <c r="I138" s="28">
        <v>1500000</v>
      </c>
      <c r="J138" s="23">
        <v>0</v>
      </c>
      <c r="K138" s="23">
        <v>7500000</v>
      </c>
      <c r="L138" s="23">
        <v>0</v>
      </c>
      <c r="M138" s="23">
        <v>383734.19</v>
      </c>
      <c r="N138" s="23">
        <v>383564</v>
      </c>
      <c r="O138" s="24">
        <v>5.1164558666666665E-2</v>
      </c>
      <c r="P138" s="24">
        <v>0</v>
      </c>
      <c r="Q138" s="24">
        <v>5.1141866666666667E-2</v>
      </c>
      <c r="R138" s="25">
        <v>13</v>
      </c>
      <c r="S138" s="25">
        <v>11</v>
      </c>
      <c r="T138" s="25">
        <v>0</v>
      </c>
      <c r="U138" s="25">
        <v>0</v>
      </c>
      <c r="V138" s="25">
        <v>13</v>
      </c>
      <c r="W138" s="25">
        <v>2</v>
      </c>
      <c r="X138" s="26">
        <v>0</v>
      </c>
      <c r="Y138" s="26">
        <v>0</v>
      </c>
      <c r="Z138" s="25">
        <v>0</v>
      </c>
      <c r="AA138" s="25">
        <v>0</v>
      </c>
      <c r="AB138" s="25">
        <v>0</v>
      </c>
      <c r="AC138" s="25">
        <v>1</v>
      </c>
      <c r="AD138" s="25">
        <v>14</v>
      </c>
      <c r="AE138" s="25">
        <v>25</v>
      </c>
      <c r="AF138" s="25">
        <v>4</v>
      </c>
      <c r="AG138" s="25">
        <v>1</v>
      </c>
      <c r="AH138" s="25">
        <v>15</v>
      </c>
      <c r="AI138" s="25">
        <v>2</v>
      </c>
      <c r="AJ138" s="25">
        <v>30</v>
      </c>
      <c r="AK138" s="25">
        <v>0</v>
      </c>
      <c r="AL138" s="25">
        <v>0</v>
      </c>
      <c r="AM138" s="25">
        <v>176</v>
      </c>
      <c r="AN138" s="25">
        <v>246</v>
      </c>
      <c r="AO138" s="25">
        <v>83</v>
      </c>
      <c r="AP138" s="23">
        <v>4623.3034939759036</v>
      </c>
      <c r="AQ138" s="26">
        <v>2.1204819277108435</v>
      </c>
      <c r="AR138" s="23">
        <v>128500</v>
      </c>
      <c r="AS138" s="23"/>
      <c r="AT138" s="24">
        <v>0.33486721628844174</v>
      </c>
      <c r="AU138" s="23"/>
      <c r="AV138" s="27">
        <v>0</v>
      </c>
      <c r="AW138" s="27">
        <v>603</v>
      </c>
      <c r="AX138" s="81">
        <v>1859.38</v>
      </c>
      <c r="AY138" s="83">
        <v>169</v>
      </c>
      <c r="AZ138" s="83">
        <v>0</v>
      </c>
      <c r="BA138" s="83">
        <v>11</v>
      </c>
      <c r="BB138" s="83">
        <v>2</v>
      </c>
      <c r="BC138" s="99">
        <v>45899</v>
      </c>
      <c r="BD138" s="99"/>
      <c r="BE138" s="3">
        <v>-0.19000000000232831</v>
      </c>
    </row>
    <row r="139" spans="1:57" ht="15.6">
      <c r="A139" s="2" t="s">
        <v>124</v>
      </c>
      <c r="B139" s="19" t="s">
        <v>443</v>
      </c>
      <c r="C139" s="20" t="s">
        <v>261</v>
      </c>
      <c r="D139" s="21" t="s">
        <v>614</v>
      </c>
      <c r="E139" s="44">
        <v>45516</v>
      </c>
      <c r="F139" s="21" t="s">
        <v>517</v>
      </c>
      <c r="G139" s="23">
        <v>2236625</v>
      </c>
      <c r="H139" s="28">
        <v>27260</v>
      </c>
      <c r="I139" s="28">
        <v>1000000</v>
      </c>
      <c r="J139" s="23">
        <v>0</v>
      </c>
      <c r="K139" s="23">
        <v>6000000</v>
      </c>
      <c r="L139" s="23">
        <v>2640178.9900000002</v>
      </c>
      <c r="M139" s="23">
        <v>0</v>
      </c>
      <c r="N139" s="23">
        <v>2668307</v>
      </c>
      <c r="O139" s="24">
        <v>0.4400298316666667</v>
      </c>
      <c r="P139" s="24">
        <v>0</v>
      </c>
      <c r="Q139" s="24">
        <v>0.44471783333333331</v>
      </c>
      <c r="R139" s="25">
        <v>130</v>
      </c>
      <c r="S139" s="25">
        <v>104</v>
      </c>
      <c r="T139" s="25">
        <v>5</v>
      </c>
      <c r="U139" s="25">
        <v>5</v>
      </c>
      <c r="V139" s="25">
        <v>135</v>
      </c>
      <c r="W139" s="25">
        <v>31</v>
      </c>
      <c r="X139" s="26">
        <v>2371326.4900000002</v>
      </c>
      <c r="Y139" s="26">
        <v>268852.5</v>
      </c>
      <c r="Z139" s="25">
        <v>69</v>
      </c>
      <c r="AA139" s="25">
        <v>5</v>
      </c>
      <c r="AB139" s="25">
        <v>74</v>
      </c>
      <c r="AC139" s="25">
        <v>0</v>
      </c>
      <c r="AD139" s="25">
        <v>239</v>
      </c>
      <c r="AE139" s="25">
        <v>330</v>
      </c>
      <c r="AF139" s="25">
        <v>125</v>
      </c>
      <c r="AG139" s="25">
        <v>1</v>
      </c>
      <c r="AH139" s="25">
        <v>16</v>
      </c>
      <c r="AI139" s="25">
        <v>0</v>
      </c>
      <c r="AJ139" s="25">
        <v>0</v>
      </c>
      <c r="AK139" s="25">
        <v>0</v>
      </c>
      <c r="AL139" s="25">
        <v>0</v>
      </c>
      <c r="AM139" s="25">
        <v>350</v>
      </c>
      <c r="AN139" s="25">
        <v>696</v>
      </c>
      <c r="AO139" s="25">
        <v>148</v>
      </c>
      <c r="AP139" s="23">
        <v>17839.047229729731</v>
      </c>
      <c r="AQ139" s="26">
        <v>2.3648648648648649</v>
      </c>
      <c r="AR139" s="23">
        <v>163560</v>
      </c>
      <c r="AS139" s="23">
        <v>32938</v>
      </c>
      <c r="AT139" s="24">
        <v>7.4426014578655511E-2</v>
      </c>
      <c r="AU139" s="23">
        <v>35678.094459459462</v>
      </c>
      <c r="AV139" s="27">
        <v>205</v>
      </c>
      <c r="AW139" s="27">
        <v>1435</v>
      </c>
      <c r="AX139" s="81">
        <v>9251.58</v>
      </c>
      <c r="AY139" s="83">
        <v>89</v>
      </c>
      <c r="AZ139" s="83">
        <v>74</v>
      </c>
      <c r="BA139" s="83">
        <v>41</v>
      </c>
      <c r="BB139" s="83">
        <v>20</v>
      </c>
      <c r="BC139" s="99"/>
      <c r="BD139" s="99"/>
      <c r="BE139" s="3">
        <v>-5.000000074505806E-2</v>
      </c>
    </row>
    <row r="140" spans="1:57" ht="15.6">
      <c r="A140" s="2" t="s">
        <v>154</v>
      </c>
      <c r="B140" s="19" t="s">
        <v>367</v>
      </c>
      <c r="C140" s="20" t="s">
        <v>263</v>
      </c>
      <c r="D140" s="21" t="s">
        <v>368</v>
      </c>
      <c r="E140" s="44">
        <v>45518</v>
      </c>
      <c r="F140" s="21" t="s">
        <v>577</v>
      </c>
      <c r="G140" s="23">
        <v>0</v>
      </c>
      <c r="H140" s="28">
        <v>23570</v>
      </c>
      <c r="I140" s="28">
        <v>700000</v>
      </c>
      <c r="J140" s="23">
        <v>0</v>
      </c>
      <c r="K140" s="23">
        <v>4200000</v>
      </c>
      <c r="L140" s="23">
        <v>1550195.38</v>
      </c>
      <c r="M140" s="23">
        <v>0</v>
      </c>
      <c r="N140" s="23">
        <v>175147</v>
      </c>
      <c r="O140" s="24">
        <v>0.36909413809523806</v>
      </c>
      <c r="P140" s="24">
        <v>0</v>
      </c>
      <c r="Q140" s="24">
        <v>4.1701666666666665E-2</v>
      </c>
      <c r="R140" s="25">
        <v>67</v>
      </c>
      <c r="S140" s="25">
        <v>75</v>
      </c>
      <c r="T140" s="25">
        <v>12</v>
      </c>
      <c r="U140" s="25">
        <v>12</v>
      </c>
      <c r="V140" s="25">
        <v>79</v>
      </c>
      <c r="W140" s="25">
        <v>4</v>
      </c>
      <c r="X140" s="26">
        <v>1178048.98</v>
      </c>
      <c r="Y140" s="26">
        <v>372146.4</v>
      </c>
      <c r="Z140" s="25">
        <v>40</v>
      </c>
      <c r="AA140" s="25">
        <v>12</v>
      </c>
      <c r="AB140" s="25">
        <v>52</v>
      </c>
      <c r="AC140" s="25">
        <v>0</v>
      </c>
      <c r="AD140" s="25">
        <v>103</v>
      </c>
      <c r="AE140" s="25">
        <v>171</v>
      </c>
      <c r="AF140" s="25">
        <v>114</v>
      </c>
      <c r="AG140" s="25">
        <v>2</v>
      </c>
      <c r="AH140" s="25">
        <v>124</v>
      </c>
      <c r="AI140" s="25">
        <v>0</v>
      </c>
      <c r="AJ140" s="25">
        <v>0</v>
      </c>
      <c r="AK140" s="25">
        <v>0</v>
      </c>
      <c r="AL140" s="25">
        <v>0</v>
      </c>
      <c r="AM140" s="25">
        <v>802</v>
      </c>
      <c r="AN140" s="25">
        <v>1097</v>
      </c>
      <c r="AO140" s="25">
        <v>143</v>
      </c>
      <c r="AP140" s="23">
        <v>10840.527132867132</v>
      </c>
      <c r="AQ140" s="26">
        <v>5.6083916083916083</v>
      </c>
      <c r="AR140" s="23">
        <v>141420</v>
      </c>
      <c r="AS140" s="23">
        <v>51716</v>
      </c>
      <c r="AT140" s="24">
        <v>0.12458816642841498</v>
      </c>
      <c r="AU140" s="23">
        <v>29811.449615384612</v>
      </c>
      <c r="AV140" s="27">
        <v>116</v>
      </c>
      <c r="AW140" s="27">
        <v>1550</v>
      </c>
      <c r="AX140" s="81">
        <v>12621.95</v>
      </c>
      <c r="AY140" s="83">
        <v>168</v>
      </c>
      <c r="AZ140" s="83">
        <v>52</v>
      </c>
      <c r="BA140" s="83">
        <v>23</v>
      </c>
      <c r="BB140" s="83">
        <v>4</v>
      </c>
      <c r="BC140" s="99"/>
      <c r="BD140" s="99"/>
      <c r="BE140" s="3">
        <v>-0.14000000013038516</v>
      </c>
    </row>
    <row r="141" spans="1:57" ht="15.6">
      <c r="A141" s="2" t="s">
        <v>118</v>
      </c>
      <c r="B141" s="19" t="s">
        <v>615</v>
      </c>
      <c r="C141" s="20" t="s">
        <v>262</v>
      </c>
      <c r="D141" s="21" t="s">
        <v>616</v>
      </c>
      <c r="E141" s="44">
        <v>45523</v>
      </c>
      <c r="F141" s="21" t="s">
        <v>615</v>
      </c>
      <c r="G141" s="23"/>
      <c r="H141" s="28">
        <v>72970</v>
      </c>
      <c r="I141" s="28"/>
      <c r="J141" s="23">
        <v>0</v>
      </c>
      <c r="K141" s="23">
        <v>0</v>
      </c>
      <c r="L141" s="23">
        <v>0</v>
      </c>
      <c r="M141" s="23">
        <v>0</v>
      </c>
      <c r="N141" s="23"/>
      <c r="O141" s="24"/>
      <c r="P141" s="24">
        <v>0</v>
      </c>
      <c r="Q141" s="24"/>
      <c r="R141" s="25">
        <v>1</v>
      </c>
      <c r="S141" s="25">
        <v>1</v>
      </c>
      <c r="T141" s="25">
        <v>0</v>
      </c>
      <c r="U141" s="25">
        <v>0</v>
      </c>
      <c r="V141" s="25">
        <v>1</v>
      </c>
      <c r="W141" s="25">
        <v>0</v>
      </c>
      <c r="X141" s="26">
        <v>0</v>
      </c>
      <c r="Y141" s="26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35</v>
      </c>
      <c r="AE141" s="25">
        <v>68</v>
      </c>
      <c r="AF141" s="25">
        <v>18</v>
      </c>
      <c r="AG141" s="25">
        <v>2</v>
      </c>
      <c r="AH141" s="25">
        <v>8</v>
      </c>
      <c r="AI141" s="25">
        <v>0</v>
      </c>
      <c r="AJ141" s="25">
        <v>0</v>
      </c>
      <c r="AK141" s="25">
        <v>96</v>
      </c>
      <c r="AL141" s="25">
        <v>308</v>
      </c>
      <c r="AM141" s="25">
        <v>1</v>
      </c>
      <c r="AN141" s="25">
        <v>385</v>
      </c>
      <c r="AO141" s="25">
        <v>89</v>
      </c>
      <c r="AP141" s="23">
        <v>0</v>
      </c>
      <c r="AQ141" s="26">
        <v>1.1235955056179775E-2</v>
      </c>
      <c r="AR141" s="23">
        <v>291880</v>
      </c>
      <c r="AS141" s="23">
        <v>141844</v>
      </c>
      <c r="AT141" s="24"/>
      <c r="AU141" s="23"/>
      <c r="AV141" s="27">
        <v>0</v>
      </c>
      <c r="AW141" s="27">
        <v>962</v>
      </c>
      <c r="AX141" s="81">
        <v>11874.45</v>
      </c>
      <c r="AY141" s="83">
        <v>11874</v>
      </c>
      <c r="AZ141" s="83">
        <v>0</v>
      </c>
      <c r="BA141" s="83">
        <v>1</v>
      </c>
      <c r="BB141" s="83">
        <v>0</v>
      </c>
      <c r="BC141" s="99">
        <v>45869</v>
      </c>
      <c r="BD141" s="99"/>
      <c r="BE141" s="3" t="e">
        <v>#N/A</v>
      </c>
    </row>
    <row r="142" spans="1:57" ht="15.6">
      <c r="A142" s="2" t="s">
        <v>120</v>
      </c>
      <c r="B142" s="19" t="s">
        <v>163</v>
      </c>
      <c r="C142" s="20" t="s">
        <v>207</v>
      </c>
      <c r="D142" s="21" t="s">
        <v>209</v>
      </c>
      <c r="E142" s="44">
        <v>45551</v>
      </c>
      <c r="F142" s="21" t="s">
        <v>617</v>
      </c>
      <c r="G142" s="23">
        <v>5386902.2699999996</v>
      </c>
      <c r="H142" s="28">
        <v>28310</v>
      </c>
      <c r="I142" s="28">
        <v>1300000</v>
      </c>
      <c r="J142" s="23">
        <v>0</v>
      </c>
      <c r="K142" s="23">
        <v>7800000</v>
      </c>
      <c r="L142" s="23">
        <v>5595985.1299999999</v>
      </c>
      <c r="M142" s="23">
        <v>0</v>
      </c>
      <c r="N142" s="23">
        <v>5659808</v>
      </c>
      <c r="O142" s="24">
        <v>0.71743399102564098</v>
      </c>
      <c r="P142" s="24">
        <v>0</v>
      </c>
      <c r="Q142" s="24">
        <v>0.72561641025641022</v>
      </c>
      <c r="R142" s="25">
        <v>113</v>
      </c>
      <c r="S142" s="25">
        <v>108</v>
      </c>
      <c r="T142" s="25">
        <v>11</v>
      </c>
      <c r="U142" s="25">
        <v>10</v>
      </c>
      <c r="V142" s="25">
        <v>124</v>
      </c>
      <c r="W142" s="25">
        <v>16</v>
      </c>
      <c r="X142" s="26">
        <v>4726602.08</v>
      </c>
      <c r="Y142" s="26">
        <v>869383.05</v>
      </c>
      <c r="Z142" s="25">
        <v>77</v>
      </c>
      <c r="AA142" s="25">
        <v>10</v>
      </c>
      <c r="AB142" s="25">
        <v>87</v>
      </c>
      <c r="AC142" s="25">
        <v>0</v>
      </c>
      <c r="AD142" s="25">
        <v>86</v>
      </c>
      <c r="AE142" s="25">
        <v>139</v>
      </c>
      <c r="AF142" s="25">
        <v>86</v>
      </c>
      <c r="AG142" s="25">
        <v>2</v>
      </c>
      <c r="AH142" s="25">
        <v>78</v>
      </c>
      <c r="AI142" s="25">
        <v>0</v>
      </c>
      <c r="AJ142" s="25">
        <v>0</v>
      </c>
      <c r="AK142" s="25">
        <v>5</v>
      </c>
      <c r="AL142" s="25">
        <v>10</v>
      </c>
      <c r="AM142" s="25">
        <v>755</v>
      </c>
      <c r="AN142" s="25">
        <v>982</v>
      </c>
      <c r="AO142" s="25">
        <v>153</v>
      </c>
      <c r="AP142" s="23">
        <v>36575.066209150325</v>
      </c>
      <c r="AQ142" s="26">
        <v>4.9346405228758172</v>
      </c>
      <c r="AR142" s="23">
        <v>169860</v>
      </c>
      <c r="AS142" s="23">
        <v>30120</v>
      </c>
      <c r="AT142" s="24">
        <v>3.5736335132112836E-2</v>
      </c>
      <c r="AU142" s="23">
        <v>64321.668160919537</v>
      </c>
      <c r="AV142" s="27">
        <v>291</v>
      </c>
      <c r="AW142" s="27">
        <v>1488</v>
      </c>
      <c r="AX142" s="81">
        <v>3419.97</v>
      </c>
      <c r="AY142" s="83">
        <v>32</v>
      </c>
      <c r="AZ142" s="83">
        <v>87</v>
      </c>
      <c r="BA142" s="83">
        <v>22</v>
      </c>
      <c r="BB142" s="83">
        <v>15</v>
      </c>
      <c r="BC142" s="99"/>
      <c r="BD142" s="99"/>
      <c r="BE142" s="3">
        <v>0.19000000040978193</v>
      </c>
    </row>
    <row r="143" spans="1:57" ht="15.6">
      <c r="A143" s="2" t="s">
        <v>120</v>
      </c>
      <c r="B143" s="19" t="s">
        <v>206</v>
      </c>
      <c r="C143" s="20" t="s">
        <v>230</v>
      </c>
      <c r="D143" s="21" t="s">
        <v>233</v>
      </c>
      <c r="E143" s="44">
        <v>45568</v>
      </c>
      <c r="F143" s="21" t="s">
        <v>618</v>
      </c>
      <c r="G143" s="23">
        <v>5312043</v>
      </c>
      <c r="H143" s="28">
        <v>30405</v>
      </c>
      <c r="I143" s="28">
        <v>1400000</v>
      </c>
      <c r="J143" s="23">
        <v>1200000</v>
      </c>
      <c r="K143" s="23">
        <v>7200000</v>
      </c>
      <c r="L143" s="23">
        <v>4916493.6900000004</v>
      </c>
      <c r="M143" s="23">
        <v>405583.79</v>
      </c>
      <c r="N143" s="23">
        <v>5739252</v>
      </c>
      <c r="O143" s="24">
        <v>0.6335806523809524</v>
      </c>
      <c r="P143" s="24">
        <v>0.34</v>
      </c>
      <c r="Q143" s="24">
        <v>0.68324428571428575</v>
      </c>
      <c r="R143" s="25">
        <v>23</v>
      </c>
      <c r="S143" s="25">
        <v>24</v>
      </c>
      <c r="T143" s="25">
        <v>1</v>
      </c>
      <c r="U143" s="25">
        <v>1</v>
      </c>
      <c r="V143" s="25">
        <v>24</v>
      </c>
      <c r="W143" s="25">
        <v>0</v>
      </c>
      <c r="X143" s="26">
        <v>4529064.6900000004</v>
      </c>
      <c r="Y143" s="26">
        <v>387429</v>
      </c>
      <c r="Z143" s="25">
        <v>22</v>
      </c>
      <c r="AA143" s="25">
        <v>1</v>
      </c>
      <c r="AB143" s="25">
        <v>23</v>
      </c>
      <c r="AC143" s="25">
        <v>4</v>
      </c>
      <c r="AD143" s="25">
        <v>66</v>
      </c>
      <c r="AE143" s="25">
        <v>165</v>
      </c>
      <c r="AF143" s="25">
        <v>92</v>
      </c>
      <c r="AG143" s="25">
        <v>2</v>
      </c>
      <c r="AH143" s="25">
        <v>53</v>
      </c>
      <c r="AI143" s="25">
        <v>4</v>
      </c>
      <c r="AJ143" s="25">
        <v>85</v>
      </c>
      <c r="AK143" s="25">
        <v>0</v>
      </c>
      <c r="AL143" s="25">
        <v>0</v>
      </c>
      <c r="AM143" s="25">
        <v>355</v>
      </c>
      <c r="AN143" s="25">
        <v>658</v>
      </c>
      <c r="AO143" s="25">
        <v>147</v>
      </c>
      <c r="AP143" s="23">
        <v>36204.608707482999</v>
      </c>
      <c r="AQ143" s="26">
        <v>2.4149659863945576</v>
      </c>
      <c r="AR143" s="23">
        <v>182430</v>
      </c>
      <c r="AS143" s="23">
        <v>29768</v>
      </c>
      <c r="AT143" s="24">
        <v>3.9871272223567851E-2</v>
      </c>
      <c r="AU143" s="23">
        <v>213760.59521739132</v>
      </c>
      <c r="AV143" s="27">
        <v>78</v>
      </c>
      <c r="AW143" s="27">
        <v>1154</v>
      </c>
      <c r="AX143" s="81">
        <v>7449.83</v>
      </c>
      <c r="AY143" s="83">
        <v>310</v>
      </c>
      <c r="AZ143" s="83">
        <v>23</v>
      </c>
      <c r="BA143" s="83">
        <v>1</v>
      </c>
      <c r="BB143" s="83">
        <v>0</v>
      </c>
      <c r="BC143" s="99"/>
      <c r="BD143" s="99"/>
      <c r="BE143" s="3">
        <v>0.29999999981373549</v>
      </c>
    </row>
    <row r="144" spans="1:57" ht="15.6">
      <c r="A144" s="2" t="s">
        <v>118</v>
      </c>
      <c r="B144" s="19" t="s">
        <v>615</v>
      </c>
      <c r="C144" s="20" t="s">
        <v>264</v>
      </c>
      <c r="D144" s="21" t="s">
        <v>619</v>
      </c>
      <c r="E144" s="44">
        <v>45569</v>
      </c>
      <c r="F144" s="21" t="s">
        <v>615</v>
      </c>
      <c r="G144" s="23"/>
      <c r="H144" s="28">
        <v>151013</v>
      </c>
      <c r="I144" s="28"/>
      <c r="J144" s="23">
        <v>0</v>
      </c>
      <c r="K144" s="23">
        <v>0</v>
      </c>
      <c r="L144" s="23">
        <v>0</v>
      </c>
      <c r="M144" s="23">
        <v>0</v>
      </c>
      <c r="N144" s="23"/>
      <c r="O144" s="24"/>
      <c r="P144" s="24">
        <v>0</v>
      </c>
      <c r="Q144" s="24"/>
      <c r="R144" s="25">
        <v>5</v>
      </c>
      <c r="S144" s="25">
        <v>4</v>
      </c>
      <c r="T144" s="25">
        <v>0</v>
      </c>
      <c r="U144" s="25">
        <v>0</v>
      </c>
      <c r="V144" s="25">
        <v>5</v>
      </c>
      <c r="W144" s="25">
        <v>1</v>
      </c>
      <c r="X144" s="26">
        <v>0</v>
      </c>
      <c r="Y144" s="26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37</v>
      </c>
      <c r="AE144" s="25">
        <v>84</v>
      </c>
      <c r="AF144" s="25">
        <v>15</v>
      </c>
      <c r="AG144" s="25">
        <v>0</v>
      </c>
      <c r="AH144" s="25">
        <v>0</v>
      </c>
      <c r="AI144" s="25">
        <v>0</v>
      </c>
      <c r="AJ144" s="25">
        <v>0</v>
      </c>
      <c r="AK144" s="25">
        <v>77</v>
      </c>
      <c r="AL144" s="25">
        <v>594</v>
      </c>
      <c r="AM144" s="25">
        <v>36</v>
      </c>
      <c r="AN144" s="25">
        <v>714</v>
      </c>
      <c r="AO144" s="25">
        <v>152</v>
      </c>
      <c r="AP144" s="23">
        <v>0</v>
      </c>
      <c r="AQ144" s="26">
        <v>0.23684210526315788</v>
      </c>
      <c r="AR144" s="23">
        <v>906078</v>
      </c>
      <c r="AS144" s="23">
        <v>89827</v>
      </c>
      <c r="AT144" s="24"/>
      <c r="AU144" s="23"/>
      <c r="AV144" s="27">
        <v>0</v>
      </c>
      <c r="AW144" s="27">
        <v>1612</v>
      </c>
      <c r="AX144" s="81">
        <v>11964.06</v>
      </c>
      <c r="AY144" s="83">
        <v>2991</v>
      </c>
      <c r="AZ144" s="83">
        <v>0</v>
      </c>
      <c r="BA144" s="83">
        <v>4</v>
      </c>
      <c r="BB144" s="83">
        <v>1</v>
      </c>
      <c r="BC144" s="99"/>
      <c r="BD144" s="99"/>
      <c r="BE144" s="3" t="e">
        <v>#N/A</v>
      </c>
    </row>
    <row r="145" spans="1:57" ht="15.6">
      <c r="A145" s="2" t="s">
        <v>118</v>
      </c>
      <c r="B145" s="19" t="s">
        <v>615</v>
      </c>
      <c r="C145" s="20" t="s">
        <v>265</v>
      </c>
      <c r="D145" s="21" t="s">
        <v>620</v>
      </c>
      <c r="E145" s="44">
        <v>45569</v>
      </c>
      <c r="F145" s="21" t="s">
        <v>615</v>
      </c>
      <c r="G145" s="23"/>
      <c r="H145" s="28">
        <v>153110</v>
      </c>
      <c r="I145" s="28"/>
      <c r="J145" s="23">
        <v>0</v>
      </c>
      <c r="K145" s="23">
        <v>0</v>
      </c>
      <c r="L145" s="23">
        <v>0</v>
      </c>
      <c r="M145" s="23">
        <v>0</v>
      </c>
      <c r="N145" s="23"/>
      <c r="O145" s="24"/>
      <c r="P145" s="24">
        <v>0</v>
      </c>
      <c r="Q145" s="24"/>
      <c r="R145" s="25">
        <v>2</v>
      </c>
      <c r="S145" s="25">
        <v>1</v>
      </c>
      <c r="T145" s="25">
        <v>0</v>
      </c>
      <c r="U145" s="25">
        <v>0</v>
      </c>
      <c r="V145" s="25">
        <v>2</v>
      </c>
      <c r="W145" s="25">
        <v>1</v>
      </c>
      <c r="X145" s="26">
        <v>0</v>
      </c>
      <c r="Y145" s="26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50</v>
      </c>
      <c r="AG145" s="25">
        <v>0</v>
      </c>
      <c r="AH145" s="25">
        <v>0</v>
      </c>
      <c r="AI145" s="25">
        <v>1</v>
      </c>
      <c r="AJ145" s="25">
        <v>4</v>
      </c>
      <c r="AK145" s="25">
        <v>98</v>
      </c>
      <c r="AL145" s="25">
        <v>294</v>
      </c>
      <c r="AM145" s="25">
        <v>2</v>
      </c>
      <c r="AN145" s="25">
        <v>300</v>
      </c>
      <c r="AO145" s="25">
        <v>91</v>
      </c>
      <c r="AP145" s="23">
        <v>0</v>
      </c>
      <c r="AQ145" s="26">
        <v>2.197802197802198E-2</v>
      </c>
      <c r="AR145" s="23">
        <v>535885</v>
      </c>
      <c r="AS145" s="23">
        <v>163016</v>
      </c>
      <c r="AT145" s="24"/>
      <c r="AU145" s="23"/>
      <c r="AV145" s="27">
        <v>0</v>
      </c>
      <c r="AW145" s="27">
        <v>1012</v>
      </c>
      <c r="AX145" s="81">
        <v>13746.75</v>
      </c>
      <c r="AY145" s="83">
        <v>13747</v>
      </c>
      <c r="AZ145" s="83">
        <v>0</v>
      </c>
      <c r="BA145" s="83">
        <v>1</v>
      </c>
      <c r="BB145" s="83">
        <v>1</v>
      </c>
      <c r="BC145" s="99">
        <v>45856</v>
      </c>
      <c r="BD145" s="99"/>
      <c r="BE145" s="3" t="e">
        <v>#N/A</v>
      </c>
    </row>
    <row r="146" spans="1:57" ht="15.6">
      <c r="A146" s="2" t="s">
        <v>108</v>
      </c>
      <c r="B146" s="19" t="s">
        <v>465</v>
      </c>
      <c r="C146" s="20" t="s">
        <v>252</v>
      </c>
      <c r="D146" s="21" t="s">
        <v>622</v>
      </c>
      <c r="E146" s="44">
        <v>45597</v>
      </c>
      <c r="F146" s="21" t="s">
        <v>621</v>
      </c>
      <c r="G146" s="23">
        <v>0</v>
      </c>
      <c r="H146" s="28">
        <v>26792</v>
      </c>
      <c r="I146" s="28">
        <v>1166666.6669999999</v>
      </c>
      <c r="J146" s="23">
        <v>0</v>
      </c>
      <c r="K146" s="23">
        <v>6440000</v>
      </c>
      <c r="L146" s="23">
        <v>3514548.84</v>
      </c>
      <c r="M146" s="23">
        <v>0</v>
      </c>
      <c r="N146" s="23">
        <v>0</v>
      </c>
      <c r="O146" s="24">
        <v>0.54573739751552797</v>
      </c>
      <c r="P146" s="24">
        <v>0</v>
      </c>
      <c r="Q146" s="24">
        <v>0</v>
      </c>
      <c r="R146" s="25">
        <v>94</v>
      </c>
      <c r="S146" s="25">
        <v>91</v>
      </c>
      <c r="T146" s="25">
        <v>7</v>
      </c>
      <c r="U146" s="25">
        <v>4</v>
      </c>
      <c r="V146" s="25">
        <v>101</v>
      </c>
      <c r="W146" s="25">
        <v>10</v>
      </c>
      <c r="X146" s="26">
        <v>3404819.64</v>
      </c>
      <c r="Y146" s="26">
        <v>109729.2</v>
      </c>
      <c r="Z146" s="25">
        <v>42</v>
      </c>
      <c r="AA146" s="25">
        <v>4</v>
      </c>
      <c r="AB146" s="25">
        <v>46</v>
      </c>
      <c r="AC146" s="25">
        <v>0</v>
      </c>
      <c r="AD146" s="25">
        <v>16</v>
      </c>
      <c r="AE146" s="25">
        <v>39</v>
      </c>
      <c r="AF146" s="25">
        <v>54</v>
      </c>
      <c r="AG146" s="25">
        <v>1</v>
      </c>
      <c r="AH146" s="25">
        <v>66</v>
      </c>
      <c r="AI146" s="25">
        <v>0</v>
      </c>
      <c r="AJ146" s="25">
        <v>0</v>
      </c>
      <c r="AK146" s="25">
        <v>0</v>
      </c>
      <c r="AL146" s="25">
        <v>0</v>
      </c>
      <c r="AM146" s="25">
        <v>798</v>
      </c>
      <c r="AN146" s="25">
        <v>903</v>
      </c>
      <c r="AO146" s="25">
        <v>135</v>
      </c>
      <c r="AP146" s="23">
        <v>26033.695111111108</v>
      </c>
      <c r="AQ146" s="26">
        <v>5.9111111111111114</v>
      </c>
      <c r="AR146" s="23">
        <v>160752</v>
      </c>
      <c r="AS146" s="23">
        <v>45020</v>
      </c>
      <c r="AT146" s="24">
        <v>5.8548624408929828E-2</v>
      </c>
      <c r="AU146" s="23">
        <v>76403.235652173913</v>
      </c>
      <c r="AV146" s="27">
        <v>141</v>
      </c>
      <c r="AW146" s="27">
        <v>1299</v>
      </c>
      <c r="AX146" s="81">
        <v>7482.04</v>
      </c>
      <c r="AY146" s="83">
        <v>82</v>
      </c>
      <c r="AZ146" s="83">
        <v>46</v>
      </c>
      <c r="BA146" s="83">
        <v>45</v>
      </c>
      <c r="BB146" s="83">
        <v>10</v>
      </c>
      <c r="BC146" s="99"/>
      <c r="BD146" s="99"/>
      <c r="BE146" s="3">
        <v>-0.56000000052154064</v>
      </c>
    </row>
    <row r="147" spans="1:57" ht="15.6">
      <c r="A147" s="2" t="s">
        <v>201</v>
      </c>
      <c r="B147" s="19" t="s">
        <v>431</v>
      </c>
      <c r="C147" s="20" t="s">
        <v>266</v>
      </c>
      <c r="D147" s="21" t="s">
        <v>531</v>
      </c>
      <c r="E147" s="44">
        <v>45600</v>
      </c>
      <c r="F147" s="21" t="s">
        <v>431</v>
      </c>
      <c r="G147" s="23">
        <v>2120729</v>
      </c>
      <c r="H147" s="28">
        <v>51910</v>
      </c>
      <c r="I147" s="28">
        <v>2083333</v>
      </c>
      <c r="J147" s="23">
        <v>0</v>
      </c>
      <c r="K147" s="23">
        <v>12499998</v>
      </c>
      <c r="L147" s="23">
        <v>11802660.73</v>
      </c>
      <c r="M147" s="23">
        <v>0</v>
      </c>
      <c r="N147" s="23">
        <v>11650925</v>
      </c>
      <c r="O147" s="24">
        <v>0.9442130094740816</v>
      </c>
      <c r="P147" s="24">
        <v>0</v>
      </c>
      <c r="Q147" s="24">
        <v>0.93207414913186382</v>
      </c>
      <c r="R147" s="25">
        <v>117</v>
      </c>
      <c r="S147" s="25">
        <v>125</v>
      </c>
      <c r="T147" s="25">
        <v>23</v>
      </c>
      <c r="U147" s="25">
        <v>17</v>
      </c>
      <c r="V147" s="25">
        <v>140</v>
      </c>
      <c r="W147" s="25">
        <v>15</v>
      </c>
      <c r="X147" s="26">
        <v>9639683.4100000001</v>
      </c>
      <c r="Y147" s="26">
        <v>2162977.3199999998</v>
      </c>
      <c r="Z147" s="25">
        <v>62</v>
      </c>
      <c r="AA147" s="25">
        <v>17</v>
      </c>
      <c r="AB147" s="25">
        <v>79</v>
      </c>
      <c r="AC147" s="25">
        <v>0</v>
      </c>
      <c r="AD147" s="25">
        <v>27</v>
      </c>
      <c r="AE147" s="25">
        <v>42</v>
      </c>
      <c r="AF147" s="25">
        <v>54</v>
      </c>
      <c r="AG147" s="25">
        <v>3</v>
      </c>
      <c r="AH147" s="25">
        <v>63</v>
      </c>
      <c r="AI147" s="25">
        <v>0</v>
      </c>
      <c r="AJ147" s="25">
        <v>0</v>
      </c>
      <c r="AK147" s="25">
        <v>0</v>
      </c>
      <c r="AL147" s="25">
        <v>0</v>
      </c>
      <c r="AM147" s="25">
        <v>615</v>
      </c>
      <c r="AN147" s="25">
        <v>720</v>
      </c>
      <c r="AO147" s="25">
        <v>152</v>
      </c>
      <c r="AP147" s="23">
        <v>77649.083750000005</v>
      </c>
      <c r="AQ147" s="26">
        <v>4.0460526315789478</v>
      </c>
      <c r="AR147" s="23">
        <v>311460</v>
      </c>
      <c r="AS147" s="23">
        <v>53160</v>
      </c>
      <c r="AT147" s="24">
        <v>3.0893034065887275E-2</v>
      </c>
      <c r="AU147" s="23">
        <v>149400.76873417723</v>
      </c>
      <c r="AV147" s="27">
        <v>183</v>
      </c>
      <c r="AW147" s="27">
        <v>1234</v>
      </c>
      <c r="AX147" s="81">
        <v>11004.66</v>
      </c>
      <c r="AY147" s="83">
        <v>88</v>
      </c>
      <c r="AZ147" s="83">
        <v>79</v>
      </c>
      <c r="BA147" s="83">
        <v>47</v>
      </c>
      <c r="BB147" s="83">
        <v>14</v>
      </c>
      <c r="BC147" s="99"/>
      <c r="BD147" s="99"/>
      <c r="BE147" s="3">
        <v>0.95999999903142452</v>
      </c>
    </row>
    <row r="148" spans="1:57" ht="15.6">
      <c r="A148" s="2" t="s">
        <v>201</v>
      </c>
      <c r="B148" s="19" t="s">
        <v>431</v>
      </c>
      <c r="C148" s="20" t="s">
        <v>267</v>
      </c>
      <c r="D148" s="21" t="s">
        <v>531</v>
      </c>
      <c r="E148" s="44">
        <v>45607</v>
      </c>
      <c r="F148" s="21" t="s">
        <v>431</v>
      </c>
      <c r="G148" s="23">
        <v>2524674</v>
      </c>
      <c r="H148" s="28">
        <v>33043</v>
      </c>
      <c r="I148" s="28">
        <v>1833333</v>
      </c>
      <c r="J148" s="23">
        <v>0</v>
      </c>
      <c r="K148" s="23">
        <v>10999998</v>
      </c>
      <c r="L148" s="23">
        <v>4130568.94</v>
      </c>
      <c r="M148" s="23">
        <v>0</v>
      </c>
      <c r="N148" s="23">
        <v>4268101</v>
      </c>
      <c r="O148" s="24">
        <v>0.37550633554660645</v>
      </c>
      <c r="P148" s="24">
        <v>0</v>
      </c>
      <c r="Q148" s="24">
        <v>0.38800925236531864</v>
      </c>
      <c r="R148" s="25">
        <v>108</v>
      </c>
      <c r="S148" s="25">
        <v>127</v>
      </c>
      <c r="T148" s="25">
        <v>23</v>
      </c>
      <c r="U148" s="25">
        <v>17</v>
      </c>
      <c r="V148" s="25">
        <v>131</v>
      </c>
      <c r="W148" s="25">
        <v>4</v>
      </c>
      <c r="X148" s="26">
        <v>3532822.46</v>
      </c>
      <c r="Y148" s="26">
        <v>597746.48</v>
      </c>
      <c r="Z148" s="25">
        <v>35</v>
      </c>
      <c r="AA148" s="25">
        <v>17</v>
      </c>
      <c r="AB148" s="25">
        <v>52</v>
      </c>
      <c r="AC148" s="25">
        <v>0</v>
      </c>
      <c r="AD148" s="25">
        <v>93</v>
      </c>
      <c r="AE148" s="25">
        <v>156</v>
      </c>
      <c r="AF148" s="25">
        <v>56</v>
      </c>
      <c r="AG148" s="25">
        <v>2</v>
      </c>
      <c r="AH148" s="25">
        <v>89</v>
      </c>
      <c r="AI148" s="25">
        <v>0</v>
      </c>
      <c r="AJ148" s="25">
        <v>0</v>
      </c>
      <c r="AK148" s="25">
        <v>0</v>
      </c>
      <c r="AL148" s="25">
        <v>0</v>
      </c>
      <c r="AM148" s="25">
        <v>782</v>
      </c>
      <c r="AN148" s="25">
        <v>1027</v>
      </c>
      <c r="AO148" s="25">
        <v>152</v>
      </c>
      <c r="AP148" s="23">
        <v>27174.795657894738</v>
      </c>
      <c r="AQ148" s="26">
        <v>5.1447368421052628</v>
      </c>
      <c r="AR148" s="23">
        <v>198258</v>
      </c>
      <c r="AS148" s="23">
        <v>20508</v>
      </c>
      <c r="AT148" s="24">
        <v>5.2962679761011322E-2</v>
      </c>
      <c r="AU148" s="23">
        <v>79434.018076923079</v>
      </c>
      <c r="AV148" s="27">
        <v>149</v>
      </c>
      <c r="AW148" s="27">
        <v>1339</v>
      </c>
      <c r="AX148" s="81">
        <v>6775.91</v>
      </c>
      <c r="AY148" s="83">
        <v>53</v>
      </c>
      <c r="AZ148" s="83">
        <v>52</v>
      </c>
      <c r="BA148" s="83">
        <v>75</v>
      </c>
      <c r="BB148" s="83">
        <v>4</v>
      </c>
      <c r="BC148" s="99"/>
      <c r="BD148" s="99"/>
      <c r="BE148" s="3">
        <v>-0.56999999983236194</v>
      </c>
    </row>
    <row r="149" spans="1:57" ht="15.6">
      <c r="A149" s="2" t="s">
        <v>118</v>
      </c>
      <c r="B149" s="19" t="s">
        <v>362</v>
      </c>
      <c r="C149" s="20" t="s">
        <v>268</v>
      </c>
      <c r="D149" s="21" t="s">
        <v>624</v>
      </c>
      <c r="E149" s="44">
        <v>45614</v>
      </c>
      <c r="F149" s="21" t="s">
        <v>623</v>
      </c>
      <c r="G149" s="23">
        <v>322722</v>
      </c>
      <c r="H149" s="28">
        <v>46670</v>
      </c>
      <c r="I149" s="28"/>
      <c r="J149" s="23">
        <v>0</v>
      </c>
      <c r="K149" s="23">
        <v>0</v>
      </c>
      <c r="L149" s="23">
        <v>1811404.54</v>
      </c>
      <c r="M149" s="23">
        <v>0</v>
      </c>
      <c r="N149" s="23">
        <v>0</v>
      </c>
      <c r="O149" s="24"/>
      <c r="P149" s="24">
        <v>0</v>
      </c>
      <c r="Q149" s="24"/>
      <c r="R149" s="25">
        <v>56</v>
      </c>
      <c r="S149" s="25">
        <v>77</v>
      </c>
      <c r="T149" s="25">
        <v>31</v>
      </c>
      <c r="U149" s="25">
        <v>31</v>
      </c>
      <c r="V149" s="25">
        <v>87</v>
      </c>
      <c r="W149" s="25">
        <v>10</v>
      </c>
      <c r="X149" s="26">
        <v>975670.12</v>
      </c>
      <c r="Y149" s="26">
        <v>835734.42</v>
      </c>
      <c r="Z149" s="25">
        <v>26</v>
      </c>
      <c r="AA149" s="25">
        <v>31</v>
      </c>
      <c r="AB149" s="25">
        <v>57</v>
      </c>
      <c r="AC149" s="25">
        <v>0</v>
      </c>
      <c r="AD149" s="25">
        <v>76</v>
      </c>
      <c r="AE149" s="25">
        <v>128</v>
      </c>
      <c r="AF149" s="25">
        <v>34</v>
      </c>
      <c r="AG149" s="25">
        <v>5</v>
      </c>
      <c r="AH149" s="25">
        <v>119</v>
      </c>
      <c r="AI149" s="25">
        <v>0</v>
      </c>
      <c r="AJ149" s="25">
        <v>0</v>
      </c>
      <c r="AK149" s="25">
        <v>6</v>
      </c>
      <c r="AL149" s="25">
        <v>15</v>
      </c>
      <c r="AM149" s="25">
        <v>512</v>
      </c>
      <c r="AN149" s="25">
        <v>774</v>
      </c>
      <c r="AO149" s="25">
        <v>147</v>
      </c>
      <c r="AP149" s="23">
        <v>12322.479863945578</v>
      </c>
      <c r="AQ149" s="26">
        <v>3.4829931972789114</v>
      </c>
      <c r="AR149" s="23">
        <v>280020</v>
      </c>
      <c r="AS149" s="23">
        <v>66422</v>
      </c>
      <c r="AT149" s="24">
        <v>0.1912560073411321</v>
      </c>
      <c r="AU149" s="23">
        <v>31779.02701754386</v>
      </c>
      <c r="AV149" s="27">
        <v>117</v>
      </c>
      <c r="AW149" s="27">
        <v>1448</v>
      </c>
      <c r="AX149" s="81">
        <v>6062</v>
      </c>
      <c r="AY149" s="83">
        <v>79</v>
      </c>
      <c r="AZ149" s="83">
        <v>57</v>
      </c>
      <c r="BA149" s="83">
        <v>20</v>
      </c>
      <c r="BB149" s="83">
        <v>10</v>
      </c>
      <c r="BC149" s="99"/>
      <c r="BD149" s="99"/>
      <c r="BE149" s="3">
        <v>0</v>
      </c>
    </row>
    <row r="150" spans="1:57" ht="15.6">
      <c r="A150" s="2" t="s">
        <v>118</v>
      </c>
      <c r="B150" s="19" t="s">
        <v>372</v>
      </c>
      <c r="C150" s="20" t="s">
        <v>258</v>
      </c>
      <c r="D150" s="21" t="s">
        <v>625</v>
      </c>
      <c r="E150" s="44">
        <v>45628</v>
      </c>
      <c r="F150" s="21" t="s">
        <v>447</v>
      </c>
      <c r="G150" s="23">
        <v>3867360</v>
      </c>
      <c r="H150" s="28">
        <v>26755</v>
      </c>
      <c r="I150" s="28">
        <v>1500000</v>
      </c>
      <c r="J150" s="23">
        <v>0</v>
      </c>
      <c r="K150" s="23">
        <v>9000000</v>
      </c>
      <c r="L150" s="23">
        <v>5993257.6600000001</v>
      </c>
      <c r="M150" s="23">
        <v>0</v>
      </c>
      <c r="N150" s="23">
        <v>7372521</v>
      </c>
      <c r="O150" s="24">
        <v>0.66591751777777775</v>
      </c>
      <c r="P150" s="24">
        <v>0</v>
      </c>
      <c r="Q150" s="24">
        <v>0.81916900000000004</v>
      </c>
      <c r="R150" s="25">
        <v>70</v>
      </c>
      <c r="S150" s="25">
        <v>74</v>
      </c>
      <c r="T150" s="25">
        <v>10</v>
      </c>
      <c r="U150" s="25">
        <v>10</v>
      </c>
      <c r="V150" s="25">
        <v>80</v>
      </c>
      <c r="W150" s="25">
        <v>6</v>
      </c>
      <c r="X150" s="26">
        <v>5083120.13</v>
      </c>
      <c r="Y150" s="26">
        <v>910137.53</v>
      </c>
      <c r="Z150" s="25">
        <v>36</v>
      </c>
      <c r="AA150" s="25">
        <v>10</v>
      </c>
      <c r="AB150" s="25">
        <v>46</v>
      </c>
      <c r="AC150" s="25">
        <v>0</v>
      </c>
      <c r="AD150" s="25">
        <v>96</v>
      </c>
      <c r="AE150" s="25">
        <v>176</v>
      </c>
      <c r="AF150" s="25">
        <v>65</v>
      </c>
      <c r="AG150" s="25">
        <v>1</v>
      </c>
      <c r="AH150" s="25">
        <v>33</v>
      </c>
      <c r="AI150" s="25">
        <v>0</v>
      </c>
      <c r="AJ150" s="25">
        <v>0</v>
      </c>
      <c r="AK150" s="25">
        <v>3</v>
      </c>
      <c r="AL150" s="25">
        <v>3</v>
      </c>
      <c r="AM150" s="25">
        <v>594</v>
      </c>
      <c r="AN150" s="25">
        <v>806</v>
      </c>
      <c r="AO150" s="25">
        <v>143</v>
      </c>
      <c r="AP150" s="23">
        <v>41910.892727272731</v>
      </c>
      <c r="AQ150" s="26">
        <v>4.1538461538461542</v>
      </c>
      <c r="AR150" s="23">
        <v>160530</v>
      </c>
      <c r="AS150" s="23">
        <v>48121</v>
      </c>
      <c r="AT150" s="24">
        <v>3.4814288294756877E-2</v>
      </c>
      <c r="AU150" s="23">
        <v>130288.21</v>
      </c>
      <c r="AV150" s="27">
        <v>120</v>
      </c>
      <c r="AW150" s="27">
        <v>1516</v>
      </c>
      <c r="AX150" s="81">
        <v>7971.19</v>
      </c>
      <c r="AY150" s="83">
        <v>108</v>
      </c>
      <c r="AZ150" s="83">
        <v>46</v>
      </c>
      <c r="BA150" s="83">
        <v>28</v>
      </c>
      <c r="BB150" s="83">
        <v>6</v>
      </c>
      <c r="BC150" s="99"/>
      <c r="BD150" s="99"/>
      <c r="BE150" s="3">
        <v>0.70000000018626451</v>
      </c>
    </row>
    <row r="151" spans="1:57" ht="15.6">
      <c r="A151" s="2" t="s">
        <v>118</v>
      </c>
      <c r="B151" s="19" t="s">
        <v>436</v>
      </c>
      <c r="C151" s="20" t="s">
        <v>270</v>
      </c>
      <c r="D151" s="21" t="s">
        <v>449</v>
      </c>
      <c r="E151" s="44">
        <v>45635</v>
      </c>
      <c r="F151" s="21" t="s">
        <v>499</v>
      </c>
      <c r="G151" s="23">
        <v>1158936.1400000001</v>
      </c>
      <c r="H151" s="28">
        <v>36188</v>
      </c>
      <c r="I151" s="28">
        <v>1250000</v>
      </c>
      <c r="J151" s="23">
        <v>0</v>
      </c>
      <c r="K151" s="23">
        <v>7500000</v>
      </c>
      <c r="L151" s="23">
        <v>4842933.25</v>
      </c>
      <c r="M151" s="23">
        <v>0</v>
      </c>
      <c r="N151" s="23">
        <v>5533866.5999999996</v>
      </c>
      <c r="O151" s="24">
        <v>0.64572443333333329</v>
      </c>
      <c r="P151" s="24">
        <v>0</v>
      </c>
      <c r="Q151" s="24">
        <v>0.73784887999999993</v>
      </c>
      <c r="R151" s="25">
        <v>82</v>
      </c>
      <c r="S151" s="25">
        <v>112</v>
      </c>
      <c r="T151" s="25">
        <v>36</v>
      </c>
      <c r="U151" s="25">
        <v>35</v>
      </c>
      <c r="V151" s="25">
        <v>118</v>
      </c>
      <c r="W151" s="25">
        <v>6</v>
      </c>
      <c r="X151" s="26">
        <v>3529466.55</v>
      </c>
      <c r="Y151" s="26">
        <v>1313466.7</v>
      </c>
      <c r="Z151" s="25">
        <v>45</v>
      </c>
      <c r="AA151" s="25">
        <v>35</v>
      </c>
      <c r="AB151" s="25">
        <v>80</v>
      </c>
      <c r="AC151" s="25">
        <v>0</v>
      </c>
      <c r="AD151" s="25">
        <v>48</v>
      </c>
      <c r="AE151" s="25">
        <v>93</v>
      </c>
      <c r="AF151" s="25">
        <v>32</v>
      </c>
      <c r="AG151" s="25">
        <v>5</v>
      </c>
      <c r="AH151" s="25">
        <v>105</v>
      </c>
      <c r="AI151" s="25">
        <v>3</v>
      </c>
      <c r="AJ151" s="25">
        <v>18</v>
      </c>
      <c r="AK151" s="25">
        <v>4</v>
      </c>
      <c r="AL151" s="25">
        <v>24</v>
      </c>
      <c r="AM151" s="25">
        <v>890</v>
      </c>
      <c r="AN151" s="25">
        <v>1130</v>
      </c>
      <c r="AO151" s="25">
        <v>150</v>
      </c>
      <c r="AP151" s="23">
        <v>32286.221666666668</v>
      </c>
      <c r="AQ151" s="26">
        <v>5.9333333333333336</v>
      </c>
      <c r="AR151" s="23">
        <v>217128</v>
      </c>
      <c r="AS151" s="23">
        <v>49763</v>
      </c>
      <c r="AT151" s="24">
        <v>5.5109369925757289E-2</v>
      </c>
      <c r="AU151" s="23">
        <v>60536.665625000001</v>
      </c>
      <c r="AV151" s="27">
        <v>268</v>
      </c>
      <c r="AW151" s="27">
        <v>1774</v>
      </c>
      <c r="AX151" s="81">
        <v>13800.94</v>
      </c>
      <c r="AY151" s="83">
        <v>123</v>
      </c>
      <c r="AZ151" s="83">
        <v>80</v>
      </c>
      <c r="BA151" s="83">
        <v>32</v>
      </c>
      <c r="BB151" s="83">
        <v>6</v>
      </c>
      <c r="BC151" s="99"/>
      <c r="BD151" s="99"/>
      <c r="BE151" s="3">
        <v>-4.9999999813735485E-2</v>
      </c>
    </row>
    <row r="152" spans="1:57" ht="15.6">
      <c r="A152" s="2" t="s">
        <v>119</v>
      </c>
      <c r="B152" s="19" t="s">
        <v>649</v>
      </c>
      <c r="C152" s="20" t="s">
        <v>269</v>
      </c>
      <c r="D152" s="21" t="s">
        <v>519</v>
      </c>
      <c r="E152" s="44">
        <v>45636</v>
      </c>
      <c r="F152" s="21" t="s">
        <v>486</v>
      </c>
      <c r="G152" s="23">
        <v>2196264</v>
      </c>
      <c r="H152" s="28">
        <v>51910</v>
      </c>
      <c r="I152" s="28">
        <v>2125000</v>
      </c>
      <c r="J152" s="23">
        <v>0</v>
      </c>
      <c r="K152" s="23">
        <v>10625000</v>
      </c>
      <c r="L152" s="23">
        <v>7529726.46</v>
      </c>
      <c r="M152" s="23">
        <v>0</v>
      </c>
      <c r="N152" s="23">
        <v>6541202</v>
      </c>
      <c r="O152" s="24">
        <v>0.70868013741176472</v>
      </c>
      <c r="P152" s="24">
        <v>0</v>
      </c>
      <c r="Q152" s="24">
        <v>0.61564254117647055</v>
      </c>
      <c r="R152" s="25">
        <v>89</v>
      </c>
      <c r="S152" s="25">
        <v>139</v>
      </c>
      <c r="T152" s="25">
        <v>59</v>
      </c>
      <c r="U152" s="25">
        <v>59</v>
      </c>
      <c r="V152" s="25">
        <v>148</v>
      </c>
      <c r="W152" s="25">
        <v>9</v>
      </c>
      <c r="X152" s="26">
        <v>4237780.58</v>
      </c>
      <c r="Y152" s="26">
        <v>3291945.88</v>
      </c>
      <c r="Z152" s="25">
        <v>56</v>
      </c>
      <c r="AA152" s="25">
        <v>59</v>
      </c>
      <c r="AB152" s="25">
        <v>115</v>
      </c>
      <c r="AC152" s="25">
        <v>0</v>
      </c>
      <c r="AD152" s="25">
        <v>222</v>
      </c>
      <c r="AE152" s="25">
        <v>449</v>
      </c>
      <c r="AF152" s="25">
        <v>90</v>
      </c>
      <c r="AG152" s="25">
        <v>2</v>
      </c>
      <c r="AH152" s="25">
        <v>29</v>
      </c>
      <c r="AI152" s="25">
        <v>1</v>
      </c>
      <c r="AJ152" s="25">
        <v>1</v>
      </c>
      <c r="AK152" s="25">
        <v>4</v>
      </c>
      <c r="AL152" s="25">
        <v>16</v>
      </c>
      <c r="AM152" s="25">
        <v>523</v>
      </c>
      <c r="AN152" s="25">
        <v>1018</v>
      </c>
      <c r="AO152" s="25">
        <v>115</v>
      </c>
      <c r="AP152" s="23">
        <v>65475.882260869563</v>
      </c>
      <c r="AQ152" s="26">
        <v>4.5478260869565217</v>
      </c>
      <c r="AR152" s="23">
        <v>236190.5</v>
      </c>
      <c r="AS152" s="23">
        <v>44755</v>
      </c>
      <c r="AT152" s="24">
        <v>3.7311514766500561E-2</v>
      </c>
      <c r="AU152" s="23">
        <v>65475.882260869563</v>
      </c>
      <c r="AV152" s="27">
        <v>224</v>
      </c>
      <c r="AW152" s="27">
        <v>1397</v>
      </c>
      <c r="AX152" s="81">
        <v>9116.15</v>
      </c>
      <c r="AY152" s="83">
        <v>66</v>
      </c>
      <c r="AZ152" s="83">
        <v>115</v>
      </c>
      <c r="BA152" s="83">
        <v>26</v>
      </c>
      <c r="BB152" s="83">
        <v>7</v>
      </c>
      <c r="BC152" s="99"/>
      <c r="BD152" s="99" t="s">
        <v>626</v>
      </c>
      <c r="BE152" s="3">
        <v>-0.16999999992549419</v>
      </c>
    </row>
    <row r="153" spans="1:57" ht="15.6">
      <c r="A153" s="2" t="s">
        <v>118</v>
      </c>
      <c r="B153" s="19" t="s">
        <v>362</v>
      </c>
      <c r="C153" s="20" t="s">
        <v>272</v>
      </c>
      <c r="D153" s="21" t="s">
        <v>627</v>
      </c>
      <c r="E153" s="44">
        <v>45637</v>
      </c>
      <c r="F153" s="21" t="s">
        <v>419</v>
      </c>
      <c r="G153" s="23">
        <v>2407183</v>
      </c>
      <c r="H153" s="28">
        <v>34090</v>
      </c>
      <c r="I153" s="28">
        <v>4250000</v>
      </c>
      <c r="J153" s="23">
        <v>0</v>
      </c>
      <c r="K153" s="23">
        <v>25500000</v>
      </c>
      <c r="L153" s="23">
        <v>17256539.809999999</v>
      </c>
      <c r="M153" s="23">
        <v>0</v>
      </c>
      <c r="N153" s="23">
        <v>16810561</v>
      </c>
      <c r="O153" s="24">
        <v>0.67672705137254896</v>
      </c>
      <c r="P153" s="24">
        <v>0</v>
      </c>
      <c r="Q153" s="24">
        <v>0.65923768627450985</v>
      </c>
      <c r="R153" s="25">
        <v>79</v>
      </c>
      <c r="S153" s="25">
        <v>88</v>
      </c>
      <c r="T153" s="25">
        <v>10</v>
      </c>
      <c r="U153" s="25">
        <v>10</v>
      </c>
      <c r="V153" s="25">
        <v>89</v>
      </c>
      <c r="W153" s="25">
        <v>1</v>
      </c>
      <c r="X153" s="26">
        <v>15055743.529999999</v>
      </c>
      <c r="Y153" s="26">
        <v>2200796.2799999998</v>
      </c>
      <c r="Z153" s="25">
        <v>50</v>
      </c>
      <c r="AA153" s="25">
        <v>10</v>
      </c>
      <c r="AB153" s="25">
        <v>60</v>
      </c>
      <c r="AC153" s="25">
        <v>0</v>
      </c>
      <c r="AD153" s="25">
        <v>19</v>
      </c>
      <c r="AE153" s="25">
        <v>30</v>
      </c>
      <c r="AF153" s="25">
        <v>18</v>
      </c>
      <c r="AG153" s="25">
        <v>2</v>
      </c>
      <c r="AH153" s="25">
        <v>18</v>
      </c>
      <c r="AI153" s="25">
        <v>0</v>
      </c>
      <c r="AJ153" s="25">
        <v>0</v>
      </c>
      <c r="AK153" s="25">
        <v>0</v>
      </c>
      <c r="AL153" s="25">
        <v>0</v>
      </c>
      <c r="AM153" s="25">
        <v>747</v>
      </c>
      <c r="AN153" s="25">
        <v>795</v>
      </c>
      <c r="AO153" s="25">
        <v>151</v>
      </c>
      <c r="AP153" s="23">
        <v>114281.72059602648</v>
      </c>
      <c r="AQ153" s="26">
        <v>4.9470198675496686</v>
      </c>
      <c r="AR153" s="23">
        <v>204540</v>
      </c>
      <c r="AS153" s="23">
        <v>32388</v>
      </c>
      <c r="AT153" s="24">
        <v>1.3729751306383133E-2</v>
      </c>
      <c r="AU153" s="23">
        <v>287608.99683333334</v>
      </c>
      <c r="AV153" s="27">
        <v>178</v>
      </c>
      <c r="AW153" s="27">
        <v>1628</v>
      </c>
      <c r="AX153" s="81">
        <v>13065.97</v>
      </c>
      <c r="AY153" s="83">
        <v>148</v>
      </c>
      <c r="AZ153" s="83">
        <v>60</v>
      </c>
      <c r="BA153" s="83">
        <v>28</v>
      </c>
      <c r="BB153" s="83">
        <v>1</v>
      </c>
      <c r="BC153" s="99"/>
      <c r="BD153" s="99"/>
      <c r="BE153" s="3">
        <v>-3.3299999982118607</v>
      </c>
    </row>
    <row r="154" spans="1:57" ht="15.6">
      <c r="A154" s="2" t="s">
        <v>117</v>
      </c>
      <c r="B154" s="19" t="s">
        <v>450</v>
      </c>
      <c r="C154" s="20" t="s">
        <v>158</v>
      </c>
      <c r="D154" s="21" t="s">
        <v>628</v>
      </c>
      <c r="E154" s="44">
        <v>45638</v>
      </c>
      <c r="F154" s="21" t="s">
        <v>482</v>
      </c>
      <c r="G154" s="23">
        <v>0</v>
      </c>
      <c r="H154" s="28">
        <v>47720</v>
      </c>
      <c r="I154" s="28">
        <v>1041667</v>
      </c>
      <c r="J154" s="23">
        <v>0</v>
      </c>
      <c r="K154" s="23">
        <v>6250002</v>
      </c>
      <c r="L154" s="23">
        <v>199589.86</v>
      </c>
      <c r="M154" s="23">
        <v>0</v>
      </c>
      <c r="N154" s="23">
        <v>0</v>
      </c>
      <c r="O154" s="24">
        <v>3.1934367381002436E-2</v>
      </c>
      <c r="P154" s="24">
        <v>0</v>
      </c>
      <c r="Q154" s="24">
        <v>0</v>
      </c>
      <c r="R154" s="25">
        <v>97</v>
      </c>
      <c r="S154" s="25">
        <v>11</v>
      </c>
      <c r="T154" s="25">
        <v>0</v>
      </c>
      <c r="U154" s="25">
        <v>0</v>
      </c>
      <c r="V154" s="25">
        <v>97</v>
      </c>
      <c r="W154" s="25">
        <v>86</v>
      </c>
      <c r="X154" s="26">
        <v>199589.86</v>
      </c>
      <c r="Y154" s="26">
        <v>0</v>
      </c>
      <c r="Z154" s="25">
        <v>13</v>
      </c>
      <c r="AA154" s="25">
        <v>0</v>
      </c>
      <c r="AB154" s="25">
        <v>13</v>
      </c>
      <c r="AC154" s="25">
        <v>0</v>
      </c>
      <c r="AD154" s="25">
        <v>132</v>
      </c>
      <c r="AE154" s="25">
        <v>331</v>
      </c>
      <c r="AF154" s="25">
        <v>134</v>
      </c>
      <c r="AG154" s="25">
        <v>2</v>
      </c>
      <c r="AH154" s="25">
        <v>21</v>
      </c>
      <c r="AI154" s="25">
        <v>0</v>
      </c>
      <c r="AJ154" s="25">
        <v>0</v>
      </c>
      <c r="AK154" s="25">
        <v>0</v>
      </c>
      <c r="AL154" s="25">
        <v>0</v>
      </c>
      <c r="AM154" s="25">
        <v>15</v>
      </c>
      <c r="AN154" s="25">
        <v>367</v>
      </c>
      <c r="AO154" s="25">
        <v>139</v>
      </c>
      <c r="AP154" s="23">
        <v>1435.8982733812948</v>
      </c>
      <c r="AQ154" s="26">
        <v>0.1079136690647482</v>
      </c>
      <c r="AR154" s="23">
        <v>286320</v>
      </c>
      <c r="AS154" s="23">
        <v>43643</v>
      </c>
      <c r="AT154" s="24">
        <v>1.6532052279609797</v>
      </c>
      <c r="AU154" s="23">
        <v>15353.066153846154</v>
      </c>
      <c r="AV154" s="27">
        <v>23</v>
      </c>
      <c r="AW154" s="27">
        <v>1579</v>
      </c>
      <c r="AX154" s="81">
        <v>5513.2</v>
      </c>
      <c r="AY154" s="83">
        <v>501</v>
      </c>
      <c r="AZ154" s="83">
        <v>13</v>
      </c>
      <c r="BA154" s="83">
        <v>6</v>
      </c>
      <c r="BB154" s="83">
        <v>78</v>
      </c>
      <c r="BC154" s="99"/>
      <c r="BD154" s="99"/>
      <c r="BE154" s="3">
        <v>0</v>
      </c>
    </row>
    <row r="155" spans="1:57" ht="15.6">
      <c r="A155" s="2" t="s">
        <v>201</v>
      </c>
      <c r="B155" s="19" t="s">
        <v>431</v>
      </c>
      <c r="C155" s="20" t="s">
        <v>271</v>
      </c>
      <c r="D155" s="21" t="s">
        <v>433</v>
      </c>
      <c r="E155" s="44">
        <v>45639</v>
      </c>
      <c r="F155" s="21" t="s">
        <v>431</v>
      </c>
      <c r="G155" s="23">
        <v>2332678</v>
      </c>
      <c r="H155" s="28">
        <v>35140</v>
      </c>
      <c r="I155" s="28">
        <v>1791667</v>
      </c>
      <c r="J155" s="23">
        <v>0</v>
      </c>
      <c r="K155" s="23">
        <v>10750002</v>
      </c>
      <c r="L155" s="23">
        <v>4367670.0999999996</v>
      </c>
      <c r="M155" s="23">
        <v>0</v>
      </c>
      <c r="N155" s="23">
        <v>3354528</v>
      </c>
      <c r="O155" s="24">
        <v>0.4062948174335223</v>
      </c>
      <c r="P155" s="24">
        <v>0</v>
      </c>
      <c r="Q155" s="24">
        <v>0.31204905822343104</v>
      </c>
      <c r="R155" s="25">
        <v>41</v>
      </c>
      <c r="S155" s="25">
        <v>52</v>
      </c>
      <c r="T155" s="25">
        <v>19</v>
      </c>
      <c r="U155" s="25">
        <v>18</v>
      </c>
      <c r="V155" s="25">
        <v>60</v>
      </c>
      <c r="W155" s="25">
        <v>8</v>
      </c>
      <c r="X155" s="26">
        <v>3150576.37</v>
      </c>
      <c r="Y155" s="26">
        <v>1217093.73</v>
      </c>
      <c r="Z155" s="25">
        <v>27</v>
      </c>
      <c r="AA155" s="25">
        <v>18</v>
      </c>
      <c r="AB155" s="25">
        <v>45</v>
      </c>
      <c r="AC155" s="25">
        <v>0</v>
      </c>
      <c r="AD155" s="25">
        <v>86</v>
      </c>
      <c r="AE155" s="25">
        <v>173</v>
      </c>
      <c r="AF155" s="25">
        <v>37</v>
      </c>
      <c r="AG155" s="25">
        <v>4</v>
      </c>
      <c r="AH155" s="25">
        <v>101</v>
      </c>
      <c r="AI155" s="25">
        <v>0</v>
      </c>
      <c r="AJ155" s="25">
        <v>0</v>
      </c>
      <c r="AK155" s="25">
        <v>0</v>
      </c>
      <c r="AL155" s="25">
        <v>0</v>
      </c>
      <c r="AM155" s="25">
        <v>430</v>
      </c>
      <c r="AN155" s="25">
        <v>704</v>
      </c>
      <c r="AO155" s="25">
        <v>126</v>
      </c>
      <c r="AP155" s="23">
        <v>34664.048412698408</v>
      </c>
      <c r="AQ155" s="26">
        <v>3.4126984126984126</v>
      </c>
      <c r="AR155" s="23">
        <v>190927.33333333334</v>
      </c>
      <c r="AS155" s="23">
        <v>25450</v>
      </c>
      <c r="AT155" s="24">
        <v>4.9540676923683719E-2</v>
      </c>
      <c r="AU155" s="23">
        <v>97059.335555555546</v>
      </c>
      <c r="AV155" s="27">
        <v>103</v>
      </c>
      <c r="AW155" s="27">
        <v>1014</v>
      </c>
      <c r="AX155" s="81">
        <v>3777.4</v>
      </c>
      <c r="AY155" s="83">
        <v>73</v>
      </c>
      <c r="AZ155" s="83">
        <v>45</v>
      </c>
      <c r="BA155" s="83">
        <v>10</v>
      </c>
      <c r="BB155" s="83">
        <v>5</v>
      </c>
      <c r="BC155" s="99">
        <v>45913</v>
      </c>
      <c r="BD155" s="99"/>
      <c r="BE155" s="3">
        <v>3.1718750484287739E-2</v>
      </c>
    </row>
    <row r="156" spans="1:57" ht="15.6">
      <c r="A156" s="2" t="s">
        <v>118</v>
      </c>
      <c r="B156" s="19" t="s">
        <v>468</v>
      </c>
      <c r="C156" s="20" t="s">
        <v>273</v>
      </c>
      <c r="D156" s="21" t="s">
        <v>555</v>
      </c>
      <c r="E156" s="44">
        <v>45639</v>
      </c>
      <c r="F156" s="21" t="s">
        <v>509</v>
      </c>
      <c r="G156" s="23">
        <v>0</v>
      </c>
      <c r="H156" s="28">
        <v>33568</v>
      </c>
      <c r="I156" s="28">
        <v>2000000</v>
      </c>
      <c r="J156" s="23">
        <v>0</v>
      </c>
      <c r="K156" s="23">
        <v>12000000</v>
      </c>
      <c r="L156" s="23">
        <v>8413736.6799999997</v>
      </c>
      <c r="M156" s="23">
        <v>0</v>
      </c>
      <c r="N156" s="23">
        <v>10651095</v>
      </c>
      <c r="O156" s="24">
        <v>0.70114472333333333</v>
      </c>
      <c r="P156" s="24">
        <v>0</v>
      </c>
      <c r="Q156" s="24">
        <v>0.88759125000000005</v>
      </c>
      <c r="R156" s="25">
        <v>84</v>
      </c>
      <c r="S156" s="25">
        <v>87</v>
      </c>
      <c r="T156" s="25">
        <v>12</v>
      </c>
      <c r="U156" s="25">
        <v>11</v>
      </c>
      <c r="V156" s="25">
        <v>96</v>
      </c>
      <c r="W156" s="25">
        <v>9</v>
      </c>
      <c r="X156" s="26">
        <v>7308314.0599999996</v>
      </c>
      <c r="Y156" s="26">
        <v>1105422.6200000001</v>
      </c>
      <c r="Z156" s="25">
        <v>37</v>
      </c>
      <c r="AA156" s="25">
        <v>11</v>
      </c>
      <c r="AB156" s="25">
        <v>48</v>
      </c>
      <c r="AC156" s="25">
        <v>0</v>
      </c>
      <c r="AD156" s="25">
        <v>123</v>
      </c>
      <c r="AE156" s="25">
        <v>208</v>
      </c>
      <c r="AF156" s="25">
        <v>78</v>
      </c>
      <c r="AG156" s="25">
        <v>1</v>
      </c>
      <c r="AH156" s="25">
        <v>43</v>
      </c>
      <c r="AI156" s="25">
        <v>0</v>
      </c>
      <c r="AJ156" s="25">
        <v>0</v>
      </c>
      <c r="AK156" s="25">
        <v>0</v>
      </c>
      <c r="AL156" s="25">
        <v>0</v>
      </c>
      <c r="AM156" s="25">
        <v>446</v>
      </c>
      <c r="AN156" s="25">
        <v>697</v>
      </c>
      <c r="AO156" s="25">
        <v>143</v>
      </c>
      <c r="AP156" s="23">
        <v>58837.31944055944</v>
      </c>
      <c r="AQ156" s="26">
        <v>3.1188811188811187</v>
      </c>
      <c r="AR156" s="23">
        <v>201408</v>
      </c>
      <c r="AS156" s="23">
        <v>30115</v>
      </c>
      <c r="AT156" s="24">
        <v>2.7517262401418534E-2</v>
      </c>
      <c r="AU156" s="23">
        <v>175286.18083333332</v>
      </c>
      <c r="AV156" s="27">
        <v>112</v>
      </c>
      <c r="AW156" s="27">
        <v>1344</v>
      </c>
      <c r="AX156" s="81">
        <v>7481.39</v>
      </c>
      <c r="AY156" s="83">
        <v>86</v>
      </c>
      <c r="AZ156" s="83">
        <v>48</v>
      </c>
      <c r="BA156" s="83">
        <v>39</v>
      </c>
      <c r="BB156" s="83">
        <v>9</v>
      </c>
      <c r="BC156" s="99"/>
      <c r="BD156" s="99"/>
      <c r="BE156" s="3">
        <v>1.349999999627471</v>
      </c>
    </row>
    <row r="157" spans="1:57" ht="15.6">
      <c r="A157" s="2" t="s">
        <v>118</v>
      </c>
      <c r="B157" s="19" t="s">
        <v>372</v>
      </c>
      <c r="C157" s="20" t="s">
        <v>274</v>
      </c>
      <c r="D157" s="21" t="s">
        <v>629</v>
      </c>
      <c r="E157" s="44">
        <v>45640</v>
      </c>
      <c r="F157" s="21" t="s">
        <v>447</v>
      </c>
      <c r="G157" s="23">
        <v>3804407.77</v>
      </c>
      <c r="H157" s="28">
        <v>28850</v>
      </c>
      <c r="I157" s="28">
        <v>2000000</v>
      </c>
      <c r="J157" s="23">
        <v>0</v>
      </c>
      <c r="K157" s="23">
        <v>12000000</v>
      </c>
      <c r="L157" s="23">
        <v>7025987.4800000004</v>
      </c>
      <c r="M157" s="23">
        <v>0</v>
      </c>
      <c r="N157" s="23">
        <v>7041734.2200000007</v>
      </c>
      <c r="O157" s="24">
        <v>0.58549895666666674</v>
      </c>
      <c r="P157" s="24">
        <v>0</v>
      </c>
      <c r="Q157" s="24">
        <v>0.58681118500000007</v>
      </c>
      <c r="R157" s="25">
        <v>17</v>
      </c>
      <c r="S157" s="25">
        <v>25</v>
      </c>
      <c r="T157" s="25">
        <v>8</v>
      </c>
      <c r="U157" s="25">
        <v>8</v>
      </c>
      <c r="V157" s="25">
        <v>25</v>
      </c>
      <c r="W157" s="25">
        <v>0</v>
      </c>
      <c r="X157" s="26">
        <v>5518867.4199999999</v>
      </c>
      <c r="Y157" s="26">
        <v>1507120.06</v>
      </c>
      <c r="Z157" s="25">
        <v>16</v>
      </c>
      <c r="AA157" s="25">
        <v>8</v>
      </c>
      <c r="AB157" s="25">
        <v>24</v>
      </c>
      <c r="AC157" s="25">
        <v>0</v>
      </c>
      <c r="AD157" s="25">
        <v>91</v>
      </c>
      <c r="AE157" s="25">
        <v>214</v>
      </c>
      <c r="AF157" s="25">
        <v>22</v>
      </c>
      <c r="AG157" s="25">
        <v>1</v>
      </c>
      <c r="AH157" s="25">
        <v>20</v>
      </c>
      <c r="AI157" s="25">
        <v>0</v>
      </c>
      <c r="AJ157" s="25">
        <v>0</v>
      </c>
      <c r="AK157" s="25">
        <v>0</v>
      </c>
      <c r="AL157" s="25">
        <v>0</v>
      </c>
      <c r="AM157" s="25">
        <v>311</v>
      </c>
      <c r="AN157" s="25">
        <v>545</v>
      </c>
      <c r="AO157" s="25">
        <v>132</v>
      </c>
      <c r="AP157" s="23">
        <v>53227.177878787879</v>
      </c>
      <c r="AQ157" s="26">
        <v>2.356060606060606</v>
      </c>
      <c r="AR157" s="23">
        <v>173100</v>
      </c>
      <c r="AS157" s="23">
        <v>27148</v>
      </c>
      <c r="AT157" s="24">
        <v>2.8501047086978298E-2</v>
      </c>
      <c r="AU157" s="23">
        <v>292749.47833333333</v>
      </c>
      <c r="AV157" s="27">
        <v>112</v>
      </c>
      <c r="AW157" s="27">
        <v>1474</v>
      </c>
      <c r="AX157" s="81">
        <v>7462.3</v>
      </c>
      <c r="AY157" s="83">
        <v>298</v>
      </c>
      <c r="AZ157" s="83">
        <v>24</v>
      </c>
      <c r="BA157" s="83">
        <v>1</v>
      </c>
      <c r="BB157" s="83">
        <v>0</v>
      </c>
      <c r="BC157" s="99"/>
      <c r="BD157" s="99"/>
      <c r="BE157" s="3">
        <v>-0.2099999999627471</v>
      </c>
    </row>
    <row r="158" spans="1:57" ht="15.6">
      <c r="A158" s="2" t="s">
        <v>118</v>
      </c>
      <c r="B158" s="19" t="s">
        <v>436</v>
      </c>
      <c r="C158" s="20" t="s">
        <v>275</v>
      </c>
      <c r="D158" s="21" t="s">
        <v>630</v>
      </c>
      <c r="E158" s="44">
        <v>45646</v>
      </c>
      <c r="F158" s="21" t="s">
        <v>499</v>
      </c>
      <c r="G158" s="23">
        <v>386440.49000000005</v>
      </c>
      <c r="H158" s="28">
        <v>33570</v>
      </c>
      <c r="I158" s="28"/>
      <c r="J158" s="23">
        <v>0</v>
      </c>
      <c r="K158" s="23">
        <v>0</v>
      </c>
      <c r="L158" s="23">
        <v>47630</v>
      </c>
      <c r="M158" s="23">
        <v>0</v>
      </c>
      <c r="N158" s="23">
        <v>0</v>
      </c>
      <c r="O158" s="24"/>
      <c r="P158" s="24">
        <v>0</v>
      </c>
      <c r="Q158" s="24"/>
      <c r="R158" s="25">
        <v>30</v>
      </c>
      <c r="S158" s="25">
        <v>13</v>
      </c>
      <c r="T158" s="25">
        <v>3</v>
      </c>
      <c r="U158" s="25">
        <v>0</v>
      </c>
      <c r="V158" s="25">
        <v>33</v>
      </c>
      <c r="W158" s="25">
        <v>20</v>
      </c>
      <c r="X158" s="26">
        <v>47630</v>
      </c>
      <c r="Y158" s="26">
        <v>0</v>
      </c>
      <c r="Z158" s="25">
        <v>8</v>
      </c>
      <c r="AA158" s="25">
        <v>0</v>
      </c>
      <c r="AB158" s="25">
        <v>8</v>
      </c>
      <c r="AC158" s="25">
        <v>0</v>
      </c>
      <c r="AD158" s="25">
        <v>18</v>
      </c>
      <c r="AE158" s="25">
        <v>19</v>
      </c>
      <c r="AF158" s="25">
        <v>77</v>
      </c>
      <c r="AG158" s="25">
        <v>1</v>
      </c>
      <c r="AH158" s="25">
        <v>2</v>
      </c>
      <c r="AI158" s="25">
        <v>0</v>
      </c>
      <c r="AJ158" s="25">
        <v>0</v>
      </c>
      <c r="AK158" s="25">
        <v>0</v>
      </c>
      <c r="AL158" s="25">
        <v>0</v>
      </c>
      <c r="AM158" s="25">
        <v>18</v>
      </c>
      <c r="AN158" s="25">
        <v>39</v>
      </c>
      <c r="AO158" s="25">
        <v>11</v>
      </c>
      <c r="AP158" s="23">
        <v>4330</v>
      </c>
      <c r="AQ158" s="26">
        <v>1.6363636363636365</v>
      </c>
      <c r="AR158" s="23">
        <v>16785</v>
      </c>
      <c r="AS158" s="23">
        <v>5260</v>
      </c>
      <c r="AT158" s="24">
        <v>0.46283854713415912</v>
      </c>
      <c r="AU158" s="23">
        <v>5953.75</v>
      </c>
      <c r="AV158" s="27">
        <v>9</v>
      </c>
      <c r="AW158" s="27">
        <v>107</v>
      </c>
      <c r="AX158" s="81">
        <v>1075.74</v>
      </c>
      <c r="AY158" s="83">
        <v>83</v>
      </c>
      <c r="AZ158" s="83">
        <v>8</v>
      </c>
      <c r="BA158" s="83">
        <v>5</v>
      </c>
      <c r="BB158" s="83">
        <v>20</v>
      </c>
      <c r="BC158" s="99">
        <v>45762</v>
      </c>
      <c r="BD158" s="99"/>
      <c r="BE158" s="3">
        <v>0</v>
      </c>
    </row>
    <row r="159" spans="1:57" ht="15.6">
      <c r="A159" s="2" t="s">
        <v>124</v>
      </c>
      <c r="B159" s="19" t="s">
        <v>443</v>
      </c>
      <c r="C159" s="20" t="s">
        <v>276</v>
      </c>
      <c r="D159" s="21" t="s">
        <v>524</v>
      </c>
      <c r="E159" s="44">
        <v>45651</v>
      </c>
      <c r="F159" s="21" t="s">
        <v>517</v>
      </c>
      <c r="G159" s="23">
        <v>2501918</v>
      </c>
      <c r="H159" s="28">
        <v>25165</v>
      </c>
      <c r="I159" s="28">
        <v>1000000</v>
      </c>
      <c r="J159" s="23">
        <v>0</v>
      </c>
      <c r="K159" s="23">
        <v>5000000</v>
      </c>
      <c r="L159" s="23">
        <v>1792672.44</v>
      </c>
      <c r="M159" s="23">
        <v>0</v>
      </c>
      <c r="N159" s="23">
        <v>2689539</v>
      </c>
      <c r="O159" s="24">
        <v>0.35853448799999998</v>
      </c>
      <c r="P159" s="24">
        <v>0</v>
      </c>
      <c r="Q159" s="24">
        <v>0.53790780000000005</v>
      </c>
      <c r="R159" s="25">
        <v>73</v>
      </c>
      <c r="S159" s="25">
        <v>74</v>
      </c>
      <c r="T159" s="25">
        <v>6</v>
      </c>
      <c r="U159" s="25">
        <v>6</v>
      </c>
      <c r="V159" s="25">
        <v>79</v>
      </c>
      <c r="W159" s="25">
        <v>5</v>
      </c>
      <c r="X159" s="26">
        <v>1183649.19</v>
      </c>
      <c r="Y159" s="26">
        <v>609023.25</v>
      </c>
      <c r="Z159" s="25">
        <v>22</v>
      </c>
      <c r="AA159" s="25">
        <v>6</v>
      </c>
      <c r="AB159" s="25">
        <v>28</v>
      </c>
      <c r="AC159" s="25">
        <v>0</v>
      </c>
      <c r="AD159" s="25">
        <v>59</v>
      </c>
      <c r="AE159" s="25">
        <v>118</v>
      </c>
      <c r="AF159" s="25">
        <v>16</v>
      </c>
      <c r="AG159" s="25">
        <v>1</v>
      </c>
      <c r="AH159" s="25">
        <v>51</v>
      </c>
      <c r="AI159" s="25">
        <v>0</v>
      </c>
      <c r="AJ159" s="25">
        <v>0</v>
      </c>
      <c r="AK159" s="25">
        <v>0</v>
      </c>
      <c r="AL159" s="25">
        <v>0</v>
      </c>
      <c r="AM159" s="25">
        <v>293</v>
      </c>
      <c r="AN159" s="25">
        <v>462</v>
      </c>
      <c r="AO159" s="25">
        <v>114</v>
      </c>
      <c r="AP159" s="23">
        <v>15725.196842105262</v>
      </c>
      <c r="AQ159" s="26">
        <v>2.5701754385964914</v>
      </c>
      <c r="AR159" s="23">
        <v>125825</v>
      </c>
      <c r="AS159" s="23">
        <v>48238</v>
      </c>
      <c r="AT159" s="24">
        <v>9.7096935344194835E-2</v>
      </c>
      <c r="AU159" s="23">
        <v>64024.015714285713</v>
      </c>
      <c r="AV159" s="27">
        <v>64</v>
      </c>
      <c r="AW159" s="27">
        <v>1156</v>
      </c>
      <c r="AX159" s="81">
        <v>7719.99</v>
      </c>
      <c r="AY159" s="83">
        <v>104</v>
      </c>
      <c r="AZ159" s="83">
        <v>28</v>
      </c>
      <c r="BA159" s="83">
        <v>46</v>
      </c>
      <c r="BB159" s="83">
        <v>5</v>
      </c>
      <c r="BC159" s="99">
        <v>45899</v>
      </c>
      <c r="BD159" s="99"/>
      <c r="BE159" s="3">
        <v>0.36000000010244548</v>
      </c>
    </row>
    <row r="160" spans="1:57" ht="15.6">
      <c r="A160" s="2" t="s">
        <v>120</v>
      </c>
      <c r="B160" s="19" t="s">
        <v>286</v>
      </c>
      <c r="C160" s="20" t="s">
        <v>256</v>
      </c>
      <c r="D160" s="21" t="s">
        <v>259</v>
      </c>
      <c r="E160" s="44">
        <v>45658</v>
      </c>
      <c r="F160" s="21" t="s">
        <v>631</v>
      </c>
      <c r="G160" s="23">
        <v>0</v>
      </c>
      <c r="H160" s="28">
        <v>31455</v>
      </c>
      <c r="I160" s="28">
        <v>1200000</v>
      </c>
      <c r="J160" s="23">
        <v>0</v>
      </c>
      <c r="K160" s="23">
        <v>7200000</v>
      </c>
      <c r="L160" s="23">
        <v>2882511.22</v>
      </c>
      <c r="M160" s="23">
        <v>0</v>
      </c>
      <c r="N160" s="23">
        <v>2775771</v>
      </c>
      <c r="O160" s="24">
        <v>0.40034878055555556</v>
      </c>
      <c r="P160" s="24">
        <v>0</v>
      </c>
      <c r="Q160" s="24">
        <v>0.38552375</v>
      </c>
      <c r="R160" s="25">
        <v>14</v>
      </c>
      <c r="S160" s="25">
        <v>46</v>
      </c>
      <c r="T160" s="25">
        <v>35</v>
      </c>
      <c r="U160" s="25">
        <v>35</v>
      </c>
      <c r="V160" s="25">
        <v>49</v>
      </c>
      <c r="W160" s="25">
        <v>3</v>
      </c>
      <c r="X160" s="26">
        <v>660697.09</v>
      </c>
      <c r="Y160" s="26">
        <v>2221814.13</v>
      </c>
      <c r="Z160" s="25">
        <v>6</v>
      </c>
      <c r="AA160" s="25">
        <v>35</v>
      </c>
      <c r="AB160" s="25">
        <v>41</v>
      </c>
      <c r="AC160" s="25">
        <v>0</v>
      </c>
      <c r="AD160" s="25">
        <v>182</v>
      </c>
      <c r="AE160" s="25">
        <v>354</v>
      </c>
      <c r="AF160" s="25">
        <v>60</v>
      </c>
      <c r="AG160" s="25">
        <v>6</v>
      </c>
      <c r="AH160" s="25">
        <v>81</v>
      </c>
      <c r="AI160" s="25">
        <v>1</v>
      </c>
      <c r="AJ160" s="25">
        <v>12</v>
      </c>
      <c r="AK160" s="25">
        <v>55</v>
      </c>
      <c r="AL160" s="25">
        <v>227</v>
      </c>
      <c r="AM160" s="25">
        <v>216</v>
      </c>
      <c r="AN160" s="25">
        <v>890</v>
      </c>
      <c r="AO160" s="25">
        <v>154</v>
      </c>
      <c r="AP160" s="23">
        <v>18717.605324675325</v>
      </c>
      <c r="AQ160" s="26">
        <v>1.4025974025974026</v>
      </c>
      <c r="AR160" s="23">
        <v>188730</v>
      </c>
      <c r="AS160" s="23">
        <v>34922</v>
      </c>
      <c r="AT160" s="24">
        <v>7.7589290354956528E-2</v>
      </c>
      <c r="AU160" s="23">
        <v>70305.151707317083</v>
      </c>
      <c r="AV160" s="27">
        <v>115</v>
      </c>
      <c r="AW160" s="27">
        <v>1443</v>
      </c>
      <c r="AX160" s="81">
        <v>12383.51</v>
      </c>
      <c r="AY160" s="83">
        <v>269</v>
      </c>
      <c r="AZ160" s="83">
        <v>41</v>
      </c>
      <c r="BA160" s="83">
        <v>6</v>
      </c>
      <c r="BB160" s="83">
        <v>2</v>
      </c>
      <c r="BC160" s="99"/>
      <c r="BD160" s="99"/>
      <c r="BE160" s="3">
        <v>4.9999999813735485E-2</v>
      </c>
    </row>
    <row r="161" spans="1:57" ht="15.6">
      <c r="A161" s="2" t="s">
        <v>201</v>
      </c>
      <c r="B161" s="19" t="s">
        <v>469</v>
      </c>
      <c r="C161" s="20" t="s">
        <v>277</v>
      </c>
      <c r="D161" s="21" t="s">
        <v>491</v>
      </c>
      <c r="E161" s="44">
        <v>45658</v>
      </c>
      <c r="F161" s="21" t="s">
        <v>470</v>
      </c>
      <c r="G161" s="23">
        <v>336189</v>
      </c>
      <c r="H161" s="28">
        <v>36188</v>
      </c>
      <c r="I161" s="28">
        <v>1166667</v>
      </c>
      <c r="J161" s="23">
        <v>0</v>
      </c>
      <c r="K161" s="23">
        <v>7000002</v>
      </c>
      <c r="L161" s="23">
        <v>2638492.9900000002</v>
      </c>
      <c r="M161" s="23">
        <v>0</v>
      </c>
      <c r="N161" s="23">
        <v>1903920</v>
      </c>
      <c r="O161" s="24">
        <v>0.37692746230643936</v>
      </c>
      <c r="P161" s="24">
        <v>0</v>
      </c>
      <c r="Q161" s="24">
        <v>0.27198849371757322</v>
      </c>
      <c r="R161" s="25">
        <v>24</v>
      </c>
      <c r="S161" s="25">
        <v>48</v>
      </c>
      <c r="T161" s="25">
        <v>26</v>
      </c>
      <c r="U161" s="25">
        <v>26</v>
      </c>
      <c r="V161" s="25">
        <v>50</v>
      </c>
      <c r="W161" s="25">
        <v>2</v>
      </c>
      <c r="X161" s="26">
        <v>1003501.29</v>
      </c>
      <c r="Y161" s="26">
        <v>1634991.7</v>
      </c>
      <c r="Z161" s="25">
        <v>11</v>
      </c>
      <c r="AA161" s="25">
        <v>26</v>
      </c>
      <c r="AB161" s="25">
        <v>37</v>
      </c>
      <c r="AC161" s="25">
        <v>0</v>
      </c>
      <c r="AD161" s="25">
        <v>194</v>
      </c>
      <c r="AE161" s="25">
        <v>351</v>
      </c>
      <c r="AF161" s="25">
        <v>81</v>
      </c>
      <c r="AG161" s="25">
        <v>1</v>
      </c>
      <c r="AH161" s="25">
        <v>9</v>
      </c>
      <c r="AI161" s="25">
        <v>0</v>
      </c>
      <c r="AJ161" s="25">
        <v>0</v>
      </c>
      <c r="AK161" s="25">
        <v>0</v>
      </c>
      <c r="AL161" s="25">
        <v>0</v>
      </c>
      <c r="AM161" s="25">
        <v>453</v>
      </c>
      <c r="AN161" s="25">
        <v>813</v>
      </c>
      <c r="AO161" s="25">
        <v>144</v>
      </c>
      <c r="AP161" s="23">
        <v>18322.867986111112</v>
      </c>
      <c r="AQ161" s="26">
        <v>3.1458333333333335</v>
      </c>
      <c r="AR161" s="23">
        <v>217128</v>
      </c>
      <c r="AS161" s="23">
        <v>21685</v>
      </c>
      <c r="AT161" s="24">
        <v>9.051113681374609E-2</v>
      </c>
      <c r="AU161" s="23">
        <v>71310.62135135135</v>
      </c>
      <c r="AV161" s="27">
        <v>111</v>
      </c>
      <c r="AW161" s="27">
        <v>1189</v>
      </c>
      <c r="AX161" s="81">
        <v>7059.7</v>
      </c>
      <c r="AY161" s="83">
        <v>147</v>
      </c>
      <c r="AZ161" s="83">
        <v>37</v>
      </c>
      <c r="BA161" s="83">
        <v>11</v>
      </c>
      <c r="BB161" s="83">
        <v>2</v>
      </c>
      <c r="BC161" s="99"/>
      <c r="BD161" s="99"/>
      <c r="BE161" s="3">
        <v>-3.0000000260770321E-2</v>
      </c>
    </row>
    <row r="162" spans="1:57" ht="15.6">
      <c r="A162" s="2" t="s">
        <v>118</v>
      </c>
      <c r="B162" s="19" t="s">
        <v>436</v>
      </c>
      <c r="C162" s="20" t="s">
        <v>278</v>
      </c>
      <c r="D162" s="21" t="s">
        <v>632</v>
      </c>
      <c r="E162" s="44">
        <v>45660</v>
      </c>
      <c r="F162" s="21" t="s">
        <v>499</v>
      </c>
      <c r="G162" s="23">
        <v>1730514</v>
      </c>
      <c r="H162" s="28">
        <v>33885</v>
      </c>
      <c r="I162" s="28"/>
      <c r="J162" s="23">
        <v>0</v>
      </c>
      <c r="K162" s="23">
        <v>0</v>
      </c>
      <c r="L162" s="23">
        <v>818223.7</v>
      </c>
      <c r="M162" s="23">
        <v>0</v>
      </c>
      <c r="N162" s="23">
        <v>1187403</v>
      </c>
      <c r="O162" s="24"/>
      <c r="P162" s="24">
        <v>0</v>
      </c>
      <c r="Q162" s="24"/>
      <c r="R162" s="25">
        <v>67</v>
      </c>
      <c r="S162" s="25">
        <v>59</v>
      </c>
      <c r="T162" s="25">
        <v>7</v>
      </c>
      <c r="U162" s="25">
        <v>6</v>
      </c>
      <c r="V162" s="25">
        <v>74</v>
      </c>
      <c r="W162" s="25">
        <v>15</v>
      </c>
      <c r="X162" s="26">
        <v>737012.5</v>
      </c>
      <c r="Y162" s="26">
        <v>81211.199999999997</v>
      </c>
      <c r="Z162" s="25">
        <v>34</v>
      </c>
      <c r="AA162" s="25">
        <v>6</v>
      </c>
      <c r="AB162" s="25">
        <v>40</v>
      </c>
      <c r="AC162" s="25">
        <v>0</v>
      </c>
      <c r="AD162" s="25">
        <v>58</v>
      </c>
      <c r="AE162" s="25">
        <v>92</v>
      </c>
      <c r="AF162" s="25">
        <v>36</v>
      </c>
      <c r="AG162" s="25">
        <v>1</v>
      </c>
      <c r="AH162" s="25">
        <v>21</v>
      </c>
      <c r="AI162" s="25">
        <v>0</v>
      </c>
      <c r="AJ162" s="25">
        <v>0</v>
      </c>
      <c r="AK162" s="25">
        <v>0</v>
      </c>
      <c r="AL162" s="25">
        <v>0</v>
      </c>
      <c r="AM162" s="25">
        <v>258</v>
      </c>
      <c r="AN162" s="25">
        <v>371</v>
      </c>
      <c r="AO162" s="25">
        <v>50</v>
      </c>
      <c r="AP162" s="23">
        <v>16364.473999999998</v>
      </c>
      <c r="AQ162" s="26">
        <v>5.16</v>
      </c>
      <c r="AR162" s="23">
        <v>80307.45</v>
      </c>
      <c r="AS162" s="23">
        <v>17378</v>
      </c>
      <c r="AT162" s="24">
        <v>0.1193872164788187</v>
      </c>
      <c r="AU162" s="23">
        <v>20455.592499999999</v>
      </c>
      <c r="AV162" s="27">
        <v>94</v>
      </c>
      <c r="AW162" s="27">
        <v>392</v>
      </c>
      <c r="AX162" s="81">
        <v>2496.35</v>
      </c>
      <c r="AY162" s="83">
        <v>42</v>
      </c>
      <c r="AZ162" s="83">
        <v>40</v>
      </c>
      <c r="BA162" s="83">
        <v>21</v>
      </c>
      <c r="BB162" s="83">
        <v>13</v>
      </c>
      <c r="BC162" s="99">
        <v>45819</v>
      </c>
      <c r="BD162" s="99"/>
      <c r="BE162" s="3">
        <v>0</v>
      </c>
    </row>
    <row r="163" spans="1:57" ht="15.6">
      <c r="A163" s="2" t="s">
        <v>177</v>
      </c>
      <c r="B163" s="19" t="s">
        <v>458</v>
      </c>
      <c r="C163" s="20" t="s">
        <v>279</v>
      </c>
      <c r="D163" s="21" t="s">
        <v>633</v>
      </c>
      <c r="E163" s="44">
        <v>45663</v>
      </c>
      <c r="F163" s="21" t="s">
        <v>581</v>
      </c>
      <c r="G163" s="23"/>
      <c r="H163" s="28">
        <v>66667</v>
      </c>
      <c r="I163" s="28"/>
      <c r="J163" s="23">
        <v>0</v>
      </c>
      <c r="K163" s="23">
        <v>0</v>
      </c>
      <c r="L163" s="23">
        <v>0</v>
      </c>
      <c r="M163" s="23">
        <v>0</v>
      </c>
      <c r="N163" s="23"/>
      <c r="O163" s="24"/>
      <c r="P163" s="24">
        <v>0</v>
      </c>
      <c r="Q163" s="24"/>
      <c r="R163" s="25">
        <v>18</v>
      </c>
      <c r="S163" s="25">
        <v>31</v>
      </c>
      <c r="T163" s="25">
        <v>18</v>
      </c>
      <c r="U163" s="25">
        <v>0</v>
      </c>
      <c r="V163" s="25">
        <v>36</v>
      </c>
      <c r="W163" s="25">
        <v>5</v>
      </c>
      <c r="X163" s="26">
        <v>0</v>
      </c>
      <c r="Y163" s="26">
        <v>0</v>
      </c>
      <c r="Z163" s="25">
        <v>0</v>
      </c>
      <c r="AA163" s="25">
        <v>0</v>
      </c>
      <c r="AB163" s="25">
        <v>0</v>
      </c>
      <c r="AC163" s="25">
        <v>0</v>
      </c>
      <c r="AD163" s="25">
        <v>90</v>
      </c>
      <c r="AE163" s="25">
        <v>174</v>
      </c>
      <c r="AF163" s="25">
        <v>23</v>
      </c>
      <c r="AG163" s="25">
        <v>4</v>
      </c>
      <c r="AH163" s="25">
        <v>73</v>
      </c>
      <c r="AI163" s="25">
        <v>0</v>
      </c>
      <c r="AJ163" s="25">
        <v>0</v>
      </c>
      <c r="AK163" s="25">
        <v>68</v>
      </c>
      <c r="AL163" s="25">
        <v>333</v>
      </c>
      <c r="AM163" s="25">
        <v>104</v>
      </c>
      <c r="AN163" s="25">
        <v>684</v>
      </c>
      <c r="AO163" s="25">
        <v>147</v>
      </c>
      <c r="AP163" s="23">
        <v>0</v>
      </c>
      <c r="AQ163" s="26">
        <v>0.70748299319727892</v>
      </c>
      <c r="AR163" s="23">
        <v>400002</v>
      </c>
      <c r="AS163" s="23">
        <v>128847</v>
      </c>
      <c r="AT163" s="24"/>
      <c r="AU163" s="23"/>
      <c r="AV163" s="27">
        <v>0</v>
      </c>
      <c r="AW163" s="27">
        <v>1565</v>
      </c>
      <c r="AX163" s="81">
        <v>10562.87</v>
      </c>
      <c r="AY163" s="83">
        <v>341</v>
      </c>
      <c r="AZ163" s="83">
        <v>0</v>
      </c>
      <c r="BA163" s="83">
        <v>31</v>
      </c>
      <c r="BB163" s="83">
        <v>5</v>
      </c>
      <c r="BC163" s="99"/>
      <c r="BD163" s="99"/>
      <c r="BE163" s="3" t="e">
        <v>#N/A</v>
      </c>
    </row>
    <row r="164" spans="1:57" ht="15.6">
      <c r="A164" s="2" t="s">
        <v>177</v>
      </c>
      <c r="B164" s="19" t="s">
        <v>458</v>
      </c>
      <c r="C164" s="20" t="s">
        <v>280</v>
      </c>
      <c r="D164" s="21" t="s">
        <v>634</v>
      </c>
      <c r="E164" s="44">
        <v>45663</v>
      </c>
      <c r="F164" s="21" t="s">
        <v>581</v>
      </c>
      <c r="G164" s="23"/>
      <c r="H164" s="28">
        <v>62500</v>
      </c>
      <c r="I164" s="28"/>
      <c r="J164" s="23">
        <v>0</v>
      </c>
      <c r="K164" s="23">
        <v>0</v>
      </c>
      <c r="L164" s="23">
        <v>286897.21999999997</v>
      </c>
      <c r="M164" s="23">
        <v>0</v>
      </c>
      <c r="N164" s="23"/>
      <c r="O164" s="24"/>
      <c r="P164" s="24">
        <v>0</v>
      </c>
      <c r="Q164" s="24"/>
      <c r="R164" s="25">
        <v>6</v>
      </c>
      <c r="S164" s="25">
        <v>5</v>
      </c>
      <c r="T164" s="25">
        <v>2</v>
      </c>
      <c r="U164" s="25">
        <v>2</v>
      </c>
      <c r="V164" s="25">
        <v>8</v>
      </c>
      <c r="W164" s="25">
        <v>3</v>
      </c>
      <c r="X164" s="26">
        <v>0.01</v>
      </c>
      <c r="Y164" s="26">
        <v>286897.21000000002</v>
      </c>
      <c r="Z164" s="25">
        <v>0</v>
      </c>
      <c r="AA164" s="25">
        <v>2</v>
      </c>
      <c r="AB164" s="25">
        <v>2</v>
      </c>
      <c r="AC164" s="25">
        <v>0</v>
      </c>
      <c r="AD164" s="25">
        <v>64</v>
      </c>
      <c r="AE164" s="25">
        <v>118</v>
      </c>
      <c r="AF164" s="25">
        <v>47</v>
      </c>
      <c r="AG164" s="25">
        <v>3</v>
      </c>
      <c r="AH164" s="25">
        <v>67</v>
      </c>
      <c r="AI164" s="25">
        <v>0</v>
      </c>
      <c r="AJ164" s="25">
        <v>0</v>
      </c>
      <c r="AK164" s="25">
        <v>47</v>
      </c>
      <c r="AL164" s="25">
        <v>293</v>
      </c>
      <c r="AM164" s="25">
        <v>28</v>
      </c>
      <c r="AN164" s="25">
        <v>506</v>
      </c>
      <c r="AO164" s="25">
        <v>145</v>
      </c>
      <c r="AP164" s="23">
        <v>1978.601517241379</v>
      </c>
      <c r="AQ164" s="26">
        <v>0.19310344827586207</v>
      </c>
      <c r="AR164" s="23">
        <v>375000</v>
      </c>
      <c r="AS164" s="23">
        <v>84320</v>
      </c>
      <c r="AT164" s="24">
        <v>1.6009914630751738</v>
      </c>
      <c r="AU164" s="23">
        <v>143448.60999999999</v>
      </c>
      <c r="AV164" s="27">
        <v>6</v>
      </c>
      <c r="AW164" s="27">
        <v>1480</v>
      </c>
      <c r="AX164" s="81">
        <v>7161.72</v>
      </c>
      <c r="AY164" s="83">
        <v>1432</v>
      </c>
      <c r="AZ164" s="83">
        <v>2</v>
      </c>
      <c r="BA164" s="83">
        <v>3</v>
      </c>
      <c r="BB164" s="83">
        <v>3</v>
      </c>
      <c r="BC164" s="99"/>
      <c r="BD164" s="99"/>
      <c r="BE164" s="3" t="e">
        <v>#N/A</v>
      </c>
    </row>
    <row r="165" spans="1:57" ht="15.6">
      <c r="A165" s="2" t="s">
        <v>118</v>
      </c>
      <c r="B165" s="19" t="s">
        <v>362</v>
      </c>
      <c r="C165" s="20" t="s">
        <v>281</v>
      </c>
      <c r="D165" s="21" t="s">
        <v>635</v>
      </c>
      <c r="E165" s="44">
        <v>45670</v>
      </c>
      <c r="F165" s="21" t="s">
        <v>419</v>
      </c>
      <c r="G165" s="23">
        <v>1327099.74</v>
      </c>
      <c r="H165" s="28">
        <v>29375</v>
      </c>
      <c r="I165" s="28">
        <v>1500000</v>
      </c>
      <c r="J165" s="23">
        <v>0</v>
      </c>
      <c r="K165" s="23">
        <v>9000000</v>
      </c>
      <c r="L165" s="23">
        <v>6251242.4699999997</v>
      </c>
      <c r="M165" s="23">
        <v>0</v>
      </c>
      <c r="N165" s="23">
        <v>6251243.2200000007</v>
      </c>
      <c r="O165" s="24">
        <v>0.6945824966666666</v>
      </c>
      <c r="P165" s="24">
        <v>0</v>
      </c>
      <c r="Q165" s="24">
        <v>0.69458258000000006</v>
      </c>
      <c r="R165" s="25">
        <v>11</v>
      </c>
      <c r="S165" s="25">
        <v>38</v>
      </c>
      <c r="T165" s="25">
        <v>27</v>
      </c>
      <c r="U165" s="25">
        <v>26</v>
      </c>
      <c r="V165" s="25">
        <v>38</v>
      </c>
      <c r="W165" s="25">
        <v>0</v>
      </c>
      <c r="X165" s="26">
        <v>1159166.07</v>
      </c>
      <c r="Y165" s="26">
        <v>5092076.4000000004</v>
      </c>
      <c r="Z165" s="25">
        <v>8</v>
      </c>
      <c r="AA165" s="25">
        <v>26</v>
      </c>
      <c r="AB165" s="25">
        <v>34</v>
      </c>
      <c r="AC165" s="25">
        <v>0</v>
      </c>
      <c r="AD165" s="25">
        <v>71</v>
      </c>
      <c r="AE165" s="25">
        <v>107</v>
      </c>
      <c r="AF165" s="25">
        <v>75</v>
      </c>
      <c r="AG165" s="25">
        <v>1</v>
      </c>
      <c r="AH165" s="25">
        <v>55</v>
      </c>
      <c r="AI165" s="25">
        <v>0</v>
      </c>
      <c r="AJ165" s="25">
        <v>0</v>
      </c>
      <c r="AK165" s="25">
        <v>0</v>
      </c>
      <c r="AL165" s="25">
        <v>0</v>
      </c>
      <c r="AM165" s="25">
        <v>264</v>
      </c>
      <c r="AN165" s="25">
        <v>426</v>
      </c>
      <c r="AO165" s="25">
        <v>134</v>
      </c>
      <c r="AP165" s="23">
        <v>46651.063208955224</v>
      </c>
      <c r="AQ165" s="26">
        <v>1.9701492537313432</v>
      </c>
      <c r="AR165" s="23">
        <v>176250</v>
      </c>
      <c r="AS165" s="23">
        <v>21528</v>
      </c>
      <c r="AT165" s="24">
        <v>3.1638190479595971E-2</v>
      </c>
      <c r="AU165" s="23">
        <v>183860.07264705881</v>
      </c>
      <c r="AV165" s="27">
        <v>88</v>
      </c>
      <c r="AW165" s="27">
        <v>1506</v>
      </c>
      <c r="AX165" s="81">
        <v>3766.51</v>
      </c>
      <c r="AY165" s="83">
        <v>99</v>
      </c>
      <c r="AZ165" s="83">
        <v>34</v>
      </c>
      <c r="BA165" s="83">
        <v>4</v>
      </c>
      <c r="BB165" s="83">
        <v>0</v>
      </c>
      <c r="BC165" s="99"/>
      <c r="BD165" s="99"/>
      <c r="BE165" s="3">
        <v>0.62000000011175871</v>
      </c>
    </row>
    <row r="166" spans="1:57" ht="15.6">
      <c r="A166" s="2" t="s">
        <v>108</v>
      </c>
      <c r="B166" s="19" t="s">
        <v>465</v>
      </c>
      <c r="C166" s="20" t="s">
        <v>282</v>
      </c>
      <c r="D166" s="21" t="s">
        <v>475</v>
      </c>
      <c r="E166" s="44">
        <v>45694</v>
      </c>
      <c r="F166" s="21" t="s">
        <v>506</v>
      </c>
      <c r="G166" s="23">
        <v>0</v>
      </c>
      <c r="H166" s="28">
        <v>23000</v>
      </c>
      <c r="I166" s="28">
        <v>1333333.3330000001</v>
      </c>
      <c r="J166" s="23">
        <v>0</v>
      </c>
      <c r="K166" s="23">
        <v>5952000</v>
      </c>
      <c r="L166" s="23">
        <v>3321347.12</v>
      </c>
      <c r="M166" s="23">
        <v>0</v>
      </c>
      <c r="N166" s="23">
        <v>2843665.6799999997</v>
      </c>
      <c r="O166" s="24">
        <v>0.55802202956989244</v>
      </c>
      <c r="P166" s="24">
        <v>0</v>
      </c>
      <c r="Q166" s="24">
        <v>0.47776641129032255</v>
      </c>
      <c r="R166" s="25">
        <v>61</v>
      </c>
      <c r="S166" s="25">
        <v>68</v>
      </c>
      <c r="T166" s="25">
        <v>12</v>
      </c>
      <c r="U166" s="25">
        <v>12</v>
      </c>
      <c r="V166" s="25">
        <v>73</v>
      </c>
      <c r="W166" s="25">
        <v>5</v>
      </c>
      <c r="X166" s="26">
        <v>2869328.12</v>
      </c>
      <c r="Y166" s="26">
        <v>452019</v>
      </c>
      <c r="Z166" s="25">
        <v>38</v>
      </c>
      <c r="AA166" s="25">
        <v>12</v>
      </c>
      <c r="AB166" s="25">
        <v>50</v>
      </c>
      <c r="AC166" s="25">
        <v>0</v>
      </c>
      <c r="AD166" s="25">
        <v>13</v>
      </c>
      <c r="AE166" s="25">
        <v>41</v>
      </c>
      <c r="AF166" s="25">
        <v>6</v>
      </c>
      <c r="AG166" s="25">
        <v>1</v>
      </c>
      <c r="AH166" s="25">
        <v>54</v>
      </c>
      <c r="AI166" s="25">
        <v>0</v>
      </c>
      <c r="AJ166" s="25">
        <v>0</v>
      </c>
      <c r="AK166" s="25">
        <v>0</v>
      </c>
      <c r="AL166" s="25">
        <v>0</v>
      </c>
      <c r="AM166" s="25">
        <v>608</v>
      </c>
      <c r="AN166" s="25">
        <v>703</v>
      </c>
      <c r="AO166" s="25">
        <v>107</v>
      </c>
      <c r="AP166" s="23">
        <v>31040.627289719629</v>
      </c>
      <c r="AQ166" s="26">
        <v>5.6822429906542054</v>
      </c>
      <c r="AR166" s="23">
        <v>115000</v>
      </c>
      <c r="AS166" s="23">
        <v>30890</v>
      </c>
      <c r="AT166" s="24">
        <v>4.3924948139717479E-2</v>
      </c>
      <c r="AU166" s="23">
        <v>66426.9424</v>
      </c>
      <c r="AV166" s="27">
        <v>245</v>
      </c>
      <c r="AW166" s="27">
        <v>1023</v>
      </c>
      <c r="AX166" s="81">
        <v>15593.7</v>
      </c>
      <c r="AY166" s="83">
        <v>229</v>
      </c>
      <c r="AZ166" s="83">
        <v>50</v>
      </c>
      <c r="BA166" s="83">
        <v>18</v>
      </c>
      <c r="BB166" s="83">
        <v>5</v>
      </c>
      <c r="BC166" s="99">
        <v>45899</v>
      </c>
      <c r="BD166" s="99"/>
      <c r="BE166" s="3">
        <v>5.9999998658895493E-2</v>
      </c>
    </row>
    <row r="167" spans="1:57" ht="15.6">
      <c r="A167" s="2" t="s">
        <v>108</v>
      </c>
      <c r="B167" s="19" t="s">
        <v>465</v>
      </c>
      <c r="C167" s="20" t="s">
        <v>283</v>
      </c>
      <c r="D167" s="21" t="s">
        <v>475</v>
      </c>
      <c r="E167" s="44">
        <v>45719</v>
      </c>
      <c r="F167" s="21" t="s">
        <v>506</v>
      </c>
      <c r="G167" s="23">
        <v>0</v>
      </c>
      <c r="H167" s="28">
        <v>23000</v>
      </c>
      <c r="I167" s="28">
        <v>1333333.3330000001</v>
      </c>
      <c r="J167" s="23">
        <v>0</v>
      </c>
      <c r="K167" s="23">
        <v>7360000</v>
      </c>
      <c r="L167" s="23">
        <v>6621315.4000000004</v>
      </c>
      <c r="M167" s="23">
        <v>0</v>
      </c>
      <c r="N167" s="23">
        <v>6122052.0300000003</v>
      </c>
      <c r="O167" s="24">
        <v>0.89963524456521748</v>
      </c>
      <c r="P167" s="24">
        <v>0</v>
      </c>
      <c r="Q167" s="24">
        <v>0.83180054755434785</v>
      </c>
      <c r="R167" s="25">
        <v>92</v>
      </c>
      <c r="S167" s="25">
        <v>62</v>
      </c>
      <c r="T167" s="25">
        <v>19</v>
      </c>
      <c r="U167" s="25">
        <v>17</v>
      </c>
      <c r="V167" s="25">
        <v>111</v>
      </c>
      <c r="W167" s="25">
        <v>49</v>
      </c>
      <c r="X167" s="26">
        <v>5642763.4100000001</v>
      </c>
      <c r="Y167" s="26">
        <v>978551.99</v>
      </c>
      <c r="Z167" s="25">
        <v>33</v>
      </c>
      <c r="AA167" s="25">
        <v>17</v>
      </c>
      <c r="AB167" s="25">
        <v>50</v>
      </c>
      <c r="AC167" s="25">
        <v>0</v>
      </c>
      <c r="AD167" s="25">
        <v>4</v>
      </c>
      <c r="AE167" s="25">
        <v>12</v>
      </c>
      <c r="AF167" s="25">
        <v>1</v>
      </c>
      <c r="AG167" s="25">
        <v>1</v>
      </c>
      <c r="AH167" s="25">
        <v>15</v>
      </c>
      <c r="AI167" s="25">
        <v>0</v>
      </c>
      <c r="AJ167" s="25">
        <v>0</v>
      </c>
      <c r="AK167" s="25">
        <v>0</v>
      </c>
      <c r="AL167" s="25">
        <v>0</v>
      </c>
      <c r="AM167" s="25">
        <v>824</v>
      </c>
      <c r="AN167" s="25">
        <v>851</v>
      </c>
      <c r="AO167" s="25">
        <v>144</v>
      </c>
      <c r="AP167" s="23">
        <v>45981.356944444444</v>
      </c>
      <c r="AQ167" s="26">
        <v>5.7222222222222223</v>
      </c>
      <c r="AR167" s="23">
        <v>138000</v>
      </c>
      <c r="AS167" s="23">
        <v>37432</v>
      </c>
      <c r="AT167" s="24">
        <v>2.6495037526833413E-2</v>
      </c>
      <c r="AU167" s="23">
        <v>132426.30800000002</v>
      </c>
      <c r="AV167" s="27">
        <v>221</v>
      </c>
      <c r="AW167" s="27">
        <v>1390</v>
      </c>
      <c r="AX167" s="81">
        <v>8747.9599999999991</v>
      </c>
      <c r="AY167" s="83">
        <v>141</v>
      </c>
      <c r="AZ167" s="83">
        <v>50</v>
      </c>
      <c r="BA167" s="83">
        <v>14</v>
      </c>
      <c r="BB167" s="83">
        <v>47</v>
      </c>
      <c r="BC167" s="99"/>
      <c r="BD167" s="99"/>
      <c r="BE167" s="3">
        <v>0.58999999985098839</v>
      </c>
    </row>
    <row r="168" spans="1:57" ht="15.6">
      <c r="A168" s="2" t="s">
        <v>120</v>
      </c>
      <c r="B168" s="19" t="s">
        <v>206</v>
      </c>
      <c r="C168" s="20" t="s">
        <v>284</v>
      </c>
      <c r="D168" s="21" t="s">
        <v>358</v>
      </c>
      <c r="E168" s="44">
        <v>45722</v>
      </c>
      <c r="F168" s="21" t="s">
        <v>206</v>
      </c>
      <c r="G168" s="23">
        <v>327344</v>
      </c>
      <c r="H168" s="28">
        <v>27260</v>
      </c>
      <c r="I168" s="28">
        <v>1200000</v>
      </c>
      <c r="J168" s="23">
        <v>0</v>
      </c>
      <c r="K168" s="23">
        <v>7200000</v>
      </c>
      <c r="L168" s="23">
        <v>3650715.9</v>
      </c>
      <c r="M168" s="23">
        <v>0</v>
      </c>
      <c r="N168" s="23">
        <v>3648199</v>
      </c>
      <c r="O168" s="24">
        <v>0.50704387500000003</v>
      </c>
      <c r="P168" s="24">
        <v>0</v>
      </c>
      <c r="Q168" s="24">
        <v>0.5066943055555555</v>
      </c>
      <c r="R168" s="25">
        <v>63</v>
      </c>
      <c r="S168" s="25">
        <v>77</v>
      </c>
      <c r="T168" s="25">
        <v>18</v>
      </c>
      <c r="U168" s="25">
        <v>18</v>
      </c>
      <c r="V168" s="25">
        <v>81</v>
      </c>
      <c r="W168" s="25">
        <v>4</v>
      </c>
      <c r="X168" s="26">
        <v>2892842.59</v>
      </c>
      <c r="Y168" s="26">
        <v>757873.31</v>
      </c>
      <c r="Z168" s="25">
        <v>31</v>
      </c>
      <c r="AA168" s="25">
        <v>18</v>
      </c>
      <c r="AB168" s="25">
        <v>49</v>
      </c>
      <c r="AC168" s="25">
        <v>0</v>
      </c>
      <c r="AD168" s="25">
        <v>275</v>
      </c>
      <c r="AE168" s="25">
        <v>603</v>
      </c>
      <c r="AF168" s="25">
        <v>22</v>
      </c>
      <c r="AG168" s="25">
        <v>4</v>
      </c>
      <c r="AH168" s="25">
        <v>85</v>
      </c>
      <c r="AI168" s="25">
        <v>2</v>
      </c>
      <c r="AJ168" s="25">
        <v>2</v>
      </c>
      <c r="AK168" s="25">
        <v>5</v>
      </c>
      <c r="AL168" s="25">
        <v>5</v>
      </c>
      <c r="AM168" s="25">
        <v>567</v>
      </c>
      <c r="AN168" s="25">
        <v>1262</v>
      </c>
      <c r="AO168" s="25">
        <v>149</v>
      </c>
      <c r="AP168" s="23">
        <v>24501.448993288592</v>
      </c>
      <c r="AQ168" s="26">
        <v>3.8053691275167787</v>
      </c>
      <c r="AR168" s="23">
        <v>163560</v>
      </c>
      <c r="AS168" s="23">
        <v>38103</v>
      </c>
      <c r="AT168" s="24">
        <v>5.5239302515980498E-2</v>
      </c>
      <c r="AU168" s="23">
        <v>74504.406122448971</v>
      </c>
      <c r="AV168" s="27">
        <v>183</v>
      </c>
      <c r="AW168" s="27">
        <v>1479</v>
      </c>
      <c r="AX168" s="81">
        <v>11839.85</v>
      </c>
      <c r="AY168" s="83">
        <v>154</v>
      </c>
      <c r="AZ168" s="83">
        <v>49</v>
      </c>
      <c r="BA168" s="83">
        <v>28</v>
      </c>
      <c r="BB168" s="83">
        <v>4</v>
      </c>
      <c r="BC168" s="99"/>
      <c r="BD168" s="99"/>
      <c r="BE168" s="3">
        <v>-0.12999999988824129</v>
      </c>
    </row>
    <row r="169" spans="1:57" ht="15.6">
      <c r="A169" s="2" t="s">
        <v>154</v>
      </c>
      <c r="B169" s="19" t="s">
        <v>367</v>
      </c>
      <c r="C169" s="20" t="s">
        <v>287</v>
      </c>
      <c r="D169" s="21" t="s">
        <v>371</v>
      </c>
      <c r="E169" s="44">
        <v>45733</v>
      </c>
      <c r="F169" s="21" t="s">
        <v>577</v>
      </c>
      <c r="G169" s="23"/>
      <c r="H169" s="28">
        <v>33550</v>
      </c>
      <c r="I169" s="28">
        <v>1500000</v>
      </c>
      <c r="J169" s="23">
        <v>0</v>
      </c>
      <c r="K169" s="23">
        <v>8500000</v>
      </c>
      <c r="L169" s="23">
        <v>5130317.71</v>
      </c>
      <c r="M169" s="23">
        <v>0</v>
      </c>
      <c r="N169" s="23">
        <v>2221873</v>
      </c>
      <c r="O169" s="24">
        <v>0.60356678941176467</v>
      </c>
      <c r="P169" s="24">
        <v>0</v>
      </c>
      <c r="Q169" s="24">
        <v>0.26139682352941174</v>
      </c>
      <c r="R169" s="25">
        <v>47</v>
      </c>
      <c r="S169" s="25">
        <v>79</v>
      </c>
      <c r="T169" s="25">
        <v>32</v>
      </c>
      <c r="U169" s="25">
        <v>32</v>
      </c>
      <c r="V169" s="25">
        <v>79</v>
      </c>
      <c r="W169" s="25">
        <v>0</v>
      </c>
      <c r="X169" s="26">
        <v>1870723.53</v>
      </c>
      <c r="Y169" s="26">
        <v>3259594.18</v>
      </c>
      <c r="Z169" s="25">
        <v>20</v>
      </c>
      <c r="AA169" s="25">
        <v>32</v>
      </c>
      <c r="AB169" s="25">
        <v>52</v>
      </c>
      <c r="AC169" s="25">
        <v>0</v>
      </c>
      <c r="AD169" s="25">
        <v>180</v>
      </c>
      <c r="AE169" s="25">
        <v>446</v>
      </c>
      <c r="AF169" s="25">
        <v>2</v>
      </c>
      <c r="AG169" s="25">
        <v>4</v>
      </c>
      <c r="AH169" s="25">
        <v>63</v>
      </c>
      <c r="AI169" s="25">
        <v>1</v>
      </c>
      <c r="AJ169" s="25">
        <v>1</v>
      </c>
      <c r="AK169" s="25">
        <v>8</v>
      </c>
      <c r="AL169" s="25">
        <v>41</v>
      </c>
      <c r="AM169" s="25">
        <v>537</v>
      </c>
      <c r="AN169" s="25">
        <v>1088</v>
      </c>
      <c r="AO169" s="25">
        <v>148</v>
      </c>
      <c r="AP169" s="23">
        <v>34664.30885135135</v>
      </c>
      <c r="AQ169" s="26">
        <v>3.6283783783783785</v>
      </c>
      <c r="AR169" s="23">
        <v>201300</v>
      </c>
      <c r="AS169" s="23">
        <v>59191</v>
      </c>
      <c r="AT169" s="24">
        <v>5.0774828134376886E-2</v>
      </c>
      <c r="AU169" s="23">
        <v>98659.955961538464</v>
      </c>
      <c r="AV169" s="27">
        <v>150</v>
      </c>
      <c r="AW169" s="27">
        <v>1436</v>
      </c>
      <c r="AX169" s="81">
        <v>15538.98</v>
      </c>
      <c r="AY169" s="83">
        <v>197</v>
      </c>
      <c r="AZ169" s="83">
        <v>52</v>
      </c>
      <c r="BA169" s="83">
        <v>27</v>
      </c>
      <c r="BB169" s="83">
        <v>0</v>
      </c>
      <c r="BC169" s="99"/>
      <c r="BD169" s="99"/>
      <c r="BE169" s="3">
        <v>-0.15999999921768904</v>
      </c>
    </row>
    <row r="170" spans="1:57" ht="15.6">
      <c r="A170" s="2" t="s">
        <v>154</v>
      </c>
      <c r="B170" s="19" t="s">
        <v>367</v>
      </c>
      <c r="C170" s="20" t="s">
        <v>172</v>
      </c>
      <c r="D170" s="21" t="s">
        <v>636</v>
      </c>
      <c r="E170" s="44">
        <v>45735</v>
      </c>
      <c r="F170" s="21" t="s">
        <v>577</v>
      </c>
      <c r="G170" s="23"/>
      <c r="H170" s="28">
        <v>25165</v>
      </c>
      <c r="I170" s="28">
        <v>700000</v>
      </c>
      <c r="J170" s="23">
        <v>0</v>
      </c>
      <c r="K170" s="23">
        <v>2800000</v>
      </c>
      <c r="L170" s="23">
        <v>19908</v>
      </c>
      <c r="M170" s="23">
        <v>0</v>
      </c>
      <c r="N170" s="23">
        <v>0</v>
      </c>
      <c r="O170" s="24">
        <v>7.11E-3</v>
      </c>
      <c r="P170" s="24">
        <v>0</v>
      </c>
      <c r="Q170" s="24">
        <v>0</v>
      </c>
      <c r="R170" s="25">
        <v>32</v>
      </c>
      <c r="S170" s="25">
        <v>25</v>
      </c>
      <c r="T170" s="25">
        <v>0</v>
      </c>
      <c r="U170" s="25">
        <v>0</v>
      </c>
      <c r="V170" s="25">
        <v>32</v>
      </c>
      <c r="W170" s="25">
        <v>7</v>
      </c>
      <c r="X170" s="26">
        <v>19908</v>
      </c>
      <c r="Y170" s="26">
        <v>0</v>
      </c>
      <c r="Z170" s="25">
        <v>1</v>
      </c>
      <c r="AA170" s="25">
        <v>0</v>
      </c>
      <c r="AB170" s="25">
        <v>1</v>
      </c>
      <c r="AC170" s="25">
        <v>0</v>
      </c>
      <c r="AD170" s="25">
        <v>151</v>
      </c>
      <c r="AE170" s="25">
        <v>368</v>
      </c>
      <c r="AF170" s="25">
        <v>107</v>
      </c>
      <c r="AG170" s="25">
        <v>2</v>
      </c>
      <c r="AH170" s="25">
        <v>3</v>
      </c>
      <c r="AI170" s="25">
        <v>0</v>
      </c>
      <c r="AJ170" s="25">
        <v>0</v>
      </c>
      <c r="AK170" s="25">
        <v>4</v>
      </c>
      <c r="AL170" s="25">
        <v>7</v>
      </c>
      <c r="AM170" s="25">
        <v>99</v>
      </c>
      <c r="AN170" s="25">
        <v>477</v>
      </c>
      <c r="AO170" s="25">
        <v>83</v>
      </c>
      <c r="AP170" s="23">
        <v>239.85542168674698</v>
      </c>
      <c r="AQ170" s="26">
        <v>1.1927710843373494</v>
      </c>
      <c r="AR170" s="23">
        <v>88077.5</v>
      </c>
      <c r="AS170" s="23">
        <v>26514</v>
      </c>
      <c r="AT170" s="24">
        <v>5.7560528430781597</v>
      </c>
      <c r="AU170" s="23">
        <v>19908</v>
      </c>
      <c r="AV170" s="27">
        <v>1</v>
      </c>
      <c r="AW170" s="27">
        <v>679</v>
      </c>
      <c r="AX170" s="81">
        <v>4352</v>
      </c>
      <c r="AY170" s="83">
        <v>174</v>
      </c>
      <c r="AZ170" s="83">
        <v>1</v>
      </c>
      <c r="BA170" s="83">
        <v>24</v>
      </c>
      <c r="BB170" s="83">
        <v>7</v>
      </c>
      <c r="BC170" s="99">
        <v>45853</v>
      </c>
      <c r="BD170" s="99"/>
      <c r="BE170" s="3">
        <v>0</v>
      </c>
    </row>
    <row r="171" spans="1:57" ht="15.6">
      <c r="A171" s="2" t="s">
        <v>154</v>
      </c>
      <c r="B171" s="19" t="s">
        <v>367</v>
      </c>
      <c r="C171" s="20" t="s">
        <v>288</v>
      </c>
      <c r="D171" s="21" t="s">
        <v>637</v>
      </c>
      <c r="E171" s="44">
        <v>45735</v>
      </c>
      <c r="F171" s="21" t="s">
        <v>577</v>
      </c>
      <c r="G171" s="23"/>
      <c r="H171" s="28">
        <v>25165</v>
      </c>
      <c r="I171" s="28">
        <v>700000</v>
      </c>
      <c r="J171" s="23">
        <v>0</v>
      </c>
      <c r="K171" s="23">
        <v>4200000</v>
      </c>
      <c r="L171" s="23">
        <v>967341.44</v>
      </c>
      <c r="M171" s="23">
        <v>0</v>
      </c>
      <c r="N171" s="23">
        <v>0</v>
      </c>
      <c r="O171" s="24">
        <v>0.23031939047619046</v>
      </c>
      <c r="P171" s="24">
        <v>0</v>
      </c>
      <c r="Q171" s="24">
        <v>0</v>
      </c>
      <c r="R171" s="25">
        <v>48</v>
      </c>
      <c r="S171" s="25">
        <v>74</v>
      </c>
      <c r="T171" s="25">
        <v>27</v>
      </c>
      <c r="U171" s="25">
        <v>27</v>
      </c>
      <c r="V171" s="25">
        <v>75</v>
      </c>
      <c r="W171" s="25">
        <v>1</v>
      </c>
      <c r="X171" s="26">
        <v>149111.20000000001</v>
      </c>
      <c r="Y171" s="26">
        <v>818230.24</v>
      </c>
      <c r="Z171" s="25">
        <v>4</v>
      </c>
      <c r="AA171" s="25">
        <v>27</v>
      </c>
      <c r="AB171" s="25">
        <v>31</v>
      </c>
      <c r="AC171" s="25">
        <v>0</v>
      </c>
      <c r="AD171" s="25">
        <v>196</v>
      </c>
      <c r="AE171" s="25">
        <v>597</v>
      </c>
      <c r="AF171" s="25">
        <v>5</v>
      </c>
      <c r="AG171" s="25">
        <v>4</v>
      </c>
      <c r="AH171" s="25">
        <v>71</v>
      </c>
      <c r="AI171" s="25">
        <v>0</v>
      </c>
      <c r="AJ171" s="25">
        <v>0</v>
      </c>
      <c r="AK171" s="25">
        <v>11</v>
      </c>
      <c r="AL171" s="25">
        <v>69</v>
      </c>
      <c r="AM171" s="25">
        <v>407</v>
      </c>
      <c r="AN171" s="25">
        <v>1144</v>
      </c>
      <c r="AO171" s="25">
        <v>147</v>
      </c>
      <c r="AP171" s="23">
        <v>6580.5540136054415</v>
      </c>
      <c r="AQ171" s="26">
        <v>2.7687074829931975</v>
      </c>
      <c r="AR171" s="23">
        <v>150990</v>
      </c>
      <c r="AS171" s="23">
        <v>42900</v>
      </c>
      <c r="AT171" s="24">
        <v>0.20043594948232552</v>
      </c>
      <c r="AU171" s="23">
        <v>31204.562580645161</v>
      </c>
      <c r="AV171" s="27">
        <v>58</v>
      </c>
      <c r="AW171" s="27">
        <v>1735</v>
      </c>
      <c r="AX171" s="81">
        <v>11671.34</v>
      </c>
      <c r="AY171" s="83">
        <v>158</v>
      </c>
      <c r="AZ171" s="83">
        <v>31</v>
      </c>
      <c r="BA171" s="83">
        <v>43</v>
      </c>
      <c r="BB171" s="83">
        <v>1</v>
      </c>
      <c r="BC171" s="99"/>
      <c r="BD171" s="99"/>
      <c r="BE171" s="3">
        <v>6.9999999832361937E-2</v>
      </c>
    </row>
    <row r="172" spans="1:57" ht="15.6">
      <c r="A172" s="2" t="s">
        <v>120</v>
      </c>
      <c r="B172" s="19" t="s">
        <v>356</v>
      </c>
      <c r="C172" s="20" t="s">
        <v>285</v>
      </c>
      <c r="D172" s="21" t="s">
        <v>291</v>
      </c>
      <c r="E172" s="44">
        <v>45736</v>
      </c>
      <c r="F172" s="21" t="s">
        <v>356</v>
      </c>
      <c r="G172" s="23">
        <v>0</v>
      </c>
      <c r="H172" s="28">
        <v>27260</v>
      </c>
      <c r="I172" s="28">
        <v>1250000</v>
      </c>
      <c r="J172" s="23">
        <v>300000</v>
      </c>
      <c r="K172" s="23">
        <v>7200000</v>
      </c>
      <c r="L172" s="23">
        <v>3203286.84</v>
      </c>
      <c r="M172" s="23">
        <v>189591.71</v>
      </c>
      <c r="N172" s="23">
        <v>3306172</v>
      </c>
      <c r="O172" s="24">
        <v>0.45238380666666667</v>
      </c>
      <c r="P172" s="24">
        <v>0.63</v>
      </c>
      <c r="Q172" s="24">
        <v>0.44082293333333333</v>
      </c>
      <c r="R172" s="25">
        <v>21</v>
      </c>
      <c r="S172" s="25">
        <v>35</v>
      </c>
      <c r="T172" s="25">
        <v>14</v>
      </c>
      <c r="U172" s="25">
        <v>14</v>
      </c>
      <c r="V172" s="25">
        <v>35</v>
      </c>
      <c r="W172" s="25">
        <v>0</v>
      </c>
      <c r="X172" s="26">
        <v>339609.99</v>
      </c>
      <c r="Y172" s="26">
        <v>2863676.85</v>
      </c>
      <c r="Z172" s="25">
        <v>4</v>
      </c>
      <c r="AA172" s="25">
        <v>14</v>
      </c>
      <c r="AB172" s="25">
        <v>18</v>
      </c>
      <c r="AC172" s="25">
        <v>2</v>
      </c>
      <c r="AD172" s="25">
        <v>204</v>
      </c>
      <c r="AE172" s="25">
        <v>587</v>
      </c>
      <c r="AF172" s="25">
        <v>6</v>
      </c>
      <c r="AG172" s="25">
        <v>4</v>
      </c>
      <c r="AH172" s="25">
        <v>22</v>
      </c>
      <c r="AI172" s="25">
        <v>5</v>
      </c>
      <c r="AJ172" s="25">
        <v>32</v>
      </c>
      <c r="AK172" s="25">
        <v>3</v>
      </c>
      <c r="AL172" s="25">
        <v>18</v>
      </c>
      <c r="AM172" s="25">
        <v>254</v>
      </c>
      <c r="AN172" s="25">
        <v>913</v>
      </c>
      <c r="AO172" s="25">
        <v>146</v>
      </c>
      <c r="AP172" s="23">
        <v>23238.894178082192</v>
      </c>
      <c r="AQ172" s="26">
        <v>1.7397260273972603</v>
      </c>
      <c r="AR172" s="23">
        <v>163560</v>
      </c>
      <c r="AS172" s="23">
        <v>26389</v>
      </c>
      <c r="AT172" s="24">
        <v>5.5984615187596391E-2</v>
      </c>
      <c r="AU172" s="23">
        <v>177960.38</v>
      </c>
      <c r="AV172" s="27">
        <v>71</v>
      </c>
      <c r="AW172" s="27">
        <v>1290</v>
      </c>
      <c r="AX172" s="81">
        <v>4665.58</v>
      </c>
      <c r="AY172" s="83">
        <v>133</v>
      </c>
      <c r="AZ172" s="83">
        <v>18</v>
      </c>
      <c r="BA172" s="83">
        <v>17</v>
      </c>
      <c r="BB172" s="83">
        <v>0</v>
      </c>
      <c r="BC172" s="99"/>
      <c r="BD172" s="99"/>
      <c r="BE172" s="3">
        <v>2.0000000018626451E-2</v>
      </c>
    </row>
    <row r="173" spans="1:57" ht="15.6">
      <c r="A173" s="2" t="s">
        <v>154</v>
      </c>
      <c r="B173" s="19" t="s">
        <v>367</v>
      </c>
      <c r="C173" s="20" t="s">
        <v>289</v>
      </c>
      <c r="D173" s="21" t="s">
        <v>578</v>
      </c>
      <c r="E173" s="44">
        <v>45736</v>
      </c>
      <c r="F173" s="21" t="s">
        <v>638</v>
      </c>
      <c r="G173" s="23"/>
      <c r="H173" s="28">
        <v>37740</v>
      </c>
      <c r="I173" s="28"/>
      <c r="J173" s="23">
        <v>0</v>
      </c>
      <c r="K173" s="23">
        <v>0</v>
      </c>
      <c r="L173" s="23">
        <v>0</v>
      </c>
      <c r="M173" s="23">
        <v>0</v>
      </c>
      <c r="N173" s="23"/>
      <c r="O173" s="24"/>
      <c r="P173" s="24">
        <v>0</v>
      </c>
      <c r="Q173" s="24"/>
      <c r="R173" s="25">
        <v>30</v>
      </c>
      <c r="S173" s="25">
        <v>42</v>
      </c>
      <c r="T173" s="25">
        <v>12</v>
      </c>
      <c r="U173" s="25">
        <v>0</v>
      </c>
      <c r="V173" s="25">
        <v>42</v>
      </c>
      <c r="W173" s="25">
        <v>0</v>
      </c>
      <c r="X173" s="26">
        <v>0</v>
      </c>
      <c r="Y173" s="26">
        <v>0</v>
      </c>
      <c r="Z173" s="25">
        <v>0</v>
      </c>
      <c r="AA173" s="25">
        <v>0</v>
      </c>
      <c r="AB173" s="25">
        <v>0</v>
      </c>
      <c r="AC173" s="25">
        <v>0</v>
      </c>
      <c r="AD173" s="25">
        <v>122</v>
      </c>
      <c r="AE173" s="25">
        <v>326</v>
      </c>
      <c r="AF173" s="25">
        <v>1</v>
      </c>
      <c r="AG173" s="25">
        <v>5</v>
      </c>
      <c r="AH173" s="25">
        <v>36</v>
      </c>
      <c r="AI173" s="25">
        <v>0</v>
      </c>
      <c r="AJ173" s="25">
        <v>0</v>
      </c>
      <c r="AK173" s="25">
        <v>19</v>
      </c>
      <c r="AL173" s="25">
        <v>57</v>
      </c>
      <c r="AM173" s="25">
        <v>112</v>
      </c>
      <c r="AN173" s="25">
        <v>531</v>
      </c>
      <c r="AO173" s="25">
        <v>132</v>
      </c>
      <c r="AP173" s="23">
        <v>0</v>
      </c>
      <c r="AQ173" s="26">
        <v>0.84848484848484851</v>
      </c>
      <c r="AR173" s="23">
        <v>226440</v>
      </c>
      <c r="AS173" s="23">
        <v>42294</v>
      </c>
      <c r="AT173" s="24"/>
      <c r="AU173" s="23"/>
      <c r="AV173" s="27">
        <v>0</v>
      </c>
      <c r="AW173" s="27">
        <v>1326</v>
      </c>
      <c r="AX173" s="81">
        <v>17361.78</v>
      </c>
      <c r="AY173" s="83">
        <v>413</v>
      </c>
      <c r="AZ173" s="83">
        <v>0</v>
      </c>
      <c r="BA173" s="83">
        <v>42</v>
      </c>
      <c r="BB173" s="83">
        <v>0</v>
      </c>
      <c r="BC173" s="99">
        <v>45919</v>
      </c>
      <c r="BD173" s="99"/>
      <c r="BE173" s="3" t="e">
        <v>#N/A</v>
      </c>
    </row>
    <row r="174" spans="1:57" ht="15.6">
      <c r="A174" s="2" t="s">
        <v>108</v>
      </c>
      <c r="B174" s="19" t="s">
        <v>465</v>
      </c>
      <c r="C174" s="20" t="s">
        <v>290</v>
      </c>
      <c r="D174" s="21" t="s">
        <v>639</v>
      </c>
      <c r="E174" s="44">
        <v>45751</v>
      </c>
      <c r="F174" s="21" t="s">
        <v>506</v>
      </c>
      <c r="G174" s="23"/>
      <c r="H174" s="28">
        <v>37760</v>
      </c>
      <c r="I174" s="28">
        <v>1881250</v>
      </c>
      <c r="J174" s="23">
        <v>0</v>
      </c>
      <c r="K174" s="23">
        <v>8397900</v>
      </c>
      <c r="L174" s="23">
        <v>2797611.01</v>
      </c>
      <c r="M174" s="23">
        <v>0</v>
      </c>
      <c r="N174" s="23">
        <v>0</v>
      </c>
      <c r="O174" s="24">
        <v>0.33313221281510852</v>
      </c>
      <c r="P174" s="24">
        <v>0</v>
      </c>
      <c r="Q174" s="24">
        <v>0</v>
      </c>
      <c r="R174" s="25">
        <v>204</v>
      </c>
      <c r="S174" s="25">
        <v>99</v>
      </c>
      <c r="T174" s="25">
        <v>28</v>
      </c>
      <c r="U174" s="25">
        <v>27</v>
      </c>
      <c r="V174" s="25">
        <v>232</v>
      </c>
      <c r="W174" s="25">
        <v>133</v>
      </c>
      <c r="X174" s="26">
        <v>1759309.11</v>
      </c>
      <c r="Y174" s="26">
        <v>1038301.9</v>
      </c>
      <c r="Z174" s="25">
        <v>29</v>
      </c>
      <c r="AA174" s="25">
        <v>27</v>
      </c>
      <c r="AB174" s="25">
        <v>56</v>
      </c>
      <c r="AC174" s="25">
        <v>0</v>
      </c>
      <c r="AD174" s="25">
        <v>72</v>
      </c>
      <c r="AE174" s="25">
        <v>175</v>
      </c>
      <c r="AF174" s="25">
        <v>0</v>
      </c>
      <c r="AG174" s="25">
        <v>2</v>
      </c>
      <c r="AH174" s="25">
        <v>68</v>
      </c>
      <c r="AI174" s="25">
        <v>0</v>
      </c>
      <c r="AJ174" s="25">
        <v>0</v>
      </c>
      <c r="AK174" s="25">
        <v>0</v>
      </c>
      <c r="AL174" s="25">
        <v>0</v>
      </c>
      <c r="AM174" s="25">
        <v>490</v>
      </c>
      <c r="AN174" s="25">
        <v>733</v>
      </c>
      <c r="AO174" s="25">
        <v>95</v>
      </c>
      <c r="AP174" s="23">
        <v>29448.536947368419</v>
      </c>
      <c r="AQ174" s="26">
        <v>5.1578947368421053</v>
      </c>
      <c r="AR174" s="23">
        <v>165388.79999999999</v>
      </c>
      <c r="AS174" s="23">
        <v>40394</v>
      </c>
      <c r="AT174" s="24">
        <v>7.3556616436107031E-2</v>
      </c>
      <c r="AU174" s="23">
        <v>49957.339464285709</v>
      </c>
      <c r="AV174" s="27">
        <v>151</v>
      </c>
      <c r="AW174" s="27">
        <v>938</v>
      </c>
      <c r="AX174" s="81">
        <v>6761.85</v>
      </c>
      <c r="AY174" s="83">
        <v>68</v>
      </c>
      <c r="AZ174" s="83">
        <v>56</v>
      </c>
      <c r="BA174" s="83">
        <v>45</v>
      </c>
      <c r="BB174" s="83">
        <v>131</v>
      </c>
      <c r="BC174" s="99">
        <v>45881</v>
      </c>
      <c r="BD174" s="99"/>
      <c r="BE174" s="3">
        <v>-0.10999999986961484</v>
      </c>
    </row>
    <row r="175" spans="1:57" ht="15.6">
      <c r="A175" s="2" t="s">
        <v>154</v>
      </c>
      <c r="B175" s="19" t="s">
        <v>367</v>
      </c>
      <c r="C175" s="20" t="s">
        <v>292</v>
      </c>
      <c r="D175" s="21" t="s">
        <v>377</v>
      </c>
      <c r="E175" s="44">
        <v>45761</v>
      </c>
      <c r="F175" s="21" t="s">
        <v>577</v>
      </c>
      <c r="G175" s="23"/>
      <c r="H175" s="28">
        <v>65000</v>
      </c>
      <c r="I175" s="28"/>
      <c r="J175" s="23">
        <v>0</v>
      </c>
      <c r="K175" s="23">
        <v>0</v>
      </c>
      <c r="L175" s="23">
        <v>0</v>
      </c>
      <c r="M175" s="23">
        <v>0</v>
      </c>
      <c r="N175" s="23"/>
      <c r="O175" s="24"/>
      <c r="P175" s="24">
        <v>0</v>
      </c>
      <c r="Q175" s="24"/>
      <c r="R175" s="25">
        <v>7</v>
      </c>
      <c r="S175" s="25">
        <v>8</v>
      </c>
      <c r="T175" s="25">
        <v>1</v>
      </c>
      <c r="U175" s="25">
        <v>0</v>
      </c>
      <c r="V175" s="25">
        <v>8</v>
      </c>
      <c r="W175" s="25">
        <v>0</v>
      </c>
      <c r="X175" s="26">
        <v>0</v>
      </c>
      <c r="Y175" s="26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9</v>
      </c>
      <c r="AE175" s="25">
        <v>11</v>
      </c>
      <c r="AF175" s="25">
        <v>0</v>
      </c>
      <c r="AG175" s="25">
        <v>2</v>
      </c>
      <c r="AH175" s="25">
        <v>3</v>
      </c>
      <c r="AI175" s="25">
        <v>0</v>
      </c>
      <c r="AJ175" s="25">
        <v>0</v>
      </c>
      <c r="AK175" s="25">
        <v>4</v>
      </c>
      <c r="AL175" s="25">
        <v>6</v>
      </c>
      <c r="AM175" s="25">
        <v>9</v>
      </c>
      <c r="AN175" s="25">
        <v>29</v>
      </c>
      <c r="AO175" s="25">
        <v>9</v>
      </c>
      <c r="AP175" s="23">
        <v>0</v>
      </c>
      <c r="AQ175" s="26">
        <v>1</v>
      </c>
      <c r="AR175" s="23">
        <v>21450</v>
      </c>
      <c r="AS175" s="23">
        <v>2872</v>
      </c>
      <c r="AT175" s="24"/>
      <c r="AU175" s="23"/>
      <c r="AV175" s="27">
        <v>0</v>
      </c>
      <c r="AW175" s="27">
        <v>89</v>
      </c>
      <c r="AX175" s="81">
        <v>247.98</v>
      </c>
      <c r="AY175" s="83">
        <v>31</v>
      </c>
      <c r="AZ175" s="83">
        <v>0</v>
      </c>
      <c r="BA175" s="83">
        <v>8</v>
      </c>
      <c r="BB175" s="83">
        <v>0</v>
      </c>
      <c r="BC175" s="99">
        <v>45771</v>
      </c>
      <c r="BD175" s="99"/>
      <c r="BE175" s="3" t="e">
        <v>#N/A</v>
      </c>
    </row>
    <row r="176" spans="1:57" ht="15.6">
      <c r="A176" s="2" t="s">
        <v>177</v>
      </c>
      <c r="B176" s="19" t="s">
        <v>458</v>
      </c>
      <c r="C176" s="20" t="s">
        <v>293</v>
      </c>
      <c r="D176" s="21" t="s">
        <v>582</v>
      </c>
      <c r="E176" s="44">
        <v>45761</v>
      </c>
      <c r="F176" s="21" t="s">
        <v>581</v>
      </c>
      <c r="G176" s="23"/>
      <c r="H176" s="28">
        <v>24116</v>
      </c>
      <c r="I176" s="28">
        <v>666667</v>
      </c>
      <c r="J176" s="23">
        <v>0</v>
      </c>
      <c r="K176" s="23">
        <v>3333335</v>
      </c>
      <c r="L176" s="23">
        <v>1990472.78</v>
      </c>
      <c r="M176" s="23">
        <v>0</v>
      </c>
      <c r="N176" s="23">
        <v>1329861.17</v>
      </c>
      <c r="O176" s="24">
        <v>0.59714153542923232</v>
      </c>
      <c r="P176" s="24">
        <v>0</v>
      </c>
      <c r="Q176" s="24">
        <v>0.39895815152092423</v>
      </c>
      <c r="R176" s="25">
        <v>16</v>
      </c>
      <c r="S176" s="25">
        <v>62</v>
      </c>
      <c r="T176" s="25">
        <v>47</v>
      </c>
      <c r="U176" s="25">
        <v>45</v>
      </c>
      <c r="V176" s="25">
        <v>63</v>
      </c>
      <c r="W176" s="25">
        <v>1</v>
      </c>
      <c r="X176" s="26">
        <v>113798.22</v>
      </c>
      <c r="Y176" s="26">
        <v>1876674.5600000001</v>
      </c>
      <c r="Z176" s="25">
        <v>3</v>
      </c>
      <c r="AA176" s="25">
        <v>45</v>
      </c>
      <c r="AB176" s="25">
        <v>48</v>
      </c>
      <c r="AC176" s="25">
        <v>0</v>
      </c>
      <c r="AD176" s="25">
        <v>253</v>
      </c>
      <c r="AE176" s="25">
        <v>642</v>
      </c>
      <c r="AF176" s="25">
        <v>3</v>
      </c>
      <c r="AG176" s="25">
        <v>1</v>
      </c>
      <c r="AH176" s="25">
        <v>63</v>
      </c>
      <c r="AI176" s="25">
        <v>0</v>
      </c>
      <c r="AJ176" s="25">
        <v>0</v>
      </c>
      <c r="AK176" s="25">
        <v>13</v>
      </c>
      <c r="AL176" s="25">
        <v>19</v>
      </c>
      <c r="AM176" s="25">
        <v>219</v>
      </c>
      <c r="AN176" s="25">
        <v>943</v>
      </c>
      <c r="AO176" s="25">
        <v>130</v>
      </c>
      <c r="AP176" s="23">
        <v>15311.329076923077</v>
      </c>
      <c r="AQ176" s="26">
        <v>1.6846153846153846</v>
      </c>
      <c r="AR176" s="23">
        <v>134326.12</v>
      </c>
      <c r="AS176" s="23">
        <v>21680</v>
      </c>
      <c r="AT176" s="24">
        <v>7.8376414672699013E-2</v>
      </c>
      <c r="AU176" s="23">
        <v>41468.182916666665</v>
      </c>
      <c r="AV176" s="27">
        <v>92</v>
      </c>
      <c r="AW176" s="27">
        <v>1299</v>
      </c>
      <c r="AX176" s="81">
        <v>5389.42</v>
      </c>
      <c r="AY176" s="83">
        <v>87</v>
      </c>
      <c r="AZ176" s="83">
        <v>48</v>
      </c>
      <c r="BA176" s="83">
        <v>14</v>
      </c>
      <c r="BB176" s="83">
        <v>1</v>
      </c>
      <c r="BC176" s="99"/>
      <c r="BD176" s="99"/>
      <c r="BE176" s="3">
        <v>3.9999999804422259E-2</v>
      </c>
    </row>
    <row r="177" spans="1:57" ht="15.6">
      <c r="A177" s="2" t="s">
        <v>136</v>
      </c>
      <c r="B177" s="19" t="s">
        <v>653</v>
      </c>
      <c r="C177" s="20" t="s">
        <v>294</v>
      </c>
      <c r="D177" s="21" t="s">
        <v>427</v>
      </c>
      <c r="E177" s="44">
        <v>45765</v>
      </c>
      <c r="F177" s="21" t="s">
        <v>421</v>
      </c>
      <c r="G177" s="23"/>
      <c r="H177" s="28">
        <v>25690</v>
      </c>
      <c r="I177" s="28">
        <v>1166667</v>
      </c>
      <c r="J177" s="23">
        <v>900001.8</v>
      </c>
      <c r="K177" s="23">
        <v>5400000</v>
      </c>
      <c r="L177" s="23">
        <v>1848885.95</v>
      </c>
      <c r="M177" s="23">
        <v>341103.89</v>
      </c>
      <c r="N177" s="23">
        <v>2906031</v>
      </c>
      <c r="O177" s="24">
        <v>0.34761733560139618</v>
      </c>
      <c r="P177" s="24">
        <v>0.38</v>
      </c>
      <c r="Q177" s="24">
        <v>0.46127463011201048</v>
      </c>
      <c r="R177" s="25">
        <v>10</v>
      </c>
      <c r="S177" s="25">
        <v>19</v>
      </c>
      <c r="T177" s="25">
        <v>10</v>
      </c>
      <c r="U177" s="25">
        <v>10</v>
      </c>
      <c r="V177" s="25">
        <v>20</v>
      </c>
      <c r="W177" s="25">
        <v>1</v>
      </c>
      <c r="X177" s="26">
        <v>994079.45</v>
      </c>
      <c r="Y177" s="26">
        <v>854806.5</v>
      </c>
      <c r="Z177" s="25">
        <v>8</v>
      </c>
      <c r="AA177" s="25">
        <v>10</v>
      </c>
      <c r="AB177" s="25">
        <v>18</v>
      </c>
      <c r="AC177" s="25">
        <v>3</v>
      </c>
      <c r="AD177" s="25">
        <v>114</v>
      </c>
      <c r="AE177" s="25">
        <v>322</v>
      </c>
      <c r="AF177" s="25">
        <v>3</v>
      </c>
      <c r="AG177" s="25">
        <v>4</v>
      </c>
      <c r="AH177" s="25">
        <v>126</v>
      </c>
      <c r="AI177" s="25">
        <v>4</v>
      </c>
      <c r="AJ177" s="25">
        <v>20</v>
      </c>
      <c r="AK177" s="25">
        <v>3</v>
      </c>
      <c r="AL177" s="25">
        <v>10</v>
      </c>
      <c r="AM177" s="25">
        <v>93</v>
      </c>
      <c r="AN177" s="25">
        <v>571</v>
      </c>
      <c r="AO177" s="25">
        <v>131</v>
      </c>
      <c r="AP177" s="23">
        <v>16717.479694656486</v>
      </c>
      <c r="AQ177" s="26">
        <v>0.70992366412213737</v>
      </c>
      <c r="AR177" s="23">
        <v>138726</v>
      </c>
      <c r="AS177" s="23">
        <v>16430</v>
      </c>
      <c r="AT177" s="24">
        <v>7.0847817266586038E-2</v>
      </c>
      <c r="AU177" s="23">
        <v>102715.8861111111</v>
      </c>
      <c r="AV177" s="27">
        <v>80</v>
      </c>
      <c r="AW177" s="27">
        <v>1152</v>
      </c>
      <c r="AX177" s="81">
        <v>7304.27</v>
      </c>
      <c r="AY177" s="83">
        <v>384</v>
      </c>
      <c r="AZ177" s="83">
        <v>18</v>
      </c>
      <c r="BA177" s="83">
        <v>1</v>
      </c>
      <c r="BB177" s="83">
        <v>1</v>
      </c>
      <c r="BC177" s="99"/>
      <c r="BD177" s="99"/>
      <c r="BE177" s="3">
        <v>0.2099999999627471</v>
      </c>
    </row>
    <row r="178" spans="1:57" ht="15.6">
      <c r="A178" s="2" t="s">
        <v>124</v>
      </c>
      <c r="B178" s="19" t="s">
        <v>443</v>
      </c>
      <c r="C178" s="20" t="s">
        <v>148</v>
      </c>
      <c r="D178" s="21" t="s">
        <v>537</v>
      </c>
      <c r="E178" s="44">
        <v>45778</v>
      </c>
      <c r="F178" s="21" t="s">
        <v>517</v>
      </c>
      <c r="G178" s="23"/>
      <c r="H178" s="28">
        <v>47173</v>
      </c>
      <c r="I178" s="28">
        <v>1200000</v>
      </c>
      <c r="J178" s="23">
        <v>0</v>
      </c>
      <c r="K178" s="23">
        <v>6000000</v>
      </c>
      <c r="L178" s="23">
        <v>2911615.97</v>
      </c>
      <c r="M178" s="23">
        <v>0</v>
      </c>
      <c r="N178" s="23">
        <v>0</v>
      </c>
      <c r="O178" s="24">
        <v>0.48526932833333336</v>
      </c>
      <c r="P178" s="24">
        <v>0</v>
      </c>
      <c r="Q178" s="24">
        <v>0</v>
      </c>
      <c r="R178" s="25">
        <v>69</v>
      </c>
      <c r="S178" s="25">
        <v>65</v>
      </c>
      <c r="T178" s="25">
        <v>16</v>
      </c>
      <c r="U178" s="25">
        <v>16</v>
      </c>
      <c r="V178" s="25">
        <v>85</v>
      </c>
      <c r="W178" s="25">
        <v>20</v>
      </c>
      <c r="X178" s="26">
        <v>1595348.66</v>
      </c>
      <c r="Y178" s="26">
        <v>1316267.31</v>
      </c>
      <c r="Z178" s="25">
        <v>26</v>
      </c>
      <c r="AA178" s="25">
        <v>16</v>
      </c>
      <c r="AB178" s="25">
        <v>42</v>
      </c>
      <c r="AC178" s="25">
        <v>0</v>
      </c>
      <c r="AD178" s="25">
        <v>100</v>
      </c>
      <c r="AE178" s="25">
        <v>182</v>
      </c>
      <c r="AF178" s="25">
        <v>66</v>
      </c>
      <c r="AG178" s="25">
        <v>5</v>
      </c>
      <c r="AH178" s="25">
        <v>26</v>
      </c>
      <c r="AI178" s="25">
        <v>2</v>
      </c>
      <c r="AJ178" s="25">
        <v>11</v>
      </c>
      <c r="AK178" s="25">
        <v>0</v>
      </c>
      <c r="AL178" s="25">
        <v>0</v>
      </c>
      <c r="AM178" s="25">
        <v>256</v>
      </c>
      <c r="AN178" s="25">
        <v>475</v>
      </c>
      <c r="AO178" s="25">
        <v>113</v>
      </c>
      <c r="AP178" s="23">
        <v>25766.513008849561</v>
      </c>
      <c r="AQ178" s="26">
        <v>2.2654867256637168</v>
      </c>
      <c r="AR178" s="23">
        <v>235865</v>
      </c>
      <c r="AS178" s="23">
        <v>11330</v>
      </c>
      <c r="AT178" s="24">
        <v>8.4899589282030202E-2</v>
      </c>
      <c r="AU178" s="23">
        <v>69324.189761904767</v>
      </c>
      <c r="AV178" s="27">
        <v>92</v>
      </c>
      <c r="AW178" s="27">
        <v>903</v>
      </c>
      <c r="AX178" s="81">
        <v>4026.23</v>
      </c>
      <c r="AY178" s="83">
        <v>62</v>
      </c>
      <c r="AZ178" s="83">
        <v>42</v>
      </c>
      <c r="BA178" s="83">
        <v>31</v>
      </c>
      <c r="BB178" s="83">
        <v>12</v>
      </c>
      <c r="BC178" s="99"/>
      <c r="BD178" s="99"/>
      <c r="BE178" s="3">
        <v>9.9999983794987202E-3</v>
      </c>
    </row>
    <row r="179" spans="1:57" ht="15.6">
      <c r="A179" s="2" t="s">
        <v>154</v>
      </c>
      <c r="B179" s="19" t="s">
        <v>370</v>
      </c>
      <c r="C179" s="20" t="s">
        <v>151</v>
      </c>
      <c r="D179" s="21" t="s">
        <v>640</v>
      </c>
      <c r="E179" s="44">
        <v>45778</v>
      </c>
      <c r="F179" s="21" t="s">
        <v>542</v>
      </c>
      <c r="G179" s="23"/>
      <c r="H179" s="28">
        <v>50860</v>
      </c>
      <c r="I179" s="28"/>
      <c r="J179" s="23">
        <v>0</v>
      </c>
      <c r="K179" s="23">
        <v>0</v>
      </c>
      <c r="L179" s="23">
        <v>0</v>
      </c>
      <c r="M179" s="23">
        <v>0</v>
      </c>
      <c r="N179" s="23"/>
      <c r="O179" s="24"/>
      <c r="P179" s="24">
        <v>0</v>
      </c>
      <c r="Q179" s="24"/>
      <c r="R179" s="25">
        <v>58</v>
      </c>
      <c r="S179" s="25">
        <v>18</v>
      </c>
      <c r="T179" s="25">
        <v>0</v>
      </c>
      <c r="U179" s="25">
        <v>0</v>
      </c>
      <c r="V179" s="25">
        <v>58</v>
      </c>
      <c r="W179" s="25">
        <v>40</v>
      </c>
      <c r="X179" s="26">
        <v>0</v>
      </c>
      <c r="Y179" s="26">
        <v>0</v>
      </c>
      <c r="Z179" s="25">
        <v>0</v>
      </c>
      <c r="AA179" s="25">
        <v>0</v>
      </c>
      <c r="AB179" s="25">
        <v>0</v>
      </c>
      <c r="AC179" s="25">
        <v>0</v>
      </c>
      <c r="AD179" s="25">
        <v>22</v>
      </c>
      <c r="AE179" s="25">
        <v>38</v>
      </c>
      <c r="AF179" s="25">
        <v>77</v>
      </c>
      <c r="AG179" s="25">
        <v>9</v>
      </c>
      <c r="AH179" s="25">
        <v>46</v>
      </c>
      <c r="AI179" s="25">
        <v>0</v>
      </c>
      <c r="AJ179" s="25">
        <v>0</v>
      </c>
      <c r="AK179" s="25">
        <v>12</v>
      </c>
      <c r="AL179" s="25">
        <v>30</v>
      </c>
      <c r="AM179" s="25">
        <v>52</v>
      </c>
      <c r="AN179" s="25">
        <v>166</v>
      </c>
      <c r="AO179" s="25">
        <v>78</v>
      </c>
      <c r="AP179" s="23">
        <v>0</v>
      </c>
      <c r="AQ179" s="26">
        <v>0.66666666666666663</v>
      </c>
      <c r="AR179" s="23">
        <v>203440</v>
      </c>
      <c r="AS179" s="23"/>
      <c r="AT179" s="24"/>
      <c r="AU179" s="23"/>
      <c r="AV179" s="27">
        <v>0</v>
      </c>
      <c r="AW179" s="27">
        <v>819</v>
      </c>
      <c r="AX179" s="81">
        <v>12835.41</v>
      </c>
      <c r="AY179" s="83">
        <v>713</v>
      </c>
      <c r="AZ179" s="83">
        <v>0</v>
      </c>
      <c r="BA179" s="83">
        <v>18</v>
      </c>
      <c r="BB179" s="83">
        <v>40</v>
      </c>
      <c r="BC179" s="99">
        <v>45899</v>
      </c>
      <c r="BD179" s="99"/>
      <c r="BE179" s="3" t="e">
        <v>#N/A</v>
      </c>
    </row>
    <row r="180" spans="1:57" ht="15.6">
      <c r="A180" s="2" t="s">
        <v>177</v>
      </c>
      <c r="B180" s="19" t="s">
        <v>364</v>
      </c>
      <c r="C180" s="20" t="s">
        <v>296</v>
      </c>
      <c r="D180" s="21" t="s">
        <v>641</v>
      </c>
      <c r="E180" s="44">
        <v>45782</v>
      </c>
      <c r="F180" s="21" t="s">
        <v>576</v>
      </c>
      <c r="G180" s="23"/>
      <c r="H180" s="28">
        <v>64580</v>
      </c>
      <c r="I180" s="28"/>
      <c r="J180" s="23">
        <v>0</v>
      </c>
      <c r="K180" s="23">
        <v>0</v>
      </c>
      <c r="L180" s="23">
        <v>0</v>
      </c>
      <c r="M180" s="23">
        <v>0</v>
      </c>
      <c r="N180" s="23"/>
      <c r="O180" s="24"/>
      <c r="P180" s="24">
        <v>0</v>
      </c>
      <c r="Q180" s="24"/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6">
        <v>0</v>
      </c>
      <c r="Y180" s="26">
        <v>0</v>
      </c>
      <c r="Z180" s="25">
        <v>0</v>
      </c>
      <c r="AA180" s="25">
        <v>0</v>
      </c>
      <c r="AB180" s="25">
        <v>0</v>
      </c>
      <c r="AC180" s="25">
        <v>0</v>
      </c>
      <c r="AD180" s="25">
        <v>10</v>
      </c>
      <c r="AE180" s="25">
        <v>19</v>
      </c>
      <c r="AF180" s="25">
        <v>0</v>
      </c>
      <c r="AG180" s="25">
        <v>2</v>
      </c>
      <c r="AH180" s="25">
        <v>29</v>
      </c>
      <c r="AI180" s="25">
        <v>0</v>
      </c>
      <c r="AJ180" s="25">
        <v>0</v>
      </c>
      <c r="AK180" s="25">
        <v>136</v>
      </c>
      <c r="AL180" s="25">
        <v>547</v>
      </c>
      <c r="AM180" s="25">
        <v>0</v>
      </c>
      <c r="AN180" s="25">
        <v>595</v>
      </c>
      <c r="AO180" s="25">
        <v>111</v>
      </c>
      <c r="AP180" s="23">
        <v>0</v>
      </c>
      <c r="AQ180" s="26">
        <v>0</v>
      </c>
      <c r="AR180" s="23">
        <v>322900</v>
      </c>
      <c r="AS180" s="23">
        <v>93629</v>
      </c>
      <c r="AT180" s="24"/>
      <c r="AU180" s="23"/>
      <c r="AV180" s="27">
        <v>0</v>
      </c>
      <c r="AW180" s="27">
        <v>1291</v>
      </c>
      <c r="AX180" s="81">
        <v>15144.28</v>
      </c>
      <c r="AY180" s="83">
        <v>0</v>
      </c>
      <c r="AZ180" s="83">
        <v>0</v>
      </c>
      <c r="BA180" s="83">
        <v>0</v>
      </c>
      <c r="BB180" s="83">
        <v>0</v>
      </c>
      <c r="BC180" s="99"/>
      <c r="BD180" s="99"/>
      <c r="BE180" s="3" t="e">
        <v>#N/A</v>
      </c>
    </row>
    <row r="181" spans="1:57" ht="15.6">
      <c r="A181" s="2" t="s">
        <v>118</v>
      </c>
      <c r="B181" s="19" t="s">
        <v>362</v>
      </c>
      <c r="C181" s="20" t="s">
        <v>295</v>
      </c>
      <c r="D181" s="21" t="s">
        <v>643</v>
      </c>
      <c r="E181" s="44">
        <v>45784</v>
      </c>
      <c r="F181" s="21" t="s">
        <v>419</v>
      </c>
      <c r="G181" s="23"/>
      <c r="H181" s="28">
        <v>25985</v>
      </c>
      <c r="I181" s="28">
        <v>2500000</v>
      </c>
      <c r="J181" s="23">
        <v>0</v>
      </c>
      <c r="K181" s="23">
        <v>12500000</v>
      </c>
      <c r="L181" s="23">
        <v>8391280.8499999996</v>
      </c>
      <c r="M181" s="23">
        <v>0</v>
      </c>
      <c r="N181" s="23">
        <v>8333574.9400000004</v>
      </c>
      <c r="O181" s="24">
        <v>0.67130246799999993</v>
      </c>
      <c r="P181" s="24">
        <v>0</v>
      </c>
      <c r="Q181" s="24">
        <v>0.66668599520000005</v>
      </c>
      <c r="R181" s="25">
        <v>30</v>
      </c>
      <c r="S181" s="25">
        <v>47</v>
      </c>
      <c r="T181" s="25">
        <v>17</v>
      </c>
      <c r="U181" s="25">
        <v>17</v>
      </c>
      <c r="V181" s="25">
        <v>47</v>
      </c>
      <c r="W181" s="25">
        <v>0</v>
      </c>
      <c r="X181" s="26">
        <v>5731091.7599999998</v>
      </c>
      <c r="Y181" s="26">
        <v>2660189.09</v>
      </c>
      <c r="Z181" s="25">
        <v>18</v>
      </c>
      <c r="AA181" s="25">
        <v>17</v>
      </c>
      <c r="AB181" s="25">
        <v>35</v>
      </c>
      <c r="AC181" s="25">
        <v>0</v>
      </c>
      <c r="AD181" s="25">
        <v>26</v>
      </c>
      <c r="AE181" s="25">
        <v>96</v>
      </c>
      <c r="AF181" s="25">
        <v>0</v>
      </c>
      <c r="AG181" s="25">
        <v>2</v>
      </c>
      <c r="AH181" s="25">
        <v>7</v>
      </c>
      <c r="AI181" s="25">
        <v>0</v>
      </c>
      <c r="AJ181" s="25">
        <v>0</v>
      </c>
      <c r="AK181" s="25">
        <v>0</v>
      </c>
      <c r="AL181" s="25">
        <v>0</v>
      </c>
      <c r="AM181" s="25">
        <v>576</v>
      </c>
      <c r="AN181" s="25">
        <v>679</v>
      </c>
      <c r="AO181" s="25">
        <v>116</v>
      </c>
      <c r="AP181" s="23">
        <v>72338.628017241383</v>
      </c>
      <c r="AQ181" s="26">
        <v>4.9655172413793105</v>
      </c>
      <c r="AR181" s="23">
        <v>129925</v>
      </c>
      <c r="AS181" s="23">
        <v>15040</v>
      </c>
      <c r="AT181" s="24">
        <v>1.7275670138009982E-2</v>
      </c>
      <c r="AU181" s="23">
        <v>239750.88142857142</v>
      </c>
      <c r="AV181" s="27">
        <v>173</v>
      </c>
      <c r="AW181" s="27">
        <v>1197</v>
      </c>
      <c r="AX181" s="81">
        <v>9709.0300000000007</v>
      </c>
      <c r="AY181" s="83">
        <v>207</v>
      </c>
      <c r="AZ181" s="83">
        <v>35</v>
      </c>
      <c r="BA181" s="83">
        <v>12</v>
      </c>
      <c r="BB181" s="83">
        <v>0</v>
      </c>
      <c r="BC181" s="99"/>
      <c r="BD181" s="99"/>
      <c r="BE181" s="3">
        <v>-9.9999997764825821E-3</v>
      </c>
    </row>
    <row r="182" spans="1:57" ht="15.6">
      <c r="A182" s="2" t="s">
        <v>154</v>
      </c>
      <c r="B182" s="19" t="s">
        <v>370</v>
      </c>
      <c r="C182" s="20" t="s">
        <v>169</v>
      </c>
      <c r="D182" s="21" t="s">
        <v>644</v>
      </c>
      <c r="E182" s="44">
        <v>45789</v>
      </c>
      <c r="F182" s="21" t="s">
        <v>542</v>
      </c>
      <c r="G182" s="23">
        <v>1273352</v>
      </c>
      <c r="H182" s="28">
        <v>30400</v>
      </c>
      <c r="I182" s="28">
        <v>500000</v>
      </c>
      <c r="J182" s="23">
        <v>0</v>
      </c>
      <c r="K182" s="23">
        <v>2700000</v>
      </c>
      <c r="L182" s="23">
        <v>1043511.67</v>
      </c>
      <c r="M182" s="23">
        <v>0</v>
      </c>
      <c r="N182" s="23">
        <v>498089</v>
      </c>
      <c r="O182" s="24">
        <v>0.38648580370370372</v>
      </c>
      <c r="P182" s="24">
        <v>0</v>
      </c>
      <c r="Q182" s="24">
        <v>0.1844774074074074</v>
      </c>
      <c r="R182" s="25">
        <v>91</v>
      </c>
      <c r="S182" s="25">
        <v>70</v>
      </c>
      <c r="T182" s="25">
        <v>7</v>
      </c>
      <c r="U182" s="25">
        <v>4</v>
      </c>
      <c r="V182" s="25">
        <v>98</v>
      </c>
      <c r="W182" s="25">
        <v>28</v>
      </c>
      <c r="X182" s="26">
        <v>747318.26</v>
      </c>
      <c r="Y182" s="26">
        <v>296193.40999999997</v>
      </c>
      <c r="Z182" s="25">
        <v>13</v>
      </c>
      <c r="AA182" s="25">
        <v>4</v>
      </c>
      <c r="AB182" s="25">
        <v>17</v>
      </c>
      <c r="AC182" s="25">
        <v>0</v>
      </c>
      <c r="AD182" s="25">
        <v>67</v>
      </c>
      <c r="AE182" s="25">
        <v>129</v>
      </c>
      <c r="AF182" s="25">
        <v>237</v>
      </c>
      <c r="AG182" s="25">
        <v>3</v>
      </c>
      <c r="AH182" s="25">
        <v>26</v>
      </c>
      <c r="AI182" s="25">
        <v>0</v>
      </c>
      <c r="AJ182" s="25">
        <v>0</v>
      </c>
      <c r="AK182" s="25">
        <v>3</v>
      </c>
      <c r="AL182" s="25">
        <v>9</v>
      </c>
      <c r="AM182" s="25">
        <v>332</v>
      </c>
      <c r="AN182" s="25">
        <v>496</v>
      </c>
      <c r="AO182" s="25">
        <v>99</v>
      </c>
      <c r="AP182" s="23">
        <v>10540.52191919192</v>
      </c>
      <c r="AQ182" s="26">
        <v>3.3535353535353534</v>
      </c>
      <c r="AR182" s="23">
        <v>109832.25806451612</v>
      </c>
      <c r="AS182" s="23">
        <v>19352</v>
      </c>
      <c r="AT182" s="24">
        <v>0.12379761700654111</v>
      </c>
      <c r="AU182" s="23">
        <v>61383.039411764708</v>
      </c>
      <c r="AV182" s="27">
        <v>38</v>
      </c>
      <c r="AW182" s="27">
        <v>898</v>
      </c>
      <c r="AX182" s="81">
        <v>6105.17</v>
      </c>
      <c r="AY182" s="83">
        <v>87</v>
      </c>
      <c r="AZ182" s="83">
        <v>17</v>
      </c>
      <c r="BA182" s="83">
        <v>53</v>
      </c>
      <c r="BB182" s="83">
        <v>28</v>
      </c>
      <c r="BC182" s="99">
        <v>45930</v>
      </c>
      <c r="BD182" s="99"/>
      <c r="BE182" s="3">
        <v>6.2499986961483955E-4</v>
      </c>
    </row>
    <row r="183" spans="1:57" ht="15.6">
      <c r="A183" s="2" t="s">
        <v>108</v>
      </c>
      <c r="B183" s="19" t="s">
        <v>465</v>
      </c>
      <c r="C183" s="20" t="s">
        <v>297</v>
      </c>
      <c r="D183" s="21" t="s">
        <v>478</v>
      </c>
      <c r="E183" s="44">
        <v>45793</v>
      </c>
      <c r="F183" s="21" t="s">
        <v>506</v>
      </c>
      <c r="G183" s="23"/>
      <c r="H183" s="28">
        <v>27000</v>
      </c>
      <c r="I183" s="28">
        <v>1384727.273</v>
      </c>
      <c r="J183" s="23">
        <v>0</v>
      </c>
      <c r="K183" s="23">
        <v>5824000</v>
      </c>
      <c r="L183" s="23">
        <v>3955938</v>
      </c>
      <c r="M183" s="23">
        <v>0</v>
      </c>
      <c r="N183" s="23">
        <v>2511686.0300000003</v>
      </c>
      <c r="O183" s="24">
        <v>0.67924759615384611</v>
      </c>
      <c r="P183" s="24">
        <v>0</v>
      </c>
      <c r="Q183" s="24">
        <v>0.43126477163461541</v>
      </c>
      <c r="R183" s="25">
        <v>39</v>
      </c>
      <c r="S183" s="25">
        <v>75</v>
      </c>
      <c r="T183" s="25">
        <v>38</v>
      </c>
      <c r="U183" s="25">
        <v>38</v>
      </c>
      <c r="V183" s="25">
        <v>77</v>
      </c>
      <c r="W183" s="25">
        <v>2</v>
      </c>
      <c r="X183" s="26">
        <v>2521497</v>
      </c>
      <c r="Y183" s="26">
        <v>1434441</v>
      </c>
      <c r="Z183" s="25">
        <v>23</v>
      </c>
      <c r="AA183" s="25">
        <v>38</v>
      </c>
      <c r="AB183" s="25">
        <v>61</v>
      </c>
      <c r="AC183" s="25">
        <v>0</v>
      </c>
      <c r="AD183" s="25">
        <v>2</v>
      </c>
      <c r="AE183" s="25">
        <v>6</v>
      </c>
      <c r="AF183" s="25">
        <v>1</v>
      </c>
      <c r="AG183" s="25">
        <v>1</v>
      </c>
      <c r="AH183" s="25">
        <v>9</v>
      </c>
      <c r="AI183" s="25">
        <v>0</v>
      </c>
      <c r="AJ183" s="25">
        <v>0</v>
      </c>
      <c r="AK183" s="25">
        <v>0</v>
      </c>
      <c r="AL183" s="25">
        <v>0</v>
      </c>
      <c r="AM183" s="25">
        <v>515</v>
      </c>
      <c r="AN183" s="25">
        <v>530</v>
      </c>
      <c r="AO183" s="25">
        <v>107</v>
      </c>
      <c r="AP183" s="23">
        <v>36971.383177570096</v>
      </c>
      <c r="AQ183" s="26">
        <v>4.8130841121495331</v>
      </c>
      <c r="AR183" s="23">
        <v>121064.51612903227</v>
      </c>
      <c r="AS183" s="23">
        <v>17718</v>
      </c>
      <c r="AT183" s="24">
        <v>3.5082075636431176E-2</v>
      </c>
      <c r="AU183" s="23">
        <v>64851.442622950817</v>
      </c>
      <c r="AV183" s="27">
        <v>164</v>
      </c>
      <c r="AW183" s="27">
        <v>1053</v>
      </c>
      <c r="AX183" s="81">
        <v>5432.19</v>
      </c>
      <c r="AY183" s="83">
        <v>72</v>
      </c>
      <c r="AZ183" s="83">
        <v>61</v>
      </c>
      <c r="BA183" s="83">
        <v>16</v>
      </c>
      <c r="BB183" s="83">
        <v>0</v>
      </c>
      <c r="BC183" s="99"/>
      <c r="BD183" s="99"/>
      <c r="BE183" s="3">
        <v>5.8593694120645523E-4</v>
      </c>
    </row>
    <row r="184" spans="1:57" ht="15.6">
      <c r="A184" s="2" t="s">
        <v>118</v>
      </c>
      <c r="B184" s="19" t="s">
        <v>362</v>
      </c>
      <c r="C184" s="20" t="s">
        <v>299</v>
      </c>
      <c r="D184" s="21" t="s">
        <v>645</v>
      </c>
      <c r="E184" s="44">
        <v>45796</v>
      </c>
      <c r="F184" s="21" t="s">
        <v>419</v>
      </c>
      <c r="G184" s="23"/>
      <c r="H184" s="28">
        <v>22000</v>
      </c>
      <c r="I184" s="28"/>
      <c r="J184" s="23">
        <v>0</v>
      </c>
      <c r="K184" s="23">
        <v>0</v>
      </c>
      <c r="L184" s="23">
        <v>0</v>
      </c>
      <c r="M184" s="23">
        <v>0</v>
      </c>
      <c r="N184" s="23"/>
      <c r="O184" s="24"/>
      <c r="P184" s="24">
        <v>0</v>
      </c>
      <c r="Q184" s="24"/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X184" s="26">
        <v>0</v>
      </c>
      <c r="Y184" s="26">
        <v>0</v>
      </c>
      <c r="Z184" s="25">
        <v>0</v>
      </c>
      <c r="AA184" s="25">
        <v>0</v>
      </c>
      <c r="AB184" s="25">
        <v>0</v>
      </c>
      <c r="AC184" s="25">
        <v>0</v>
      </c>
      <c r="AD184" s="25">
        <v>0</v>
      </c>
      <c r="AE184" s="25">
        <v>0</v>
      </c>
      <c r="AF184" s="25">
        <v>0</v>
      </c>
      <c r="AG184" s="25">
        <v>0</v>
      </c>
      <c r="AH184" s="25">
        <v>0</v>
      </c>
      <c r="AI184" s="25">
        <v>0</v>
      </c>
      <c r="AJ184" s="25">
        <v>0</v>
      </c>
      <c r="AK184" s="25">
        <v>1</v>
      </c>
      <c r="AL184" s="25">
        <v>1</v>
      </c>
      <c r="AM184" s="25">
        <v>0</v>
      </c>
      <c r="AN184" s="25">
        <v>1</v>
      </c>
      <c r="AO184" s="25">
        <v>1</v>
      </c>
      <c r="AP184" s="23">
        <v>0</v>
      </c>
      <c r="AQ184" s="26">
        <v>0</v>
      </c>
      <c r="AR184" s="23">
        <v>5720</v>
      </c>
      <c r="AS184" s="23"/>
      <c r="AT184" s="24"/>
      <c r="AU184" s="23"/>
      <c r="AV184" s="27">
        <v>0</v>
      </c>
      <c r="AW184" s="27">
        <v>18</v>
      </c>
      <c r="AX184" s="81">
        <v>19.72</v>
      </c>
      <c r="AY184" s="83">
        <v>0</v>
      </c>
      <c r="AZ184" s="83">
        <v>0</v>
      </c>
      <c r="BA184" s="83">
        <v>0</v>
      </c>
      <c r="BB184" s="83">
        <v>0</v>
      </c>
      <c r="BC184" s="99">
        <v>45804</v>
      </c>
      <c r="BD184" s="99"/>
      <c r="BE184" s="3" t="e">
        <v>#N/A</v>
      </c>
    </row>
    <row r="185" spans="1:57" ht="15.6">
      <c r="A185" s="2" t="s">
        <v>118</v>
      </c>
      <c r="B185" s="19" t="s">
        <v>372</v>
      </c>
      <c r="C185" s="20" t="s">
        <v>216</v>
      </c>
      <c r="D185" s="21" t="s">
        <v>514</v>
      </c>
      <c r="E185" s="44">
        <v>45797</v>
      </c>
      <c r="F185" s="21" t="s">
        <v>447</v>
      </c>
      <c r="G185" s="23">
        <v>0</v>
      </c>
      <c r="H185" s="28">
        <v>119308</v>
      </c>
      <c r="I185" s="28"/>
      <c r="J185" s="23">
        <v>0</v>
      </c>
      <c r="K185" s="23">
        <v>0</v>
      </c>
      <c r="L185" s="23">
        <v>0</v>
      </c>
      <c r="M185" s="23">
        <v>0</v>
      </c>
      <c r="N185" s="23"/>
      <c r="O185" s="24"/>
      <c r="P185" s="24">
        <v>0</v>
      </c>
      <c r="Q185" s="24"/>
      <c r="R185" s="25">
        <v>46</v>
      </c>
      <c r="S185" s="25">
        <v>0</v>
      </c>
      <c r="T185" s="25">
        <v>1</v>
      </c>
      <c r="U185" s="25">
        <v>0</v>
      </c>
      <c r="V185" s="25">
        <v>47</v>
      </c>
      <c r="W185" s="25">
        <v>47</v>
      </c>
      <c r="X185" s="26">
        <v>0</v>
      </c>
      <c r="Y185" s="26">
        <v>0</v>
      </c>
      <c r="Z185" s="25">
        <v>0</v>
      </c>
      <c r="AA185" s="25">
        <v>0</v>
      </c>
      <c r="AB185" s="25">
        <v>0</v>
      </c>
      <c r="AC185" s="25">
        <v>0</v>
      </c>
      <c r="AD185" s="25">
        <v>0</v>
      </c>
      <c r="AE185" s="25">
        <v>0</v>
      </c>
      <c r="AF185" s="25">
        <v>89</v>
      </c>
      <c r="AG185" s="25">
        <v>0</v>
      </c>
      <c r="AH185" s="25">
        <v>0</v>
      </c>
      <c r="AI185" s="25">
        <v>0</v>
      </c>
      <c r="AJ185" s="25">
        <v>0</v>
      </c>
      <c r="AK185" s="25">
        <v>0</v>
      </c>
      <c r="AL185" s="25">
        <v>0</v>
      </c>
      <c r="AM185" s="25">
        <v>0</v>
      </c>
      <c r="AN185" s="25">
        <v>0</v>
      </c>
      <c r="AO185" s="25">
        <v>0</v>
      </c>
      <c r="AP185" s="23"/>
      <c r="AQ185" s="26"/>
      <c r="AR185" s="23">
        <v>280373.8</v>
      </c>
      <c r="AS185" s="23">
        <v>56057</v>
      </c>
      <c r="AT185" s="24"/>
      <c r="AU185" s="23"/>
      <c r="AV185" s="27">
        <v>0</v>
      </c>
      <c r="AW185" s="27">
        <v>0</v>
      </c>
      <c r="AX185" s="81">
        <v>0</v>
      </c>
      <c r="AY185" s="83">
        <v>0</v>
      </c>
      <c r="AZ185" s="83">
        <v>0</v>
      </c>
      <c r="BA185" s="83">
        <v>0</v>
      </c>
      <c r="BB185" s="83">
        <v>47</v>
      </c>
      <c r="BC185" s="99">
        <v>45899</v>
      </c>
      <c r="BD185" s="99"/>
      <c r="BE185" s="3" t="e">
        <v>#N/A</v>
      </c>
    </row>
    <row r="186" spans="1:57" ht="15.6">
      <c r="A186" s="2" t="s">
        <v>201</v>
      </c>
      <c r="B186" s="19" t="s">
        <v>431</v>
      </c>
      <c r="C186" s="20" t="s">
        <v>300</v>
      </c>
      <c r="D186" s="21" t="s">
        <v>646</v>
      </c>
      <c r="E186" s="44">
        <v>45797</v>
      </c>
      <c r="F186" s="21" t="s">
        <v>431</v>
      </c>
      <c r="G186" s="23"/>
      <c r="H186" s="28">
        <v>33050</v>
      </c>
      <c r="I186" s="28">
        <v>1200000</v>
      </c>
      <c r="J186" s="23">
        <v>0</v>
      </c>
      <c r="K186" s="23">
        <v>4800000</v>
      </c>
      <c r="L186" s="23">
        <v>1473771.6</v>
      </c>
      <c r="M186" s="23">
        <v>0</v>
      </c>
      <c r="N186" s="23">
        <v>1041906</v>
      </c>
      <c r="O186" s="24">
        <v>0.30703575</v>
      </c>
      <c r="P186" s="24">
        <v>0</v>
      </c>
      <c r="Q186" s="24">
        <v>0.21706375</v>
      </c>
      <c r="R186" s="25">
        <v>28</v>
      </c>
      <c r="S186" s="25">
        <v>44</v>
      </c>
      <c r="T186" s="25">
        <v>17</v>
      </c>
      <c r="U186" s="25">
        <v>17</v>
      </c>
      <c r="V186" s="25">
        <v>45</v>
      </c>
      <c r="W186" s="25">
        <v>1</v>
      </c>
      <c r="X186" s="26">
        <v>75381.070000000007</v>
      </c>
      <c r="Y186" s="26">
        <v>1398390.53</v>
      </c>
      <c r="Z186" s="25">
        <v>1</v>
      </c>
      <c r="AA186" s="25">
        <v>17</v>
      </c>
      <c r="AB186" s="25">
        <v>18</v>
      </c>
      <c r="AC186" s="25">
        <v>0</v>
      </c>
      <c r="AD186" s="25">
        <v>148</v>
      </c>
      <c r="AE186" s="25">
        <v>448</v>
      </c>
      <c r="AF186" s="25">
        <v>3</v>
      </c>
      <c r="AG186" s="25">
        <v>1</v>
      </c>
      <c r="AH186" s="25">
        <v>17</v>
      </c>
      <c r="AI186" s="25">
        <v>0</v>
      </c>
      <c r="AJ186" s="25">
        <v>0</v>
      </c>
      <c r="AK186" s="25">
        <v>0</v>
      </c>
      <c r="AL186" s="25">
        <v>0</v>
      </c>
      <c r="AM186" s="25">
        <v>242</v>
      </c>
      <c r="AN186" s="25">
        <v>707</v>
      </c>
      <c r="AO186" s="25">
        <v>106</v>
      </c>
      <c r="AP186" s="23">
        <v>13903.505660377359</v>
      </c>
      <c r="AQ186" s="26">
        <v>2.2830188679245285</v>
      </c>
      <c r="AR186" s="23">
        <v>143927.41935483873</v>
      </c>
      <c r="AS186" s="23">
        <v>15436</v>
      </c>
      <c r="AT186" s="24">
        <v>0.10813305084372553</v>
      </c>
      <c r="AU186" s="23">
        <v>81876.200000000012</v>
      </c>
      <c r="AV186" s="27">
        <v>34</v>
      </c>
      <c r="AW186" s="27">
        <v>1078</v>
      </c>
      <c r="AX186" s="81">
        <v>7419.12</v>
      </c>
      <c r="AY186" s="83">
        <v>169</v>
      </c>
      <c r="AZ186" s="83">
        <v>18</v>
      </c>
      <c r="BA186" s="83">
        <v>26</v>
      </c>
      <c r="BB186" s="83">
        <v>1</v>
      </c>
      <c r="BC186" s="99"/>
      <c r="BD186" s="99"/>
      <c r="BE186" s="3">
        <v>-0.28000000026077032</v>
      </c>
    </row>
    <row r="187" spans="1:57" ht="15.6">
      <c r="A187" s="2" t="s">
        <v>117</v>
      </c>
      <c r="B187" s="19" t="s">
        <v>450</v>
      </c>
      <c r="C187" s="20" t="s">
        <v>303</v>
      </c>
      <c r="D187" s="21" t="s">
        <v>647</v>
      </c>
      <c r="E187" s="44">
        <v>45810</v>
      </c>
      <c r="F187" s="21" t="s">
        <v>482</v>
      </c>
      <c r="G187" s="23"/>
      <c r="H187" s="28">
        <v>38285</v>
      </c>
      <c r="I187" s="28">
        <v>800000</v>
      </c>
      <c r="J187" s="23">
        <v>0</v>
      </c>
      <c r="K187" s="23">
        <v>3200000</v>
      </c>
      <c r="L187" s="23">
        <v>663349.31000000006</v>
      </c>
      <c r="M187" s="23">
        <v>0</v>
      </c>
      <c r="N187" s="23">
        <v>0</v>
      </c>
      <c r="O187" s="24">
        <v>0.20729665937500003</v>
      </c>
      <c r="P187" s="24">
        <v>0</v>
      </c>
      <c r="Q187" s="24">
        <v>0</v>
      </c>
      <c r="R187" s="25">
        <v>17</v>
      </c>
      <c r="S187" s="25">
        <v>30</v>
      </c>
      <c r="T187" s="25">
        <v>13</v>
      </c>
      <c r="U187" s="25">
        <v>13</v>
      </c>
      <c r="V187" s="25">
        <v>30</v>
      </c>
      <c r="W187" s="25">
        <v>0</v>
      </c>
      <c r="X187" s="26">
        <v>404186.11</v>
      </c>
      <c r="Y187" s="26">
        <v>259163.2</v>
      </c>
      <c r="Z187" s="25">
        <v>10</v>
      </c>
      <c r="AA187" s="25">
        <v>13</v>
      </c>
      <c r="AB187" s="25">
        <v>23</v>
      </c>
      <c r="AC187" s="25">
        <v>0</v>
      </c>
      <c r="AD187" s="25">
        <v>113</v>
      </c>
      <c r="AE187" s="25">
        <v>237</v>
      </c>
      <c r="AF187" s="25">
        <v>2</v>
      </c>
      <c r="AG187" s="25">
        <v>1</v>
      </c>
      <c r="AH187" s="25">
        <v>21</v>
      </c>
      <c r="AI187" s="25">
        <v>0</v>
      </c>
      <c r="AJ187" s="25">
        <v>0</v>
      </c>
      <c r="AK187" s="25">
        <v>1</v>
      </c>
      <c r="AL187" s="25">
        <v>2</v>
      </c>
      <c r="AM187" s="25">
        <v>140</v>
      </c>
      <c r="AN187" s="25">
        <v>400</v>
      </c>
      <c r="AO187" s="25">
        <v>86</v>
      </c>
      <c r="AP187" s="23">
        <v>7713.3640697674427</v>
      </c>
      <c r="AQ187" s="26">
        <v>1.6279069767441861</v>
      </c>
      <c r="AR187" s="23">
        <v>153140</v>
      </c>
      <c r="AS187" s="23">
        <v>9740</v>
      </c>
      <c r="AT187" s="24">
        <v>0.24554182471373942</v>
      </c>
      <c r="AU187" s="23">
        <v>28841.274347826089</v>
      </c>
      <c r="AV187" s="27">
        <v>76</v>
      </c>
      <c r="AW187" s="27">
        <v>712</v>
      </c>
      <c r="AX187" s="81">
        <v>2225.79</v>
      </c>
      <c r="AY187" s="83">
        <v>74</v>
      </c>
      <c r="AZ187" s="83">
        <v>23</v>
      </c>
      <c r="BA187" s="83">
        <v>7</v>
      </c>
      <c r="BB187" s="83">
        <v>0</v>
      </c>
      <c r="BC187" s="99"/>
      <c r="BD187" s="99"/>
      <c r="BE187" s="3">
        <v>-2.3283064365386963E-10</v>
      </c>
    </row>
    <row r="188" spans="1:57" ht="15.6">
      <c r="A188" s="2" t="s">
        <v>154</v>
      </c>
      <c r="B188" s="19" t="s">
        <v>367</v>
      </c>
      <c r="C188" s="20" t="s">
        <v>302</v>
      </c>
      <c r="D188" s="21" t="s">
        <v>377</v>
      </c>
      <c r="E188" s="44">
        <v>45812</v>
      </c>
      <c r="F188" s="21" t="s">
        <v>577</v>
      </c>
      <c r="G188" s="23"/>
      <c r="H188" s="28">
        <v>24120</v>
      </c>
      <c r="I188" s="28"/>
      <c r="J188" s="23">
        <v>0</v>
      </c>
      <c r="K188" s="23">
        <v>500000</v>
      </c>
      <c r="L188" s="23">
        <v>50738.2</v>
      </c>
      <c r="M188" s="23">
        <v>0</v>
      </c>
      <c r="N188" s="23">
        <v>0</v>
      </c>
      <c r="O188" s="24">
        <v>0.10147639999999999</v>
      </c>
      <c r="P188" s="24">
        <v>0</v>
      </c>
      <c r="Q188" s="24">
        <v>0</v>
      </c>
      <c r="R188" s="25">
        <v>10</v>
      </c>
      <c r="S188" s="25">
        <v>12</v>
      </c>
      <c r="T188" s="25">
        <v>2</v>
      </c>
      <c r="U188" s="25">
        <v>2</v>
      </c>
      <c r="V188" s="25">
        <v>12</v>
      </c>
      <c r="W188" s="25">
        <v>0</v>
      </c>
      <c r="X188" s="26">
        <v>28709.200000000001</v>
      </c>
      <c r="Y188" s="26">
        <v>22029</v>
      </c>
      <c r="Z188" s="25">
        <v>2</v>
      </c>
      <c r="AA188" s="25">
        <v>2</v>
      </c>
      <c r="AB188" s="25">
        <v>4</v>
      </c>
      <c r="AC188" s="25">
        <v>0</v>
      </c>
      <c r="AD188" s="25">
        <v>0</v>
      </c>
      <c r="AE188" s="25">
        <v>0</v>
      </c>
      <c r="AF188" s="25">
        <v>77</v>
      </c>
      <c r="AG188" s="25">
        <v>1</v>
      </c>
      <c r="AH188" s="25">
        <v>4</v>
      </c>
      <c r="AI188" s="25">
        <v>0</v>
      </c>
      <c r="AJ188" s="25">
        <v>0</v>
      </c>
      <c r="AK188" s="25">
        <v>3</v>
      </c>
      <c r="AL188" s="25">
        <v>3</v>
      </c>
      <c r="AM188" s="25">
        <v>25</v>
      </c>
      <c r="AN188" s="25">
        <v>32</v>
      </c>
      <c r="AO188" s="25">
        <v>19</v>
      </c>
      <c r="AP188" s="23">
        <v>2670.4315789473681</v>
      </c>
      <c r="AQ188" s="26">
        <v>1.3157894736842106</v>
      </c>
      <c r="AR188" s="23">
        <v>24120</v>
      </c>
      <c r="AS188" s="23"/>
      <c r="AT188" s="24">
        <v>0.47538146800635422</v>
      </c>
      <c r="AU188" s="23">
        <v>12684.55</v>
      </c>
      <c r="AV188" s="27">
        <v>4</v>
      </c>
      <c r="AW188" s="27">
        <v>214</v>
      </c>
      <c r="AX188" s="81">
        <v>1744.3</v>
      </c>
      <c r="AY188" s="83">
        <v>145</v>
      </c>
      <c r="AZ188" s="83">
        <v>4</v>
      </c>
      <c r="BA188" s="83">
        <v>8</v>
      </c>
      <c r="BB188" s="83">
        <v>0</v>
      </c>
      <c r="BC188" s="99">
        <v>45849</v>
      </c>
      <c r="BD188" s="99"/>
      <c r="BE188" s="3">
        <v>0</v>
      </c>
    </row>
    <row r="189" spans="1:57" ht="15.6">
      <c r="A189" s="2" t="s">
        <v>118</v>
      </c>
      <c r="B189" s="19" t="s">
        <v>436</v>
      </c>
      <c r="C189" s="20" t="s">
        <v>301</v>
      </c>
      <c r="D189" s="21" t="s">
        <v>648</v>
      </c>
      <c r="E189" s="44">
        <v>45817</v>
      </c>
      <c r="F189" s="21" t="s">
        <v>499</v>
      </c>
      <c r="G189" s="23"/>
      <c r="H189" s="28">
        <v>24116</v>
      </c>
      <c r="I189" s="28">
        <v>1500000</v>
      </c>
      <c r="J189" s="23">
        <v>0</v>
      </c>
      <c r="K189" s="23">
        <v>6000000</v>
      </c>
      <c r="L189" s="23">
        <v>143117.70000000001</v>
      </c>
      <c r="M189" s="23">
        <v>0</v>
      </c>
      <c r="N189" s="23">
        <v>531979</v>
      </c>
      <c r="O189" s="24">
        <v>2.3852950000000001E-2</v>
      </c>
      <c r="P189" s="24">
        <v>0</v>
      </c>
      <c r="Q189" s="24">
        <v>8.8663166666666668E-2</v>
      </c>
      <c r="R189" s="25">
        <v>17</v>
      </c>
      <c r="S189" s="25">
        <v>25</v>
      </c>
      <c r="T189" s="25">
        <v>8</v>
      </c>
      <c r="U189" s="25">
        <v>4</v>
      </c>
      <c r="V189" s="25">
        <v>25</v>
      </c>
      <c r="W189" s="25">
        <v>0</v>
      </c>
      <c r="X189" s="26">
        <v>23980</v>
      </c>
      <c r="Y189" s="26">
        <v>119137.7</v>
      </c>
      <c r="Z189" s="25">
        <v>1</v>
      </c>
      <c r="AA189" s="25">
        <v>4</v>
      </c>
      <c r="AB189" s="25">
        <v>5</v>
      </c>
      <c r="AC189" s="25">
        <v>0</v>
      </c>
      <c r="AD189" s="25">
        <v>18</v>
      </c>
      <c r="AE189" s="25">
        <v>51</v>
      </c>
      <c r="AF189" s="25">
        <v>0</v>
      </c>
      <c r="AG189" s="25">
        <v>1</v>
      </c>
      <c r="AH189" s="25">
        <v>3</v>
      </c>
      <c r="AI189" s="25">
        <v>0</v>
      </c>
      <c r="AJ189" s="25">
        <v>0</v>
      </c>
      <c r="AK189" s="25">
        <v>0</v>
      </c>
      <c r="AL189" s="25">
        <v>0</v>
      </c>
      <c r="AM189" s="25">
        <v>149</v>
      </c>
      <c r="AN189" s="25">
        <v>203</v>
      </c>
      <c r="AO189" s="25">
        <v>67</v>
      </c>
      <c r="AP189" s="23">
        <v>2136.0850746268657</v>
      </c>
      <c r="AQ189" s="26">
        <v>2.2238805970149254</v>
      </c>
      <c r="AR189" s="23">
        <v>96464</v>
      </c>
      <c r="AS189" s="23">
        <v>9254</v>
      </c>
      <c r="AT189" s="24">
        <v>0.73867872387552336</v>
      </c>
      <c r="AU189" s="23">
        <v>28623.54</v>
      </c>
      <c r="AV189" s="27">
        <v>6</v>
      </c>
      <c r="AW189" s="27">
        <v>744</v>
      </c>
      <c r="AX189" s="81">
        <v>5366.62</v>
      </c>
      <c r="AY189" s="83">
        <v>215</v>
      </c>
      <c r="AZ189" s="83">
        <v>5</v>
      </c>
      <c r="BA189" s="83">
        <v>20</v>
      </c>
      <c r="BB189" s="83">
        <v>0</v>
      </c>
      <c r="BC189" s="99"/>
      <c r="BD189" s="99"/>
      <c r="BE189" s="3">
        <v>0</v>
      </c>
    </row>
    <row r="190" spans="1:57" ht="15.6">
      <c r="A190" s="2" t="s">
        <v>118</v>
      </c>
      <c r="B190" s="19" t="s">
        <v>362</v>
      </c>
      <c r="C190" s="20" t="s">
        <v>304</v>
      </c>
      <c r="D190" s="21" t="s">
        <v>539</v>
      </c>
      <c r="E190" s="44">
        <v>45817</v>
      </c>
      <c r="F190" s="21" t="s">
        <v>419</v>
      </c>
      <c r="G190" s="23"/>
      <c r="H190" s="28">
        <v>32500</v>
      </c>
      <c r="I190" s="28">
        <v>1500000</v>
      </c>
      <c r="J190" s="23">
        <v>0</v>
      </c>
      <c r="K190" s="23">
        <v>6000000</v>
      </c>
      <c r="L190" s="23">
        <v>1062980.53</v>
      </c>
      <c r="M190" s="23">
        <v>0</v>
      </c>
      <c r="N190" s="23">
        <v>881493</v>
      </c>
      <c r="O190" s="24">
        <v>0.17716342166666668</v>
      </c>
      <c r="P190" s="24">
        <v>0</v>
      </c>
      <c r="Q190" s="24">
        <v>0.1469155</v>
      </c>
      <c r="R190" s="25">
        <v>45</v>
      </c>
      <c r="S190" s="25">
        <v>68</v>
      </c>
      <c r="T190" s="25">
        <v>23</v>
      </c>
      <c r="U190" s="25">
        <v>16</v>
      </c>
      <c r="V190" s="25">
        <v>68</v>
      </c>
      <c r="W190" s="25">
        <v>0</v>
      </c>
      <c r="X190" s="26">
        <v>373999.4</v>
      </c>
      <c r="Y190" s="26">
        <v>688981.13</v>
      </c>
      <c r="Z190" s="25">
        <v>7</v>
      </c>
      <c r="AA190" s="25">
        <v>16</v>
      </c>
      <c r="AB190" s="25">
        <v>23</v>
      </c>
      <c r="AC190" s="25">
        <v>0</v>
      </c>
      <c r="AD190" s="25">
        <v>201</v>
      </c>
      <c r="AE190" s="25">
        <v>339</v>
      </c>
      <c r="AF190" s="25">
        <v>2</v>
      </c>
      <c r="AG190" s="25">
        <v>2</v>
      </c>
      <c r="AH190" s="25">
        <v>8</v>
      </c>
      <c r="AI190" s="25">
        <v>0</v>
      </c>
      <c r="AJ190" s="25">
        <v>0</v>
      </c>
      <c r="AK190" s="25">
        <v>0</v>
      </c>
      <c r="AL190" s="25">
        <v>0</v>
      </c>
      <c r="AM190" s="25">
        <v>209</v>
      </c>
      <c r="AN190" s="25">
        <v>556</v>
      </c>
      <c r="AO190" s="25">
        <v>90</v>
      </c>
      <c r="AP190" s="23">
        <v>11810.894777777778</v>
      </c>
      <c r="AQ190" s="26">
        <v>2.3222222222222224</v>
      </c>
      <c r="AR190" s="23">
        <v>130000</v>
      </c>
      <c r="AS190" s="23">
        <v>5506</v>
      </c>
      <c r="AT190" s="24">
        <v>0.12747740544222386</v>
      </c>
      <c r="AU190" s="23">
        <v>46216.544782608697</v>
      </c>
      <c r="AV190" s="27">
        <v>41</v>
      </c>
      <c r="AW190" s="27">
        <v>923</v>
      </c>
      <c r="AX190" s="81">
        <v>5218.84</v>
      </c>
      <c r="AY190" s="83">
        <v>77</v>
      </c>
      <c r="AZ190" s="83">
        <v>23</v>
      </c>
      <c r="BA190" s="83">
        <v>45</v>
      </c>
      <c r="BB190" s="83">
        <v>0</v>
      </c>
      <c r="BC190" s="99"/>
      <c r="BD190" s="99"/>
      <c r="BE190" s="3">
        <v>-5.0000000046566129E-2</v>
      </c>
    </row>
    <row r="191" spans="1:57" ht="13.2">
      <c r="A191" s="2" t="s">
        <v>118</v>
      </c>
      <c r="B191" s="19" t="s">
        <v>362</v>
      </c>
      <c r="C191" s="19" t="s">
        <v>305</v>
      </c>
      <c r="D191" s="21" t="s">
        <v>650</v>
      </c>
      <c r="E191" s="44">
        <v>45824</v>
      </c>
      <c r="F191" s="21" t="s">
        <v>419</v>
      </c>
      <c r="G191" s="28"/>
      <c r="H191" s="28">
        <v>28850</v>
      </c>
      <c r="I191" s="28"/>
      <c r="J191" s="28">
        <v>0</v>
      </c>
      <c r="K191" s="28">
        <v>0</v>
      </c>
      <c r="L191" s="28">
        <v>1333155.7</v>
      </c>
      <c r="M191" s="28">
        <v>0</v>
      </c>
      <c r="N191" s="21">
        <v>0</v>
      </c>
      <c r="O191" s="24"/>
      <c r="P191" s="24">
        <v>0</v>
      </c>
      <c r="Q191" s="24"/>
      <c r="R191" s="21">
        <v>12</v>
      </c>
      <c r="S191" s="21">
        <v>12</v>
      </c>
      <c r="T191" s="21">
        <v>0</v>
      </c>
      <c r="U191" s="21">
        <v>0</v>
      </c>
      <c r="V191" s="21">
        <v>12</v>
      </c>
      <c r="W191" s="21">
        <v>0</v>
      </c>
      <c r="X191" s="28">
        <v>1333155.7</v>
      </c>
      <c r="Y191" s="28">
        <v>0</v>
      </c>
      <c r="Z191" s="21">
        <v>7</v>
      </c>
      <c r="AA191" s="21">
        <v>0</v>
      </c>
      <c r="AB191" s="21">
        <v>7</v>
      </c>
      <c r="AC191" s="21">
        <v>0</v>
      </c>
      <c r="AD191" s="21">
        <v>2</v>
      </c>
      <c r="AE191" s="21">
        <v>2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13</v>
      </c>
      <c r="AN191" s="21">
        <v>15</v>
      </c>
      <c r="AO191" s="21">
        <v>13</v>
      </c>
      <c r="AP191" s="28">
        <v>102550.43846153846</v>
      </c>
      <c r="AQ191" s="28">
        <v>1</v>
      </c>
      <c r="AR191" s="28">
        <v>28273</v>
      </c>
      <c r="AS191" s="21"/>
      <c r="AT191" s="116">
        <v>2.12075753792299E-2</v>
      </c>
      <c r="AU191" s="28">
        <v>190450.81428571427</v>
      </c>
      <c r="AV191" s="27">
        <v>11</v>
      </c>
      <c r="AW191" s="27">
        <v>125</v>
      </c>
      <c r="AX191" s="42">
        <v>450.7</v>
      </c>
      <c r="AY191" s="27">
        <v>38</v>
      </c>
      <c r="AZ191" s="27">
        <v>7</v>
      </c>
      <c r="BA191" s="27">
        <v>5</v>
      </c>
      <c r="BB191" s="27">
        <v>0</v>
      </c>
      <c r="BC191" s="29">
        <v>45852</v>
      </c>
      <c r="BD191" s="21"/>
      <c r="BE191" s="3">
        <v>-0.29999999981373549</v>
      </c>
    </row>
    <row r="192" spans="1:57" ht="15.6">
      <c r="A192" s="2" t="s">
        <v>118</v>
      </c>
      <c r="B192" s="19" t="s">
        <v>436</v>
      </c>
      <c r="C192" s="20" t="s">
        <v>306</v>
      </c>
      <c r="D192" s="21" t="s">
        <v>651</v>
      </c>
      <c r="E192" s="44">
        <v>45824</v>
      </c>
      <c r="F192" s="21" t="s">
        <v>499</v>
      </c>
      <c r="G192" s="28"/>
      <c r="H192" s="28">
        <v>32500</v>
      </c>
      <c r="I192" s="28">
        <v>1500000</v>
      </c>
      <c r="J192" s="28">
        <v>0</v>
      </c>
      <c r="K192" s="28">
        <v>4500000</v>
      </c>
      <c r="L192" s="28">
        <v>191794.85</v>
      </c>
      <c r="M192" s="28">
        <v>0</v>
      </c>
      <c r="N192" s="21">
        <v>444078</v>
      </c>
      <c r="O192" s="24">
        <v>4.262107777777778E-2</v>
      </c>
      <c r="P192" s="24">
        <v>0</v>
      </c>
      <c r="Q192" s="24">
        <v>9.8683999999999994E-2</v>
      </c>
      <c r="R192" s="21">
        <v>20</v>
      </c>
      <c r="S192" s="21">
        <v>23</v>
      </c>
      <c r="T192" s="21">
        <v>4</v>
      </c>
      <c r="U192" s="21">
        <v>4</v>
      </c>
      <c r="V192" s="21">
        <v>24</v>
      </c>
      <c r="W192" s="21">
        <v>1</v>
      </c>
      <c r="X192" s="28">
        <v>11153</v>
      </c>
      <c r="Y192" s="28">
        <v>180641.85</v>
      </c>
      <c r="Z192" s="21">
        <v>2</v>
      </c>
      <c r="AA192" s="21">
        <v>4</v>
      </c>
      <c r="AB192" s="21">
        <v>6</v>
      </c>
      <c r="AC192" s="21">
        <v>0</v>
      </c>
      <c r="AD192" s="21">
        <v>89</v>
      </c>
      <c r="AE192" s="21">
        <v>234</v>
      </c>
      <c r="AF192" s="21">
        <v>1</v>
      </c>
      <c r="AG192" s="21">
        <v>1</v>
      </c>
      <c r="AH192" s="21">
        <v>1</v>
      </c>
      <c r="AI192" s="21">
        <v>0</v>
      </c>
      <c r="AJ192" s="21">
        <v>0</v>
      </c>
      <c r="AK192" s="21">
        <v>8</v>
      </c>
      <c r="AL192" s="21">
        <v>15</v>
      </c>
      <c r="AM192" s="21">
        <v>80</v>
      </c>
      <c r="AN192" s="21">
        <v>330</v>
      </c>
      <c r="AO192" s="21">
        <v>76</v>
      </c>
      <c r="AP192" s="28">
        <v>2523.6164473684212</v>
      </c>
      <c r="AQ192" s="28">
        <v>1.0526315789473684</v>
      </c>
      <c r="AR192" s="28">
        <v>112666.66666666667</v>
      </c>
      <c r="AS192" s="21"/>
      <c r="AT192" s="116">
        <v>0.58743322183398916</v>
      </c>
      <c r="AU192" s="28">
        <v>31965.808333333334</v>
      </c>
      <c r="AV192" s="27">
        <v>9</v>
      </c>
      <c r="AW192" s="27">
        <v>664</v>
      </c>
      <c r="AX192" s="42">
        <v>2373.63</v>
      </c>
      <c r="AY192" s="27">
        <v>103</v>
      </c>
      <c r="AZ192" s="27">
        <v>6</v>
      </c>
      <c r="BA192" s="27">
        <v>17</v>
      </c>
      <c r="BB192" s="27">
        <v>1</v>
      </c>
      <c r="BC192" s="29"/>
      <c r="BD192" s="21"/>
      <c r="BE192" s="3">
        <v>-2.9103830456733704E-11</v>
      </c>
    </row>
    <row r="193" spans="1:57" ht="15.6">
      <c r="A193" s="2" t="s">
        <v>120</v>
      </c>
      <c r="B193" s="19" t="s">
        <v>286</v>
      </c>
      <c r="C193" s="117" t="s">
        <v>307</v>
      </c>
      <c r="D193" s="21" t="s">
        <v>357</v>
      </c>
      <c r="E193" s="44">
        <v>45828</v>
      </c>
      <c r="F193" s="21" t="s">
        <v>631</v>
      </c>
      <c r="G193" s="28"/>
      <c r="H193" s="28">
        <v>24120</v>
      </c>
      <c r="I193" s="28"/>
      <c r="J193" s="28">
        <v>0</v>
      </c>
      <c r="K193" s="28">
        <v>0</v>
      </c>
      <c r="L193" s="28">
        <v>0</v>
      </c>
      <c r="M193" s="28">
        <v>0</v>
      </c>
      <c r="N193" s="21"/>
      <c r="O193" s="24"/>
      <c r="P193" s="24">
        <v>0</v>
      </c>
      <c r="Q193" s="24"/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8">
        <v>0</v>
      </c>
      <c r="Y193" s="28">
        <v>0</v>
      </c>
      <c r="Z193" s="21">
        <v>0</v>
      </c>
      <c r="AA193" s="21">
        <v>0</v>
      </c>
      <c r="AB193" s="21">
        <v>0</v>
      </c>
      <c r="AC193" s="21">
        <v>0</v>
      </c>
      <c r="AD193" s="21">
        <v>1</v>
      </c>
      <c r="AE193" s="21">
        <v>1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1</v>
      </c>
      <c r="AO193" s="21">
        <v>1</v>
      </c>
      <c r="AP193" s="28">
        <v>0</v>
      </c>
      <c r="AQ193" s="28">
        <v>0</v>
      </c>
      <c r="AR193" s="28">
        <v>0</v>
      </c>
      <c r="AS193" s="21"/>
      <c r="AT193" s="116"/>
      <c r="AU193" s="28"/>
      <c r="AV193" s="27">
        <v>0</v>
      </c>
      <c r="AW193" s="27">
        <v>4</v>
      </c>
      <c r="AX193" s="42">
        <v>25.92</v>
      </c>
      <c r="AY193" s="27">
        <v>0</v>
      </c>
      <c r="AZ193" s="27">
        <v>0</v>
      </c>
      <c r="BA193" s="27">
        <v>0</v>
      </c>
      <c r="BB193" s="27">
        <v>0</v>
      </c>
      <c r="BC193" s="29">
        <v>45831</v>
      </c>
      <c r="BD193" s="21"/>
      <c r="BE193" s="3" t="e">
        <v>#N/A</v>
      </c>
    </row>
    <row r="194" spans="1:57" ht="15.6">
      <c r="A194" s="2" t="s">
        <v>120</v>
      </c>
      <c r="B194" s="19" t="s">
        <v>163</v>
      </c>
      <c r="C194" s="20" t="s">
        <v>308</v>
      </c>
      <c r="D194" s="21" t="s">
        <v>652</v>
      </c>
      <c r="E194" s="44">
        <v>45831</v>
      </c>
      <c r="F194" s="21" t="s">
        <v>534</v>
      </c>
      <c r="G194" s="28"/>
      <c r="H194" s="28">
        <v>24116</v>
      </c>
      <c r="I194" s="28">
        <v>1000000</v>
      </c>
      <c r="J194" s="28">
        <v>111666.66666666667</v>
      </c>
      <c r="K194" s="28">
        <v>3000000</v>
      </c>
      <c r="L194" s="28">
        <v>225872.96</v>
      </c>
      <c r="M194" s="28">
        <v>80988.160000000003</v>
      </c>
      <c r="N194" s="21">
        <v>129664</v>
      </c>
      <c r="O194" s="24">
        <v>9.8616321371183716E-2</v>
      </c>
      <c r="P194" s="24">
        <v>0.54</v>
      </c>
      <c r="Q194" s="24">
        <v>4.1670273165506165E-2</v>
      </c>
      <c r="R194" s="21">
        <v>14</v>
      </c>
      <c r="S194" s="21">
        <v>23</v>
      </c>
      <c r="T194" s="21">
        <v>9</v>
      </c>
      <c r="U194" s="21">
        <v>9</v>
      </c>
      <c r="V194" s="21">
        <v>23</v>
      </c>
      <c r="W194" s="21">
        <v>0</v>
      </c>
      <c r="X194" s="28">
        <v>6968.5</v>
      </c>
      <c r="Y194" s="28">
        <v>218904.46</v>
      </c>
      <c r="Z194" s="21">
        <v>1</v>
      </c>
      <c r="AA194" s="21">
        <v>9</v>
      </c>
      <c r="AB194" s="21">
        <v>10</v>
      </c>
      <c r="AC194" s="21">
        <v>1</v>
      </c>
      <c r="AD194" s="21">
        <v>265</v>
      </c>
      <c r="AE194" s="21">
        <v>512</v>
      </c>
      <c r="AF194" s="21">
        <v>5</v>
      </c>
      <c r="AG194" s="21">
        <v>3</v>
      </c>
      <c r="AH194" s="21">
        <v>21</v>
      </c>
      <c r="AI194" s="21">
        <v>1</v>
      </c>
      <c r="AJ194" s="21">
        <v>3</v>
      </c>
      <c r="AK194" s="21">
        <v>7</v>
      </c>
      <c r="AL194" s="21">
        <v>15</v>
      </c>
      <c r="AM194" s="21">
        <v>61</v>
      </c>
      <c r="AN194" s="21">
        <v>612</v>
      </c>
      <c r="AO194" s="21">
        <v>82</v>
      </c>
      <c r="AP194" s="28">
        <v>3742.2087804878047</v>
      </c>
      <c r="AQ194" s="28">
        <v>0.74390243902439024</v>
      </c>
      <c r="AR194" s="28">
        <v>53859.066666666666</v>
      </c>
      <c r="AS194" s="21"/>
      <c r="AT194" s="116">
        <v>0.17551609883541672</v>
      </c>
      <c r="AU194" s="28">
        <v>22587.295999999998</v>
      </c>
      <c r="AV194" s="27">
        <v>19</v>
      </c>
      <c r="AW194" s="27">
        <v>650</v>
      </c>
      <c r="AX194" s="42">
        <v>1680.44</v>
      </c>
      <c r="AY194" s="27">
        <v>73</v>
      </c>
      <c r="AZ194" s="27">
        <v>10</v>
      </c>
      <c r="BA194" s="27">
        <v>13</v>
      </c>
      <c r="BB194" s="27">
        <v>0</v>
      </c>
      <c r="BC194" s="29">
        <v>45930</v>
      </c>
      <c r="BD194" s="21"/>
      <c r="BE194" s="3">
        <v>4.0000000037252903E-2</v>
      </c>
    </row>
    <row r="195" spans="1:57" ht="15.6">
      <c r="A195" s="2" t="s">
        <v>118</v>
      </c>
      <c r="B195" s="19" t="s">
        <v>436</v>
      </c>
      <c r="C195" s="20" t="s">
        <v>309</v>
      </c>
      <c r="D195" s="21" t="s">
        <v>437</v>
      </c>
      <c r="E195" s="44">
        <v>45831</v>
      </c>
      <c r="F195" s="21" t="s">
        <v>499</v>
      </c>
      <c r="G195" s="28"/>
      <c r="H195" s="28">
        <v>27785</v>
      </c>
      <c r="I195" s="28">
        <v>1500000</v>
      </c>
      <c r="J195" s="28">
        <v>0</v>
      </c>
      <c r="K195" s="28">
        <v>4500000</v>
      </c>
      <c r="L195" s="28">
        <v>477284.34</v>
      </c>
      <c r="M195" s="28">
        <v>0</v>
      </c>
      <c r="N195" s="21">
        <v>684623</v>
      </c>
      <c r="O195" s="24">
        <v>0.10606318666666667</v>
      </c>
      <c r="P195" s="24">
        <v>0</v>
      </c>
      <c r="Q195" s="24">
        <v>0.15213844444444444</v>
      </c>
      <c r="R195" s="21">
        <v>69</v>
      </c>
      <c r="S195" s="21">
        <v>79</v>
      </c>
      <c r="T195" s="21">
        <v>11</v>
      </c>
      <c r="U195" s="21">
        <v>9</v>
      </c>
      <c r="V195" s="21">
        <v>80</v>
      </c>
      <c r="W195" s="21">
        <v>1</v>
      </c>
      <c r="X195" s="28">
        <v>337695.64</v>
      </c>
      <c r="Y195" s="28">
        <v>139588.70000000001</v>
      </c>
      <c r="Z195" s="21">
        <v>21</v>
      </c>
      <c r="AA195" s="21">
        <v>9</v>
      </c>
      <c r="AB195" s="21">
        <v>30</v>
      </c>
      <c r="AC195" s="21">
        <v>0</v>
      </c>
      <c r="AD195" s="21">
        <v>137</v>
      </c>
      <c r="AE195" s="21">
        <v>367</v>
      </c>
      <c r="AF195" s="21">
        <v>1</v>
      </c>
      <c r="AG195" s="21">
        <v>2</v>
      </c>
      <c r="AH195" s="21">
        <v>4</v>
      </c>
      <c r="AI195" s="21">
        <v>0</v>
      </c>
      <c r="AJ195" s="21">
        <v>0</v>
      </c>
      <c r="AK195" s="21">
        <v>0</v>
      </c>
      <c r="AL195" s="21">
        <v>0</v>
      </c>
      <c r="AM195" s="21">
        <v>213</v>
      </c>
      <c r="AN195" s="21">
        <v>584</v>
      </c>
      <c r="AO195" s="21">
        <v>78</v>
      </c>
      <c r="AP195" s="28">
        <v>6119.0300000000007</v>
      </c>
      <c r="AQ195" s="28">
        <v>2.7307692307692308</v>
      </c>
      <c r="AR195" s="28">
        <v>89838.166666666672</v>
      </c>
      <c r="AS195" s="21"/>
      <c r="AT195" s="116">
        <v>0.18822776935582397</v>
      </c>
      <c r="AU195" s="28">
        <v>15909.478000000001</v>
      </c>
      <c r="AV195" s="27">
        <v>175</v>
      </c>
      <c r="AW195" s="27">
        <v>867</v>
      </c>
      <c r="AX195" s="42">
        <v>8660.4500000000007</v>
      </c>
      <c r="AY195" s="27">
        <v>110</v>
      </c>
      <c r="AZ195" s="27">
        <v>30</v>
      </c>
      <c r="BA195" s="27">
        <v>49</v>
      </c>
      <c r="BB195" s="27">
        <v>1</v>
      </c>
      <c r="BC195" s="29"/>
      <c r="BD195" s="21"/>
      <c r="BE195" s="3">
        <v>-5.8207660913467407E-11</v>
      </c>
    </row>
    <row r="196" spans="1:57" ht="15.6">
      <c r="A196" s="2" t="s">
        <v>201</v>
      </c>
      <c r="B196" s="19" t="s">
        <v>431</v>
      </c>
      <c r="C196" s="20" t="s">
        <v>310</v>
      </c>
      <c r="D196" s="21" t="s">
        <v>531</v>
      </c>
      <c r="E196" s="44">
        <v>45839</v>
      </c>
      <c r="F196" s="21" t="s">
        <v>431</v>
      </c>
      <c r="G196" s="28"/>
      <c r="H196" s="28">
        <v>99750</v>
      </c>
      <c r="I196" s="28">
        <v>3500000</v>
      </c>
      <c r="J196" s="28">
        <v>4500000</v>
      </c>
      <c r="K196" s="28">
        <v>6000000</v>
      </c>
      <c r="L196" s="28">
        <v>0</v>
      </c>
      <c r="M196" s="28">
        <v>0</v>
      </c>
      <c r="N196" s="21">
        <v>0</v>
      </c>
      <c r="O196" s="24">
        <v>0</v>
      </c>
      <c r="P196" s="24">
        <v>0</v>
      </c>
      <c r="Q196" s="24">
        <v>0</v>
      </c>
      <c r="R196" s="21">
        <v>83</v>
      </c>
      <c r="S196" s="21">
        <v>103</v>
      </c>
      <c r="T196" s="21">
        <v>21</v>
      </c>
      <c r="U196" s="21">
        <v>0</v>
      </c>
      <c r="V196" s="21">
        <v>104</v>
      </c>
      <c r="W196" s="21">
        <v>1</v>
      </c>
      <c r="X196" s="28">
        <v>0</v>
      </c>
      <c r="Y196" s="28">
        <v>0</v>
      </c>
      <c r="Z196" s="21">
        <v>0</v>
      </c>
      <c r="AA196" s="21">
        <v>0</v>
      </c>
      <c r="AB196" s="21">
        <v>0</v>
      </c>
      <c r="AC196" s="21">
        <v>0</v>
      </c>
      <c r="AD196" s="21">
        <v>54</v>
      </c>
      <c r="AE196" s="21">
        <v>65</v>
      </c>
      <c r="AF196" s="21">
        <v>2</v>
      </c>
      <c r="AG196" s="21">
        <v>4</v>
      </c>
      <c r="AH196" s="21">
        <v>56</v>
      </c>
      <c r="AI196" s="21">
        <v>0</v>
      </c>
      <c r="AJ196" s="21">
        <v>0</v>
      </c>
      <c r="AK196" s="21">
        <v>0</v>
      </c>
      <c r="AL196" s="21">
        <v>0</v>
      </c>
      <c r="AM196" s="21">
        <v>169</v>
      </c>
      <c r="AN196" s="21">
        <v>290</v>
      </c>
      <c r="AO196" s="21">
        <v>70</v>
      </c>
      <c r="AP196" s="28">
        <v>0</v>
      </c>
      <c r="AQ196" s="28">
        <v>2.4142857142857141</v>
      </c>
      <c r="AR196" s="28">
        <v>299250</v>
      </c>
      <c r="AS196" s="21"/>
      <c r="AT196" s="116"/>
      <c r="AU196" s="28"/>
      <c r="AV196" s="27">
        <v>0</v>
      </c>
      <c r="AW196" s="27">
        <v>612</v>
      </c>
      <c r="AX196" s="42">
        <v>4397.12</v>
      </c>
      <c r="AY196" s="27">
        <v>43</v>
      </c>
      <c r="AZ196" s="27">
        <v>0</v>
      </c>
      <c r="BA196" s="27">
        <v>103</v>
      </c>
      <c r="BB196" s="27">
        <v>1</v>
      </c>
      <c r="BC196" s="29"/>
      <c r="BD196" s="21"/>
      <c r="BE196" s="3">
        <v>0</v>
      </c>
    </row>
    <row r="197" spans="1:57" ht="13.2">
      <c r="A197" s="2" t="s">
        <v>201</v>
      </c>
      <c r="B197" s="19" t="s">
        <v>438</v>
      </c>
      <c r="C197" s="19" t="s">
        <v>311</v>
      </c>
      <c r="D197" s="21" t="s">
        <v>505</v>
      </c>
      <c r="E197" s="44">
        <v>45839</v>
      </c>
      <c r="F197" s="21" t="s">
        <v>504</v>
      </c>
      <c r="G197" s="28"/>
      <c r="H197" s="28">
        <v>27800</v>
      </c>
      <c r="I197" s="28">
        <v>1650000</v>
      </c>
      <c r="J197" s="28">
        <v>0</v>
      </c>
      <c r="K197" s="28">
        <v>4950000</v>
      </c>
      <c r="L197" s="28">
        <v>1433187.69</v>
      </c>
      <c r="M197" s="28">
        <v>0</v>
      </c>
      <c r="N197" s="21">
        <v>1319900</v>
      </c>
      <c r="O197" s="24">
        <v>0.28953286666666667</v>
      </c>
      <c r="P197" s="24">
        <v>0</v>
      </c>
      <c r="Q197" s="24">
        <v>0.26664646464646463</v>
      </c>
      <c r="R197" s="21">
        <v>61</v>
      </c>
      <c r="S197" s="21">
        <v>66</v>
      </c>
      <c r="T197" s="21">
        <v>5</v>
      </c>
      <c r="U197" s="21">
        <v>5</v>
      </c>
      <c r="V197" s="21">
        <v>66</v>
      </c>
      <c r="W197" s="21">
        <v>0</v>
      </c>
      <c r="X197" s="28">
        <v>1291142.4099999999</v>
      </c>
      <c r="Y197" s="28">
        <v>142045.28</v>
      </c>
      <c r="Z197" s="21">
        <v>35</v>
      </c>
      <c r="AA197" s="21">
        <v>5</v>
      </c>
      <c r="AB197" s="21">
        <v>40</v>
      </c>
      <c r="AC197" s="21">
        <v>0</v>
      </c>
      <c r="AD197" s="21">
        <v>25</v>
      </c>
      <c r="AE197" s="21">
        <v>59</v>
      </c>
      <c r="AF197" s="21">
        <v>0</v>
      </c>
      <c r="AG197" s="21">
        <v>1</v>
      </c>
      <c r="AH197" s="21">
        <v>17</v>
      </c>
      <c r="AI197" s="21">
        <v>0</v>
      </c>
      <c r="AJ197" s="21">
        <v>0</v>
      </c>
      <c r="AK197" s="21">
        <v>0</v>
      </c>
      <c r="AL197" s="21">
        <v>0</v>
      </c>
      <c r="AM197" s="21">
        <v>230</v>
      </c>
      <c r="AN197" s="21">
        <v>306</v>
      </c>
      <c r="AO197" s="21">
        <v>64</v>
      </c>
      <c r="AP197" s="28">
        <v>22393.557656249999</v>
      </c>
      <c r="AQ197" s="28">
        <v>3.59375</v>
      </c>
      <c r="AR197" s="28">
        <v>83400</v>
      </c>
      <c r="AS197" s="21"/>
      <c r="AT197" s="116">
        <v>5.8191959491362924E-2</v>
      </c>
      <c r="AU197" s="28">
        <v>35829.69225</v>
      </c>
      <c r="AV197" s="27">
        <v>78</v>
      </c>
      <c r="AW197" s="27">
        <v>599</v>
      </c>
      <c r="AX197" s="42">
        <v>3787.5</v>
      </c>
      <c r="AY197" s="27">
        <v>57</v>
      </c>
      <c r="AZ197" s="27">
        <v>40</v>
      </c>
      <c r="BA197" s="27">
        <v>26</v>
      </c>
      <c r="BB197" s="27">
        <v>0</v>
      </c>
      <c r="BC197" s="29"/>
      <c r="BD197" s="21"/>
      <c r="BE197" s="3">
        <v>0</v>
      </c>
    </row>
    <row r="198" spans="1:57" ht="13.2">
      <c r="A198" s="2" t="s">
        <v>108</v>
      </c>
      <c r="B198" s="19" t="s">
        <v>465</v>
      </c>
      <c r="C198" s="19" t="s">
        <v>312</v>
      </c>
      <c r="D198" s="21" t="s">
        <v>654</v>
      </c>
      <c r="E198" s="44">
        <v>45842</v>
      </c>
      <c r="F198" s="21" t="s">
        <v>506</v>
      </c>
      <c r="G198" s="28"/>
      <c r="H198" s="28">
        <v>36190</v>
      </c>
      <c r="I198" s="28">
        <v>1097777.7779999999</v>
      </c>
      <c r="J198" s="28">
        <v>0</v>
      </c>
      <c r="K198" s="28">
        <v>2860000</v>
      </c>
      <c r="L198" s="28">
        <v>0</v>
      </c>
      <c r="M198" s="28">
        <v>0</v>
      </c>
      <c r="N198" s="21">
        <v>0</v>
      </c>
      <c r="O198" s="24">
        <v>0</v>
      </c>
      <c r="P198" s="24">
        <v>0</v>
      </c>
      <c r="Q198" s="24">
        <v>0</v>
      </c>
      <c r="R198" s="21">
        <v>22</v>
      </c>
      <c r="S198" s="21">
        <v>22</v>
      </c>
      <c r="T198" s="21">
        <v>0</v>
      </c>
      <c r="U198" s="21">
        <v>0</v>
      </c>
      <c r="V198" s="21">
        <v>22</v>
      </c>
      <c r="W198" s="21">
        <v>0</v>
      </c>
      <c r="X198" s="28">
        <v>0</v>
      </c>
      <c r="Y198" s="28">
        <v>0</v>
      </c>
      <c r="Z198" s="21">
        <v>0</v>
      </c>
      <c r="AA198" s="21">
        <v>0</v>
      </c>
      <c r="AB198" s="21">
        <v>0</v>
      </c>
      <c r="AC198" s="21">
        <v>0</v>
      </c>
      <c r="AD198" s="21">
        <v>10</v>
      </c>
      <c r="AE198" s="21">
        <v>34</v>
      </c>
      <c r="AF198" s="21">
        <v>0</v>
      </c>
      <c r="AG198" s="21">
        <v>3</v>
      </c>
      <c r="AH198" s="21">
        <v>7</v>
      </c>
      <c r="AI198" s="21">
        <v>0</v>
      </c>
      <c r="AJ198" s="21">
        <v>0</v>
      </c>
      <c r="AK198" s="21">
        <v>0</v>
      </c>
      <c r="AL198" s="21">
        <v>0</v>
      </c>
      <c r="AM198" s="21">
        <v>97</v>
      </c>
      <c r="AN198" s="21">
        <v>138</v>
      </c>
      <c r="AO198" s="21">
        <v>47</v>
      </c>
      <c r="AP198" s="28">
        <v>0</v>
      </c>
      <c r="AQ198" s="28">
        <v>2.0638297872340425</v>
      </c>
      <c r="AR198" s="28">
        <v>95300.333333333328</v>
      </c>
      <c r="AS198" s="21"/>
      <c r="AT198" s="116"/>
      <c r="AU198" s="28"/>
      <c r="AV198" s="27">
        <v>0</v>
      </c>
      <c r="AW198" s="27">
        <v>384</v>
      </c>
      <c r="AX198" s="42">
        <v>2452.88</v>
      </c>
      <c r="AY198" s="27">
        <v>111</v>
      </c>
      <c r="AZ198" s="27">
        <v>0</v>
      </c>
      <c r="BA198" s="27">
        <v>22</v>
      </c>
      <c r="BB198" s="27">
        <v>0</v>
      </c>
      <c r="BC198" s="29">
        <v>45911</v>
      </c>
      <c r="BD198" s="21"/>
      <c r="BE198" s="3">
        <v>0</v>
      </c>
    </row>
    <row r="199" spans="1:57" ht="15.6">
      <c r="A199" s="2" t="s">
        <v>108</v>
      </c>
      <c r="B199" s="19" t="s">
        <v>465</v>
      </c>
      <c r="C199" s="20" t="s">
        <v>313</v>
      </c>
      <c r="D199" s="21" t="s">
        <v>475</v>
      </c>
      <c r="E199" s="44">
        <v>45842</v>
      </c>
      <c r="F199" s="21" t="s">
        <v>506</v>
      </c>
      <c r="G199" s="28"/>
      <c r="H199" s="28">
        <v>48765</v>
      </c>
      <c r="I199" s="28">
        <v>1688888.889</v>
      </c>
      <c r="J199" s="28">
        <v>0</v>
      </c>
      <c r="K199" s="28">
        <v>4400000</v>
      </c>
      <c r="L199" s="28">
        <v>2760078.1</v>
      </c>
      <c r="M199" s="28">
        <v>0</v>
      </c>
      <c r="N199" s="21">
        <v>507825</v>
      </c>
      <c r="O199" s="24">
        <v>0.62729047727272724</v>
      </c>
      <c r="P199" s="24">
        <v>0</v>
      </c>
      <c r="Q199" s="24">
        <v>0.11541477272727273</v>
      </c>
      <c r="R199" s="21">
        <v>57</v>
      </c>
      <c r="S199" s="21">
        <v>63</v>
      </c>
      <c r="T199" s="21">
        <v>6</v>
      </c>
      <c r="U199" s="21">
        <v>1</v>
      </c>
      <c r="V199" s="21">
        <v>63</v>
      </c>
      <c r="W199" s="21">
        <v>0</v>
      </c>
      <c r="X199" s="28">
        <v>2752236.1</v>
      </c>
      <c r="Y199" s="28">
        <v>7842</v>
      </c>
      <c r="Z199" s="21">
        <v>10</v>
      </c>
      <c r="AA199" s="21">
        <v>1</v>
      </c>
      <c r="AB199" s="21">
        <v>11</v>
      </c>
      <c r="AC199" s="21">
        <v>0</v>
      </c>
      <c r="AD199" s="21">
        <v>82</v>
      </c>
      <c r="AE199" s="21">
        <v>142</v>
      </c>
      <c r="AF199" s="21">
        <v>1</v>
      </c>
      <c r="AG199" s="21">
        <v>3</v>
      </c>
      <c r="AH199" s="21">
        <v>12</v>
      </c>
      <c r="AI199" s="21">
        <v>0</v>
      </c>
      <c r="AJ199" s="21">
        <v>0</v>
      </c>
      <c r="AK199" s="21">
        <v>0</v>
      </c>
      <c r="AL199" s="21">
        <v>0</v>
      </c>
      <c r="AM199" s="21">
        <v>189</v>
      </c>
      <c r="AN199" s="21">
        <v>343</v>
      </c>
      <c r="AO199" s="21">
        <v>58</v>
      </c>
      <c r="AP199" s="28">
        <v>47587.553448275867</v>
      </c>
      <c r="AQ199" s="28">
        <v>3.2586206896551726</v>
      </c>
      <c r="AR199" s="28">
        <v>146295</v>
      </c>
      <c r="AS199" s="21"/>
      <c r="AT199" s="116">
        <v>5.3003934924884914E-2</v>
      </c>
      <c r="AU199" s="28">
        <v>250916.19090909092</v>
      </c>
      <c r="AV199" s="27">
        <v>63</v>
      </c>
      <c r="AW199" s="27">
        <v>536</v>
      </c>
      <c r="AX199" s="42">
        <v>4725.88</v>
      </c>
      <c r="AY199" s="27">
        <v>75</v>
      </c>
      <c r="AZ199" s="27">
        <v>11</v>
      </c>
      <c r="BA199" s="27">
        <v>52</v>
      </c>
      <c r="BB199" s="27">
        <v>0</v>
      </c>
      <c r="BC199" s="29"/>
      <c r="BD199" s="21"/>
      <c r="BE199" s="3">
        <v>-4.6566128730773926E-10</v>
      </c>
    </row>
    <row r="200" spans="1:57" ht="15.6">
      <c r="A200" s="2" t="s">
        <v>201</v>
      </c>
      <c r="B200" s="19" t="s">
        <v>431</v>
      </c>
      <c r="C200" s="20" t="s">
        <v>316</v>
      </c>
      <c r="D200" s="21" t="s">
        <v>513</v>
      </c>
      <c r="E200" s="44">
        <v>45843</v>
      </c>
      <c r="F200" s="21" t="s">
        <v>431</v>
      </c>
      <c r="G200" s="28"/>
      <c r="H200" s="28">
        <v>41430</v>
      </c>
      <c r="I200" s="28">
        <v>2000000</v>
      </c>
      <c r="J200" s="28">
        <v>0</v>
      </c>
      <c r="K200" s="28">
        <v>6000000</v>
      </c>
      <c r="L200" s="28">
        <v>1042989.62</v>
      </c>
      <c r="M200" s="28">
        <v>0</v>
      </c>
      <c r="N200" s="21">
        <v>0</v>
      </c>
      <c r="O200" s="24">
        <v>0.17383160333333333</v>
      </c>
      <c r="P200" s="24">
        <v>0</v>
      </c>
      <c r="Q200" s="24">
        <v>0</v>
      </c>
      <c r="R200" s="21">
        <v>24</v>
      </c>
      <c r="S200" s="21">
        <v>49</v>
      </c>
      <c r="T200" s="21">
        <v>28</v>
      </c>
      <c r="U200" s="21">
        <v>18</v>
      </c>
      <c r="V200" s="21">
        <v>52</v>
      </c>
      <c r="W200" s="21">
        <v>3</v>
      </c>
      <c r="X200" s="28">
        <v>464069.2</v>
      </c>
      <c r="Y200" s="28">
        <v>578920.42000000004</v>
      </c>
      <c r="Z200" s="21">
        <v>6</v>
      </c>
      <c r="AA200" s="21">
        <v>18</v>
      </c>
      <c r="AB200" s="21">
        <v>24</v>
      </c>
      <c r="AC200" s="21">
        <v>0</v>
      </c>
      <c r="AD200" s="21">
        <v>15</v>
      </c>
      <c r="AE200" s="21">
        <v>20</v>
      </c>
      <c r="AF200" s="21">
        <v>1</v>
      </c>
      <c r="AG200" s="21">
        <v>3</v>
      </c>
      <c r="AH200" s="21">
        <v>32</v>
      </c>
      <c r="AI200" s="21">
        <v>0</v>
      </c>
      <c r="AJ200" s="21">
        <v>0</v>
      </c>
      <c r="AK200" s="21">
        <v>0</v>
      </c>
      <c r="AL200" s="21">
        <v>0</v>
      </c>
      <c r="AM200" s="21">
        <v>168</v>
      </c>
      <c r="AN200" s="21">
        <v>220</v>
      </c>
      <c r="AO200" s="21">
        <v>65</v>
      </c>
      <c r="AP200" s="28">
        <v>16045.994153846153</v>
      </c>
      <c r="AQ200" s="28">
        <v>2.5846153846153848</v>
      </c>
      <c r="AR200" s="28">
        <v>124290</v>
      </c>
      <c r="AS200" s="21"/>
      <c r="AT200" s="116">
        <v>0.11916705364718778</v>
      </c>
      <c r="AU200" s="28">
        <v>43457.900833333333</v>
      </c>
      <c r="AV200" s="27">
        <v>37</v>
      </c>
      <c r="AW200" s="27">
        <v>661</v>
      </c>
      <c r="AX200" s="42">
        <v>5847.13</v>
      </c>
      <c r="AY200" s="27">
        <v>119</v>
      </c>
      <c r="AZ200" s="27">
        <v>24</v>
      </c>
      <c r="BA200" s="27">
        <v>25</v>
      </c>
      <c r="BB200" s="27">
        <v>3</v>
      </c>
      <c r="BC200" s="29"/>
      <c r="BD200" s="21"/>
      <c r="BE200" s="3">
        <v>-1.1641532182693481E-10</v>
      </c>
    </row>
    <row r="201" spans="1:57" ht="15.6">
      <c r="A201" s="2" t="s">
        <v>154</v>
      </c>
      <c r="B201" s="19" t="s">
        <v>370</v>
      </c>
      <c r="C201" s="20" t="s">
        <v>314</v>
      </c>
      <c r="D201" s="21" t="s">
        <v>655</v>
      </c>
      <c r="E201" s="44">
        <v>45845</v>
      </c>
      <c r="F201" s="21" t="s">
        <v>542</v>
      </c>
      <c r="G201" s="28"/>
      <c r="H201" s="28">
        <v>37760</v>
      </c>
      <c r="I201" s="28"/>
      <c r="J201" s="28">
        <v>0</v>
      </c>
      <c r="K201" s="28">
        <v>0</v>
      </c>
      <c r="L201" s="28">
        <v>0</v>
      </c>
      <c r="M201" s="28">
        <v>0</v>
      </c>
      <c r="N201" s="21">
        <v>0</v>
      </c>
      <c r="O201" s="24"/>
      <c r="P201" s="24">
        <v>0</v>
      </c>
      <c r="Q201" s="24"/>
      <c r="R201" s="21">
        <v>4</v>
      </c>
      <c r="S201" s="21">
        <v>4</v>
      </c>
      <c r="T201" s="21">
        <v>0</v>
      </c>
      <c r="U201" s="21">
        <v>0</v>
      </c>
      <c r="V201" s="21">
        <v>4</v>
      </c>
      <c r="W201" s="21">
        <v>0</v>
      </c>
      <c r="X201" s="28">
        <v>0</v>
      </c>
      <c r="Y201" s="28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29</v>
      </c>
      <c r="AE201" s="21">
        <v>85</v>
      </c>
      <c r="AF201" s="21">
        <v>0</v>
      </c>
      <c r="AG201" s="21">
        <v>1</v>
      </c>
      <c r="AH201" s="21">
        <v>1</v>
      </c>
      <c r="AI201" s="21">
        <v>0</v>
      </c>
      <c r="AJ201" s="21">
        <v>0</v>
      </c>
      <c r="AK201" s="21">
        <v>5</v>
      </c>
      <c r="AL201" s="21">
        <v>8</v>
      </c>
      <c r="AM201" s="21">
        <v>14</v>
      </c>
      <c r="AN201" s="21">
        <v>108</v>
      </c>
      <c r="AO201" s="21">
        <v>20</v>
      </c>
      <c r="AP201" s="28">
        <v>0</v>
      </c>
      <c r="AQ201" s="28">
        <v>0.7</v>
      </c>
      <c r="AR201" s="28">
        <v>26432</v>
      </c>
      <c r="AS201" s="21"/>
      <c r="AT201" s="116"/>
      <c r="AU201" s="28"/>
      <c r="AV201" s="27">
        <v>0</v>
      </c>
      <c r="AW201" s="27">
        <v>170</v>
      </c>
      <c r="AX201" s="42">
        <v>1535.72</v>
      </c>
      <c r="AY201" s="27">
        <v>384</v>
      </c>
      <c r="AZ201" s="27">
        <v>0</v>
      </c>
      <c r="BA201" s="27">
        <v>4</v>
      </c>
      <c r="BB201" s="27">
        <v>0</v>
      </c>
      <c r="BC201" s="29">
        <v>45869</v>
      </c>
      <c r="BD201" s="21"/>
      <c r="BE201" s="3">
        <v>0</v>
      </c>
    </row>
    <row r="202" spans="1:57" ht="15.6">
      <c r="A202" s="2" t="s">
        <v>118</v>
      </c>
      <c r="B202" s="19" t="s">
        <v>362</v>
      </c>
      <c r="C202" s="20" t="s">
        <v>315</v>
      </c>
      <c r="D202" s="21" t="s">
        <v>656</v>
      </c>
      <c r="E202" s="44">
        <v>45845</v>
      </c>
      <c r="F202" s="21" t="s">
        <v>419</v>
      </c>
      <c r="G202" s="28"/>
      <c r="H202" s="28">
        <v>24120</v>
      </c>
      <c r="I202" s="28">
        <v>2000000</v>
      </c>
      <c r="J202" s="28">
        <v>0</v>
      </c>
      <c r="K202" s="28">
        <v>4000000</v>
      </c>
      <c r="L202" s="28">
        <v>2684398.08</v>
      </c>
      <c r="M202" s="28">
        <v>0</v>
      </c>
      <c r="N202" s="21">
        <v>4012832</v>
      </c>
      <c r="O202" s="24">
        <v>0.67109952000000006</v>
      </c>
      <c r="P202" s="24">
        <v>0</v>
      </c>
      <c r="Q202" s="24">
        <v>1.0032080000000001</v>
      </c>
      <c r="R202" s="21">
        <v>37</v>
      </c>
      <c r="S202" s="21">
        <v>51</v>
      </c>
      <c r="T202" s="21">
        <v>14</v>
      </c>
      <c r="U202" s="21">
        <v>14</v>
      </c>
      <c r="V202" s="21">
        <v>51</v>
      </c>
      <c r="W202" s="21">
        <v>0</v>
      </c>
      <c r="X202" s="28">
        <v>2032569.99</v>
      </c>
      <c r="Y202" s="28">
        <v>651828.09</v>
      </c>
      <c r="Z202" s="21">
        <v>16</v>
      </c>
      <c r="AA202" s="21">
        <v>14</v>
      </c>
      <c r="AB202" s="21">
        <v>30</v>
      </c>
      <c r="AC202" s="21">
        <v>0</v>
      </c>
      <c r="AD202" s="21">
        <v>49</v>
      </c>
      <c r="AE202" s="21">
        <v>119</v>
      </c>
      <c r="AF202" s="21">
        <v>1</v>
      </c>
      <c r="AG202" s="21">
        <v>2</v>
      </c>
      <c r="AH202" s="21">
        <v>5</v>
      </c>
      <c r="AI202" s="21">
        <v>0</v>
      </c>
      <c r="AJ202" s="21">
        <v>0</v>
      </c>
      <c r="AK202" s="21">
        <v>0</v>
      </c>
      <c r="AL202" s="21">
        <v>0</v>
      </c>
      <c r="AM202" s="21">
        <v>233</v>
      </c>
      <c r="AN202" s="21">
        <v>357</v>
      </c>
      <c r="AO202" s="21">
        <v>68</v>
      </c>
      <c r="AP202" s="28">
        <v>39476.44235294118</v>
      </c>
      <c r="AQ202" s="28">
        <v>3.4264705882352939</v>
      </c>
      <c r="AR202" s="28">
        <v>72360</v>
      </c>
      <c r="AS202" s="21"/>
      <c r="AT202" s="116">
        <v>2.6955763580340512E-2</v>
      </c>
      <c r="AU202" s="28">
        <v>89479.936000000002</v>
      </c>
      <c r="AV202" s="27">
        <v>45</v>
      </c>
      <c r="AW202" s="27">
        <v>794</v>
      </c>
      <c r="AX202" s="42">
        <v>6827.14</v>
      </c>
      <c r="AY202" s="27">
        <v>134</v>
      </c>
      <c r="AZ202" s="27">
        <v>30</v>
      </c>
      <c r="BA202" s="27">
        <v>21</v>
      </c>
      <c r="BB202" s="27">
        <v>0</v>
      </c>
      <c r="BC202" s="29"/>
      <c r="BD202" s="21"/>
      <c r="BE202" s="3">
        <v>-4.6566128730773926E-10</v>
      </c>
    </row>
    <row r="203" spans="1:57" ht="15.6">
      <c r="A203" s="2" t="s">
        <v>108</v>
      </c>
      <c r="B203" s="19" t="s">
        <v>465</v>
      </c>
      <c r="C203" s="20" t="s">
        <v>317</v>
      </c>
      <c r="D203" s="21" t="s">
        <v>507</v>
      </c>
      <c r="E203" s="44">
        <v>45859</v>
      </c>
      <c r="F203" s="21" t="s">
        <v>506</v>
      </c>
      <c r="G203" s="28"/>
      <c r="H203" s="28">
        <v>51910</v>
      </c>
      <c r="I203" s="28"/>
      <c r="J203" s="28">
        <v>0</v>
      </c>
      <c r="K203" s="28">
        <v>0</v>
      </c>
      <c r="L203" s="28">
        <v>0</v>
      </c>
      <c r="M203" s="28">
        <v>0</v>
      </c>
      <c r="N203" s="21"/>
      <c r="O203" s="24"/>
      <c r="P203" s="24">
        <v>0</v>
      </c>
      <c r="Q203" s="24"/>
      <c r="R203" s="21">
        <v>79</v>
      </c>
      <c r="S203" s="21">
        <v>111</v>
      </c>
      <c r="T203" s="21">
        <v>37</v>
      </c>
      <c r="U203" s="21">
        <v>0</v>
      </c>
      <c r="V203" s="21">
        <v>116</v>
      </c>
      <c r="W203" s="21">
        <v>5</v>
      </c>
      <c r="X203" s="28">
        <v>0</v>
      </c>
      <c r="Y203" s="28">
        <v>0</v>
      </c>
      <c r="Z203" s="21">
        <v>0</v>
      </c>
      <c r="AA203" s="21">
        <v>0</v>
      </c>
      <c r="AB203" s="21">
        <v>0</v>
      </c>
      <c r="AC203" s="21">
        <v>0</v>
      </c>
      <c r="AD203" s="21">
        <v>5</v>
      </c>
      <c r="AE203" s="21">
        <v>7</v>
      </c>
      <c r="AF203" s="21">
        <v>0</v>
      </c>
      <c r="AG203" s="21">
        <v>1</v>
      </c>
      <c r="AH203" s="21">
        <v>6</v>
      </c>
      <c r="AI203" s="21">
        <v>0</v>
      </c>
      <c r="AJ203" s="21">
        <v>0</v>
      </c>
      <c r="AK203" s="21">
        <v>0</v>
      </c>
      <c r="AL203" s="21">
        <v>0</v>
      </c>
      <c r="AM203" s="21">
        <v>217</v>
      </c>
      <c r="AN203" s="21">
        <v>230</v>
      </c>
      <c r="AO203" s="21">
        <v>57</v>
      </c>
      <c r="AP203" s="28">
        <v>0</v>
      </c>
      <c r="AQ203" s="28">
        <v>3.807017543859649</v>
      </c>
      <c r="AR203" s="28">
        <v>120565.16129032256</v>
      </c>
      <c r="AS203" s="21"/>
      <c r="AT203" s="116"/>
      <c r="AU203" s="28"/>
      <c r="AV203" s="27">
        <v>0</v>
      </c>
      <c r="AW203" s="27">
        <v>620</v>
      </c>
      <c r="AX203" s="42">
        <v>5206.3900000000003</v>
      </c>
      <c r="AY203" s="27">
        <v>47</v>
      </c>
      <c r="AZ203" s="27">
        <v>0</v>
      </c>
      <c r="BA203" s="27">
        <v>111</v>
      </c>
      <c r="BB203" s="27">
        <v>5</v>
      </c>
      <c r="BC203" s="29"/>
      <c r="BD203" s="21"/>
      <c r="BE203" s="3" t="e">
        <v>#N/A</v>
      </c>
    </row>
    <row r="204" spans="1:57" ht="15.6">
      <c r="A204" s="2" t="s">
        <v>154</v>
      </c>
      <c r="B204" s="19" t="s">
        <v>367</v>
      </c>
      <c r="C204" s="20" t="s">
        <v>320</v>
      </c>
      <c r="D204" s="21" t="s">
        <v>373</v>
      </c>
      <c r="E204" s="44">
        <v>45861</v>
      </c>
      <c r="F204" s="21" t="s">
        <v>577</v>
      </c>
      <c r="G204" s="28"/>
      <c r="H204" s="28">
        <v>24120</v>
      </c>
      <c r="I204" s="28">
        <v>500000</v>
      </c>
      <c r="J204" s="28">
        <v>0</v>
      </c>
      <c r="K204" s="28">
        <v>1000000</v>
      </c>
      <c r="L204" s="28">
        <v>73202</v>
      </c>
      <c r="M204" s="28">
        <v>0</v>
      </c>
      <c r="N204" s="21">
        <v>0</v>
      </c>
      <c r="O204" s="24">
        <v>7.3202000000000003E-2</v>
      </c>
      <c r="P204" s="24">
        <v>0</v>
      </c>
      <c r="Q204" s="24">
        <v>0</v>
      </c>
      <c r="R204" s="21">
        <v>8</v>
      </c>
      <c r="S204" s="21">
        <v>10</v>
      </c>
      <c r="T204" s="21">
        <v>2</v>
      </c>
      <c r="U204" s="21">
        <v>2</v>
      </c>
      <c r="V204" s="21">
        <v>10</v>
      </c>
      <c r="W204" s="21">
        <v>0</v>
      </c>
      <c r="X204" s="28">
        <v>30460</v>
      </c>
      <c r="Y204" s="28">
        <v>42742</v>
      </c>
      <c r="Z204" s="21">
        <v>1</v>
      </c>
      <c r="AA204" s="21">
        <v>2</v>
      </c>
      <c r="AB204" s="21">
        <v>3</v>
      </c>
      <c r="AC204" s="21">
        <v>0</v>
      </c>
      <c r="AD204" s="21">
        <v>160</v>
      </c>
      <c r="AE204" s="21">
        <v>369</v>
      </c>
      <c r="AF204" s="21">
        <v>0</v>
      </c>
      <c r="AG204" s="21">
        <v>2</v>
      </c>
      <c r="AH204" s="21">
        <v>20</v>
      </c>
      <c r="AI204" s="21">
        <v>0</v>
      </c>
      <c r="AJ204" s="21">
        <v>0</v>
      </c>
      <c r="AK204" s="21">
        <v>2</v>
      </c>
      <c r="AL204" s="21">
        <v>3</v>
      </c>
      <c r="AM204" s="21">
        <v>25</v>
      </c>
      <c r="AN204" s="21">
        <v>417</v>
      </c>
      <c r="AO204" s="21">
        <v>52</v>
      </c>
      <c r="AP204" s="28">
        <v>1407.7307692307693</v>
      </c>
      <c r="AQ204" s="28">
        <v>0.48076923076923078</v>
      </c>
      <c r="AR204" s="28">
        <v>56020.645161290318</v>
      </c>
      <c r="AS204" s="21"/>
      <c r="AT204" s="116">
        <v>0.7652884506064086</v>
      </c>
      <c r="AU204" s="28">
        <v>24400.666666666668</v>
      </c>
      <c r="AV204" s="27">
        <v>3</v>
      </c>
      <c r="AW204" s="27">
        <v>507</v>
      </c>
      <c r="AX204" s="42">
        <v>3880.32</v>
      </c>
      <c r="AY204" s="27">
        <v>388</v>
      </c>
      <c r="AZ204" s="27">
        <v>3</v>
      </c>
      <c r="BA204" s="27">
        <v>7</v>
      </c>
      <c r="BB204" s="27">
        <v>0</v>
      </c>
      <c r="BC204" s="29"/>
      <c r="BD204" s="21"/>
      <c r="BE204" s="3">
        <v>0</v>
      </c>
    </row>
    <row r="205" spans="1:57" ht="15.6">
      <c r="A205" s="2" t="s">
        <v>124</v>
      </c>
      <c r="B205" s="19" t="s">
        <v>443</v>
      </c>
      <c r="C205" s="20" t="s">
        <v>318</v>
      </c>
      <c r="D205" s="21" t="s">
        <v>657</v>
      </c>
      <c r="E205" s="44">
        <v>45862</v>
      </c>
      <c r="F205" s="21" t="s">
        <v>517</v>
      </c>
      <c r="G205" s="28"/>
      <c r="H205" s="28">
        <v>39330</v>
      </c>
      <c r="I205" s="28">
        <v>1200000</v>
      </c>
      <c r="J205" s="28">
        <v>0</v>
      </c>
      <c r="K205" s="28">
        <v>2400000</v>
      </c>
      <c r="L205" s="28">
        <v>113402.6</v>
      </c>
      <c r="M205" s="28">
        <v>0</v>
      </c>
      <c r="N205" s="21">
        <v>0</v>
      </c>
      <c r="O205" s="24">
        <v>4.7251083333333332E-2</v>
      </c>
      <c r="P205" s="24">
        <v>0</v>
      </c>
      <c r="Q205" s="24">
        <v>0</v>
      </c>
      <c r="R205" s="21">
        <v>27</v>
      </c>
      <c r="S205" s="21">
        <v>33</v>
      </c>
      <c r="T205" s="21">
        <v>6</v>
      </c>
      <c r="U205" s="21">
        <v>5</v>
      </c>
      <c r="V205" s="21">
        <v>33</v>
      </c>
      <c r="W205" s="21">
        <v>0</v>
      </c>
      <c r="X205" s="28">
        <v>46310.3</v>
      </c>
      <c r="Y205" s="28">
        <v>67092.3</v>
      </c>
      <c r="Z205" s="21">
        <v>5</v>
      </c>
      <c r="AA205" s="21">
        <v>5</v>
      </c>
      <c r="AB205" s="21">
        <v>10</v>
      </c>
      <c r="AC205" s="21">
        <v>0</v>
      </c>
      <c r="AD205" s="21">
        <v>76</v>
      </c>
      <c r="AE205" s="21">
        <v>111</v>
      </c>
      <c r="AF205" s="21">
        <v>0</v>
      </c>
      <c r="AG205" s="21">
        <v>1</v>
      </c>
      <c r="AH205" s="21">
        <v>1</v>
      </c>
      <c r="AI205" s="21">
        <v>0</v>
      </c>
      <c r="AJ205" s="21">
        <v>0</v>
      </c>
      <c r="AK205" s="21">
        <v>0</v>
      </c>
      <c r="AL205" s="21">
        <v>0</v>
      </c>
      <c r="AM205" s="21">
        <v>83</v>
      </c>
      <c r="AN205" s="21">
        <v>195</v>
      </c>
      <c r="AO205" s="21">
        <v>51</v>
      </c>
      <c r="AP205" s="28">
        <v>2223.5803921568627</v>
      </c>
      <c r="AQ205" s="28">
        <v>1.6274509803921569</v>
      </c>
      <c r="AR205" s="28">
        <v>91347.096774193531</v>
      </c>
      <c r="AS205" s="21"/>
      <c r="AT205" s="116">
        <v>0.80551148539974859</v>
      </c>
      <c r="AU205" s="28">
        <v>11340.26</v>
      </c>
      <c r="AV205" s="27">
        <v>11</v>
      </c>
      <c r="AW205" s="27">
        <v>468</v>
      </c>
      <c r="AX205" s="42">
        <v>2876.94</v>
      </c>
      <c r="AY205" s="27">
        <v>87</v>
      </c>
      <c r="AZ205" s="27">
        <v>10</v>
      </c>
      <c r="BA205" s="27">
        <v>23</v>
      </c>
      <c r="BB205" s="27">
        <v>0</v>
      </c>
      <c r="BC205" s="29"/>
      <c r="BD205" s="21"/>
      <c r="BE205" s="3">
        <v>0</v>
      </c>
    </row>
    <row r="206" spans="1:57" ht="15.6">
      <c r="A206" s="2" t="s">
        <v>154</v>
      </c>
      <c r="B206" s="19" t="s">
        <v>367</v>
      </c>
      <c r="C206" s="20" t="s">
        <v>319</v>
      </c>
      <c r="D206" s="21" t="s">
        <v>658</v>
      </c>
      <c r="E206" s="44">
        <v>45862</v>
      </c>
      <c r="F206" s="21" t="s">
        <v>577</v>
      </c>
      <c r="G206" s="28"/>
      <c r="H206" s="28">
        <v>25215</v>
      </c>
      <c r="I206" s="28">
        <v>500000</v>
      </c>
      <c r="J206" s="28">
        <v>0</v>
      </c>
      <c r="K206" s="28">
        <v>1000000</v>
      </c>
      <c r="L206" s="28">
        <v>85000.6</v>
      </c>
      <c r="M206" s="28">
        <v>0</v>
      </c>
      <c r="N206" s="21">
        <v>0</v>
      </c>
      <c r="O206" s="24">
        <v>8.5000600000000009E-2</v>
      </c>
      <c r="P206" s="24">
        <v>0</v>
      </c>
      <c r="Q206" s="24">
        <v>0</v>
      </c>
      <c r="R206" s="21">
        <v>2</v>
      </c>
      <c r="S206" s="21">
        <v>10</v>
      </c>
      <c r="T206" s="21">
        <v>8</v>
      </c>
      <c r="U206" s="21">
        <v>7</v>
      </c>
      <c r="V206" s="21">
        <v>10</v>
      </c>
      <c r="W206" s="21">
        <v>0</v>
      </c>
      <c r="X206" s="28">
        <v>0</v>
      </c>
      <c r="Y206" s="28">
        <v>85000.6</v>
      </c>
      <c r="Z206" s="21">
        <v>0</v>
      </c>
      <c r="AA206" s="21">
        <v>7</v>
      </c>
      <c r="AB206" s="21">
        <v>7</v>
      </c>
      <c r="AC206" s="21">
        <v>0</v>
      </c>
      <c r="AD206" s="21">
        <v>86</v>
      </c>
      <c r="AE206" s="21">
        <v>217</v>
      </c>
      <c r="AF206" s="21">
        <v>10</v>
      </c>
      <c r="AG206" s="21">
        <v>1</v>
      </c>
      <c r="AH206" s="21">
        <v>29</v>
      </c>
      <c r="AI206" s="21">
        <v>0</v>
      </c>
      <c r="AJ206" s="21">
        <v>0</v>
      </c>
      <c r="AK206" s="21">
        <v>6</v>
      </c>
      <c r="AL206" s="21">
        <v>21</v>
      </c>
      <c r="AM206" s="21">
        <v>41</v>
      </c>
      <c r="AN206" s="21">
        <v>308</v>
      </c>
      <c r="AO206" s="21">
        <v>54</v>
      </c>
      <c r="AP206" s="28">
        <v>1574.0851851851853</v>
      </c>
      <c r="AQ206" s="28">
        <v>0.7592592592592593</v>
      </c>
      <c r="AR206" s="28">
        <v>58563.870967741925</v>
      </c>
      <c r="AS206" s="21"/>
      <c r="AT206" s="116">
        <v>0.68898185386623056</v>
      </c>
      <c r="AU206" s="28">
        <v>12142.942857142858</v>
      </c>
      <c r="AV206" s="27">
        <v>9</v>
      </c>
      <c r="AW206" s="27">
        <v>443</v>
      </c>
      <c r="AX206" s="42">
        <v>1873.04</v>
      </c>
      <c r="AY206" s="27">
        <v>187</v>
      </c>
      <c r="AZ206" s="27">
        <v>7</v>
      </c>
      <c r="BA206" s="27">
        <v>3</v>
      </c>
      <c r="BB206" s="27">
        <v>0</v>
      </c>
      <c r="BC206" s="29"/>
      <c r="BD206" s="21"/>
      <c r="BE206" s="3">
        <v>-1.4551915228366852E-11</v>
      </c>
    </row>
    <row r="207" spans="1:57" ht="15.6">
      <c r="A207" s="2" t="s">
        <v>120</v>
      </c>
      <c r="B207" s="19" t="s">
        <v>206</v>
      </c>
      <c r="C207" s="20" t="s">
        <v>321</v>
      </c>
      <c r="D207" s="21" t="s">
        <v>659</v>
      </c>
      <c r="E207" s="44">
        <v>45873</v>
      </c>
      <c r="F207" s="21" t="s">
        <v>206</v>
      </c>
      <c r="G207" s="28"/>
      <c r="H207" s="28">
        <v>34600</v>
      </c>
      <c r="I207" s="28"/>
      <c r="J207" s="28">
        <v>0</v>
      </c>
      <c r="K207" s="28">
        <v>0</v>
      </c>
      <c r="L207" s="28">
        <v>0</v>
      </c>
      <c r="M207" s="28">
        <v>0</v>
      </c>
      <c r="N207" s="21"/>
      <c r="O207" s="24"/>
      <c r="P207" s="24">
        <v>0</v>
      </c>
      <c r="Q207" s="24"/>
      <c r="R207" s="21">
        <v>1</v>
      </c>
      <c r="S207" s="21">
        <v>1</v>
      </c>
      <c r="T207" s="21">
        <v>0</v>
      </c>
      <c r="U207" s="21">
        <v>0</v>
      </c>
      <c r="V207" s="21">
        <v>1</v>
      </c>
      <c r="W207" s="21">
        <v>0</v>
      </c>
      <c r="X207" s="28">
        <v>0</v>
      </c>
      <c r="Y207" s="28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12</v>
      </c>
      <c r="AE207" s="21">
        <v>14</v>
      </c>
      <c r="AF207" s="21">
        <v>0</v>
      </c>
      <c r="AG207" s="21">
        <v>1</v>
      </c>
      <c r="AH207" s="21">
        <v>1</v>
      </c>
      <c r="AI207" s="21">
        <v>1</v>
      </c>
      <c r="AJ207" s="21">
        <v>1</v>
      </c>
      <c r="AK207" s="21">
        <v>1</v>
      </c>
      <c r="AL207" s="21">
        <v>1</v>
      </c>
      <c r="AM207" s="21">
        <v>1</v>
      </c>
      <c r="AN207" s="21">
        <v>18</v>
      </c>
      <c r="AO207" s="21">
        <v>4</v>
      </c>
      <c r="AP207" s="28">
        <v>0</v>
      </c>
      <c r="AQ207" s="28">
        <v>0.25</v>
      </c>
      <c r="AR207" s="28">
        <v>18684</v>
      </c>
      <c r="AS207" s="21"/>
      <c r="AT207" s="116"/>
      <c r="AU207" s="28"/>
      <c r="AV207" s="27">
        <v>0</v>
      </c>
      <c r="AW207" s="27">
        <v>44</v>
      </c>
      <c r="AX207" s="42">
        <v>271.86</v>
      </c>
      <c r="AY207" s="27">
        <v>272</v>
      </c>
      <c r="AZ207" s="27">
        <v>0</v>
      </c>
      <c r="BA207" s="27">
        <v>1</v>
      </c>
      <c r="BB207" s="27">
        <v>0</v>
      </c>
      <c r="BC207" s="29">
        <v>45890</v>
      </c>
      <c r="BD207" s="21"/>
      <c r="BE207" s="3" t="e">
        <v>#N/A</v>
      </c>
    </row>
    <row r="208" spans="1:57" ht="15.6">
      <c r="A208" s="2" t="s">
        <v>118</v>
      </c>
      <c r="B208" s="19" t="s">
        <v>362</v>
      </c>
      <c r="C208" s="20" t="s">
        <v>322</v>
      </c>
      <c r="D208" s="21" t="s">
        <v>539</v>
      </c>
      <c r="E208" s="44">
        <v>45876</v>
      </c>
      <c r="F208" s="21" t="s">
        <v>419</v>
      </c>
      <c r="G208" s="28"/>
      <c r="H208" s="28">
        <v>33570</v>
      </c>
      <c r="I208" s="28">
        <v>1500000</v>
      </c>
      <c r="J208" s="28">
        <v>0</v>
      </c>
      <c r="K208" s="28">
        <v>3000000</v>
      </c>
      <c r="L208" s="28">
        <v>2369704.33</v>
      </c>
      <c r="M208" s="28">
        <v>0</v>
      </c>
      <c r="N208" s="21">
        <v>2352532</v>
      </c>
      <c r="O208" s="24">
        <v>0.78990144333333334</v>
      </c>
      <c r="P208" s="24">
        <v>0</v>
      </c>
      <c r="Q208" s="24">
        <v>0.78417733333333328</v>
      </c>
      <c r="R208" s="21">
        <v>35</v>
      </c>
      <c r="S208" s="21">
        <v>48</v>
      </c>
      <c r="T208" s="21">
        <v>13</v>
      </c>
      <c r="U208" s="21">
        <v>11</v>
      </c>
      <c r="V208" s="21">
        <v>48</v>
      </c>
      <c r="W208" s="21">
        <v>0</v>
      </c>
      <c r="X208" s="28">
        <v>1741793.81</v>
      </c>
      <c r="Y208" s="28">
        <v>627910.52</v>
      </c>
      <c r="Z208" s="21">
        <v>16</v>
      </c>
      <c r="AA208" s="21">
        <v>11</v>
      </c>
      <c r="AB208" s="21">
        <v>27</v>
      </c>
      <c r="AC208" s="21">
        <v>0</v>
      </c>
      <c r="AD208" s="21">
        <v>13</v>
      </c>
      <c r="AE208" s="21">
        <v>24</v>
      </c>
      <c r="AF208" s="21">
        <v>0</v>
      </c>
      <c r="AG208" s="21">
        <v>1</v>
      </c>
      <c r="AH208" s="21">
        <v>1</v>
      </c>
      <c r="AI208" s="21">
        <v>0</v>
      </c>
      <c r="AJ208" s="21">
        <v>0</v>
      </c>
      <c r="AK208" s="21">
        <v>0</v>
      </c>
      <c r="AL208" s="21">
        <v>0</v>
      </c>
      <c r="AM208" s="21">
        <v>124</v>
      </c>
      <c r="AN208" s="21">
        <v>149</v>
      </c>
      <c r="AO208" s="21">
        <v>36</v>
      </c>
      <c r="AP208" s="28">
        <v>65825.12027777778</v>
      </c>
      <c r="AQ208" s="28">
        <v>3.4444444444444446</v>
      </c>
      <c r="AR208" s="28">
        <v>59559.677419354841</v>
      </c>
      <c r="AS208" s="21"/>
      <c r="AT208" s="116">
        <v>2.5133801152042813E-2</v>
      </c>
      <c r="AU208" s="28">
        <v>87766.827037037045</v>
      </c>
      <c r="AV208" s="27">
        <v>38</v>
      </c>
      <c r="AW208" s="27">
        <v>377</v>
      </c>
      <c r="AX208" s="42">
        <v>3348.63</v>
      </c>
      <c r="AY208" s="27">
        <v>70</v>
      </c>
      <c r="AZ208" s="27">
        <v>27</v>
      </c>
      <c r="BA208" s="27">
        <v>21</v>
      </c>
      <c r="BB208" s="27">
        <v>0</v>
      </c>
      <c r="BC208" s="29"/>
      <c r="BD208" s="21"/>
      <c r="BE208" s="3">
        <v>0</v>
      </c>
    </row>
    <row r="209" spans="1:57" ht="15.6">
      <c r="A209" s="2" t="s">
        <v>120</v>
      </c>
      <c r="B209" s="19" t="s">
        <v>286</v>
      </c>
      <c r="C209" s="20" t="s">
        <v>323</v>
      </c>
      <c r="D209" s="21" t="s">
        <v>357</v>
      </c>
      <c r="E209" s="44">
        <v>45887</v>
      </c>
      <c r="F209" s="21" t="s">
        <v>631</v>
      </c>
      <c r="G209" s="28"/>
      <c r="H209" s="28">
        <v>28835</v>
      </c>
      <c r="I209" s="28">
        <v>1200000</v>
      </c>
      <c r="J209" s="28">
        <v>0</v>
      </c>
      <c r="K209" s="28">
        <v>1703226</v>
      </c>
      <c r="L209" s="28">
        <v>1299417.23</v>
      </c>
      <c r="M209" s="28">
        <v>0</v>
      </c>
      <c r="N209" s="21">
        <v>1395781</v>
      </c>
      <c r="O209" s="24">
        <v>0.76291533243386378</v>
      </c>
      <c r="P209" s="24">
        <v>0</v>
      </c>
      <c r="Q209" s="24">
        <v>0.81949253945160538</v>
      </c>
      <c r="R209" s="21">
        <v>66</v>
      </c>
      <c r="S209" s="21">
        <v>71</v>
      </c>
      <c r="T209" s="21">
        <v>8</v>
      </c>
      <c r="U209" s="21">
        <v>8</v>
      </c>
      <c r="V209" s="21">
        <v>74</v>
      </c>
      <c r="W209" s="21">
        <v>3</v>
      </c>
      <c r="X209" s="28">
        <v>1077915.23</v>
      </c>
      <c r="Y209" s="28">
        <v>200492</v>
      </c>
      <c r="Z209" s="21">
        <v>36</v>
      </c>
      <c r="AA209" s="21">
        <v>8</v>
      </c>
      <c r="AB209" s="21">
        <v>44</v>
      </c>
      <c r="AC209" s="21">
        <v>0</v>
      </c>
      <c r="AD209" s="21">
        <v>45</v>
      </c>
      <c r="AE209" s="21">
        <v>66</v>
      </c>
      <c r="AF209" s="21">
        <v>6</v>
      </c>
      <c r="AG209" s="21">
        <v>4</v>
      </c>
      <c r="AH209" s="21">
        <v>19</v>
      </c>
      <c r="AI209" s="21">
        <v>2</v>
      </c>
      <c r="AJ209" s="21">
        <v>3</v>
      </c>
      <c r="AK209" s="21">
        <v>1</v>
      </c>
      <c r="AL209" s="21">
        <v>1</v>
      </c>
      <c r="AM209" s="21">
        <v>184</v>
      </c>
      <c r="AN209" s="21">
        <v>273</v>
      </c>
      <c r="AO209" s="21">
        <v>36</v>
      </c>
      <c r="AP209" s="28">
        <v>36094.923055555555</v>
      </c>
      <c r="AQ209" s="28">
        <v>5.1111111111111107</v>
      </c>
      <c r="AR209" s="28">
        <v>40927.096774193553</v>
      </c>
      <c r="AS209" s="21"/>
      <c r="AT209" s="116">
        <v>3.1496501531069858E-2</v>
      </c>
      <c r="AU209" s="28">
        <v>29532.209772727274</v>
      </c>
      <c r="AV209" s="27">
        <v>60</v>
      </c>
      <c r="AW209" s="27">
        <v>346</v>
      </c>
      <c r="AX209" s="42">
        <v>2377.86</v>
      </c>
      <c r="AY209" s="27">
        <v>33</v>
      </c>
      <c r="AZ209" s="27">
        <v>44</v>
      </c>
      <c r="BA209" s="27">
        <v>27</v>
      </c>
      <c r="BB209" s="27">
        <v>3</v>
      </c>
      <c r="BC209" s="29"/>
      <c r="BD209" s="21"/>
      <c r="BE209" s="3">
        <v>0</v>
      </c>
    </row>
    <row r="210" spans="1:57" ht="15.6">
      <c r="A210" s="2" t="s">
        <v>124</v>
      </c>
      <c r="B210" s="19" t="s">
        <v>443</v>
      </c>
      <c r="C210" s="20" t="s">
        <v>324</v>
      </c>
      <c r="D210" s="21" t="s">
        <v>524</v>
      </c>
      <c r="E210" s="44">
        <v>45887</v>
      </c>
      <c r="F210" s="21" t="s">
        <v>517</v>
      </c>
      <c r="G210" s="28"/>
      <c r="H210" s="28">
        <v>40885</v>
      </c>
      <c r="I210" s="28">
        <v>1200000</v>
      </c>
      <c r="J210" s="28">
        <v>0</v>
      </c>
      <c r="K210" s="28">
        <v>1760000</v>
      </c>
      <c r="L210" s="28">
        <v>365966.8</v>
      </c>
      <c r="M210" s="28">
        <v>0</v>
      </c>
      <c r="N210" s="21">
        <v>0</v>
      </c>
      <c r="O210" s="24">
        <v>0.20793568181818181</v>
      </c>
      <c r="P210" s="24">
        <v>0</v>
      </c>
      <c r="Q210" s="24">
        <v>0</v>
      </c>
      <c r="R210" s="21">
        <v>40</v>
      </c>
      <c r="S210" s="21">
        <v>43</v>
      </c>
      <c r="T210" s="21">
        <v>4</v>
      </c>
      <c r="U210" s="21">
        <v>3</v>
      </c>
      <c r="V210" s="21">
        <v>44</v>
      </c>
      <c r="W210" s="21">
        <v>1</v>
      </c>
      <c r="X210" s="28">
        <v>159308.9</v>
      </c>
      <c r="Y210" s="28">
        <v>206657.9</v>
      </c>
      <c r="Z210" s="21">
        <v>8</v>
      </c>
      <c r="AA210" s="21">
        <v>3</v>
      </c>
      <c r="AB210" s="21">
        <v>11</v>
      </c>
      <c r="AC210" s="21">
        <v>0</v>
      </c>
      <c r="AD210" s="21">
        <v>45</v>
      </c>
      <c r="AE210" s="21">
        <v>48</v>
      </c>
      <c r="AF210" s="21">
        <v>5</v>
      </c>
      <c r="AG210" s="21">
        <v>1</v>
      </c>
      <c r="AH210" s="21">
        <v>20</v>
      </c>
      <c r="AI210" s="21">
        <v>0</v>
      </c>
      <c r="AJ210" s="21">
        <v>0</v>
      </c>
      <c r="AK210" s="21">
        <v>0</v>
      </c>
      <c r="AL210" s="21">
        <v>0</v>
      </c>
      <c r="AM210" s="21">
        <v>60</v>
      </c>
      <c r="AN210" s="21">
        <v>128</v>
      </c>
      <c r="AO210" s="21">
        <v>31</v>
      </c>
      <c r="AP210" s="28">
        <v>11805.380645161289</v>
      </c>
      <c r="AQ210" s="28">
        <v>1.935483870967742</v>
      </c>
      <c r="AR210" s="28">
        <v>58030.322580645166</v>
      </c>
      <c r="AS210" s="21"/>
      <c r="AT210" s="116">
        <v>0.1585671776255255</v>
      </c>
      <c r="AU210" s="28">
        <v>33269.709090909091</v>
      </c>
      <c r="AV210" s="27">
        <v>12</v>
      </c>
      <c r="AW210" s="27">
        <v>307</v>
      </c>
      <c r="AX210" s="42">
        <v>1893.6</v>
      </c>
      <c r="AY210" s="27">
        <v>44</v>
      </c>
      <c r="AZ210" s="27">
        <v>11</v>
      </c>
      <c r="BA210" s="27">
        <v>32</v>
      </c>
      <c r="BB210" s="27">
        <v>1</v>
      </c>
      <c r="BC210" s="29"/>
      <c r="BD210" s="21"/>
      <c r="BE210" s="3">
        <v>-5.8207660913467407E-11</v>
      </c>
    </row>
    <row r="211" spans="1:57" ht="15.6">
      <c r="A211" s="2" t="s">
        <v>108</v>
      </c>
      <c r="B211" s="19" t="s">
        <v>465</v>
      </c>
      <c r="C211" s="20" t="s">
        <v>325</v>
      </c>
      <c r="D211" s="21" t="s">
        <v>660</v>
      </c>
      <c r="E211" s="44">
        <v>45894</v>
      </c>
      <c r="F211" s="21" t="s">
        <v>506</v>
      </c>
      <c r="G211" s="28"/>
      <c r="H211" s="28">
        <v>36190</v>
      </c>
      <c r="I211" s="28"/>
      <c r="J211" s="28">
        <v>0</v>
      </c>
      <c r="K211" s="28">
        <v>0</v>
      </c>
      <c r="L211" s="28">
        <v>0</v>
      </c>
      <c r="M211" s="28">
        <v>0</v>
      </c>
      <c r="N211" s="21">
        <v>0</v>
      </c>
      <c r="O211" s="24"/>
      <c r="P211" s="24">
        <v>0</v>
      </c>
      <c r="Q211" s="24"/>
      <c r="R211" s="21">
        <v>29</v>
      </c>
      <c r="S211" s="21">
        <v>28</v>
      </c>
      <c r="T211" s="21">
        <v>2</v>
      </c>
      <c r="U211" s="21">
        <v>0</v>
      </c>
      <c r="V211" s="21">
        <v>31</v>
      </c>
      <c r="W211" s="21">
        <v>3</v>
      </c>
      <c r="X211" s="28">
        <v>0</v>
      </c>
      <c r="Y211" s="28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8</v>
      </c>
      <c r="AE211" s="21">
        <v>17</v>
      </c>
      <c r="AF211" s="21">
        <v>1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53</v>
      </c>
      <c r="AN211" s="21">
        <v>70</v>
      </c>
      <c r="AO211" s="21">
        <v>14</v>
      </c>
      <c r="AP211" s="28">
        <v>0</v>
      </c>
      <c r="AQ211" s="28">
        <v>3.7857142857142856</v>
      </c>
      <c r="AR211" s="28">
        <v>43194.516129032258</v>
      </c>
      <c r="AS211" s="21"/>
      <c r="AT211" s="116"/>
      <c r="AU211" s="28"/>
      <c r="AV211" s="27">
        <v>0</v>
      </c>
      <c r="AW211" s="27">
        <v>193</v>
      </c>
      <c r="AX211" s="42">
        <v>633.74</v>
      </c>
      <c r="AY211" s="27">
        <v>23</v>
      </c>
      <c r="AZ211" s="27">
        <v>0</v>
      </c>
      <c r="BA211" s="27">
        <v>28</v>
      </c>
      <c r="BB211" s="27">
        <v>3</v>
      </c>
      <c r="BC211" s="29"/>
      <c r="BD211" s="21"/>
      <c r="BE211" s="3">
        <v>0</v>
      </c>
    </row>
    <row r="212" spans="1:57" ht="15.6">
      <c r="A212" s="2" t="s">
        <v>118</v>
      </c>
      <c r="B212" s="19" t="s">
        <v>362</v>
      </c>
      <c r="C212" s="20" t="s">
        <v>326</v>
      </c>
      <c r="D212" s="21" t="s">
        <v>661</v>
      </c>
      <c r="E212" s="44">
        <v>45894</v>
      </c>
      <c r="F212" s="21" t="s">
        <v>419</v>
      </c>
      <c r="G212" s="28"/>
      <c r="H212" s="28">
        <v>27260</v>
      </c>
      <c r="I212" s="28">
        <v>1500000</v>
      </c>
      <c r="J212" s="28">
        <v>0</v>
      </c>
      <c r="K212" s="28">
        <v>1500000</v>
      </c>
      <c r="L212" s="28">
        <v>784306.95</v>
      </c>
      <c r="M212" s="28">
        <v>0</v>
      </c>
      <c r="N212" s="21">
        <v>1643613</v>
      </c>
      <c r="O212" s="24">
        <v>0.52287129999999993</v>
      </c>
      <c r="P212" s="24">
        <v>0</v>
      </c>
      <c r="Q212" s="24">
        <v>1.095742</v>
      </c>
      <c r="R212" s="21">
        <v>72</v>
      </c>
      <c r="S212" s="21">
        <v>75</v>
      </c>
      <c r="T212" s="21">
        <v>3</v>
      </c>
      <c r="U212" s="21">
        <v>1</v>
      </c>
      <c r="V212" s="21">
        <v>75</v>
      </c>
      <c r="W212" s="21">
        <v>0</v>
      </c>
      <c r="X212" s="28">
        <v>404381.15</v>
      </c>
      <c r="Y212" s="28">
        <v>379925.8</v>
      </c>
      <c r="Z212" s="21">
        <v>12</v>
      </c>
      <c r="AA212" s="21">
        <v>1</v>
      </c>
      <c r="AB212" s="21">
        <v>13</v>
      </c>
      <c r="AC212" s="21">
        <v>0</v>
      </c>
      <c r="AD212" s="21">
        <v>7</v>
      </c>
      <c r="AE212" s="21">
        <v>10</v>
      </c>
      <c r="AF212" s="21">
        <v>0</v>
      </c>
      <c r="AG212" s="21">
        <v>1</v>
      </c>
      <c r="AH212" s="21">
        <v>2</v>
      </c>
      <c r="AI212" s="21">
        <v>0</v>
      </c>
      <c r="AJ212" s="21">
        <v>0</v>
      </c>
      <c r="AK212" s="21">
        <v>0</v>
      </c>
      <c r="AL212" s="21">
        <v>0</v>
      </c>
      <c r="AM212" s="21">
        <v>102</v>
      </c>
      <c r="AN212" s="21">
        <v>114</v>
      </c>
      <c r="AO212" s="21">
        <v>26</v>
      </c>
      <c r="AP212" s="28">
        <v>30165.651923076923</v>
      </c>
      <c r="AQ212" s="28">
        <v>3.9230769230769229</v>
      </c>
      <c r="AR212" s="28">
        <v>32536.129032258064</v>
      </c>
      <c r="AS212" s="21"/>
      <c r="AT212" s="116">
        <v>4.1483922885367862E-2</v>
      </c>
      <c r="AU212" s="28">
        <v>60331.303846153845</v>
      </c>
      <c r="AV212" s="27">
        <v>16</v>
      </c>
      <c r="AW212" s="27">
        <v>264</v>
      </c>
      <c r="AX212" s="42">
        <v>1501.65</v>
      </c>
      <c r="AY212" s="27">
        <v>20</v>
      </c>
      <c r="AZ212" s="27">
        <v>13</v>
      </c>
      <c r="BA212" s="27">
        <v>62</v>
      </c>
      <c r="BB212" s="27">
        <v>0</v>
      </c>
      <c r="BC212" s="29"/>
      <c r="BD212" s="21"/>
      <c r="BE212" s="3">
        <v>-1.1641532182693481E-10</v>
      </c>
    </row>
    <row r="213" spans="1:57" ht="15.6">
      <c r="A213" s="2" t="s">
        <v>124</v>
      </c>
      <c r="B213" s="19" t="s">
        <v>443</v>
      </c>
      <c r="C213" s="20" t="s">
        <v>327</v>
      </c>
      <c r="D213" s="21" t="s">
        <v>537</v>
      </c>
      <c r="E213" s="44">
        <v>45910</v>
      </c>
      <c r="F213" s="21" t="s">
        <v>517</v>
      </c>
      <c r="G213" s="28"/>
      <c r="H213" s="28">
        <v>40885</v>
      </c>
      <c r="I213" s="28">
        <v>1200000</v>
      </c>
      <c r="J213" s="28"/>
      <c r="K213" s="28">
        <v>1200000</v>
      </c>
      <c r="L213" s="28">
        <v>121882.38</v>
      </c>
      <c r="M213" s="28">
        <v>0</v>
      </c>
      <c r="N213" s="21"/>
      <c r="O213" s="24"/>
      <c r="P213" s="24">
        <v>0</v>
      </c>
      <c r="Q213" s="24"/>
      <c r="R213" s="21">
        <v>0</v>
      </c>
      <c r="S213" s="21">
        <v>5</v>
      </c>
      <c r="T213" s="21">
        <v>5</v>
      </c>
      <c r="U213" s="21">
        <v>5</v>
      </c>
      <c r="V213" s="21">
        <v>5</v>
      </c>
      <c r="W213" s="21">
        <v>0</v>
      </c>
      <c r="X213" s="28">
        <v>0</v>
      </c>
      <c r="Y213" s="28">
        <v>121882.38</v>
      </c>
      <c r="Z213" s="21">
        <v>0</v>
      </c>
      <c r="AA213" s="21">
        <v>5</v>
      </c>
      <c r="AB213" s="21">
        <v>5</v>
      </c>
      <c r="AC213" s="21">
        <v>0</v>
      </c>
      <c r="AD213" s="21">
        <v>45</v>
      </c>
      <c r="AE213" s="21">
        <v>70</v>
      </c>
      <c r="AF213" s="21">
        <v>4</v>
      </c>
      <c r="AG213" s="21">
        <v>1</v>
      </c>
      <c r="AH213" s="21">
        <v>2</v>
      </c>
      <c r="AI213" s="21">
        <v>0</v>
      </c>
      <c r="AJ213" s="21">
        <v>0</v>
      </c>
      <c r="AK213" s="21">
        <v>1</v>
      </c>
      <c r="AL213" s="21">
        <v>4</v>
      </c>
      <c r="AM213" s="21">
        <v>17</v>
      </c>
      <c r="AN213" s="21">
        <v>93</v>
      </c>
      <c r="AO213" s="21">
        <v>13</v>
      </c>
      <c r="AP213" s="28">
        <v>9375.5676923076935</v>
      </c>
      <c r="AQ213" s="28">
        <v>1.3076923076923077</v>
      </c>
      <c r="AR213" s="28">
        <v>27256.666666666664</v>
      </c>
      <c r="AS213" s="21"/>
      <c r="AT213" s="116">
        <v>0.22363090273316508</v>
      </c>
      <c r="AU213" s="28">
        <v>24376.476000000002</v>
      </c>
      <c r="AV213" s="27">
        <v>6</v>
      </c>
      <c r="AW213" s="27">
        <v>132</v>
      </c>
      <c r="AX213" s="42">
        <v>548.62</v>
      </c>
      <c r="AY213" s="27">
        <v>110</v>
      </c>
      <c r="AZ213" s="27">
        <v>5</v>
      </c>
      <c r="BA213" s="27">
        <v>0</v>
      </c>
      <c r="BB213" s="27">
        <v>0</v>
      </c>
      <c r="BC213" s="29"/>
      <c r="BD213" s="21"/>
      <c r="BE213" s="3">
        <v>-121882.38</v>
      </c>
    </row>
    <row r="214" spans="1:57" ht="15.6">
      <c r="A214" s="2" t="s">
        <v>120</v>
      </c>
      <c r="B214" s="19" t="s">
        <v>206</v>
      </c>
      <c r="C214" s="20" t="s">
        <v>328</v>
      </c>
      <c r="D214" s="21" t="s">
        <v>659</v>
      </c>
      <c r="E214" s="44">
        <v>45917</v>
      </c>
      <c r="F214" s="21" t="s">
        <v>206</v>
      </c>
      <c r="G214" s="28"/>
      <c r="H214" s="28">
        <v>32500</v>
      </c>
      <c r="I214" s="28">
        <v>1200000</v>
      </c>
      <c r="J214" s="28"/>
      <c r="K214" s="28">
        <v>520000</v>
      </c>
      <c r="L214" s="28">
        <v>0</v>
      </c>
      <c r="M214" s="28">
        <v>0</v>
      </c>
      <c r="N214" s="21">
        <v>0</v>
      </c>
      <c r="O214" s="24"/>
      <c r="P214" s="24">
        <v>0</v>
      </c>
      <c r="Q214" s="24"/>
      <c r="R214" s="21">
        <v>6</v>
      </c>
      <c r="S214" s="21">
        <v>5</v>
      </c>
      <c r="T214" s="21">
        <v>0</v>
      </c>
      <c r="U214" s="21">
        <v>0</v>
      </c>
      <c r="V214" s="21">
        <v>6</v>
      </c>
      <c r="W214" s="21">
        <v>1</v>
      </c>
      <c r="X214" s="28">
        <v>0</v>
      </c>
      <c r="Y214" s="28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42</v>
      </c>
      <c r="AE214" s="21">
        <v>52</v>
      </c>
      <c r="AF214" s="21">
        <v>8</v>
      </c>
      <c r="AG214" s="21">
        <v>1</v>
      </c>
      <c r="AH214" s="21">
        <v>1</v>
      </c>
      <c r="AI214" s="21">
        <v>1</v>
      </c>
      <c r="AJ214" s="21">
        <v>1</v>
      </c>
      <c r="AK214" s="21">
        <v>1</v>
      </c>
      <c r="AL214" s="21">
        <v>1</v>
      </c>
      <c r="AM214" s="21">
        <v>5</v>
      </c>
      <c r="AN214" s="21">
        <v>60</v>
      </c>
      <c r="AO214" s="21">
        <v>10</v>
      </c>
      <c r="AP214" s="28">
        <v>0</v>
      </c>
      <c r="AQ214" s="28">
        <v>0.5</v>
      </c>
      <c r="AR214" s="28">
        <v>14083.333333333334</v>
      </c>
      <c r="AS214" s="21"/>
      <c r="AT214" s="116"/>
      <c r="AU214" s="28"/>
      <c r="AV214" s="27">
        <v>0</v>
      </c>
      <c r="AW214" s="27">
        <v>105</v>
      </c>
      <c r="AX214" s="42">
        <v>941.54</v>
      </c>
      <c r="AY214" s="27">
        <v>188</v>
      </c>
      <c r="AZ214" s="27">
        <v>0</v>
      </c>
      <c r="BA214" s="27">
        <v>5</v>
      </c>
      <c r="BB214" s="27">
        <v>1</v>
      </c>
      <c r="BC214" s="29"/>
      <c r="BD214" s="21"/>
      <c r="BE214" s="3">
        <v>0</v>
      </c>
    </row>
    <row r="215" spans="1:57" ht="15.6">
      <c r="A215" s="2" t="s">
        <v>154</v>
      </c>
      <c r="B215" s="19" t="s">
        <v>370</v>
      </c>
      <c r="C215" s="20" t="s">
        <v>329</v>
      </c>
      <c r="D215" s="21" t="s">
        <v>662</v>
      </c>
      <c r="E215" s="44">
        <v>45922</v>
      </c>
      <c r="F215" s="21" t="s">
        <v>542</v>
      </c>
      <c r="G215" s="28"/>
      <c r="H215" s="28">
        <v>41430</v>
      </c>
      <c r="I215" s="28"/>
      <c r="J215" s="28"/>
      <c r="K215" s="28">
        <v>222222</v>
      </c>
      <c r="L215" s="28">
        <v>0</v>
      </c>
      <c r="M215" s="28">
        <v>0</v>
      </c>
      <c r="N215" s="21">
        <v>710000</v>
      </c>
      <c r="O215" s="24"/>
      <c r="P215" s="24">
        <v>0</v>
      </c>
      <c r="Q215" s="24"/>
      <c r="R215" s="21">
        <v>3</v>
      </c>
      <c r="S215" s="21">
        <v>2</v>
      </c>
      <c r="T215" s="21">
        <v>0</v>
      </c>
      <c r="U215" s="21">
        <v>0</v>
      </c>
      <c r="V215" s="21">
        <v>3</v>
      </c>
      <c r="W215" s="21">
        <v>1</v>
      </c>
      <c r="X215" s="28">
        <v>0</v>
      </c>
      <c r="Y215" s="28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15</v>
      </c>
      <c r="AE215" s="21">
        <v>15</v>
      </c>
      <c r="AF215" s="21">
        <v>8</v>
      </c>
      <c r="AG215" s="21">
        <v>1</v>
      </c>
      <c r="AH215" s="21">
        <v>1</v>
      </c>
      <c r="AI215" s="21">
        <v>0</v>
      </c>
      <c r="AJ215" s="21">
        <v>0</v>
      </c>
      <c r="AK215" s="21">
        <v>1</v>
      </c>
      <c r="AL215" s="21">
        <v>2</v>
      </c>
      <c r="AM215" s="21">
        <v>2</v>
      </c>
      <c r="AN215" s="21">
        <v>20</v>
      </c>
      <c r="AO215" s="21">
        <v>5</v>
      </c>
      <c r="AP215" s="28">
        <v>0</v>
      </c>
      <c r="AQ215" s="28">
        <v>0.4</v>
      </c>
      <c r="AR215" s="28">
        <v>11048</v>
      </c>
      <c r="AS215" s="21"/>
      <c r="AT215" s="116"/>
      <c r="AU215" s="28"/>
      <c r="AV215" s="27">
        <v>0</v>
      </c>
      <c r="AW215" s="27">
        <v>42</v>
      </c>
      <c r="AX215" s="42">
        <v>405.69</v>
      </c>
      <c r="AY215" s="27">
        <v>203</v>
      </c>
      <c r="AZ215" s="27">
        <v>0</v>
      </c>
      <c r="BA215" s="27">
        <v>2</v>
      </c>
      <c r="BB215" s="27">
        <v>1</v>
      </c>
      <c r="BC215" s="29"/>
      <c r="BD215" s="21"/>
      <c r="BE215" s="3">
        <v>0</v>
      </c>
    </row>
  </sheetData>
  <conditionalFormatting sqref="C4:C215">
    <cfRule type="expression" dxfId="12" priority="2">
      <formula>BC4:BC215</formula>
    </cfRule>
  </conditionalFormatting>
  <conditionalFormatting sqref="O4:Q215">
    <cfRule type="cellIs" dxfId="11" priority="3" operator="lessThan">
      <formula>"50%"</formula>
    </cfRule>
  </conditionalFormatting>
  <conditionalFormatting sqref="BD1:BD2 BC1:BC215 BD4:BD215">
    <cfRule type="notContainsBlanks" dxfId="10" priority="1">
      <formula>LEN(TRIM(BC1))&gt;0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1:AL27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sheetData>
    <row r="1" spans="2:38">
      <c r="C1" s="210" t="s">
        <v>426</v>
      </c>
      <c r="D1" s="205"/>
      <c r="E1" s="205"/>
      <c r="F1" s="209" t="s">
        <v>430</v>
      </c>
      <c r="G1" s="205"/>
      <c r="H1" s="205"/>
      <c r="I1" s="210" t="s">
        <v>435</v>
      </c>
      <c r="J1" s="205"/>
      <c r="K1" s="205"/>
      <c r="L1" s="209" t="s">
        <v>440</v>
      </c>
      <c r="M1" s="205"/>
      <c r="N1" s="205"/>
      <c r="O1" s="210" t="s">
        <v>441</v>
      </c>
      <c r="P1" s="205"/>
      <c r="Q1" s="205"/>
      <c r="R1" s="209" t="s">
        <v>446</v>
      </c>
      <c r="S1" s="205"/>
      <c r="T1" s="205"/>
      <c r="U1" s="210" t="s">
        <v>451</v>
      </c>
      <c r="V1" s="205"/>
      <c r="W1" s="205"/>
      <c r="X1" s="209" t="s">
        <v>454</v>
      </c>
      <c r="Y1" s="205"/>
      <c r="Z1" s="205"/>
      <c r="AA1" s="210" t="s">
        <v>457</v>
      </c>
      <c r="AB1" s="205"/>
      <c r="AC1" s="205"/>
      <c r="AD1" s="209" t="s">
        <v>463</v>
      </c>
      <c r="AE1" s="205"/>
      <c r="AF1" s="205"/>
      <c r="AG1" s="210" t="s">
        <v>466</v>
      </c>
      <c r="AH1" s="205"/>
      <c r="AI1" s="205"/>
      <c r="AJ1" s="209" t="s">
        <v>472</v>
      </c>
      <c r="AK1" s="205"/>
      <c r="AL1" s="205"/>
    </row>
    <row r="2" spans="2:38">
      <c r="B2" s="11" t="s">
        <v>31</v>
      </c>
      <c r="C2" s="144" t="s">
        <v>363</v>
      </c>
      <c r="D2" s="144" t="s">
        <v>409</v>
      </c>
      <c r="E2" s="144" t="s">
        <v>677</v>
      </c>
      <c r="F2" s="145" t="s">
        <v>363</v>
      </c>
      <c r="G2" s="119" t="s">
        <v>409</v>
      </c>
      <c r="H2" s="145" t="s">
        <v>677</v>
      </c>
      <c r="I2" s="144" t="s">
        <v>363</v>
      </c>
      <c r="J2" s="144" t="s">
        <v>409</v>
      </c>
      <c r="K2" s="144" t="s">
        <v>677</v>
      </c>
      <c r="L2" s="145" t="s">
        <v>363</v>
      </c>
      <c r="M2" s="145" t="s">
        <v>409</v>
      </c>
      <c r="N2" s="145" t="s">
        <v>677</v>
      </c>
      <c r="O2" s="144" t="s">
        <v>363</v>
      </c>
      <c r="P2" s="144" t="s">
        <v>409</v>
      </c>
      <c r="Q2" s="144" t="s">
        <v>677</v>
      </c>
      <c r="R2" s="145" t="s">
        <v>363</v>
      </c>
      <c r="S2" s="145" t="s">
        <v>409</v>
      </c>
      <c r="T2" s="145" t="s">
        <v>677</v>
      </c>
      <c r="U2" s="144" t="s">
        <v>363</v>
      </c>
      <c r="V2" s="144" t="s">
        <v>409</v>
      </c>
      <c r="W2" s="144" t="s">
        <v>677</v>
      </c>
      <c r="X2" s="145" t="s">
        <v>363</v>
      </c>
      <c r="Y2" s="145" t="s">
        <v>409</v>
      </c>
      <c r="Z2" s="145" t="s">
        <v>677</v>
      </c>
      <c r="AA2" s="144" t="s">
        <v>363</v>
      </c>
      <c r="AB2" s="144" t="s">
        <v>409</v>
      </c>
      <c r="AC2" s="144" t="s">
        <v>677</v>
      </c>
      <c r="AD2" s="145" t="s">
        <v>363</v>
      </c>
      <c r="AE2" s="145" t="s">
        <v>409</v>
      </c>
      <c r="AF2" s="145" t="s">
        <v>677</v>
      </c>
      <c r="AG2" s="144" t="s">
        <v>363</v>
      </c>
      <c r="AH2" s="144" t="s">
        <v>409</v>
      </c>
      <c r="AI2" s="144" t="s">
        <v>677</v>
      </c>
      <c r="AJ2" s="145" t="s">
        <v>363</v>
      </c>
      <c r="AK2" s="145" t="s">
        <v>409</v>
      </c>
      <c r="AL2" s="145" t="s">
        <v>677</v>
      </c>
    </row>
    <row r="3" spans="2:38">
      <c r="B3" s="11" t="s">
        <v>375</v>
      </c>
      <c r="C3" s="11">
        <f>COUNTIFS(Data!$B:$B,$B3,Data!$F:$F, "&lt;=" &amp; DATE(2025,4,1))</f>
        <v>7</v>
      </c>
      <c r="D3" s="11">
        <f>COUNTIFS(Data!$AZ:$AZ, "&gt;=" &amp; DATE(2025,4,1), Data!$AZ:$AZ, "&lt;=" &amp; DATE(2025,4,30),Data!$B:$B,$B3)</f>
        <v>0</v>
      </c>
      <c r="E3" s="11">
        <f>COUNTIFS(Data!$F:$F, "&gt;=" &amp; DATE(2025,4,1), Data!$F:$F, "&lt;=" &amp; DATE(2025,4,30),Data!$B:$B,$B3)</f>
        <v>0</v>
      </c>
      <c r="F3" s="11">
        <f>COUNTIFS(Data!$B:$B,$B3,Data!$F:$F, "&lt;=" &amp; DATE(2025,4,30))-COUNTIFS(Data!$B:$B,$B3,Data!AZ:AZ, "&gt;=" &amp; DATE(2025,4,1), Data!AZ:AZ, "&lt;=" &amp; DATE(2025,4,30))</f>
        <v>7</v>
      </c>
      <c r="G3" s="11">
        <f>COUNTIFS(Data!$AZ:$AZ, "&gt;=" &amp; DATE(2025,5,1), Data!$AZ:$AZ, "&lt;=" &amp; DATE(2025,5,31),Data!$B:$B,$B3)</f>
        <v>1</v>
      </c>
      <c r="H3" s="11">
        <f>COUNTIFS(Data!$F:$F, "&gt;=" &amp; DATE(2025,5,1), Data!$F:$F, "&lt;=" &amp; DATE(2025,5,31),Data!$B:$B,$B3)</f>
        <v>0</v>
      </c>
      <c r="I3" s="11">
        <f>COUNTIFS(Data!$B:$B,$B3,Data!$F:$F, "&lt;=" &amp; DATE(2025,5,31))-COUNTIFS(Data!$B:$B,$B3,Data!$AZ:$AZ, "&gt;=" &amp; DATE(2025,4,1), Data!$AZ:$AZ, "&lt;=" &amp; DATE(2025,5,31))</f>
        <v>6</v>
      </c>
      <c r="J3" s="11">
        <f>COUNTIFS(Data!$AZ:$AZ, "&gt;=" &amp; DATE(2025,6,1), Data!$AZ:$AZ, "&lt;=" &amp; DATE(2025,6,30),Data!$B:$B,$B3)</f>
        <v>1</v>
      </c>
      <c r="K3" s="11">
        <f>COUNTIFS(Data!$F:$F, "&gt;=" &amp; DATE(2025,6,1), Data!$F:$F, "&lt;=" &amp; DATE(2025,6,30),Data!$B:$B,$B3)</f>
        <v>0</v>
      </c>
      <c r="L3" s="11">
        <f>COUNTIFS(Data!$B:$B,$B3,Data!$F:$F, "&lt;=" &amp; DATE(2025,6,30))-COUNTIFS(Data!$B:$B,$B3,Data!$AZ:$AZ, "&gt;=" &amp; DATE(2025,4,1), Data!$AZ:$AZ, "&lt;=" &amp; DATE(2025,6,30))</f>
        <v>5</v>
      </c>
      <c r="M3" s="11">
        <f>COUNTIFS(Data!$AZ:$AZ, "&gt;=" &amp; DATE(2025,7,1), Data!$AZ:$AZ, "&lt;=" &amp; DATE(2025,7,31),Data!$B:$B,$B3)</f>
        <v>1</v>
      </c>
      <c r="N3" s="11">
        <f>COUNTIFS(Data!$F:$F, "&gt;=" &amp; DATE(2025,7,1), Data!$F:$F, "&lt;=" &amp; DATE(2025,7,31),Data!$B:$B,$B3)</f>
        <v>0</v>
      </c>
      <c r="O3" s="11">
        <f>COUNTIFS(Data!$B:$B,$B3,Data!$F:$F, "&lt;=" &amp; DATE(2025,7,31))-COUNTIFS(Data!$B:$B,$B3,Data!$AZ:$AZ, "&gt;=" &amp; DATE(2025,4,1), Data!$AZ:$AZ, "&lt;=" &amp; DATE(2025,7,31))</f>
        <v>4</v>
      </c>
      <c r="P3" s="11">
        <f>COUNTIFS(Data!$AZ:$AZ, "&gt;=" &amp; DATE(2025,8,1), Data!$AZ:$AZ, "&lt;=" &amp; DATE(2025,8,31),Data!$B:$B,$B3)</f>
        <v>0</v>
      </c>
      <c r="Q3" s="11">
        <f>COUNTIFS(Data!$F:$F, "&gt;=" &amp; DATE(2025,8,1), Data!$F:$F, "&lt;=" &amp; DATE(2025,8,31),Data!$B:$B,$B3)</f>
        <v>0</v>
      </c>
      <c r="R3" s="11">
        <f>COUNTIFS(Data!$B:$B,$B3,Data!$F:$F, "&lt;=" &amp; DATE(2025,8,31))-COUNTIFS(Data!$B:$B,$B3,Data!$AZ:$AZ, "&gt;=" &amp; DATE(2025,4,1), Data!$AZ:$AZ, "&lt;=" &amp; DATE(2025,8,31))</f>
        <v>4</v>
      </c>
      <c r="S3" s="11">
        <f>COUNTIFS(Data!$AZ:$AZ, "&gt;=" &amp; DATE(2025,9,1), Data!$AZ:$AZ, "&lt;=" &amp; DATE(2025,9,30),Data!$B:$B,$B3)</f>
        <v>0</v>
      </c>
      <c r="T3" s="11">
        <f>COUNTIFS(Data!$F:$F, "&gt;=" &amp; DATE(2025,9,1), Data!$F:$F, "&lt;=" &amp; DATE(2025,9,30),Data!$B:$B,$B3)</f>
        <v>0</v>
      </c>
    </row>
    <row r="4" spans="2:38">
      <c r="B4" s="11" t="s">
        <v>372</v>
      </c>
      <c r="C4" s="11">
        <f>COUNTIFS(Data!B:B,B4,Data!F:F, "&lt;=" &amp; DATE(2025,4,1))</f>
        <v>11</v>
      </c>
      <c r="D4" s="11">
        <f>COUNTIFS(Data!AZ:AZ, "&gt;=" &amp; DATE(2025,4,1), Data!AZ:AZ, "&lt;=" &amp; DATE(2025,4,30),Data!B:B,B4)</f>
        <v>0</v>
      </c>
      <c r="E4" s="11">
        <f>COUNTIFS(Data!F:F, "&gt;=" &amp; DATE(2025,4,1), Data!F:F, "&lt;=" &amp; DATE(2025,4,30),Data!B:B,B4)</f>
        <v>0</v>
      </c>
      <c r="F4" s="11">
        <f>COUNTIFS(Data!$B:$B,$B4,Data!$F:$F, "&lt;=" &amp; DATE(2025,4,30))-COUNTIFS(Data!$B:$B,$B4,Data!AZ:AZ, "&gt;=" &amp; DATE(2025,4,1), Data!AZ:AZ, "&lt;=" &amp; DATE(2025,4,30))</f>
        <v>11</v>
      </c>
      <c r="G4" s="11">
        <f>COUNTIFS(Data!$AZ:$AZ, "&gt;=" &amp; DATE(2025,5,1), Data!$AZ:$AZ, "&lt;=" &amp; DATE(2025,5,31),Data!$B:$B,$B4)</f>
        <v>0</v>
      </c>
      <c r="H4" s="11">
        <f>COUNTIFS(Data!$F:$F, "&gt;=" &amp; DATE(2025,5,1), Data!$F:$F, "&lt;=" &amp; DATE(2025,5,31),Data!$B:$B,$B4)</f>
        <v>1</v>
      </c>
      <c r="I4" s="11">
        <f>COUNTIFS(Data!$B:$B,$B4,Data!$F:$F, "&lt;=" &amp; DATE(2025,5,31))-COUNTIFS(Data!$B:$B,$B4,Data!$AZ:$AZ, "&gt;=" &amp; DATE(2025,4,1), Data!$AZ:$AZ, "&lt;=" &amp; DATE(2025,5,31))</f>
        <v>12</v>
      </c>
      <c r="J4" s="11">
        <f>COUNTIFS(Data!$AZ:$AZ, "&gt;=" &amp; DATE(2025,6,1), Data!$AZ:$AZ, "&lt;=" &amp; DATE(2025,6,30),Data!$B:$B,$B4)</f>
        <v>0</v>
      </c>
      <c r="K4" s="11">
        <f>COUNTIFS(Data!$F:$F, "&gt;=" &amp; DATE(2025,6,1), Data!$F:$F, "&lt;=" &amp; DATE(2025,6,30),Data!$B:$B,$B4)</f>
        <v>0</v>
      </c>
      <c r="L4" s="11">
        <f>COUNTIFS(Data!$B:$B,$B4,Data!$F:$F, "&lt;=" &amp; DATE(2025,6,30))-COUNTIFS(Data!$B:$B,$B4,Data!$AZ:$AZ, "&gt;=" &amp; DATE(2025,4,1), Data!$AZ:$AZ, "&lt;=" &amp; DATE(2025,6,30))</f>
        <v>12</v>
      </c>
      <c r="M4" s="11">
        <f>COUNTIFS(Data!$AZ:$AZ, "&gt;=" &amp; DATE(2025,7,1), Data!$AZ:$AZ, "&lt;=" &amp; DATE(2025,7,31),Data!$B:$B,$B4)</f>
        <v>0</v>
      </c>
      <c r="N4" s="11">
        <f>COUNTIFS(Data!$F:$F, "&gt;=" &amp; DATE(2025,7,1), Data!$F:$F, "&lt;=" &amp; DATE(2025,7,31),Data!$B:$B,$B4)</f>
        <v>0</v>
      </c>
      <c r="O4" s="11">
        <f>COUNTIFS(Data!$B:$B,$B4,Data!$F:$F, "&lt;=" &amp; DATE(2025,7,31))-COUNTIFS(Data!$B:$B,$B4,Data!$AZ:$AZ, "&gt;=" &amp; DATE(2025,4,1), Data!$AZ:$AZ, "&lt;=" &amp; DATE(2025,7,31))</f>
        <v>12</v>
      </c>
      <c r="P4" s="11">
        <f>COUNTIFS(Data!$AZ:$AZ, "&gt;=" &amp; DATE(2025,8,1), Data!$AZ:$AZ, "&lt;=" &amp; DATE(2025,8,31),Data!$B:$B,$B4)</f>
        <v>1</v>
      </c>
      <c r="Q4" s="11">
        <f>COUNTIFS(Data!$F:$F, "&gt;=" &amp; DATE(2025,8,1), Data!$F:$F, "&lt;=" &amp; DATE(2025,8,31),Data!$B:$B,$B4)</f>
        <v>0</v>
      </c>
      <c r="R4" s="11">
        <f>COUNTIFS(Data!$B:$B,$B4,Data!$F:$F, "&lt;=" &amp; DATE(2025,8,31))-COUNTIFS(Data!$B:$B,$B4,Data!$AZ:$AZ, "&gt;=" &amp; DATE(2025,4,1), Data!$AZ:$AZ, "&lt;=" &amp; DATE(2025,8,31))</f>
        <v>11</v>
      </c>
      <c r="S4" s="11">
        <f>COUNTIFS(Data!$AZ:$AZ, "&gt;=" &amp; DATE(2025,9,1), Data!$AZ:$AZ, "&lt;=" &amp; DATE(2025,9,30),Data!$B:$B,$B4)</f>
        <v>0</v>
      </c>
      <c r="T4" s="11">
        <f>COUNTIFS(Data!$F:$F, "&gt;=" &amp; DATE(2025,9,1), Data!$F:$F, "&lt;=" &amp; DATE(2025,9,30),Data!$B:$B,$B4)</f>
        <v>0</v>
      </c>
    </row>
    <row r="5" spans="2:38">
      <c r="B5" s="11" t="s">
        <v>438</v>
      </c>
      <c r="C5" s="11">
        <f>COUNTIFS(Data!B:B,B5,Data!F:F, "&lt;=" &amp; DATE(2025,4,1))</f>
        <v>3</v>
      </c>
      <c r="D5" s="11">
        <f>COUNTIFS(Data!AZ:AZ, "&gt;=" &amp; DATE(2025,4,1), Data!AZ:AZ, "&lt;=" &amp; DATE(2025,4,30),Data!B:B,B5)</f>
        <v>1</v>
      </c>
      <c r="E5" s="11">
        <f>COUNTIFS(Data!F:F, "&gt;=" &amp; DATE(2025,4,1), Data!F:F, "&lt;=" &amp; DATE(2025,4,30),Data!B:B,B5)</f>
        <v>0</v>
      </c>
      <c r="F5" s="11">
        <f>COUNTIFS(Data!$B:$B,$B5,Data!$F:$F, "&lt;=" &amp; DATE(2025,4,30))-COUNTIFS(Data!$B:$B,$B5,Data!AZ:AZ, "&gt;=" &amp; DATE(2025,4,1), Data!AZ:AZ, "&lt;=" &amp; DATE(2025,4,30))</f>
        <v>2</v>
      </c>
      <c r="G5" s="11">
        <f>COUNTIFS(Data!$AZ:$AZ, "&gt;=" &amp; DATE(2025,5,1), Data!$AZ:$AZ, "&lt;=" &amp; DATE(2025,5,31),Data!$B:$B,$B5)</f>
        <v>0</v>
      </c>
      <c r="H5" s="11">
        <f>COUNTIFS(Data!$F:$F, "&gt;=" &amp; DATE(2025,5,1), Data!$F:$F, "&lt;=" &amp; DATE(2025,5,31),Data!$B:$B,$B5)</f>
        <v>0</v>
      </c>
      <c r="I5" s="11">
        <f>COUNTIFS(Data!$B:$B,$B5,Data!$F:$F, "&lt;=" &amp; DATE(2025,5,31))-COUNTIFS(Data!$B:$B,$B5,Data!$AZ:$AZ, "&gt;=" &amp; DATE(2025,4,1), Data!$AZ:$AZ, "&lt;=" &amp; DATE(2025,5,31))</f>
        <v>2</v>
      </c>
      <c r="J5" s="11">
        <f>COUNTIFS(Data!$AZ:$AZ, "&gt;=" &amp; DATE(2025,6,1), Data!$AZ:$AZ, "&lt;=" &amp; DATE(2025,6,30),Data!$B:$B,$B5)</f>
        <v>0</v>
      </c>
      <c r="K5" s="11">
        <f>COUNTIFS(Data!$F:$F, "&gt;=" &amp; DATE(2025,6,1), Data!$F:$F, "&lt;=" &amp; DATE(2025,6,30),Data!$B:$B,$B5)</f>
        <v>0</v>
      </c>
      <c r="L5" s="11">
        <f>COUNTIFS(Data!$B:$B,$B5,Data!$F:$F, "&lt;=" &amp; DATE(2025,6,30))-COUNTIFS(Data!$B:$B,$B5,Data!$AZ:$AZ, "&gt;=" &amp; DATE(2025,4,1), Data!$AZ:$AZ, "&lt;=" &amp; DATE(2025,6,30))</f>
        <v>2</v>
      </c>
      <c r="M5" s="11">
        <f>COUNTIFS(Data!$AZ:$AZ, "&gt;=" &amp; DATE(2025,7,1), Data!$AZ:$AZ, "&lt;=" &amp; DATE(2025,7,31),Data!$B:$B,$B5)</f>
        <v>0</v>
      </c>
      <c r="N5" s="11">
        <f>COUNTIFS(Data!$F:$F, "&gt;=" &amp; DATE(2025,7,1), Data!$F:$F, "&lt;=" &amp; DATE(2025,7,31),Data!$B:$B,$B5)</f>
        <v>1</v>
      </c>
      <c r="O5" s="11">
        <f>COUNTIFS(Data!$B:$B,$B5,Data!$F:$F, "&lt;=" &amp; DATE(2025,7,31))-COUNTIFS(Data!$B:$B,$B5,Data!$AZ:$AZ, "&gt;=" &amp; DATE(2025,4,1), Data!$AZ:$AZ, "&lt;=" &amp; DATE(2025,7,31))</f>
        <v>3</v>
      </c>
      <c r="P5" s="11">
        <f>COUNTIFS(Data!$AZ:$AZ, "&gt;=" &amp; DATE(2025,8,1), Data!$AZ:$AZ, "&lt;=" &amp; DATE(2025,8,31),Data!$B:$B,$B5)</f>
        <v>0</v>
      </c>
      <c r="Q5" s="11">
        <f>COUNTIFS(Data!$F:$F, "&gt;=" &amp; DATE(2025,8,1), Data!$F:$F, "&lt;=" &amp; DATE(2025,8,31),Data!$B:$B,$B5)</f>
        <v>0</v>
      </c>
      <c r="R5" s="11">
        <f>COUNTIFS(Data!$B:$B,$B5,Data!$F:$F, "&lt;=" &amp; DATE(2025,8,31))-COUNTIFS(Data!$B:$B,$B5,Data!$AZ:$AZ, "&gt;=" &amp; DATE(2025,4,1), Data!$AZ:$AZ, "&lt;=" &amp; DATE(2025,8,31))</f>
        <v>3</v>
      </c>
      <c r="S5" s="11">
        <f>COUNTIFS(Data!$AZ:$AZ, "&gt;=" &amp; DATE(2025,9,1), Data!$AZ:$AZ, "&lt;=" &amp; DATE(2025,9,30),Data!$B:$B,$B5)</f>
        <v>0</v>
      </c>
      <c r="T5" s="11">
        <f>COUNTIFS(Data!$F:$F, "&gt;=" &amp; DATE(2025,9,1), Data!$F:$F, "&lt;=" &amp; DATE(2025,9,30),Data!$B:$B,$B5)</f>
        <v>0</v>
      </c>
    </row>
    <row r="6" spans="2:38">
      <c r="B6" s="11" t="s">
        <v>163</v>
      </c>
      <c r="C6" s="11">
        <f>COUNTIFS(Data!B:B,B6,Data!F:F, "&lt;=" &amp; DATE(2025,4,1))</f>
        <v>2</v>
      </c>
      <c r="D6" s="11">
        <f>COUNTIFS(Data!AZ:AZ, "&gt;=" &amp; DATE(2025,4,1), Data!AZ:AZ, "&lt;=" &amp; DATE(2025,4,30),Data!B:B,B6)</f>
        <v>0</v>
      </c>
      <c r="E6" s="11">
        <f>COUNTIFS(Data!F:F, "&gt;=" &amp; DATE(2025,4,1), Data!F:F, "&lt;=" &amp; DATE(2025,4,30),Data!B:B,B6)</f>
        <v>0</v>
      </c>
      <c r="F6" s="11">
        <f>COUNTIFS(Data!$B:$B,$B6,Data!$F:$F, "&lt;=" &amp; DATE(2025,4,30))-COUNTIFS(Data!$B:$B,$B6,Data!AZ:AZ, "&gt;=" &amp; DATE(2025,4,1), Data!AZ:AZ, "&lt;=" &amp; DATE(2025,4,30))</f>
        <v>2</v>
      </c>
      <c r="G6" s="11">
        <f>COUNTIFS(Data!$AZ:$AZ, "&gt;=" &amp; DATE(2025,5,1), Data!$AZ:$AZ, "&lt;=" &amp; DATE(2025,5,31),Data!$B:$B,$B6)</f>
        <v>0</v>
      </c>
      <c r="H6" s="11">
        <f>COUNTIFS(Data!$F:$F, "&gt;=" &amp; DATE(2025,5,1), Data!$F:$F, "&lt;=" &amp; DATE(2025,5,31),Data!$B:$B,$B6)</f>
        <v>0</v>
      </c>
      <c r="I6" s="11">
        <f>COUNTIFS(Data!$B:$B,$B6,Data!$F:$F, "&lt;=" &amp; DATE(2025,5,31))-COUNTIFS(Data!$B:$B,$B6,Data!$AZ:$AZ, "&gt;=" &amp; DATE(2025,4,1), Data!$AZ:$AZ, "&lt;=" &amp; DATE(2025,5,31))</f>
        <v>2</v>
      </c>
      <c r="J6" s="11">
        <f>COUNTIFS(Data!$AZ:$AZ, "&gt;=" &amp; DATE(2025,6,1), Data!$AZ:$AZ, "&lt;=" &amp; DATE(2025,6,30),Data!$B:$B,$B6)</f>
        <v>0</v>
      </c>
      <c r="K6" s="11">
        <f>COUNTIFS(Data!$F:$F, "&gt;=" &amp; DATE(2025,6,1), Data!$F:$F, "&lt;=" &amp; DATE(2025,6,30),Data!$B:$B,$B6)</f>
        <v>1</v>
      </c>
      <c r="L6" s="11">
        <f>COUNTIFS(Data!$B:$B,$B6,Data!$F:$F, "&lt;=" &amp; DATE(2025,6,30))-COUNTIFS(Data!$B:$B,$B6,Data!$AZ:$AZ, "&gt;=" &amp; DATE(2025,4,1), Data!$AZ:$AZ, "&lt;=" &amp; DATE(2025,6,30))</f>
        <v>3</v>
      </c>
      <c r="M6" s="11">
        <f>COUNTIFS(Data!$AZ:$AZ, "&gt;=" &amp; DATE(2025,7,1), Data!$AZ:$AZ, "&lt;=" &amp; DATE(2025,7,31),Data!$B:$B,$B6)</f>
        <v>0</v>
      </c>
      <c r="N6" s="11">
        <f>COUNTIFS(Data!$F:$F, "&gt;=" &amp; DATE(2025,7,1), Data!$F:$F, "&lt;=" &amp; DATE(2025,7,31),Data!$B:$B,$B6)</f>
        <v>0</v>
      </c>
      <c r="O6" s="11">
        <f>COUNTIFS(Data!$B:$B,$B6,Data!$F:$F, "&lt;=" &amp; DATE(2025,7,31))-COUNTIFS(Data!$B:$B,$B6,Data!$AZ:$AZ, "&gt;=" &amp; DATE(2025,4,1), Data!$AZ:$AZ, "&lt;=" &amp; DATE(2025,7,31))</f>
        <v>3</v>
      </c>
      <c r="P6" s="11">
        <f>COUNTIFS(Data!$AZ:$AZ, "&gt;=" &amp; DATE(2025,8,1), Data!$AZ:$AZ, "&lt;=" &amp; DATE(2025,8,31),Data!$B:$B,$B6)</f>
        <v>0</v>
      </c>
      <c r="Q6" s="11">
        <f>COUNTIFS(Data!$F:$F, "&gt;=" &amp; DATE(2025,8,1), Data!$F:$F, "&lt;=" &amp; DATE(2025,8,31),Data!$B:$B,$B6)</f>
        <v>0</v>
      </c>
      <c r="R6" s="11">
        <f>COUNTIFS(Data!$B:$B,$B6,Data!$F:$F, "&lt;=" &amp; DATE(2025,8,31))-COUNTIFS(Data!$B:$B,$B6,Data!$AZ:$AZ, "&gt;=" &amp; DATE(2025,4,1), Data!$AZ:$AZ, "&lt;=" &amp; DATE(2025,8,31))</f>
        <v>3</v>
      </c>
      <c r="S6" s="11">
        <f>COUNTIFS(Data!$AZ:$AZ, "&gt;=" &amp; DATE(2025,9,1), Data!$AZ:$AZ, "&lt;=" &amp; DATE(2025,9,30),Data!$B:$B,$B6)</f>
        <v>1</v>
      </c>
      <c r="T6" s="11">
        <f>COUNTIFS(Data!$F:$F, "&gt;=" &amp; DATE(2025,9,1), Data!$F:$F, "&lt;=" &amp; DATE(2025,9,30),Data!$B:$B,$B6)</f>
        <v>0</v>
      </c>
    </row>
    <row r="7" spans="2:38">
      <c r="B7" s="11" t="s">
        <v>356</v>
      </c>
      <c r="C7" s="11">
        <f>COUNTIFS(Data!B:B,B7,Data!F:F, "&lt;=" &amp; DATE(2025,4,1))</f>
        <v>1</v>
      </c>
      <c r="D7" s="11">
        <f>COUNTIFS(Data!AZ:AZ, "&gt;=" &amp; DATE(2025,4,1), Data!AZ:AZ, "&lt;=" &amp; DATE(2025,4,30),Data!B:B,B7)</f>
        <v>0</v>
      </c>
      <c r="E7" s="11">
        <f>COUNTIFS(Data!F:F, "&gt;=" &amp; DATE(2025,4,1), Data!F:F, "&lt;=" &amp; DATE(2025,4,30),Data!B:B,B7)</f>
        <v>0</v>
      </c>
      <c r="F7" s="11">
        <f>COUNTIFS(Data!$B:$B,$B7,Data!$F:$F, "&lt;=" &amp; DATE(2025,4,30))-COUNTIFS(Data!$B:$B,$B7,Data!AZ:AZ, "&gt;=" &amp; DATE(2025,4,1), Data!AZ:AZ, "&lt;=" &amp; DATE(2025,4,30))</f>
        <v>1</v>
      </c>
      <c r="G7" s="11">
        <f>COUNTIFS(Data!$AZ:$AZ, "&gt;=" &amp; DATE(2025,5,1), Data!$AZ:$AZ, "&lt;=" &amp; DATE(2025,5,31),Data!$B:$B,$B7)</f>
        <v>0</v>
      </c>
      <c r="H7" s="11">
        <f>COUNTIFS(Data!$F:$F, "&gt;=" &amp; DATE(2025,5,1), Data!$F:$F, "&lt;=" &amp; DATE(2025,5,31),Data!$B:$B,$B7)</f>
        <v>0</v>
      </c>
      <c r="I7" s="11">
        <f>COUNTIFS(Data!$B:$B,$B7,Data!$F:$F, "&lt;=" &amp; DATE(2025,5,31))-COUNTIFS(Data!$B:$B,$B7,Data!$AZ:$AZ, "&gt;=" &amp; DATE(2025,4,1), Data!$AZ:$AZ, "&lt;=" &amp; DATE(2025,5,31))</f>
        <v>1</v>
      </c>
      <c r="J7" s="11">
        <f>COUNTIFS(Data!$AZ:$AZ, "&gt;=" &amp; DATE(2025,6,1), Data!$AZ:$AZ, "&lt;=" &amp; DATE(2025,6,30),Data!$B:$B,$B7)</f>
        <v>0</v>
      </c>
      <c r="K7" s="11">
        <f>COUNTIFS(Data!$F:$F, "&gt;=" &amp; DATE(2025,6,1), Data!$F:$F, "&lt;=" &amp; DATE(2025,6,30),Data!$B:$B,$B7)</f>
        <v>0</v>
      </c>
      <c r="L7" s="11">
        <f>COUNTIFS(Data!$B:$B,$B7,Data!$F:$F, "&lt;=" &amp; DATE(2025,6,30))-COUNTIFS(Data!$B:$B,$B7,Data!$AZ:$AZ, "&gt;=" &amp; DATE(2025,4,1), Data!$AZ:$AZ, "&lt;=" &amp; DATE(2025,6,30))</f>
        <v>1</v>
      </c>
      <c r="M7" s="11">
        <f>COUNTIFS(Data!$AZ:$AZ, "&gt;=" &amp; DATE(2025,7,1), Data!$AZ:$AZ, "&lt;=" &amp; DATE(2025,7,31),Data!$B:$B,$B7)</f>
        <v>0</v>
      </c>
      <c r="N7" s="11">
        <f>COUNTIFS(Data!$F:$F, "&gt;=" &amp; DATE(2025,7,1), Data!$F:$F, "&lt;=" &amp; DATE(2025,7,31),Data!$B:$B,$B7)</f>
        <v>0</v>
      </c>
      <c r="O7" s="11">
        <f>COUNTIFS(Data!$B:$B,$B7,Data!$F:$F, "&lt;=" &amp; DATE(2025,7,31))-COUNTIFS(Data!$B:$B,$B7,Data!$AZ:$AZ, "&gt;=" &amp; DATE(2025,4,1), Data!$AZ:$AZ, "&lt;=" &amp; DATE(2025,7,31))</f>
        <v>1</v>
      </c>
      <c r="P7" s="11">
        <f>COUNTIFS(Data!$AZ:$AZ, "&gt;=" &amp; DATE(2025,8,1), Data!$AZ:$AZ, "&lt;=" &amp; DATE(2025,8,31),Data!$B:$B,$B7)</f>
        <v>0</v>
      </c>
      <c r="Q7" s="11">
        <f>COUNTIFS(Data!$F:$F, "&gt;=" &amp; DATE(2025,8,1), Data!$F:$F, "&lt;=" &amp; DATE(2025,8,31),Data!$B:$B,$B7)</f>
        <v>0</v>
      </c>
      <c r="R7" s="11">
        <f>COUNTIFS(Data!$B:$B,$B7,Data!$F:$F, "&lt;=" &amp; DATE(2025,8,31))-COUNTIFS(Data!$B:$B,$B7,Data!$AZ:$AZ, "&gt;=" &amp; DATE(2025,4,1), Data!$AZ:$AZ, "&lt;=" &amp; DATE(2025,8,31))</f>
        <v>1</v>
      </c>
      <c r="S7" s="11">
        <f>COUNTIFS(Data!$AZ:$AZ, "&gt;=" &amp; DATE(2025,9,1), Data!$AZ:$AZ, "&lt;=" &amp; DATE(2025,9,30),Data!$B:$B,$B7)</f>
        <v>0</v>
      </c>
      <c r="T7" s="11">
        <f>COUNTIFS(Data!$F:$F, "&gt;=" &amp; DATE(2025,9,1), Data!$F:$F, "&lt;=" &amp; DATE(2025,9,30),Data!$B:$B,$B7)</f>
        <v>0</v>
      </c>
    </row>
    <row r="8" spans="2:38">
      <c r="B8" s="11" t="s">
        <v>431</v>
      </c>
      <c r="C8" s="11">
        <f>COUNTIFS(Data!B:B,B8,Data!F:F, "&lt;=" &amp; DATE(2025,4,1))</f>
        <v>17</v>
      </c>
      <c r="D8" s="11">
        <f>COUNTIFS(Data!AZ:AZ, "&gt;=" &amp; DATE(2025,4,1), Data!AZ:AZ, "&lt;=" &amp; DATE(2025,4,30),Data!B:B,B8)</f>
        <v>0</v>
      </c>
      <c r="E8" s="11">
        <f>COUNTIFS(Data!F:F, "&gt;=" &amp; DATE(2025,4,1), Data!F:F, "&lt;=" &amp; DATE(2025,4,30),Data!B:B,B8)</f>
        <v>0</v>
      </c>
      <c r="F8" s="11">
        <f>COUNTIFS(Data!$B:$B,$B8,Data!$F:$F, "&lt;=" &amp; DATE(2025,4,30))-COUNTIFS(Data!$B:$B,$B8,Data!AZ:AZ, "&gt;=" &amp; DATE(2025,4,1), Data!AZ:AZ, "&lt;=" &amp; DATE(2025,4,30))</f>
        <v>17</v>
      </c>
      <c r="G8" s="11">
        <f>COUNTIFS(Data!$AZ:$AZ, "&gt;=" &amp; DATE(2025,5,1), Data!$AZ:$AZ, "&lt;=" &amp; DATE(2025,5,31),Data!$B:$B,$B8)</f>
        <v>0</v>
      </c>
      <c r="H8" s="11">
        <f>COUNTIFS(Data!$F:$F, "&gt;=" &amp; DATE(2025,5,1), Data!$F:$F, "&lt;=" &amp; DATE(2025,5,31),Data!$B:$B,$B8)</f>
        <v>1</v>
      </c>
      <c r="I8" s="11">
        <f>COUNTIFS(Data!$B:$B,$B8,Data!$F:$F, "&lt;=" &amp; DATE(2025,5,31))-COUNTIFS(Data!$B:$B,$B8,Data!$AZ:$AZ, "&gt;=" &amp; DATE(2025,4,1), Data!$AZ:$AZ, "&lt;=" &amp; DATE(2025,5,31))</f>
        <v>18</v>
      </c>
      <c r="J8" s="11">
        <f>COUNTIFS(Data!$AZ:$AZ, "&gt;=" &amp; DATE(2025,6,1), Data!$AZ:$AZ, "&lt;=" &amp; DATE(2025,6,30),Data!$B:$B,$B8)</f>
        <v>0</v>
      </c>
      <c r="K8" s="11">
        <f>COUNTIFS(Data!$F:$F, "&gt;=" &amp; DATE(2025,6,1), Data!$F:$F, "&lt;=" &amp; DATE(2025,6,30),Data!$B:$B,$B8)</f>
        <v>0</v>
      </c>
      <c r="L8" s="11">
        <f>COUNTIFS(Data!$B:$B,$B8,Data!$F:$F, "&lt;=" &amp; DATE(2025,6,30))-COUNTIFS(Data!$B:$B,$B8,Data!$AZ:$AZ, "&gt;=" &amp; DATE(2025,4,1), Data!$AZ:$AZ, "&lt;=" &amp; DATE(2025,6,30))</f>
        <v>18</v>
      </c>
      <c r="M8" s="11">
        <f>COUNTIFS(Data!$AZ:$AZ, "&gt;=" &amp; DATE(2025,7,1), Data!$AZ:$AZ, "&lt;=" &amp; DATE(2025,7,31),Data!$B:$B,$B8)</f>
        <v>0</v>
      </c>
      <c r="N8" s="11">
        <f>COUNTIFS(Data!$F:$F, "&gt;=" &amp; DATE(2025,7,1), Data!$F:$F, "&lt;=" &amp; DATE(2025,7,31),Data!$B:$B,$B8)</f>
        <v>2</v>
      </c>
      <c r="O8" s="11">
        <f>COUNTIFS(Data!$B:$B,$B8,Data!$F:$F, "&lt;=" &amp; DATE(2025,7,31))-COUNTIFS(Data!$B:$B,$B8,Data!$AZ:$AZ, "&gt;=" &amp; DATE(2025,4,1), Data!$AZ:$AZ, "&lt;=" &amp; DATE(2025,7,31))</f>
        <v>20</v>
      </c>
      <c r="P8" s="11">
        <f>COUNTIFS(Data!$AZ:$AZ, "&gt;=" &amp; DATE(2025,8,1), Data!$AZ:$AZ, "&lt;=" &amp; DATE(2025,8,31),Data!$B:$B,$B8)</f>
        <v>1</v>
      </c>
      <c r="Q8" s="11">
        <f>COUNTIFS(Data!$F:$F, "&gt;=" &amp; DATE(2025,8,1), Data!$F:$F, "&lt;=" &amp; DATE(2025,8,31),Data!$B:$B,$B8)</f>
        <v>0</v>
      </c>
      <c r="R8" s="11">
        <f>COUNTIFS(Data!$B:$B,$B8,Data!$F:$F, "&lt;=" &amp; DATE(2025,8,31))-COUNTIFS(Data!$B:$B,$B8,Data!$AZ:$AZ, "&gt;=" &amp; DATE(2025,4,1), Data!$AZ:$AZ, "&lt;=" &amp; DATE(2025,8,31))</f>
        <v>19</v>
      </c>
      <c r="S8" s="11">
        <f>COUNTIFS(Data!$AZ:$AZ, "&gt;=" &amp; DATE(2025,9,1), Data!$AZ:$AZ, "&lt;=" &amp; DATE(2025,9,30),Data!$B:$B,$B8)</f>
        <v>1</v>
      </c>
      <c r="T8" s="11">
        <f>COUNTIFS(Data!$F:$F, "&gt;=" &amp; DATE(2025,9,1), Data!$F:$F, "&lt;=" &amp; DATE(2025,9,30),Data!$B:$B,$B8)</f>
        <v>0</v>
      </c>
    </row>
    <row r="9" spans="2:38">
      <c r="B9" s="11" t="s">
        <v>450</v>
      </c>
      <c r="C9" s="11">
        <f>COUNTIFS(Data!B:B,B9,Data!F:F, "&lt;=" &amp; DATE(2025,4,1))</f>
        <v>3</v>
      </c>
      <c r="D9" s="11">
        <f>COUNTIFS(Data!AZ:AZ, "&gt;=" &amp; DATE(2025,4,1), Data!AZ:AZ, "&lt;=" &amp; DATE(2025,4,30),Data!B:B,B9)</f>
        <v>0</v>
      </c>
      <c r="E9" s="11">
        <f>COUNTIFS(Data!F:F, "&gt;=" &amp; DATE(2025,4,1), Data!F:F, "&lt;=" &amp; DATE(2025,4,30),Data!B:B,B9)</f>
        <v>0</v>
      </c>
      <c r="F9" s="11">
        <f>COUNTIFS(Data!$B:$B,$B9,Data!$F:$F, "&lt;=" &amp; DATE(2025,4,30))-COUNTIFS(Data!$B:$B,$B9,Data!AZ:AZ, "&gt;=" &amp; DATE(2025,4,1), Data!AZ:AZ, "&lt;=" &amp; DATE(2025,4,30))</f>
        <v>3</v>
      </c>
      <c r="G9" s="11">
        <f>COUNTIFS(Data!$AZ:$AZ, "&gt;=" &amp; DATE(2025,5,1), Data!$AZ:$AZ, "&lt;=" &amp; DATE(2025,5,31),Data!$B:$B,$B9)</f>
        <v>0</v>
      </c>
      <c r="H9" s="11">
        <f>COUNTIFS(Data!$F:$F, "&gt;=" &amp; DATE(2025,5,1), Data!$F:$F, "&lt;=" &amp; DATE(2025,5,31),Data!$B:$B,$B9)</f>
        <v>0</v>
      </c>
      <c r="I9" s="11">
        <f>COUNTIFS(Data!$B:$B,$B9,Data!$F:$F, "&lt;=" &amp; DATE(2025,5,31))-COUNTIFS(Data!$B:$B,$B9,Data!$AZ:$AZ, "&gt;=" &amp; DATE(2025,4,1), Data!$AZ:$AZ, "&lt;=" &amp; DATE(2025,5,31))</f>
        <v>3</v>
      </c>
      <c r="J9" s="11">
        <f>COUNTIFS(Data!$AZ:$AZ, "&gt;=" &amp; DATE(2025,6,1), Data!$AZ:$AZ, "&lt;=" &amp; DATE(2025,6,30),Data!$B:$B,$B9)</f>
        <v>0</v>
      </c>
      <c r="K9" s="11">
        <f>COUNTIFS(Data!$F:$F, "&gt;=" &amp; DATE(2025,6,1), Data!$F:$F, "&lt;=" &amp; DATE(2025,6,30),Data!$B:$B,$B9)</f>
        <v>1</v>
      </c>
      <c r="L9" s="11">
        <f>COUNTIFS(Data!$B:$B,$B9,Data!$F:$F, "&lt;=" &amp; DATE(2025,6,30))-COUNTIFS(Data!$B:$B,$B9,Data!$AZ:$AZ, "&gt;=" &amp; DATE(2025,4,1), Data!$AZ:$AZ, "&lt;=" &amp; DATE(2025,6,30))</f>
        <v>4</v>
      </c>
      <c r="M9" s="11">
        <f>COUNTIFS(Data!$AZ:$AZ, "&gt;=" &amp; DATE(2025,7,1), Data!$AZ:$AZ, "&lt;=" &amp; DATE(2025,7,31),Data!$B:$B,$B9)</f>
        <v>0</v>
      </c>
      <c r="N9" s="11">
        <f>COUNTIFS(Data!$F:$F, "&gt;=" &amp; DATE(2025,7,1), Data!$F:$F, "&lt;=" &amp; DATE(2025,7,31),Data!$B:$B,$B9)</f>
        <v>0</v>
      </c>
      <c r="O9" s="11">
        <f>COUNTIFS(Data!$B:$B,$B9,Data!$F:$F, "&lt;=" &amp; DATE(2025,7,31))-COUNTIFS(Data!$B:$B,$B9,Data!$AZ:$AZ, "&gt;=" &amp; DATE(2025,4,1), Data!$AZ:$AZ, "&lt;=" &amp; DATE(2025,7,31))</f>
        <v>4</v>
      </c>
      <c r="P9" s="11">
        <f>COUNTIFS(Data!$AZ:$AZ, "&gt;=" &amp; DATE(2025,8,1), Data!$AZ:$AZ, "&lt;=" &amp; DATE(2025,8,31),Data!$B:$B,$B9)</f>
        <v>0</v>
      </c>
      <c r="Q9" s="11">
        <f>COUNTIFS(Data!$F:$F, "&gt;=" &amp; DATE(2025,8,1), Data!$F:$F, "&lt;=" &amp; DATE(2025,8,31),Data!$B:$B,$B9)</f>
        <v>0</v>
      </c>
      <c r="R9" s="11">
        <f>COUNTIFS(Data!$B:$B,$B9,Data!$F:$F, "&lt;=" &amp; DATE(2025,8,31))-COUNTIFS(Data!$B:$B,$B9,Data!$AZ:$AZ, "&gt;=" &amp; DATE(2025,4,1), Data!$AZ:$AZ, "&lt;=" &amp; DATE(2025,8,31))</f>
        <v>4</v>
      </c>
      <c r="S9" s="11">
        <f>COUNTIFS(Data!$AZ:$AZ, "&gt;=" &amp; DATE(2025,9,1), Data!$AZ:$AZ, "&lt;=" &amp; DATE(2025,9,30),Data!$B:$B,$B9)</f>
        <v>0</v>
      </c>
      <c r="T9" s="11">
        <f>COUNTIFS(Data!$F:$F, "&gt;=" &amp; DATE(2025,9,1), Data!$F:$F, "&lt;=" &amp; DATE(2025,9,30),Data!$B:$B,$B9)</f>
        <v>0</v>
      </c>
    </row>
    <row r="10" spans="2:38">
      <c r="B10" s="11" t="s">
        <v>370</v>
      </c>
      <c r="C10" s="11">
        <f>COUNTIFS(Data!B:B,B10,Data!F:F, "&lt;=" &amp; DATE(2025,4,1))</f>
        <v>3</v>
      </c>
      <c r="D10" s="11">
        <f>COUNTIFS(Data!AZ:AZ, "&gt;=" &amp; DATE(2025,4,1), Data!AZ:AZ, "&lt;=" &amp; DATE(2025,4,30),Data!B:B,B10)</f>
        <v>0</v>
      </c>
      <c r="E10" s="11">
        <f>COUNTIFS(Data!F:F, "&gt;=" &amp; DATE(2025,4,1), Data!F:F, "&lt;=" &amp; DATE(2025,4,30),Data!B:B,B10)</f>
        <v>0</v>
      </c>
      <c r="F10" s="11">
        <f>COUNTIFS(Data!$B:$B,$B10,Data!$F:$F, "&lt;=" &amp; DATE(2025,4,30))-COUNTIFS(Data!$B:$B,$B10,Data!AZ:AZ, "&gt;=" &amp; DATE(2025,4,1), Data!AZ:AZ, "&lt;=" &amp; DATE(2025,4,30))</f>
        <v>3</v>
      </c>
      <c r="G10" s="11">
        <f>COUNTIFS(Data!$AZ:$AZ, "&gt;=" &amp; DATE(2025,5,1), Data!$AZ:$AZ, "&lt;=" &amp; DATE(2025,5,31),Data!$B:$B,$B10)</f>
        <v>1</v>
      </c>
      <c r="H10" s="11">
        <f>COUNTIFS(Data!$F:$F, "&gt;=" &amp; DATE(2025,5,1), Data!$F:$F, "&lt;=" &amp; DATE(2025,5,31),Data!$B:$B,$B10)</f>
        <v>2</v>
      </c>
      <c r="I10" s="11">
        <f>COUNTIFS(Data!$B:$B,$B10,Data!$F:$F, "&lt;=" &amp; DATE(2025,5,31))-COUNTIFS(Data!$B:$B,$B10,Data!$AZ:$AZ, "&gt;=" &amp; DATE(2025,4,1), Data!$AZ:$AZ, "&lt;=" &amp; DATE(2025,5,31))</f>
        <v>4</v>
      </c>
      <c r="J10" s="11">
        <f>COUNTIFS(Data!$AZ:$AZ, "&gt;=" &amp; DATE(2025,6,1), Data!$AZ:$AZ, "&lt;=" &amp; DATE(2025,6,30),Data!$B:$B,$B10)</f>
        <v>0</v>
      </c>
      <c r="K10" s="11">
        <f>COUNTIFS(Data!$F:$F, "&gt;=" &amp; DATE(2025,6,1), Data!$F:$F, "&lt;=" &amp; DATE(2025,6,30),Data!$B:$B,$B10)</f>
        <v>0</v>
      </c>
      <c r="L10" s="11">
        <f>COUNTIFS(Data!$B:$B,$B10,Data!$F:$F, "&lt;=" &amp; DATE(2025,6,30))-COUNTIFS(Data!$B:$B,$B10,Data!$AZ:$AZ, "&gt;=" &amp; DATE(2025,4,1), Data!$AZ:$AZ, "&lt;=" &amp; DATE(2025,6,30))</f>
        <v>4</v>
      </c>
      <c r="M10" s="11">
        <f>COUNTIFS(Data!$AZ:$AZ, "&gt;=" &amp; DATE(2025,7,1), Data!$AZ:$AZ, "&lt;=" &amp; DATE(2025,7,31),Data!$B:$B,$B10)</f>
        <v>1</v>
      </c>
      <c r="N10" s="11">
        <f>COUNTIFS(Data!$F:$F, "&gt;=" &amp; DATE(2025,7,1), Data!$F:$F, "&lt;=" &amp; DATE(2025,7,31),Data!$B:$B,$B10)</f>
        <v>1</v>
      </c>
      <c r="O10" s="11">
        <f>COUNTIFS(Data!$B:$B,$B10,Data!$F:$F, "&lt;=" &amp; DATE(2025,7,31))-COUNTIFS(Data!$B:$B,$B10,Data!$AZ:$AZ, "&gt;=" &amp; DATE(2025,4,1), Data!$AZ:$AZ, "&lt;=" &amp; DATE(2025,7,31))</f>
        <v>4</v>
      </c>
      <c r="P10" s="11">
        <f>COUNTIFS(Data!$AZ:$AZ, "&gt;=" &amp; DATE(2025,8,1), Data!$AZ:$AZ, "&lt;=" &amp; DATE(2025,8,31),Data!$B:$B,$B10)</f>
        <v>2</v>
      </c>
      <c r="Q10" s="11">
        <f>COUNTIFS(Data!$F:$F, "&gt;=" &amp; DATE(2025,8,1), Data!$F:$F, "&lt;=" &amp; DATE(2025,8,31),Data!$B:$B,$B10)</f>
        <v>0</v>
      </c>
      <c r="R10" s="11">
        <f>COUNTIFS(Data!$B:$B,$B10,Data!$F:$F, "&lt;=" &amp; DATE(2025,8,31))-COUNTIFS(Data!$B:$B,$B10,Data!$AZ:$AZ, "&gt;=" &amp; DATE(2025,4,1), Data!$AZ:$AZ, "&lt;=" &amp; DATE(2025,8,31))</f>
        <v>2</v>
      </c>
      <c r="S10" s="11">
        <f>COUNTIFS(Data!$AZ:$AZ, "&gt;=" &amp; DATE(2025,9,1), Data!$AZ:$AZ, "&lt;=" &amp; DATE(2025,9,30),Data!$B:$B,$B10)</f>
        <v>1</v>
      </c>
      <c r="T10" s="11">
        <f>COUNTIFS(Data!$F:$F, "&gt;=" &amp; DATE(2025,9,1), Data!$F:$F, "&lt;=" &amp; DATE(2025,9,30),Data!$B:$B,$B10)</f>
        <v>1</v>
      </c>
    </row>
    <row r="11" spans="2:38">
      <c r="B11" s="11" t="s">
        <v>458</v>
      </c>
      <c r="C11" s="11">
        <f>COUNTIFS(Data!B:B,B11,Data!F:F, "&lt;=" &amp; DATE(2025,4,1))</f>
        <v>3</v>
      </c>
      <c r="D11" s="11">
        <f>COUNTIFS(Data!AZ:AZ, "&gt;=" &amp; DATE(2025,4,1), Data!AZ:AZ, "&lt;=" &amp; DATE(2025,4,30),Data!B:B,B11)</f>
        <v>0</v>
      </c>
      <c r="E11" s="11">
        <f>COUNTIFS(Data!F:F, "&gt;=" &amp; DATE(2025,4,1), Data!F:F, "&lt;=" &amp; DATE(2025,4,30),Data!B:B,B11)</f>
        <v>1</v>
      </c>
      <c r="F11" s="11">
        <f>COUNTIFS(Data!$B:$B,$B11,Data!$F:$F, "&lt;=" &amp; DATE(2025,4,30))-COUNTIFS(Data!$B:$B,$B11,Data!AZ:AZ, "&gt;=" &amp; DATE(2025,4,1), Data!AZ:AZ, "&lt;=" &amp; DATE(2025,4,30))</f>
        <v>4</v>
      </c>
      <c r="G11" s="11">
        <f>COUNTIFS(Data!$AZ:$AZ, "&gt;=" &amp; DATE(2025,5,1), Data!$AZ:$AZ, "&lt;=" &amp; DATE(2025,5,31),Data!$B:$B,$B11)</f>
        <v>0</v>
      </c>
      <c r="H11" s="11">
        <f>COUNTIFS(Data!$F:$F, "&gt;=" &amp; DATE(2025,5,1), Data!$F:$F, "&lt;=" &amp; DATE(2025,5,31),Data!$B:$B,$B11)</f>
        <v>0</v>
      </c>
      <c r="I11" s="11">
        <f>COUNTIFS(Data!$B:$B,$B11,Data!$F:$F, "&lt;=" &amp; DATE(2025,5,31))-COUNTIFS(Data!$B:$B,$B11,Data!$AZ:$AZ, "&gt;=" &amp; DATE(2025,4,1), Data!$AZ:$AZ, "&lt;=" &amp; DATE(2025,5,31))</f>
        <v>4</v>
      </c>
      <c r="J11" s="11">
        <f>COUNTIFS(Data!$AZ:$AZ, "&gt;=" &amp; DATE(2025,6,1), Data!$AZ:$AZ, "&lt;=" &amp; DATE(2025,6,30),Data!$B:$B,$B11)</f>
        <v>0</v>
      </c>
      <c r="K11" s="11">
        <f>COUNTIFS(Data!$F:$F, "&gt;=" &amp; DATE(2025,6,1), Data!$F:$F, "&lt;=" &amp; DATE(2025,6,30),Data!$B:$B,$B11)</f>
        <v>0</v>
      </c>
      <c r="L11" s="11">
        <f>COUNTIFS(Data!$B:$B,$B11,Data!$F:$F, "&lt;=" &amp; DATE(2025,6,30))-COUNTIFS(Data!$B:$B,$B11,Data!$AZ:$AZ, "&gt;=" &amp; DATE(2025,4,1), Data!$AZ:$AZ, "&lt;=" &amp; DATE(2025,6,30))</f>
        <v>4</v>
      </c>
      <c r="M11" s="11">
        <f>COUNTIFS(Data!$AZ:$AZ, "&gt;=" &amp; DATE(2025,7,1), Data!$AZ:$AZ, "&lt;=" &amp; DATE(2025,7,31),Data!$B:$B,$B11)</f>
        <v>0</v>
      </c>
      <c r="N11" s="11">
        <f>COUNTIFS(Data!$F:$F, "&gt;=" &amp; DATE(2025,7,1), Data!$F:$F, "&lt;=" &amp; DATE(2025,7,31),Data!$B:$B,$B11)</f>
        <v>0</v>
      </c>
      <c r="O11" s="11">
        <f>COUNTIFS(Data!$B:$B,$B11,Data!$F:$F, "&lt;=" &amp; DATE(2025,7,31))-COUNTIFS(Data!$B:$B,$B11,Data!$AZ:$AZ, "&gt;=" &amp; DATE(2025,4,1), Data!$AZ:$AZ, "&lt;=" &amp; DATE(2025,7,31))</f>
        <v>4</v>
      </c>
      <c r="P11" s="11">
        <f>COUNTIFS(Data!$AZ:$AZ, "&gt;=" &amp; DATE(2025,8,1), Data!$AZ:$AZ, "&lt;=" &amp; DATE(2025,8,31),Data!$B:$B,$B11)</f>
        <v>1</v>
      </c>
      <c r="Q11" s="11">
        <f>COUNTIFS(Data!$F:$F, "&gt;=" &amp; DATE(2025,8,1), Data!$F:$F, "&lt;=" &amp; DATE(2025,8,31),Data!$B:$B,$B11)</f>
        <v>0</v>
      </c>
      <c r="R11" s="11">
        <f>COUNTIFS(Data!$B:$B,$B11,Data!$F:$F, "&lt;=" &amp; DATE(2025,8,31))-COUNTIFS(Data!$B:$B,$B11,Data!$AZ:$AZ, "&gt;=" &amp; DATE(2025,4,1), Data!$AZ:$AZ, "&lt;=" &amp; DATE(2025,8,31))</f>
        <v>3</v>
      </c>
      <c r="S11" s="11">
        <f>COUNTIFS(Data!$AZ:$AZ, "&gt;=" &amp; DATE(2025,9,1), Data!$AZ:$AZ, "&lt;=" &amp; DATE(2025,9,30),Data!$B:$B,$B11)</f>
        <v>0</v>
      </c>
      <c r="T11" s="11">
        <f>COUNTIFS(Data!$F:$F, "&gt;=" &amp; DATE(2025,9,1), Data!$F:$F, "&lt;=" &amp; DATE(2025,9,30),Data!$B:$B,$B11)</f>
        <v>0</v>
      </c>
    </row>
    <row r="12" spans="2:38">
      <c r="B12" s="11" t="s">
        <v>421</v>
      </c>
      <c r="C12" s="11">
        <f>COUNTIFS(Data!B:B,B12,Data!F:F, "&lt;=" &amp; DATE(2025,4,1))</f>
        <v>3</v>
      </c>
      <c r="D12" s="11">
        <f>COUNTIFS(Data!AZ:AZ, "&gt;=" &amp; DATE(2025,4,1), Data!AZ:AZ, "&lt;=" &amp; DATE(2025,4,30),Data!B:B,B12)</f>
        <v>0</v>
      </c>
      <c r="E12" s="11">
        <f>COUNTIFS(Data!F:F, "&gt;=" &amp; DATE(2025,4,1), Data!F:F, "&lt;=" &amp; DATE(2025,4,30),Data!B:B,B12)</f>
        <v>1</v>
      </c>
      <c r="F12" s="11">
        <f>COUNTIFS(Data!$B:$B,$B12,Data!$F:$F, "&lt;=" &amp; DATE(2025,4,30))-COUNTIFS(Data!$B:$B,$B12,Data!AZ:AZ, "&gt;=" &amp; DATE(2025,4,1), Data!AZ:AZ, "&lt;=" &amp; DATE(2025,4,30))</f>
        <v>4</v>
      </c>
      <c r="G12" s="11">
        <f>COUNTIFS(Data!$AZ:$AZ, "&gt;=" &amp; DATE(2025,5,1), Data!$AZ:$AZ, "&lt;=" &amp; DATE(2025,5,31),Data!$B:$B,$B12)</f>
        <v>0</v>
      </c>
      <c r="H12" s="11">
        <f>COUNTIFS(Data!$F:$F, "&gt;=" &amp; DATE(2025,5,1), Data!$F:$F, "&lt;=" &amp; DATE(2025,5,31),Data!$B:$B,$B12)</f>
        <v>0</v>
      </c>
      <c r="I12" s="11">
        <f>COUNTIFS(Data!$B:$B,$B12,Data!$F:$F, "&lt;=" &amp; DATE(2025,5,31))-COUNTIFS(Data!$B:$B,$B12,Data!$AZ:$AZ, "&gt;=" &amp; DATE(2025,4,1), Data!$AZ:$AZ, "&lt;=" &amp; DATE(2025,5,31))</f>
        <v>4</v>
      </c>
      <c r="J12" s="11">
        <f>COUNTIFS(Data!$AZ:$AZ, "&gt;=" &amp; DATE(2025,6,1), Data!$AZ:$AZ, "&lt;=" &amp; DATE(2025,6,30),Data!$B:$B,$B12)</f>
        <v>0</v>
      </c>
      <c r="K12" s="11">
        <f>COUNTIFS(Data!$F:$F, "&gt;=" &amp; DATE(2025,6,1), Data!$F:$F, "&lt;=" &amp; DATE(2025,6,30),Data!$B:$B,$B12)</f>
        <v>0</v>
      </c>
      <c r="L12" s="11">
        <f>COUNTIFS(Data!$B:$B,$B12,Data!$F:$F, "&lt;=" &amp; DATE(2025,6,30))-COUNTIFS(Data!$B:$B,$B12,Data!$AZ:$AZ, "&gt;=" &amp; DATE(2025,4,1), Data!$AZ:$AZ, "&lt;=" &amp; DATE(2025,6,30))</f>
        <v>4</v>
      </c>
      <c r="M12" s="11">
        <f>COUNTIFS(Data!$AZ:$AZ, "&gt;=" &amp; DATE(2025,7,1), Data!$AZ:$AZ, "&lt;=" &amp; DATE(2025,7,31),Data!$B:$B,$B12)</f>
        <v>0</v>
      </c>
      <c r="N12" s="11">
        <f>COUNTIFS(Data!$F:$F, "&gt;=" &amp; DATE(2025,7,1), Data!$F:$F, "&lt;=" &amp; DATE(2025,7,31),Data!$B:$B,$B12)</f>
        <v>0</v>
      </c>
      <c r="O12" s="11">
        <f>COUNTIFS(Data!$B:$B,$B12,Data!$F:$F, "&lt;=" &amp; DATE(2025,7,31))-COUNTIFS(Data!$B:$B,$B12,Data!$AZ:$AZ, "&gt;=" &amp; DATE(2025,4,1), Data!$AZ:$AZ, "&lt;=" &amp; DATE(2025,7,31))</f>
        <v>4</v>
      </c>
      <c r="P12" s="11">
        <f>COUNTIFS(Data!$AZ:$AZ, "&gt;=" &amp; DATE(2025,8,1), Data!$AZ:$AZ, "&lt;=" &amp; DATE(2025,8,31),Data!$B:$B,$B12)</f>
        <v>0</v>
      </c>
      <c r="Q12" s="11">
        <f>COUNTIFS(Data!$F:$F, "&gt;=" &amp; DATE(2025,8,1), Data!$F:$F, "&lt;=" &amp; DATE(2025,8,31),Data!$B:$B,$B12)</f>
        <v>0</v>
      </c>
      <c r="R12" s="11">
        <f>COUNTIFS(Data!$B:$B,$B12,Data!$F:$F, "&lt;=" &amp; DATE(2025,8,31))-COUNTIFS(Data!$B:$B,$B12,Data!$AZ:$AZ, "&gt;=" &amp; DATE(2025,4,1), Data!$AZ:$AZ, "&lt;=" &amp; DATE(2025,8,31))</f>
        <v>4</v>
      </c>
      <c r="S12" s="11">
        <f>COUNTIFS(Data!$AZ:$AZ, "&gt;=" &amp; DATE(2025,9,1), Data!$AZ:$AZ, "&lt;=" &amp; DATE(2025,9,30),Data!$B:$B,$B12)</f>
        <v>0</v>
      </c>
      <c r="T12" s="11">
        <f>COUNTIFS(Data!$F:$F, "&gt;=" &amp; DATE(2025,9,1), Data!$F:$F, "&lt;=" &amp; DATE(2025,9,30),Data!$B:$B,$B12)</f>
        <v>0</v>
      </c>
    </row>
    <row r="13" spans="2:38">
      <c r="B13" s="11" t="s">
        <v>468</v>
      </c>
      <c r="C13" s="11">
        <f>COUNTIFS(Data!B:B,B13,Data!F:F, "&lt;=" &amp; DATE(2025,4,1))</f>
        <v>8</v>
      </c>
      <c r="D13" s="11">
        <f>COUNTIFS(Data!AZ:AZ, "&gt;=" &amp; DATE(2025,4,1), Data!AZ:AZ, "&lt;=" &amp; DATE(2025,4,30),Data!B:B,B13)</f>
        <v>0</v>
      </c>
      <c r="E13" s="11">
        <f>COUNTIFS(Data!F:F, "&gt;=" &amp; DATE(2025,4,1), Data!F:F, "&lt;=" &amp; DATE(2025,4,30),Data!B:B,B13)</f>
        <v>0</v>
      </c>
      <c r="F13" s="11">
        <f>COUNTIFS(Data!$B:$B,$B13,Data!$F:$F, "&lt;=" &amp; DATE(2025,4,30))-COUNTIFS(Data!$B:$B,$B13,Data!AZ:AZ, "&gt;=" &amp; DATE(2025,4,1), Data!AZ:AZ, "&lt;=" &amp; DATE(2025,4,30))</f>
        <v>8</v>
      </c>
      <c r="G13" s="11">
        <f>COUNTIFS(Data!$AZ:$AZ, "&gt;=" &amp; DATE(2025,5,1), Data!$AZ:$AZ, "&lt;=" &amp; DATE(2025,5,31),Data!$B:$B,$B13)</f>
        <v>0</v>
      </c>
      <c r="H13" s="11">
        <f>COUNTIFS(Data!$F:$F, "&gt;=" &amp; DATE(2025,5,1), Data!$F:$F, "&lt;=" &amp; DATE(2025,5,31),Data!$B:$B,$B13)</f>
        <v>0</v>
      </c>
      <c r="I13" s="11">
        <f>COUNTIFS(Data!$B:$B,$B13,Data!$F:$F, "&lt;=" &amp; DATE(2025,5,31))-COUNTIFS(Data!$B:$B,$B13,Data!$AZ:$AZ, "&gt;=" &amp; DATE(2025,4,1), Data!$AZ:$AZ, "&lt;=" &amp; DATE(2025,5,31))</f>
        <v>8</v>
      </c>
      <c r="J13" s="11">
        <f>COUNTIFS(Data!$AZ:$AZ, "&gt;=" &amp; DATE(2025,6,1), Data!$AZ:$AZ, "&lt;=" &amp; DATE(2025,6,30),Data!$B:$B,$B13)</f>
        <v>0</v>
      </c>
      <c r="K13" s="11">
        <f>COUNTIFS(Data!$F:$F, "&gt;=" &amp; DATE(2025,6,1), Data!$F:$F, "&lt;=" &amp; DATE(2025,6,30),Data!$B:$B,$B13)</f>
        <v>0</v>
      </c>
      <c r="L13" s="11">
        <f>COUNTIFS(Data!$B:$B,$B13,Data!$F:$F, "&lt;=" &amp; DATE(2025,6,30))-COUNTIFS(Data!$B:$B,$B13,Data!$AZ:$AZ, "&gt;=" &amp; DATE(2025,4,1), Data!$AZ:$AZ, "&lt;=" &amp; DATE(2025,6,30))</f>
        <v>8</v>
      </c>
      <c r="M13" s="11">
        <f>COUNTIFS(Data!$AZ:$AZ, "&gt;=" &amp; DATE(2025,7,1), Data!$AZ:$AZ, "&lt;=" &amp; DATE(2025,7,31),Data!$B:$B,$B13)</f>
        <v>0</v>
      </c>
      <c r="N13" s="11">
        <f>COUNTIFS(Data!$F:$F, "&gt;=" &amp; DATE(2025,7,1), Data!$F:$F, "&lt;=" &amp; DATE(2025,7,31),Data!$B:$B,$B13)</f>
        <v>0</v>
      </c>
      <c r="O13" s="11">
        <f>COUNTIFS(Data!$B:$B,$B13,Data!$F:$F, "&lt;=" &amp; DATE(2025,7,31))-COUNTIFS(Data!$B:$B,$B13,Data!$AZ:$AZ, "&gt;=" &amp; DATE(2025,4,1), Data!$AZ:$AZ, "&lt;=" &amp; DATE(2025,7,31))</f>
        <v>8</v>
      </c>
      <c r="P13" s="11">
        <f>COUNTIFS(Data!$AZ:$AZ, "&gt;=" &amp; DATE(2025,8,1), Data!$AZ:$AZ, "&lt;=" &amp; DATE(2025,8,31),Data!$B:$B,$B13)</f>
        <v>0</v>
      </c>
      <c r="Q13" s="11">
        <f>COUNTIFS(Data!$F:$F, "&gt;=" &amp; DATE(2025,8,1), Data!$F:$F, "&lt;=" &amp; DATE(2025,8,31),Data!$B:$B,$B13)</f>
        <v>0</v>
      </c>
      <c r="R13" s="11">
        <f>COUNTIFS(Data!$B:$B,$B13,Data!$F:$F, "&lt;=" &amp; DATE(2025,8,31))-COUNTIFS(Data!$B:$B,$B13,Data!$AZ:$AZ, "&gt;=" &amp; DATE(2025,4,1), Data!$AZ:$AZ, "&lt;=" &amp; DATE(2025,8,31))</f>
        <v>8</v>
      </c>
      <c r="S13" s="11">
        <f>COUNTIFS(Data!$AZ:$AZ, "&gt;=" &amp; DATE(2025,9,1), Data!$AZ:$AZ, "&lt;=" &amp; DATE(2025,9,30),Data!$B:$B,$B13)</f>
        <v>0</v>
      </c>
      <c r="T13" s="11">
        <f>COUNTIFS(Data!$F:$F, "&gt;=" &amp; DATE(2025,9,1), Data!$F:$F, "&lt;=" &amp; DATE(2025,9,30),Data!$B:$B,$B13)</f>
        <v>0</v>
      </c>
    </row>
    <row r="14" spans="2:38">
      <c r="B14" s="11" t="s">
        <v>460</v>
      </c>
      <c r="C14" s="11">
        <f>COUNTIFS(Data!B:B,B14,Data!F:F, "&lt;=" &amp; DATE(2025,4,1))</f>
        <v>3</v>
      </c>
      <c r="D14" s="11">
        <f>COUNTIFS(Data!AZ:AZ, "&gt;=" &amp; DATE(2025,4,1), Data!AZ:AZ, "&lt;=" &amp; DATE(2025,4,30),Data!B:B,B14)</f>
        <v>0</v>
      </c>
      <c r="E14" s="11">
        <f>COUNTIFS(Data!F:F, "&gt;=" &amp; DATE(2025,4,1), Data!F:F, "&lt;=" &amp; DATE(2025,4,30),Data!B:B,B14)</f>
        <v>0</v>
      </c>
      <c r="F14" s="11">
        <f>COUNTIFS(Data!$B:$B,$B14,Data!$F:$F, "&lt;=" &amp; DATE(2025,4,30))-COUNTIFS(Data!$B:$B,$B14,Data!AZ:AZ, "&gt;=" &amp; DATE(2025,4,1), Data!AZ:AZ, "&lt;=" &amp; DATE(2025,4,30))</f>
        <v>3</v>
      </c>
      <c r="G14" s="11">
        <f>COUNTIFS(Data!$AZ:$AZ, "&gt;=" &amp; DATE(2025,5,1), Data!$AZ:$AZ, "&lt;=" &amp; DATE(2025,5,31),Data!$B:$B,$B14)</f>
        <v>0</v>
      </c>
      <c r="H14" s="11">
        <f>COUNTIFS(Data!$F:$F, "&gt;=" &amp; DATE(2025,5,1), Data!$F:$F, "&lt;=" &amp; DATE(2025,5,31),Data!$B:$B,$B14)</f>
        <v>0</v>
      </c>
      <c r="I14" s="11">
        <f>COUNTIFS(Data!$B:$B,$B14,Data!$F:$F, "&lt;=" &amp; DATE(2025,5,31))-COUNTIFS(Data!$B:$B,$B14,Data!$AZ:$AZ, "&gt;=" &amp; DATE(2025,4,1), Data!$AZ:$AZ, "&lt;=" &amp; DATE(2025,5,31))</f>
        <v>3</v>
      </c>
      <c r="J14" s="11">
        <f>COUNTIFS(Data!$AZ:$AZ, "&gt;=" &amp; DATE(2025,6,1), Data!$AZ:$AZ, "&lt;=" &amp; DATE(2025,6,30),Data!$B:$B,$B14)</f>
        <v>0</v>
      </c>
      <c r="K14" s="11">
        <f>COUNTIFS(Data!$F:$F, "&gt;=" &amp; DATE(2025,6,1), Data!$F:$F, "&lt;=" &amp; DATE(2025,6,30),Data!$B:$B,$B14)</f>
        <v>0</v>
      </c>
      <c r="L14" s="11">
        <f>COUNTIFS(Data!$B:$B,$B14,Data!$F:$F, "&lt;=" &amp; DATE(2025,6,30))-COUNTIFS(Data!$B:$B,$B14,Data!$AZ:$AZ, "&gt;=" &amp; DATE(2025,4,1), Data!$AZ:$AZ, "&lt;=" &amp; DATE(2025,6,30))</f>
        <v>3</v>
      </c>
      <c r="M14" s="11">
        <f>COUNTIFS(Data!$AZ:$AZ, "&gt;=" &amp; DATE(2025,7,1), Data!$AZ:$AZ, "&lt;=" &amp; DATE(2025,7,31),Data!$B:$B,$B14)</f>
        <v>2</v>
      </c>
      <c r="N14" s="11">
        <f>COUNTIFS(Data!$F:$F, "&gt;=" &amp; DATE(2025,7,1), Data!$F:$F, "&lt;=" &amp; DATE(2025,7,31),Data!$B:$B,$B14)</f>
        <v>0</v>
      </c>
      <c r="O14" s="11">
        <f>COUNTIFS(Data!$B:$B,$B14,Data!$F:$F, "&lt;=" &amp; DATE(2025,7,31))-COUNTIFS(Data!$B:$B,$B14,Data!$AZ:$AZ, "&gt;=" &amp; DATE(2025,4,1), Data!$AZ:$AZ, "&lt;=" &amp; DATE(2025,7,31))</f>
        <v>1</v>
      </c>
      <c r="P14" s="11">
        <f>COUNTIFS(Data!$AZ:$AZ, "&gt;=" &amp; DATE(2025,8,1), Data!$AZ:$AZ, "&lt;=" &amp; DATE(2025,8,31),Data!$B:$B,$B14)</f>
        <v>0</v>
      </c>
      <c r="Q14" s="11">
        <f>COUNTIFS(Data!$F:$F, "&gt;=" &amp; DATE(2025,8,1), Data!$F:$F, "&lt;=" &amp; DATE(2025,8,31),Data!$B:$B,$B14)</f>
        <v>0</v>
      </c>
      <c r="R14" s="11">
        <f>COUNTIFS(Data!$B:$B,$B14,Data!$F:$F, "&lt;=" &amp; DATE(2025,8,31))-COUNTIFS(Data!$B:$B,$B14,Data!$AZ:$AZ, "&gt;=" &amp; DATE(2025,4,1), Data!$AZ:$AZ, "&lt;=" &amp; DATE(2025,8,31))</f>
        <v>1</v>
      </c>
      <c r="S14" s="11">
        <f>COUNTIFS(Data!$AZ:$AZ, "&gt;=" &amp; DATE(2025,9,1), Data!$AZ:$AZ, "&lt;=" &amp; DATE(2025,9,30),Data!$B:$B,$B14)</f>
        <v>0</v>
      </c>
      <c r="T14" s="11">
        <f>COUNTIFS(Data!$F:$F, "&gt;=" &amp; DATE(2025,9,1), Data!$F:$F, "&lt;=" &amp; DATE(2025,9,30),Data!$B:$B,$B14)</f>
        <v>0</v>
      </c>
    </row>
    <row r="15" spans="2:38">
      <c r="B15" s="11" t="s">
        <v>465</v>
      </c>
      <c r="C15" s="11">
        <f>COUNTIFS(Data!B:B,B15,Data!F:F, "&lt;=" &amp; DATE(2025,4,1))</f>
        <v>7</v>
      </c>
      <c r="D15" s="11">
        <f>COUNTIFS(Data!AZ:AZ, "&gt;=" &amp; DATE(2025,4,1), Data!AZ:AZ, "&lt;=" &amp; DATE(2025,4,30),Data!B:B,B15)</f>
        <v>1</v>
      </c>
      <c r="E15" s="11">
        <f>COUNTIFS(Data!F:F, "&gt;=" &amp; DATE(2025,4,1), Data!F:F, "&lt;=" &amp; DATE(2025,4,30),Data!B:B,B15)</f>
        <v>1</v>
      </c>
      <c r="F15" s="11">
        <f>COUNTIFS(Data!$B:$B,$B15,Data!$F:$F, "&lt;=" &amp; DATE(2025,4,30))-COUNTIFS(Data!$B:$B,$B15,Data!AZ:AZ, "&gt;=" &amp; DATE(2025,4,1), Data!AZ:AZ, "&lt;=" &amp; DATE(2025,4,30))</f>
        <v>7</v>
      </c>
      <c r="G15" s="11">
        <f>COUNTIFS(Data!$AZ:$AZ, "&gt;=" &amp; DATE(2025,5,1), Data!$AZ:$AZ, "&lt;=" &amp; DATE(2025,5,31),Data!$B:$B,$B15)</f>
        <v>0</v>
      </c>
      <c r="H15" s="11">
        <f>COUNTIFS(Data!$F:$F, "&gt;=" &amp; DATE(2025,5,1), Data!$F:$F, "&lt;=" &amp; DATE(2025,5,31),Data!$B:$B,$B15)</f>
        <v>1</v>
      </c>
      <c r="I15" s="11">
        <f>COUNTIFS(Data!$B:$B,$B15,Data!$F:$F, "&lt;=" &amp; DATE(2025,5,31))-COUNTIFS(Data!$B:$B,$B15,Data!$AZ:$AZ, "&gt;=" &amp; DATE(2025,4,1), Data!$AZ:$AZ, "&lt;=" &amp; DATE(2025,5,31))</f>
        <v>8</v>
      </c>
      <c r="J15" s="11">
        <f>COUNTIFS(Data!$AZ:$AZ, "&gt;=" &amp; DATE(2025,6,1), Data!$AZ:$AZ, "&lt;=" &amp; DATE(2025,6,30),Data!$B:$B,$B15)</f>
        <v>0</v>
      </c>
      <c r="K15" s="11">
        <f>COUNTIFS(Data!$F:$F, "&gt;=" &amp; DATE(2025,6,1), Data!$F:$F, "&lt;=" &amp; DATE(2025,6,30),Data!$B:$B,$B15)</f>
        <v>0</v>
      </c>
      <c r="L15" s="11">
        <f>COUNTIFS(Data!$B:$B,$B15,Data!$F:$F, "&lt;=" &amp; DATE(2025,6,30))-COUNTIFS(Data!$B:$B,$B15,Data!$AZ:$AZ, "&gt;=" &amp; DATE(2025,4,1), Data!$AZ:$AZ, "&lt;=" &amp; DATE(2025,6,30))</f>
        <v>8</v>
      </c>
      <c r="M15" s="11">
        <f>COUNTIFS(Data!$AZ:$AZ, "&gt;=" &amp; DATE(2025,7,1), Data!$AZ:$AZ, "&lt;=" &amp; DATE(2025,7,31),Data!$B:$B,$B15)</f>
        <v>0</v>
      </c>
      <c r="N15" s="11">
        <f>COUNTIFS(Data!$F:$F, "&gt;=" &amp; DATE(2025,7,1), Data!$F:$F, "&lt;=" &amp; DATE(2025,7,31),Data!$B:$B,$B15)</f>
        <v>3</v>
      </c>
      <c r="O15" s="11">
        <f>COUNTIFS(Data!$B:$B,$B15,Data!$F:$F, "&lt;=" &amp; DATE(2025,7,31))-COUNTIFS(Data!$B:$B,$B15,Data!$AZ:$AZ, "&gt;=" &amp; DATE(2025,4,1), Data!$AZ:$AZ, "&lt;=" &amp; DATE(2025,7,31))</f>
        <v>11</v>
      </c>
      <c r="P15" s="11">
        <f>COUNTIFS(Data!$AZ:$AZ, "&gt;=" &amp; DATE(2025,8,1), Data!$AZ:$AZ, "&lt;=" &amp; DATE(2025,8,31),Data!$B:$B,$B15)</f>
        <v>2</v>
      </c>
      <c r="Q15" s="11">
        <f>COUNTIFS(Data!$F:$F, "&gt;=" &amp; DATE(2025,8,1), Data!$F:$F, "&lt;=" &amp; DATE(2025,8,31),Data!$B:$B,$B15)</f>
        <v>1</v>
      </c>
      <c r="R15" s="11">
        <f>COUNTIFS(Data!$B:$B,$B15,Data!$F:$F, "&lt;=" &amp; DATE(2025,8,31))-COUNTIFS(Data!$B:$B,$B15,Data!$AZ:$AZ, "&gt;=" &amp; DATE(2025,4,1), Data!$AZ:$AZ, "&lt;=" &amp; DATE(2025,8,31))</f>
        <v>10</v>
      </c>
      <c r="S15" s="11">
        <f>COUNTIFS(Data!$AZ:$AZ, "&gt;=" &amp; DATE(2025,9,1), Data!$AZ:$AZ, "&lt;=" &amp; DATE(2025,9,30),Data!$B:$B,$B15)</f>
        <v>1</v>
      </c>
      <c r="T15" s="11">
        <f>COUNTIFS(Data!$F:$F, "&gt;=" &amp; DATE(2025,9,1), Data!$F:$F, "&lt;=" &amp; DATE(2025,9,30),Data!$B:$B,$B15)</f>
        <v>0</v>
      </c>
    </row>
    <row r="16" spans="2:38">
      <c r="B16" s="11" t="s">
        <v>469</v>
      </c>
      <c r="C16" s="11">
        <f>COUNTIFS(Data!B:B,B16,Data!F:F, "&lt;=" &amp; DATE(2025,4,1))</f>
        <v>7</v>
      </c>
      <c r="D16" s="11">
        <f>COUNTIFS(Data!AZ:AZ, "&gt;=" &amp; DATE(2025,4,1), Data!AZ:AZ, "&lt;=" &amp; DATE(2025,4,30),Data!B:B,B16)</f>
        <v>0</v>
      </c>
      <c r="E16" s="11">
        <f>COUNTIFS(Data!F:F, "&gt;=" &amp; DATE(2025,4,1), Data!F:F, "&lt;=" &amp; DATE(2025,4,30),Data!B:B,B16)</f>
        <v>0</v>
      </c>
      <c r="F16" s="11">
        <f>COUNTIFS(Data!$B:$B,$B16,Data!$F:$F, "&lt;=" &amp; DATE(2025,4,30))-COUNTIFS(Data!$B:$B,$B16,Data!AZ:AZ, "&gt;=" &amp; DATE(2025,4,1), Data!AZ:AZ, "&lt;=" &amp; DATE(2025,4,30))</f>
        <v>7</v>
      </c>
      <c r="G16" s="11">
        <f>COUNTIFS(Data!$AZ:$AZ, "&gt;=" &amp; DATE(2025,5,1), Data!$AZ:$AZ, "&lt;=" &amp; DATE(2025,5,31),Data!$B:$B,$B16)</f>
        <v>0</v>
      </c>
      <c r="H16" s="11">
        <f>COUNTIFS(Data!$F:$F, "&gt;=" &amp; DATE(2025,5,1), Data!$F:$F, "&lt;=" &amp; DATE(2025,5,31),Data!$B:$B,$B16)</f>
        <v>0</v>
      </c>
      <c r="I16" s="11">
        <f>COUNTIFS(Data!$B:$B,$B16,Data!$F:$F, "&lt;=" &amp; DATE(2025,5,31))-COUNTIFS(Data!$B:$B,$B16,Data!$AZ:$AZ, "&gt;=" &amp; DATE(2025,4,1), Data!$AZ:$AZ, "&lt;=" &amp; DATE(2025,5,31))</f>
        <v>7</v>
      </c>
      <c r="J16" s="11">
        <f>COUNTIFS(Data!$AZ:$AZ, "&gt;=" &amp; DATE(2025,6,1), Data!$AZ:$AZ, "&lt;=" &amp; DATE(2025,6,30),Data!$B:$B,$B16)</f>
        <v>0</v>
      </c>
      <c r="K16" s="11">
        <f>COUNTIFS(Data!$F:$F, "&gt;=" &amp; DATE(2025,6,1), Data!$F:$F, "&lt;=" &amp; DATE(2025,6,30),Data!$B:$B,$B16)</f>
        <v>0</v>
      </c>
      <c r="L16" s="11">
        <f>COUNTIFS(Data!$B:$B,$B16,Data!$F:$F, "&lt;=" &amp; DATE(2025,6,30))-COUNTIFS(Data!$B:$B,$B16,Data!$AZ:$AZ, "&gt;=" &amp; DATE(2025,4,1), Data!$AZ:$AZ, "&lt;=" &amp; DATE(2025,6,30))</f>
        <v>7</v>
      </c>
      <c r="M16" s="11">
        <f>COUNTIFS(Data!$AZ:$AZ, "&gt;=" &amp; DATE(2025,7,1), Data!$AZ:$AZ, "&lt;=" &amp; DATE(2025,7,31),Data!$B:$B,$B16)</f>
        <v>0</v>
      </c>
      <c r="N16" s="11">
        <f>COUNTIFS(Data!$F:$F, "&gt;=" &amp; DATE(2025,7,1), Data!$F:$F, "&lt;=" &amp; DATE(2025,7,31),Data!$B:$B,$B16)</f>
        <v>0</v>
      </c>
      <c r="O16" s="11">
        <f>COUNTIFS(Data!$B:$B,$B16,Data!$F:$F, "&lt;=" &amp; DATE(2025,7,31))-COUNTIFS(Data!$B:$B,$B16,Data!$AZ:$AZ, "&gt;=" &amp; DATE(2025,4,1), Data!$AZ:$AZ, "&lt;=" &amp; DATE(2025,7,31))</f>
        <v>7</v>
      </c>
      <c r="P16" s="11">
        <f>COUNTIFS(Data!$AZ:$AZ, "&gt;=" &amp; DATE(2025,8,1), Data!$AZ:$AZ, "&lt;=" &amp; DATE(2025,8,31),Data!$B:$B,$B16)</f>
        <v>0</v>
      </c>
      <c r="Q16" s="11">
        <f>COUNTIFS(Data!$F:$F, "&gt;=" &amp; DATE(2025,8,1), Data!$F:$F, "&lt;=" &amp; DATE(2025,8,31),Data!$B:$B,$B16)</f>
        <v>0</v>
      </c>
      <c r="R16" s="11">
        <f>COUNTIFS(Data!$B:$B,$B16,Data!$F:$F, "&lt;=" &amp; DATE(2025,8,31))-COUNTIFS(Data!$B:$B,$B16,Data!$AZ:$AZ, "&gt;=" &amp; DATE(2025,4,1), Data!$AZ:$AZ, "&lt;=" &amp; DATE(2025,8,31))</f>
        <v>7</v>
      </c>
      <c r="S16" s="11">
        <f>COUNTIFS(Data!$AZ:$AZ, "&gt;=" &amp; DATE(2025,9,1), Data!$AZ:$AZ, "&lt;=" &amp; DATE(2025,9,30),Data!$B:$B,$B16)</f>
        <v>1</v>
      </c>
      <c r="T16" s="11">
        <f>COUNTIFS(Data!$F:$F, "&gt;=" &amp; DATE(2025,9,1), Data!$F:$F, "&lt;=" &amp; DATE(2025,9,30),Data!$B:$B,$B16)</f>
        <v>0</v>
      </c>
    </row>
    <row r="17" spans="2:20">
      <c r="B17" s="11" t="s">
        <v>443</v>
      </c>
      <c r="C17" s="11">
        <f>COUNTIFS(Data!B:B,B17,Data!F:F, "&lt;=" &amp; DATE(2025,4,1))</f>
        <v>12</v>
      </c>
      <c r="D17" s="11">
        <f>COUNTIFS(Data!AZ:AZ, "&gt;=" &amp; DATE(2025,4,1), Data!AZ:AZ, "&lt;=" &amp; DATE(2025,4,30),Data!B:B,B17)</f>
        <v>1</v>
      </c>
      <c r="E17" s="11">
        <f>COUNTIFS(Data!F:F, "&gt;=" &amp; DATE(2025,4,1), Data!F:F, "&lt;=" &amp; DATE(2025,4,30),Data!B:B,B17)</f>
        <v>0</v>
      </c>
      <c r="F17" s="11">
        <f>COUNTIFS(Data!$B:$B,$B17,Data!$F:$F, "&lt;=" &amp; DATE(2025,4,30))-COUNTIFS(Data!$B:$B,$B17,Data!AZ:AZ, "&gt;=" &amp; DATE(2025,4,1), Data!AZ:AZ, "&lt;=" &amp; DATE(2025,4,30))</f>
        <v>11</v>
      </c>
      <c r="G17" s="11">
        <f>COUNTIFS(Data!$AZ:$AZ, "&gt;=" &amp; DATE(2025,5,1), Data!$AZ:$AZ, "&lt;=" &amp; DATE(2025,5,31),Data!$B:$B,$B17)</f>
        <v>1</v>
      </c>
      <c r="H17" s="11">
        <f>COUNTIFS(Data!$F:$F, "&gt;=" &amp; DATE(2025,5,1), Data!$F:$F, "&lt;=" &amp; DATE(2025,5,31),Data!$B:$B,$B17)</f>
        <v>1</v>
      </c>
      <c r="I17" s="11">
        <f>COUNTIFS(Data!$B:$B,$B17,Data!$F:$F, "&lt;=" &amp; DATE(2025,5,31))-COUNTIFS(Data!$B:$B,$B17,Data!$AZ:$AZ, "&gt;=" &amp; DATE(2025,4,1), Data!$AZ:$AZ, "&lt;=" &amp; DATE(2025,5,31))</f>
        <v>11</v>
      </c>
      <c r="J17" s="11">
        <f>COUNTIFS(Data!$AZ:$AZ, "&gt;=" &amp; DATE(2025,6,1), Data!$AZ:$AZ, "&lt;=" &amp; DATE(2025,6,30),Data!$B:$B,$B17)</f>
        <v>0</v>
      </c>
      <c r="K17" s="11">
        <f>COUNTIFS(Data!$F:$F, "&gt;=" &amp; DATE(2025,6,1), Data!$F:$F, "&lt;=" &amp; DATE(2025,6,30),Data!$B:$B,$B17)</f>
        <v>0</v>
      </c>
      <c r="L17" s="11">
        <f>COUNTIFS(Data!$B:$B,$B17,Data!$F:$F, "&lt;=" &amp; DATE(2025,6,30))-COUNTIFS(Data!$B:$B,$B17,Data!$AZ:$AZ, "&gt;=" &amp; DATE(2025,4,1), Data!$AZ:$AZ, "&lt;=" &amp; DATE(2025,6,30))</f>
        <v>11</v>
      </c>
      <c r="M17" s="11">
        <f>COUNTIFS(Data!$AZ:$AZ, "&gt;=" &amp; DATE(2025,7,1), Data!$AZ:$AZ, "&lt;=" &amp; DATE(2025,7,31),Data!$B:$B,$B17)</f>
        <v>0</v>
      </c>
      <c r="N17" s="11">
        <f>COUNTIFS(Data!$F:$F, "&gt;=" &amp; DATE(2025,7,1), Data!$F:$F, "&lt;=" &amp; DATE(2025,7,31),Data!$B:$B,$B17)</f>
        <v>1</v>
      </c>
      <c r="O17" s="11">
        <f>COUNTIFS(Data!$B:$B,$B17,Data!$F:$F, "&lt;=" &amp; DATE(2025,7,31))-COUNTIFS(Data!$B:$B,$B17,Data!$AZ:$AZ, "&gt;=" &amp; DATE(2025,4,1), Data!$AZ:$AZ, "&lt;=" &amp; DATE(2025,7,31))</f>
        <v>12</v>
      </c>
      <c r="P17" s="11">
        <f>COUNTIFS(Data!$AZ:$AZ, "&gt;=" &amp; DATE(2025,8,1), Data!$AZ:$AZ, "&lt;=" &amp; DATE(2025,8,31),Data!$B:$B,$B17)</f>
        <v>1</v>
      </c>
      <c r="Q17" s="11">
        <f>COUNTIFS(Data!$F:$F, "&gt;=" &amp; DATE(2025,8,1), Data!$F:$F, "&lt;=" &amp; DATE(2025,8,31),Data!$B:$B,$B17)</f>
        <v>1</v>
      </c>
      <c r="R17" s="11">
        <f>COUNTIFS(Data!$B:$B,$B17,Data!$F:$F, "&lt;=" &amp; DATE(2025,8,31))-COUNTIFS(Data!$B:$B,$B17,Data!$AZ:$AZ, "&gt;=" &amp; DATE(2025,4,1), Data!$AZ:$AZ, "&lt;=" &amp; DATE(2025,8,31))</f>
        <v>12</v>
      </c>
      <c r="S17" s="11">
        <f>COUNTIFS(Data!$AZ:$AZ, "&gt;=" &amp; DATE(2025,9,1), Data!$AZ:$AZ, "&lt;=" &amp; DATE(2025,9,30),Data!$B:$B,$B17)</f>
        <v>0</v>
      </c>
      <c r="T17" s="11">
        <f>COUNTIFS(Data!$F:$F, "&gt;=" &amp; DATE(2025,9,1), Data!$F:$F, "&lt;=" &amp; DATE(2025,9,30),Data!$B:$B,$B17)</f>
        <v>1</v>
      </c>
    </row>
    <row r="18" spans="2:20">
      <c r="B18" s="11" t="s">
        <v>481</v>
      </c>
      <c r="C18" s="11">
        <f>COUNTIFS(Data!B:B,B18,Data!F:F, "&lt;=" &amp; DATE(2025,4,1))</f>
        <v>3</v>
      </c>
      <c r="D18" s="11">
        <f>COUNTIFS(Data!AZ:AZ, "&gt;=" &amp; DATE(2025,4,1), Data!AZ:AZ, "&lt;=" &amp; DATE(2025,4,30),Data!B:B,B18)</f>
        <v>0</v>
      </c>
      <c r="E18" s="11">
        <f>COUNTIFS(Data!F:F, "&gt;=" &amp; DATE(2025,4,1), Data!F:F, "&lt;=" &amp; DATE(2025,4,30),Data!B:B,B18)</f>
        <v>0</v>
      </c>
      <c r="F18" s="11">
        <f>COUNTIFS(Data!$B:$B,$B18,Data!$F:$F, "&lt;=" &amp; DATE(2025,4,30))-COUNTIFS(Data!$B:$B,$B18,Data!AZ:AZ, "&gt;=" &amp; DATE(2025,4,1), Data!AZ:AZ, "&lt;=" &amp; DATE(2025,4,30))</f>
        <v>3</v>
      </c>
      <c r="G18" s="11">
        <f>COUNTIFS(Data!$AZ:$AZ, "&gt;=" &amp; DATE(2025,5,1), Data!$AZ:$AZ, "&lt;=" &amp; DATE(2025,5,31),Data!$B:$B,$B18)</f>
        <v>0</v>
      </c>
      <c r="H18" s="11">
        <f>COUNTIFS(Data!$F:$F, "&gt;=" &amp; DATE(2025,5,1), Data!$F:$F, "&lt;=" &amp; DATE(2025,5,31),Data!$B:$B,$B18)</f>
        <v>0</v>
      </c>
      <c r="I18" s="11">
        <f>COUNTIFS(Data!$B:$B,$B18,Data!$F:$F, "&lt;=" &amp; DATE(2025,5,31))-COUNTIFS(Data!$B:$B,$B18,Data!$AZ:$AZ, "&gt;=" &amp; DATE(2025,4,1), Data!$AZ:$AZ, "&lt;=" &amp; DATE(2025,5,31))</f>
        <v>3</v>
      </c>
      <c r="J18" s="11">
        <f>COUNTIFS(Data!$AZ:$AZ, "&gt;=" &amp; DATE(2025,6,1), Data!$AZ:$AZ, "&lt;=" &amp; DATE(2025,6,30),Data!$B:$B,$B18)</f>
        <v>0</v>
      </c>
      <c r="K18" s="11">
        <f>COUNTIFS(Data!$F:$F, "&gt;=" &amp; DATE(2025,6,1), Data!$F:$F, "&lt;=" &amp; DATE(2025,6,30),Data!$B:$B,$B18)</f>
        <v>0</v>
      </c>
      <c r="L18" s="11">
        <f>COUNTIFS(Data!$B:$B,$B18,Data!$F:$F, "&lt;=" &amp; DATE(2025,6,30))-COUNTIFS(Data!$B:$B,$B18,Data!$AZ:$AZ, "&gt;=" &amp; DATE(2025,4,1), Data!$AZ:$AZ, "&lt;=" &amp; DATE(2025,6,30))</f>
        <v>3</v>
      </c>
      <c r="M18" s="11">
        <f>COUNTIFS(Data!$AZ:$AZ, "&gt;=" &amp; DATE(2025,7,1), Data!$AZ:$AZ, "&lt;=" &amp; DATE(2025,7,31),Data!$B:$B,$B18)</f>
        <v>0</v>
      </c>
      <c r="N18" s="11">
        <f>COUNTIFS(Data!$F:$F, "&gt;=" &amp; DATE(2025,7,1), Data!$F:$F, "&lt;=" &amp; DATE(2025,7,31),Data!$B:$B,$B18)</f>
        <v>0</v>
      </c>
      <c r="O18" s="11">
        <f>COUNTIFS(Data!$B:$B,$B18,Data!$F:$F, "&lt;=" &amp; DATE(2025,7,31))-COUNTIFS(Data!$B:$B,$B18,Data!$AZ:$AZ, "&gt;=" &amp; DATE(2025,4,1), Data!$AZ:$AZ, "&lt;=" &amp; DATE(2025,7,31))</f>
        <v>3</v>
      </c>
      <c r="P18" s="11">
        <f>COUNTIFS(Data!$AZ:$AZ, "&gt;=" &amp; DATE(2025,8,1), Data!$AZ:$AZ, "&lt;=" &amp; DATE(2025,8,31),Data!$B:$B,$B18)</f>
        <v>0</v>
      </c>
      <c r="Q18" s="11">
        <f>COUNTIFS(Data!$F:$F, "&gt;=" &amp; DATE(2025,8,1), Data!$F:$F, "&lt;=" &amp; DATE(2025,8,31),Data!$B:$B,$B18)</f>
        <v>0</v>
      </c>
      <c r="R18" s="11">
        <f>COUNTIFS(Data!$B:$B,$B18,Data!$F:$F, "&lt;=" &amp; DATE(2025,8,31))-COUNTIFS(Data!$B:$B,$B18,Data!$AZ:$AZ, "&gt;=" &amp; DATE(2025,4,1), Data!$AZ:$AZ, "&lt;=" &amp; DATE(2025,8,31))</f>
        <v>3</v>
      </c>
      <c r="S18" s="11">
        <f>COUNTIFS(Data!$AZ:$AZ, "&gt;=" &amp; DATE(2025,9,1), Data!$AZ:$AZ, "&lt;=" &amp; DATE(2025,9,30),Data!$B:$B,$B18)</f>
        <v>0</v>
      </c>
      <c r="T18" s="11">
        <f>COUNTIFS(Data!$F:$F, "&gt;=" &amp; DATE(2025,9,1), Data!$F:$F, "&lt;=" &amp; DATE(2025,9,30),Data!$B:$B,$B18)</f>
        <v>0</v>
      </c>
    </row>
    <row r="19" spans="2:20">
      <c r="B19" s="11" t="s">
        <v>484</v>
      </c>
      <c r="C19" s="11">
        <f>COUNTIFS(Data!B:B,B19,Data!F:F, "&lt;=" &amp; DATE(2025,4,1))</f>
        <v>6</v>
      </c>
      <c r="D19" s="11">
        <f>COUNTIFS(Data!AZ:AZ, "&gt;=" &amp; DATE(2025,4,1), Data!AZ:AZ, "&lt;=" &amp; DATE(2025,4,30),Data!B:B,B19)</f>
        <v>0</v>
      </c>
      <c r="E19" s="11">
        <f>COUNTIFS(Data!F:F, "&gt;=" &amp; DATE(2025,4,1), Data!F:F, "&lt;=" &amp; DATE(2025,4,30),Data!B:B,B19)</f>
        <v>0</v>
      </c>
      <c r="F19" s="11">
        <f>COUNTIFS(Data!$B:$B,$B19,Data!$F:$F, "&lt;=" &amp; DATE(2025,4,30))-COUNTIFS(Data!$B:$B,$B19,Data!AZ:AZ, "&gt;=" &amp; DATE(2025,4,1), Data!AZ:AZ, "&lt;=" &amp; DATE(2025,4,30))</f>
        <v>6</v>
      </c>
      <c r="G19" s="11">
        <f>COUNTIFS(Data!$AZ:$AZ, "&gt;=" &amp; DATE(2025,5,1), Data!$AZ:$AZ, "&lt;=" &amp; DATE(2025,5,31),Data!$B:$B,$B19)</f>
        <v>0</v>
      </c>
      <c r="H19" s="11">
        <f>COUNTIFS(Data!$F:$F, "&gt;=" &amp; DATE(2025,5,1), Data!$F:$F, "&lt;=" &amp; DATE(2025,5,31),Data!$B:$B,$B19)</f>
        <v>0</v>
      </c>
      <c r="I19" s="11">
        <f>COUNTIFS(Data!$B:$B,$B19,Data!$F:$F, "&lt;=" &amp; DATE(2025,5,31))-COUNTIFS(Data!$B:$B,$B19,Data!$AZ:$AZ, "&gt;=" &amp; DATE(2025,4,1), Data!$AZ:$AZ, "&lt;=" &amp; DATE(2025,5,31))</f>
        <v>6</v>
      </c>
      <c r="J19" s="11">
        <f>COUNTIFS(Data!$AZ:$AZ, "&gt;=" &amp; DATE(2025,6,1), Data!$AZ:$AZ, "&lt;=" &amp; DATE(2025,6,30),Data!$B:$B,$B19)</f>
        <v>0</v>
      </c>
      <c r="K19" s="11">
        <f>COUNTIFS(Data!$F:$F, "&gt;=" &amp; DATE(2025,6,1), Data!$F:$F, "&lt;=" &amp; DATE(2025,6,30),Data!$B:$B,$B19)</f>
        <v>0</v>
      </c>
      <c r="L19" s="11">
        <f>COUNTIFS(Data!$B:$B,$B19,Data!$F:$F, "&lt;=" &amp; DATE(2025,6,30))-COUNTIFS(Data!$B:$B,$B19,Data!$AZ:$AZ, "&gt;=" &amp; DATE(2025,4,1), Data!$AZ:$AZ, "&lt;=" &amp; DATE(2025,6,30))</f>
        <v>6</v>
      </c>
      <c r="M19" s="11">
        <f>COUNTIFS(Data!$AZ:$AZ, "&gt;=" &amp; DATE(2025,7,1), Data!$AZ:$AZ, "&lt;=" &amp; DATE(2025,7,31),Data!$B:$B,$B19)</f>
        <v>0</v>
      </c>
      <c r="N19" s="11">
        <f>COUNTIFS(Data!$F:$F, "&gt;=" &amp; DATE(2025,7,1), Data!$F:$F, "&lt;=" &amp; DATE(2025,7,31),Data!$B:$B,$B19)</f>
        <v>0</v>
      </c>
      <c r="O19" s="11">
        <f>COUNTIFS(Data!$B:$B,$B19,Data!$F:$F, "&lt;=" &amp; DATE(2025,7,31))-COUNTIFS(Data!$B:$B,$B19,Data!$AZ:$AZ, "&gt;=" &amp; DATE(2025,4,1), Data!$AZ:$AZ, "&lt;=" &amp; DATE(2025,7,31))</f>
        <v>6</v>
      </c>
      <c r="P19" s="11">
        <f>COUNTIFS(Data!$AZ:$AZ, "&gt;=" &amp; DATE(2025,8,1), Data!$AZ:$AZ, "&lt;=" &amp; DATE(2025,8,31),Data!$B:$B,$B19)</f>
        <v>0</v>
      </c>
      <c r="Q19" s="11">
        <f>COUNTIFS(Data!$F:$F, "&gt;=" &amp; DATE(2025,8,1), Data!$F:$F, "&lt;=" &amp; DATE(2025,8,31),Data!$B:$B,$B19)</f>
        <v>0</v>
      </c>
      <c r="R19" s="11">
        <f>COUNTIFS(Data!$B:$B,$B19,Data!$F:$F, "&lt;=" &amp; DATE(2025,8,31))-COUNTIFS(Data!$B:$B,$B19,Data!$AZ:$AZ, "&gt;=" &amp; DATE(2025,4,1), Data!$AZ:$AZ, "&lt;=" &amp; DATE(2025,8,31))</f>
        <v>6</v>
      </c>
      <c r="S19" s="11">
        <f>COUNTIFS(Data!$AZ:$AZ, "&gt;=" &amp; DATE(2025,9,1), Data!$AZ:$AZ, "&lt;=" &amp; DATE(2025,9,30),Data!$B:$B,$B19)</f>
        <v>0</v>
      </c>
      <c r="T19" s="11">
        <f>COUNTIFS(Data!$F:$F, "&gt;=" &amp; DATE(2025,9,1), Data!$F:$F, "&lt;=" &amp; DATE(2025,9,30),Data!$B:$B,$B19)</f>
        <v>0</v>
      </c>
    </row>
    <row r="20" spans="2:20">
      <c r="B20" s="11" t="s">
        <v>359</v>
      </c>
      <c r="C20" s="11">
        <f>COUNTIFS(Data!B:B,B20,Data!F:F, "&lt;=" &amp; DATE(2025,4,1))</f>
        <v>8</v>
      </c>
      <c r="D20" s="11">
        <f>COUNTIFS(Data!AZ:AZ, "&gt;=" &amp; DATE(2025,4,1), Data!AZ:AZ, "&lt;=" &amp; DATE(2025,4,30),Data!B:B,B20)</f>
        <v>0</v>
      </c>
      <c r="E20" s="11">
        <f>COUNTIFS(Data!F:F, "&gt;=" &amp; DATE(2025,4,1), Data!F:F, "&lt;=" &amp; DATE(2025,4,30),Data!B:B,B20)</f>
        <v>0</v>
      </c>
      <c r="F20" s="11">
        <f>COUNTIFS(Data!$B:$B,$B20,Data!$F:$F, "&lt;=" &amp; DATE(2025,4,30))-COUNTIFS(Data!$B:$B,$B20,Data!AZ:AZ, "&gt;=" &amp; DATE(2025,4,1), Data!AZ:AZ, "&lt;=" &amp; DATE(2025,4,30))</f>
        <v>8</v>
      </c>
      <c r="G20" s="11">
        <f>COUNTIFS(Data!$AZ:$AZ, "&gt;=" &amp; DATE(2025,5,1), Data!$AZ:$AZ, "&lt;=" &amp; DATE(2025,5,31),Data!$B:$B,$B20)</f>
        <v>0</v>
      </c>
      <c r="H20" s="11">
        <f>COUNTIFS(Data!$F:$F, "&gt;=" &amp; DATE(2025,5,1), Data!$F:$F, "&lt;=" &amp; DATE(2025,5,31),Data!$B:$B,$B20)</f>
        <v>0</v>
      </c>
      <c r="I20" s="11">
        <f>COUNTIFS(Data!$B:$B,$B20,Data!$F:$F, "&lt;=" &amp; DATE(2025,5,31))-COUNTIFS(Data!$B:$B,$B20,Data!$AZ:$AZ, "&gt;=" &amp; DATE(2025,4,1), Data!$AZ:$AZ, "&lt;=" &amp; DATE(2025,5,31))</f>
        <v>8</v>
      </c>
      <c r="J20" s="11">
        <f>COUNTIFS(Data!$AZ:$AZ, "&gt;=" &amp; DATE(2025,6,1), Data!$AZ:$AZ, "&lt;=" &amp; DATE(2025,6,30),Data!$B:$B,$B20)</f>
        <v>0</v>
      </c>
      <c r="K20" s="11">
        <f>COUNTIFS(Data!$F:$F, "&gt;=" &amp; DATE(2025,6,1), Data!$F:$F, "&lt;=" &amp; DATE(2025,6,30),Data!$B:$B,$B20)</f>
        <v>0</v>
      </c>
      <c r="L20" s="11">
        <f>COUNTIFS(Data!$B:$B,$B20,Data!$F:$F, "&lt;=" &amp; DATE(2025,6,30))-COUNTIFS(Data!$B:$B,$B20,Data!$AZ:$AZ, "&gt;=" &amp; DATE(2025,4,1), Data!$AZ:$AZ, "&lt;=" &amp; DATE(2025,6,30))</f>
        <v>8</v>
      </c>
      <c r="M20" s="11">
        <f>COUNTIFS(Data!$AZ:$AZ, "&gt;=" &amp; DATE(2025,7,1), Data!$AZ:$AZ, "&lt;=" &amp; DATE(2025,7,31),Data!$B:$B,$B20)</f>
        <v>0</v>
      </c>
      <c r="N20" s="11">
        <f>COUNTIFS(Data!$F:$F, "&gt;=" &amp; DATE(2025,7,1), Data!$F:$F, "&lt;=" &amp; DATE(2025,7,31),Data!$B:$B,$B20)</f>
        <v>0</v>
      </c>
      <c r="O20" s="11">
        <f>COUNTIFS(Data!$B:$B,$B20,Data!$F:$F, "&lt;=" &amp; DATE(2025,7,31))-COUNTIFS(Data!$B:$B,$B20,Data!$AZ:$AZ, "&gt;=" &amp; DATE(2025,4,1), Data!$AZ:$AZ, "&lt;=" &amp; DATE(2025,7,31))</f>
        <v>8</v>
      </c>
      <c r="P20" s="11">
        <f>COUNTIFS(Data!$AZ:$AZ, "&gt;=" &amp; DATE(2025,8,1), Data!$AZ:$AZ, "&lt;=" &amp; DATE(2025,8,31),Data!$B:$B,$B20)</f>
        <v>1</v>
      </c>
      <c r="Q20" s="11">
        <f>COUNTIFS(Data!$F:$F, "&gt;=" &amp; DATE(2025,8,1), Data!$F:$F, "&lt;=" &amp; DATE(2025,8,31),Data!$B:$B,$B20)</f>
        <v>0</v>
      </c>
      <c r="R20" s="11">
        <f>COUNTIFS(Data!$B:$B,$B20,Data!$F:$F, "&lt;=" &amp; DATE(2025,8,31))-COUNTIFS(Data!$B:$B,$B20,Data!$AZ:$AZ, "&gt;=" &amp; DATE(2025,4,1), Data!$AZ:$AZ, "&lt;=" &amp; DATE(2025,8,31))</f>
        <v>7</v>
      </c>
      <c r="S20" s="11">
        <f>COUNTIFS(Data!$AZ:$AZ, "&gt;=" &amp; DATE(2025,9,1), Data!$AZ:$AZ, "&lt;=" &amp; DATE(2025,9,30),Data!$B:$B,$B20)</f>
        <v>0</v>
      </c>
      <c r="T20" s="11">
        <f>COUNTIFS(Data!$F:$F, "&gt;=" &amp; DATE(2025,9,1), Data!$F:$F, "&lt;=" &amp; DATE(2025,9,30),Data!$B:$B,$B20)</f>
        <v>0</v>
      </c>
    </row>
    <row r="21" spans="2:20">
      <c r="B21" s="11" t="s">
        <v>364</v>
      </c>
      <c r="C21" s="11">
        <f>COUNTIFS(Data!B:B,B21,Data!F:F, "&lt;=" &amp; DATE(2025,4,1))</f>
        <v>3</v>
      </c>
      <c r="D21" s="11">
        <f>COUNTIFS(Data!AZ:AZ, "&gt;=" &amp; DATE(2025,4,1), Data!AZ:AZ, "&lt;=" &amp; DATE(2025,4,30),Data!B:B,B21)</f>
        <v>0</v>
      </c>
      <c r="E21" s="11">
        <f>COUNTIFS(Data!F:F, "&gt;=" &amp; DATE(2025,4,1), Data!F:F, "&lt;=" &amp; DATE(2025,4,30),Data!B:B,B21)</f>
        <v>0</v>
      </c>
      <c r="F21" s="11">
        <f>COUNTIFS(Data!$B:$B,$B21,Data!$F:$F, "&lt;=" &amp; DATE(2025,4,30))-COUNTIFS(Data!$B:$B,$B21,Data!AZ:AZ, "&gt;=" &amp; DATE(2025,4,1), Data!AZ:AZ, "&lt;=" &amp; DATE(2025,4,30))</f>
        <v>3</v>
      </c>
      <c r="G21" s="11">
        <f>COUNTIFS(Data!$AZ:$AZ, "&gt;=" &amp; DATE(2025,5,1), Data!$AZ:$AZ, "&lt;=" &amp; DATE(2025,5,31),Data!$B:$B,$B21)</f>
        <v>0</v>
      </c>
      <c r="H21" s="11">
        <f>COUNTIFS(Data!$F:$F, "&gt;=" &amp; DATE(2025,5,1), Data!$F:$F, "&lt;=" &amp; DATE(2025,5,31),Data!$B:$B,$B21)</f>
        <v>1</v>
      </c>
      <c r="I21" s="11">
        <f>COUNTIFS(Data!$B:$B,$B21,Data!$F:$F, "&lt;=" &amp; DATE(2025,5,31))-COUNTIFS(Data!$B:$B,$B21,Data!$AZ:$AZ, "&gt;=" &amp; DATE(2025,4,1), Data!$AZ:$AZ, "&lt;=" &amp; DATE(2025,5,31))</f>
        <v>4</v>
      </c>
      <c r="J21" s="11">
        <f>COUNTIFS(Data!$AZ:$AZ, "&gt;=" &amp; DATE(2025,6,1), Data!$AZ:$AZ, "&lt;=" &amp; DATE(2025,6,30),Data!$B:$B,$B21)</f>
        <v>0</v>
      </c>
      <c r="K21" s="11">
        <f>COUNTIFS(Data!$F:$F, "&gt;=" &amp; DATE(2025,6,1), Data!$F:$F, "&lt;=" &amp; DATE(2025,6,30),Data!$B:$B,$B21)</f>
        <v>0</v>
      </c>
      <c r="L21" s="11">
        <f>COUNTIFS(Data!$B:$B,$B21,Data!$F:$F, "&lt;=" &amp; DATE(2025,6,30))-COUNTIFS(Data!$B:$B,$B21,Data!$AZ:$AZ, "&gt;=" &amp; DATE(2025,4,1), Data!$AZ:$AZ, "&lt;=" &amp; DATE(2025,6,30))</f>
        <v>4</v>
      </c>
      <c r="M21" s="11">
        <f>COUNTIFS(Data!$AZ:$AZ, "&gt;=" &amp; DATE(2025,7,1), Data!$AZ:$AZ, "&lt;=" &amp; DATE(2025,7,31),Data!$B:$B,$B21)</f>
        <v>0</v>
      </c>
      <c r="N21" s="11">
        <f>COUNTIFS(Data!$F:$F, "&gt;=" &amp; DATE(2025,7,1), Data!$F:$F, "&lt;=" &amp; DATE(2025,7,31),Data!$B:$B,$B21)</f>
        <v>0</v>
      </c>
      <c r="O21" s="11">
        <f>COUNTIFS(Data!$B:$B,$B21,Data!$F:$F, "&lt;=" &amp; DATE(2025,7,31))-COUNTIFS(Data!$B:$B,$B21,Data!$AZ:$AZ, "&gt;=" &amp; DATE(2025,4,1), Data!$AZ:$AZ, "&lt;=" &amp; DATE(2025,7,31))</f>
        <v>4</v>
      </c>
      <c r="P21" s="11">
        <f>COUNTIFS(Data!$AZ:$AZ, "&gt;=" &amp; DATE(2025,8,1), Data!$AZ:$AZ, "&lt;=" &amp; DATE(2025,8,31),Data!$B:$B,$B21)</f>
        <v>0</v>
      </c>
      <c r="Q21" s="11">
        <f>COUNTIFS(Data!$F:$F, "&gt;=" &amp; DATE(2025,8,1), Data!$F:$F, "&lt;=" &amp; DATE(2025,8,31),Data!$B:$B,$B21)</f>
        <v>0</v>
      </c>
      <c r="R21" s="11">
        <f>COUNTIFS(Data!$B:$B,$B21,Data!$F:$F, "&lt;=" &amp; DATE(2025,8,31))-COUNTIFS(Data!$B:$B,$B21,Data!$AZ:$AZ, "&gt;=" &amp; DATE(2025,4,1), Data!$AZ:$AZ, "&lt;=" &amp; DATE(2025,8,31))</f>
        <v>4</v>
      </c>
      <c r="S21" s="11">
        <f>COUNTIFS(Data!$AZ:$AZ, "&gt;=" &amp; DATE(2025,9,1), Data!$AZ:$AZ, "&lt;=" &amp; DATE(2025,9,30),Data!$B:$B,$B21)</f>
        <v>1</v>
      </c>
      <c r="T21" s="11">
        <f>COUNTIFS(Data!$F:$F, "&gt;=" &amp; DATE(2025,9,1), Data!$F:$F, "&lt;=" &amp; DATE(2025,9,30),Data!$B:$B,$B21)</f>
        <v>0</v>
      </c>
    </row>
    <row r="22" spans="2:20">
      <c r="B22" s="11" t="s">
        <v>367</v>
      </c>
      <c r="C22" s="11">
        <f>COUNTIFS(Data!B:B,B22,Data!F:F, "&lt;=" &amp; DATE(2025,4,1))</f>
        <v>10</v>
      </c>
      <c r="D22" s="11">
        <f>COUNTIFS(Data!AZ:AZ, "&gt;=" &amp; DATE(2025,4,1), Data!AZ:AZ, "&lt;=" &amp; DATE(2025,4,30),Data!B:B,B22)</f>
        <v>2</v>
      </c>
      <c r="E22" s="11">
        <f>COUNTIFS(Data!F:F, "&gt;=" &amp; DATE(2025,4,1), Data!F:F, "&lt;=" &amp; DATE(2025,4,30),Data!B:B,B22)</f>
        <v>1</v>
      </c>
      <c r="F22" s="11">
        <f>COUNTIFS(Data!$B:$B,$B22,Data!$F:$F, "&lt;=" &amp; DATE(2025,4,30))-COUNTIFS(Data!$B:$B,$B22,Data!AZ:AZ, "&gt;=" &amp; DATE(2025,4,1), Data!AZ:AZ, "&lt;=" &amp; DATE(2025,4,30))</f>
        <v>9</v>
      </c>
      <c r="G22" s="11">
        <f>COUNTIFS(Data!$AZ:$AZ, "&gt;=" &amp; DATE(2025,5,1), Data!$AZ:$AZ, "&lt;=" &amp; DATE(2025,5,31),Data!$B:$B,$B22)</f>
        <v>0</v>
      </c>
      <c r="H22" s="11">
        <f>COUNTIFS(Data!$F:$F, "&gt;=" &amp; DATE(2025,5,1), Data!$F:$F, "&lt;=" &amp; DATE(2025,5,31),Data!$B:$B,$B22)</f>
        <v>0</v>
      </c>
      <c r="I22" s="11">
        <f>COUNTIFS(Data!$B:$B,$B22,Data!$F:$F, "&lt;=" &amp; DATE(2025,5,31))-COUNTIFS(Data!$B:$B,$B22,Data!$AZ:$AZ, "&gt;=" &amp; DATE(2025,4,1), Data!$AZ:$AZ, "&lt;=" &amp; DATE(2025,5,31))</f>
        <v>9</v>
      </c>
      <c r="J22" s="11">
        <f>COUNTIFS(Data!$AZ:$AZ, "&gt;=" &amp; DATE(2025,6,1), Data!$AZ:$AZ, "&lt;=" &amp; DATE(2025,6,30),Data!$B:$B,$B22)</f>
        <v>1</v>
      </c>
      <c r="K22" s="11">
        <f>COUNTIFS(Data!$F:$F, "&gt;=" &amp; DATE(2025,6,1), Data!$F:$F, "&lt;=" &amp; DATE(2025,6,30),Data!$B:$B,$B22)</f>
        <v>1</v>
      </c>
      <c r="L22" s="11">
        <f>COUNTIFS(Data!$B:$B,$B22,Data!$F:$F, "&lt;=" &amp; DATE(2025,6,30))-COUNTIFS(Data!$B:$B,$B22,Data!$AZ:$AZ, "&gt;=" &amp; DATE(2025,4,1), Data!$AZ:$AZ, "&lt;=" &amp; DATE(2025,6,30))</f>
        <v>9</v>
      </c>
      <c r="M22" s="11">
        <f>COUNTIFS(Data!$AZ:$AZ, "&gt;=" &amp; DATE(2025,7,1), Data!$AZ:$AZ, "&lt;=" &amp; DATE(2025,7,31),Data!$B:$B,$B22)</f>
        <v>2</v>
      </c>
      <c r="N22" s="11">
        <f>COUNTIFS(Data!$F:$F, "&gt;=" &amp; DATE(2025,7,1), Data!$F:$F, "&lt;=" &amp; DATE(2025,7,31),Data!$B:$B,$B22)</f>
        <v>2</v>
      </c>
      <c r="O22" s="11">
        <f>COUNTIFS(Data!$B:$B,$B22,Data!$F:$F, "&lt;=" &amp; DATE(2025,7,31))-COUNTIFS(Data!$B:$B,$B22,Data!$AZ:$AZ, "&gt;=" &amp; DATE(2025,4,1), Data!$AZ:$AZ, "&lt;=" &amp; DATE(2025,7,31))</f>
        <v>9</v>
      </c>
      <c r="P22" s="11">
        <f>COUNTIFS(Data!$AZ:$AZ, "&gt;=" &amp; DATE(2025,8,1), Data!$AZ:$AZ, "&lt;=" &amp; DATE(2025,8,31),Data!$B:$B,$B22)</f>
        <v>1</v>
      </c>
      <c r="Q22" s="11">
        <f>COUNTIFS(Data!$F:$F, "&gt;=" &amp; DATE(2025,8,1), Data!$F:$F, "&lt;=" &amp; DATE(2025,8,31),Data!$B:$B,$B22)</f>
        <v>0</v>
      </c>
      <c r="R22" s="11">
        <f>COUNTIFS(Data!$B:$B,$B22,Data!$F:$F, "&lt;=" &amp; DATE(2025,8,31))-COUNTIFS(Data!$B:$B,$B22,Data!$AZ:$AZ, "&gt;=" &amp; DATE(2025,4,1), Data!$AZ:$AZ, "&lt;=" &amp; DATE(2025,8,31))</f>
        <v>8</v>
      </c>
      <c r="S22" s="11">
        <f>COUNTIFS(Data!$AZ:$AZ, "&gt;=" &amp; DATE(2025,9,1), Data!$AZ:$AZ, "&lt;=" &amp; DATE(2025,9,30),Data!$B:$B,$B22)</f>
        <v>1</v>
      </c>
      <c r="T22" s="11">
        <f>COUNTIFS(Data!$F:$F, "&gt;=" &amp; DATE(2025,9,1), Data!$F:$F, "&lt;=" &amp; DATE(2025,9,30),Data!$B:$B,$B22)</f>
        <v>0</v>
      </c>
    </row>
    <row r="23" spans="2:20">
      <c r="B23" s="11" t="s">
        <v>436</v>
      </c>
      <c r="C23" s="11">
        <f>COUNTIFS(Data!B:B,B23,Data!F:F, "&lt;=" &amp; DATE(2025,4,1))</f>
        <v>9</v>
      </c>
      <c r="D23" s="11">
        <f>COUNTIFS(Data!AZ:AZ, "&gt;=" &amp; DATE(2025,4,1), Data!AZ:AZ, "&lt;=" &amp; DATE(2025,4,30),Data!B:B,B23)</f>
        <v>2</v>
      </c>
      <c r="E23" s="11">
        <f>COUNTIFS(Data!F:F, "&gt;=" &amp; DATE(2025,4,1), Data!F:F, "&lt;=" &amp; DATE(2025,4,30),Data!B:B,B23)</f>
        <v>0</v>
      </c>
      <c r="F23" s="11">
        <f>COUNTIFS(Data!$B:$B,$B23,Data!$F:$F, "&lt;=" &amp; DATE(2025,4,30))-COUNTIFS(Data!$B:$B,$B23,Data!AZ:AZ, "&gt;=" &amp; DATE(2025,4,1), Data!AZ:AZ, "&lt;=" &amp; DATE(2025,4,30))</f>
        <v>7</v>
      </c>
      <c r="G23" s="11">
        <f>COUNTIFS(Data!$AZ:$AZ, "&gt;=" &amp; DATE(2025,5,1), Data!$AZ:$AZ, "&lt;=" &amp; DATE(2025,5,31),Data!$B:$B,$B23)</f>
        <v>1</v>
      </c>
      <c r="H23" s="11">
        <f>COUNTIFS(Data!$F:$F, "&gt;=" &amp; DATE(2025,5,1), Data!$F:$F, "&lt;=" &amp; DATE(2025,5,31),Data!$B:$B,$B23)</f>
        <v>0</v>
      </c>
      <c r="I23" s="11">
        <f>COUNTIFS(Data!$B:$B,$B23,Data!$F:$F, "&lt;=" &amp; DATE(2025,5,31))-COUNTIFS(Data!$B:$B,$B23,Data!$AZ:$AZ, "&gt;=" &amp; DATE(2025,4,1), Data!$AZ:$AZ, "&lt;=" &amp; DATE(2025,5,31))</f>
        <v>6</v>
      </c>
      <c r="J23" s="11">
        <f>COUNTIFS(Data!$AZ:$AZ, "&gt;=" &amp; DATE(2025,6,1), Data!$AZ:$AZ, "&lt;=" &amp; DATE(2025,6,30),Data!$B:$B,$B23)</f>
        <v>1</v>
      </c>
      <c r="K23" s="11">
        <f>COUNTIFS(Data!$F:$F, "&gt;=" &amp; DATE(2025,6,1), Data!$F:$F, "&lt;=" &amp; DATE(2025,6,30),Data!$B:$B,$B23)</f>
        <v>3</v>
      </c>
      <c r="L23" s="11">
        <f>COUNTIFS(Data!$B:$B,$B23,Data!$F:$F, "&lt;=" &amp; DATE(2025,6,30))-COUNTIFS(Data!$B:$B,$B23,Data!$AZ:$AZ, "&gt;=" &amp; DATE(2025,4,1), Data!$AZ:$AZ, "&lt;=" &amp; DATE(2025,6,30))</f>
        <v>8</v>
      </c>
      <c r="M23" s="11">
        <f>COUNTIFS(Data!$AZ:$AZ, "&gt;=" &amp; DATE(2025,7,1), Data!$AZ:$AZ, "&lt;=" &amp; DATE(2025,7,31),Data!$B:$B,$B23)</f>
        <v>0</v>
      </c>
      <c r="N23" s="11">
        <f>COUNTIFS(Data!$F:$F, "&gt;=" &amp; DATE(2025,7,1), Data!$F:$F, "&lt;=" &amp; DATE(2025,7,31),Data!$B:$B,$B23)</f>
        <v>1</v>
      </c>
      <c r="O23" s="11">
        <f>COUNTIFS(Data!$B:$B,$B23,Data!$F:$F, "&lt;=" &amp; DATE(2025,7,31))-COUNTIFS(Data!$B:$B,$B23,Data!$AZ:$AZ, "&gt;=" &amp; DATE(2025,4,1), Data!$AZ:$AZ, "&lt;=" &amp; DATE(2025,7,31))</f>
        <v>9</v>
      </c>
      <c r="P23" s="11">
        <f>COUNTIFS(Data!$AZ:$AZ, "&gt;=" &amp; DATE(2025,8,1), Data!$AZ:$AZ, "&lt;=" &amp; DATE(2025,8,31),Data!$B:$B,$B23)</f>
        <v>1</v>
      </c>
      <c r="Q23" s="11">
        <f>COUNTIFS(Data!$F:$F, "&gt;=" &amp; DATE(2025,8,1), Data!$F:$F, "&lt;=" &amp; DATE(2025,8,31),Data!$B:$B,$B23)</f>
        <v>0</v>
      </c>
      <c r="R23" s="11">
        <f>COUNTIFS(Data!$B:$B,$B23,Data!$F:$F, "&lt;=" &amp; DATE(2025,8,31))-COUNTIFS(Data!$B:$B,$B23,Data!$AZ:$AZ, "&gt;=" &amp; DATE(2025,4,1), Data!$AZ:$AZ, "&lt;=" &amp; DATE(2025,8,31))</f>
        <v>8</v>
      </c>
      <c r="S23" s="11">
        <f>COUNTIFS(Data!$AZ:$AZ, "&gt;=" &amp; DATE(2025,9,1), Data!$AZ:$AZ, "&lt;=" &amp; DATE(2025,9,30),Data!$B:$B,$B23)</f>
        <v>0</v>
      </c>
      <c r="T23" s="11">
        <f>COUNTIFS(Data!$F:$F, "&gt;=" &amp; DATE(2025,9,1), Data!$F:$F, "&lt;=" &amp; DATE(2025,9,30),Data!$B:$B,$B23)</f>
        <v>0</v>
      </c>
    </row>
    <row r="24" spans="2:20">
      <c r="B24" s="11" t="s">
        <v>378</v>
      </c>
      <c r="C24" s="11">
        <f>COUNTIFS(Data!B:B,B24,Data!F:F, "&lt;=" &amp; DATE(2025,4,1))</f>
        <v>4</v>
      </c>
      <c r="D24" s="11">
        <f>COUNTIFS(Data!AZ:AZ, "&gt;=" &amp; DATE(2025,4,1), Data!AZ:AZ, "&lt;=" &amp; DATE(2025,4,30),Data!B:B,B24)</f>
        <v>0</v>
      </c>
      <c r="E24" s="11">
        <f>COUNTIFS(Data!F:F, "&gt;=" &amp; DATE(2025,4,1), Data!F:F, "&lt;=" &amp; DATE(2025,4,30),Data!B:B,B24)</f>
        <v>0</v>
      </c>
      <c r="F24" s="11">
        <f>COUNTIFS(Data!$B:$B,$B24,Data!$F:$F, "&lt;=" &amp; DATE(2025,4,30))-COUNTIFS(Data!$B:$B,$B24,Data!AZ:AZ, "&gt;=" &amp; DATE(2025,4,1), Data!AZ:AZ, "&lt;=" &amp; DATE(2025,4,30))</f>
        <v>4</v>
      </c>
      <c r="G24" s="11">
        <f>COUNTIFS(Data!$AZ:$AZ, "&gt;=" &amp; DATE(2025,5,1), Data!$AZ:$AZ, "&lt;=" &amp; DATE(2025,5,31),Data!$B:$B,$B24)</f>
        <v>0</v>
      </c>
      <c r="H24" s="11">
        <f>COUNTIFS(Data!$F:$F, "&gt;=" &amp; DATE(2025,5,1), Data!$F:$F, "&lt;=" &amp; DATE(2025,5,31),Data!$B:$B,$B24)</f>
        <v>0</v>
      </c>
      <c r="I24" s="11">
        <f>COUNTIFS(Data!$B:$B,$B24,Data!$F:$F, "&lt;=" &amp; DATE(2025,5,31))-COUNTIFS(Data!$B:$B,$B24,Data!$AZ:$AZ, "&gt;=" &amp; DATE(2025,4,1), Data!$AZ:$AZ, "&lt;=" &amp; DATE(2025,5,31))</f>
        <v>4</v>
      </c>
      <c r="J24" s="11">
        <f>COUNTIFS(Data!$AZ:$AZ, "&gt;=" &amp; DATE(2025,6,1), Data!$AZ:$AZ, "&lt;=" &amp; DATE(2025,6,30),Data!$B:$B,$B24)</f>
        <v>0</v>
      </c>
      <c r="K24" s="11">
        <f>COUNTIFS(Data!$F:$F, "&gt;=" &amp; DATE(2025,6,1), Data!$F:$F, "&lt;=" &amp; DATE(2025,6,30),Data!$B:$B,$B24)</f>
        <v>0</v>
      </c>
      <c r="L24" s="11">
        <f>COUNTIFS(Data!$B:$B,$B24,Data!$F:$F, "&lt;=" &amp; DATE(2025,6,30))-COUNTIFS(Data!$B:$B,$B24,Data!$AZ:$AZ, "&gt;=" &amp; DATE(2025,4,1), Data!$AZ:$AZ, "&lt;=" &amp; DATE(2025,6,30))</f>
        <v>4</v>
      </c>
      <c r="M24" s="11">
        <f>COUNTIFS(Data!$AZ:$AZ, "&gt;=" &amp; DATE(2025,7,1), Data!$AZ:$AZ, "&lt;=" &amp; DATE(2025,7,31),Data!$B:$B,$B24)</f>
        <v>0</v>
      </c>
      <c r="N24" s="11">
        <f>COUNTIFS(Data!$F:$F, "&gt;=" &amp; DATE(2025,7,1), Data!$F:$F, "&lt;=" &amp; DATE(2025,7,31),Data!$B:$B,$B24)</f>
        <v>0</v>
      </c>
      <c r="O24" s="11">
        <f>COUNTIFS(Data!$B:$B,$B24,Data!$F:$F, "&lt;=" &amp; DATE(2025,7,31))-COUNTIFS(Data!$B:$B,$B24,Data!$AZ:$AZ, "&gt;=" &amp; DATE(2025,4,1), Data!$AZ:$AZ, "&lt;=" &amp; DATE(2025,7,31))</f>
        <v>4</v>
      </c>
      <c r="P24" s="11">
        <f>COUNTIFS(Data!$AZ:$AZ, "&gt;=" &amp; DATE(2025,8,1), Data!$AZ:$AZ, "&lt;=" &amp; DATE(2025,8,31),Data!$B:$B,$B24)</f>
        <v>0</v>
      </c>
      <c r="Q24" s="11">
        <f>COUNTIFS(Data!$F:$F, "&gt;=" &amp; DATE(2025,8,1), Data!$F:$F, "&lt;=" &amp; DATE(2025,8,31),Data!$B:$B,$B24)</f>
        <v>0</v>
      </c>
      <c r="R24" s="11">
        <f>COUNTIFS(Data!$B:$B,$B24,Data!$F:$F, "&lt;=" &amp; DATE(2025,8,31))-COUNTIFS(Data!$B:$B,$B24,Data!$AZ:$AZ, "&gt;=" &amp; DATE(2025,4,1), Data!$AZ:$AZ, "&lt;=" &amp; DATE(2025,8,31))</f>
        <v>4</v>
      </c>
      <c r="S24" s="11">
        <f>COUNTIFS(Data!$AZ:$AZ, "&gt;=" &amp; DATE(2025,9,1), Data!$AZ:$AZ, "&lt;=" &amp; DATE(2025,9,30),Data!$B:$B,$B24)</f>
        <v>0</v>
      </c>
      <c r="T24" s="11">
        <f>COUNTIFS(Data!$F:$F, "&gt;=" &amp; DATE(2025,9,1), Data!$F:$F, "&lt;=" &amp; DATE(2025,9,30),Data!$B:$B,$B24)</f>
        <v>0</v>
      </c>
    </row>
    <row r="25" spans="2:20">
      <c r="B25" s="11" t="s">
        <v>286</v>
      </c>
      <c r="C25" s="11">
        <f>COUNTIFS(Data!B:B,B25,Data!F:F, "&lt;=" &amp; DATE(2025,4,1))</f>
        <v>1</v>
      </c>
      <c r="D25" s="11">
        <f>COUNTIFS(Data!AZ:AZ, "&gt;=" &amp; DATE(2025,4,1), Data!AZ:AZ, "&lt;=" &amp; DATE(2025,4,30),Data!B:B,B25)</f>
        <v>0</v>
      </c>
      <c r="E25" s="11">
        <f>COUNTIFS(Data!F:F, "&gt;=" &amp; DATE(2025,4,1), Data!F:F, "&lt;=" &amp; DATE(2025,4,30),Data!B:B,B25)</f>
        <v>0</v>
      </c>
      <c r="F25" s="11">
        <f>COUNTIFS(Data!$B:$B,$B25,Data!$F:$F, "&lt;=" &amp; DATE(2025,4,30))-COUNTIFS(Data!$B:$B,$B25,Data!AZ:AZ, "&gt;=" &amp; DATE(2025,4,1), Data!AZ:AZ, "&lt;=" &amp; DATE(2025,4,30))</f>
        <v>1</v>
      </c>
      <c r="G25" s="11">
        <f>COUNTIFS(Data!$AZ:$AZ, "&gt;=" &amp; DATE(2025,5,1), Data!$AZ:$AZ, "&lt;=" &amp; DATE(2025,5,31),Data!$B:$B,$B25)</f>
        <v>0</v>
      </c>
      <c r="H25" s="11">
        <f>COUNTIFS(Data!$F:$F, "&gt;=" &amp; DATE(2025,5,1), Data!$F:$F, "&lt;=" &amp; DATE(2025,5,31),Data!$B:$B,$B25)</f>
        <v>0</v>
      </c>
      <c r="I25" s="11">
        <f>COUNTIFS(Data!$B:$B,$B25,Data!$F:$F, "&lt;=" &amp; DATE(2025,5,31))-COUNTIFS(Data!$B:$B,$B25,Data!$AZ:$AZ, "&gt;=" &amp; DATE(2025,4,1), Data!$AZ:$AZ, "&lt;=" &amp; DATE(2025,5,31))</f>
        <v>1</v>
      </c>
      <c r="J25" s="11">
        <f>COUNTIFS(Data!$AZ:$AZ, "&gt;=" &amp; DATE(2025,6,1), Data!$AZ:$AZ, "&lt;=" &amp; DATE(2025,6,30),Data!$B:$B,$B25)</f>
        <v>1</v>
      </c>
      <c r="K25" s="11">
        <f>COUNTIFS(Data!$F:$F, "&gt;=" &amp; DATE(2025,6,1), Data!$F:$F, "&lt;=" &amp; DATE(2025,6,30),Data!$B:$B,$B25)</f>
        <v>1</v>
      </c>
      <c r="L25" s="11">
        <f>COUNTIFS(Data!$B:$B,$B25,Data!$F:$F, "&lt;=" &amp; DATE(2025,6,30))-COUNTIFS(Data!$B:$B,$B25,Data!$AZ:$AZ, "&gt;=" &amp; DATE(2025,4,1), Data!$AZ:$AZ, "&lt;=" &amp; DATE(2025,6,30))</f>
        <v>1</v>
      </c>
      <c r="M25" s="11">
        <f>COUNTIFS(Data!$AZ:$AZ, "&gt;=" &amp; DATE(2025,7,1), Data!$AZ:$AZ, "&lt;=" &amp; DATE(2025,7,31),Data!$B:$B,$B25)</f>
        <v>0</v>
      </c>
      <c r="N25" s="11">
        <f>COUNTIFS(Data!$F:$F, "&gt;=" &amp; DATE(2025,7,1), Data!$F:$F, "&lt;=" &amp; DATE(2025,7,31),Data!$B:$B,$B25)</f>
        <v>0</v>
      </c>
      <c r="O25" s="11">
        <f>COUNTIFS(Data!$B:$B,$B25,Data!$F:$F, "&lt;=" &amp; DATE(2025,7,31))-COUNTIFS(Data!$B:$B,$B25,Data!$AZ:$AZ, "&gt;=" &amp; DATE(2025,4,1), Data!$AZ:$AZ, "&lt;=" &amp; DATE(2025,7,31))</f>
        <v>1</v>
      </c>
      <c r="P25" s="11">
        <f>COUNTIFS(Data!$AZ:$AZ, "&gt;=" &amp; DATE(2025,8,1), Data!$AZ:$AZ, "&lt;=" &amp; DATE(2025,8,31),Data!$B:$B,$B25)</f>
        <v>0</v>
      </c>
      <c r="Q25" s="11">
        <f>COUNTIFS(Data!$F:$F, "&gt;=" &amp; DATE(2025,8,1), Data!$F:$F, "&lt;=" &amp; DATE(2025,8,31),Data!$B:$B,$B25)</f>
        <v>1</v>
      </c>
      <c r="R25" s="11">
        <f>COUNTIFS(Data!$B:$B,$B25,Data!$F:$F, "&lt;=" &amp; DATE(2025,8,31))-COUNTIFS(Data!$B:$B,$B25,Data!$AZ:$AZ, "&gt;=" &amp; DATE(2025,4,1), Data!$AZ:$AZ, "&lt;=" &amp; DATE(2025,8,31))</f>
        <v>2</v>
      </c>
      <c r="S25" s="11">
        <f>COUNTIFS(Data!$AZ:$AZ, "&gt;=" &amp; DATE(2025,9,1), Data!$AZ:$AZ, "&lt;=" &amp; DATE(2025,9,30),Data!$B:$B,$B25)</f>
        <v>0</v>
      </c>
      <c r="T25" s="11">
        <f>COUNTIFS(Data!$F:$F, "&gt;=" &amp; DATE(2025,9,1), Data!$F:$F, "&lt;=" &amp; DATE(2025,9,30),Data!$B:$B,$B25)</f>
        <v>0</v>
      </c>
    </row>
    <row r="26" spans="2:20">
      <c r="B26" s="11" t="s">
        <v>362</v>
      </c>
      <c r="C26" s="11">
        <f>COUNTIFS(Data!B:B,B26,Data!F:F, "&lt;=" &amp; DATE(2025,4,1))</f>
        <v>31</v>
      </c>
      <c r="D26" s="11">
        <f>COUNTIFS(Data!AZ:AZ, "&gt;=" &amp; DATE(2025,4,1), Data!AZ:AZ, "&lt;=" &amp; DATE(2025,4,30),Data!B:B,B26)</f>
        <v>0</v>
      </c>
      <c r="E26" s="11">
        <f>COUNTIFS(Data!F:F, "&gt;=" &amp; DATE(2025,4,1), Data!F:F, "&lt;=" &amp; DATE(2025,4,30),Data!B:B,B26)</f>
        <v>0</v>
      </c>
      <c r="F26" s="11">
        <f>COUNTIFS(Data!$B:$B,$B26,Data!$F:$F, "&lt;=" &amp; DATE(2025,4,30))-COUNTIFS(Data!$B:$B,$B26,Data!AZ:AZ, "&gt;=" &amp; DATE(2025,4,1), Data!AZ:AZ, "&lt;=" &amp; DATE(2025,4,30))</f>
        <v>31</v>
      </c>
      <c r="G26" s="11">
        <f>COUNTIFS(Data!$AZ:$AZ, "&gt;=" &amp; DATE(2025,5,1), Data!$AZ:$AZ, "&lt;=" &amp; DATE(2025,5,31),Data!$B:$B,$B26)</f>
        <v>1</v>
      </c>
      <c r="H26" s="11">
        <f>COUNTIFS(Data!$F:$F, "&gt;=" &amp; DATE(2025,5,1), Data!$F:$F, "&lt;=" &amp; DATE(2025,5,31),Data!$B:$B,$B26)</f>
        <v>2</v>
      </c>
      <c r="I26" s="11">
        <f>COUNTIFS(Data!$B:$B,$B26,Data!$F:$F, "&lt;=" &amp; DATE(2025,5,31))-COUNTIFS(Data!$B:$B,$B26,Data!$AZ:$AZ, "&gt;=" &amp; DATE(2025,4,1), Data!$AZ:$AZ, "&lt;=" &amp; DATE(2025,5,31))</f>
        <v>32</v>
      </c>
      <c r="J26" s="11">
        <f>COUNTIFS(Data!$AZ:$AZ, "&gt;=" &amp; DATE(2025,6,1), Data!$AZ:$AZ, "&lt;=" &amp; DATE(2025,6,30),Data!$B:$B,$B26)</f>
        <v>0</v>
      </c>
      <c r="K26" s="11">
        <f>COUNTIFS(Data!$F:$F, "&gt;=" &amp; DATE(2025,6,1), Data!$F:$F, "&lt;=" &amp; DATE(2025,6,30),Data!$B:$B,$B26)</f>
        <v>2</v>
      </c>
      <c r="L26" s="11">
        <f>COUNTIFS(Data!$B:$B,$B26,Data!$F:$F, "&lt;=" &amp; DATE(2025,6,30))-COUNTIFS(Data!$B:$B,$B26,Data!$AZ:$AZ, "&gt;=" &amp; DATE(2025,4,1), Data!$AZ:$AZ, "&lt;=" &amp; DATE(2025,6,30))</f>
        <v>34</v>
      </c>
      <c r="M26" s="11">
        <f>COUNTIFS(Data!$AZ:$AZ, "&gt;=" &amp; DATE(2025,7,1), Data!$AZ:$AZ, "&lt;=" &amp; DATE(2025,7,31),Data!$B:$B,$B26)</f>
        <v>3</v>
      </c>
      <c r="N26" s="11">
        <f>COUNTIFS(Data!$F:$F, "&gt;=" &amp; DATE(2025,7,1), Data!$F:$F, "&lt;=" &amp; DATE(2025,7,31),Data!$B:$B,$B26)</f>
        <v>1</v>
      </c>
      <c r="O26" s="11">
        <f>COUNTIFS(Data!$B:$B,$B26,Data!$F:$F, "&lt;=" &amp; DATE(2025,7,31))-COUNTIFS(Data!$B:$B,$B26,Data!$AZ:$AZ, "&gt;=" &amp; DATE(2025,4,1), Data!$AZ:$AZ, "&lt;=" &amp; DATE(2025,7,31))</f>
        <v>32</v>
      </c>
      <c r="P26" s="11">
        <f>COUNTIFS(Data!$AZ:$AZ, "&gt;=" &amp; DATE(2025,8,1), Data!$AZ:$AZ, "&lt;=" &amp; DATE(2025,8,31),Data!$B:$B,$B26)</f>
        <v>0</v>
      </c>
      <c r="Q26" s="11">
        <f>COUNTIFS(Data!$F:$F, "&gt;=" &amp; DATE(2025,8,1), Data!$F:$F, "&lt;=" &amp; DATE(2025,8,31),Data!$B:$B,$B26)</f>
        <v>2</v>
      </c>
      <c r="R26" s="11">
        <f>COUNTIFS(Data!$B:$B,$B26,Data!$F:$F, "&lt;=" &amp; DATE(2025,8,31))-COUNTIFS(Data!$B:$B,$B26,Data!$AZ:$AZ, "&gt;=" &amp; DATE(2025,4,1), Data!$AZ:$AZ, "&lt;=" &amp; DATE(2025,8,31))</f>
        <v>34</v>
      </c>
      <c r="S26" s="11">
        <f>COUNTIFS(Data!$AZ:$AZ, "&gt;=" &amp; DATE(2025,9,1), Data!$AZ:$AZ, "&lt;=" &amp; DATE(2025,9,30),Data!$B:$B,$B26)</f>
        <v>0</v>
      </c>
      <c r="T26" s="11">
        <f>COUNTIFS(Data!$F:$F, "&gt;=" &amp; DATE(2025,9,1), Data!$F:$F, "&lt;=" &amp; DATE(2025,9,30),Data!$B:$B,$B26)</f>
        <v>0</v>
      </c>
    </row>
    <row r="27" spans="2:20">
      <c r="B27" s="11" t="s">
        <v>206</v>
      </c>
    </row>
  </sheetData>
  <mergeCells count="12">
    <mergeCell ref="R1:T1"/>
    <mergeCell ref="U1:W1"/>
    <mergeCell ref="C1:E1"/>
    <mergeCell ref="F1:H1"/>
    <mergeCell ref="I1:K1"/>
    <mergeCell ref="L1:N1"/>
    <mergeCell ref="O1:Q1"/>
    <mergeCell ref="X1:Z1"/>
    <mergeCell ref="AA1:AC1"/>
    <mergeCell ref="AD1:AF1"/>
    <mergeCell ref="AG1:AI1"/>
    <mergeCell ref="AJ1:A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V196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15.77734375" customWidth="1"/>
    <col min="2" max="2" width="14.6640625" customWidth="1"/>
    <col min="3" max="3" width="26.77734375" customWidth="1"/>
    <col min="4" max="4" width="17.109375" customWidth="1"/>
    <col min="5" max="5" width="10.33203125" customWidth="1"/>
    <col min="7" max="8" width="10.88671875" customWidth="1"/>
    <col min="9" max="9" width="9.44140625" customWidth="1"/>
    <col min="10" max="10" width="8.88671875" customWidth="1"/>
    <col min="11" max="11" width="9.33203125" customWidth="1"/>
    <col min="12" max="12" width="9.109375" customWidth="1"/>
    <col min="13" max="13" width="8.6640625" customWidth="1"/>
    <col min="14" max="14" width="6.77734375" customWidth="1"/>
    <col min="15" max="16" width="8.21875" customWidth="1"/>
    <col min="17" max="17" width="8.109375" customWidth="1"/>
    <col min="18" max="18" width="9.77734375" customWidth="1"/>
    <col min="19" max="19" width="11.88671875" customWidth="1"/>
    <col min="20" max="20" width="6.6640625" customWidth="1"/>
    <col min="21" max="21" width="8.33203125" customWidth="1"/>
    <col min="22" max="22" width="5.6640625" customWidth="1"/>
    <col min="23" max="23" width="7.77734375" customWidth="1"/>
    <col min="24" max="24" width="6.6640625" customWidth="1"/>
    <col min="25" max="25" width="11.44140625" customWidth="1"/>
    <col min="26" max="26" width="6.77734375" customWidth="1"/>
    <col min="27" max="27" width="7.6640625" customWidth="1"/>
    <col min="28" max="28" width="8" customWidth="1"/>
    <col min="29" max="29" width="8.33203125" customWidth="1"/>
    <col min="30" max="30" width="7.6640625" customWidth="1"/>
    <col min="31" max="31" width="8.33203125" customWidth="1"/>
    <col min="32" max="32" width="7.33203125" customWidth="1"/>
    <col min="33" max="33" width="7.6640625" customWidth="1"/>
    <col min="34" max="34" width="8.109375" customWidth="1"/>
    <col min="35" max="35" width="8" hidden="1" customWidth="1"/>
    <col min="36" max="36" width="8.88671875" hidden="1" customWidth="1"/>
    <col min="37" max="37" width="12.109375" hidden="1" customWidth="1"/>
    <col min="38" max="38" width="8.109375" hidden="1" customWidth="1"/>
    <col min="39" max="40" width="9" customWidth="1"/>
    <col min="42" max="48" width="12.6640625" hidden="1"/>
  </cols>
  <sheetData>
    <row r="1" spans="1:48" ht="24.6">
      <c r="A1" s="146"/>
      <c r="B1" s="147" t="s">
        <v>678</v>
      </c>
      <c r="C1" s="148">
        <f>COUNTA(C3:C196)</f>
        <v>194</v>
      </c>
      <c r="D1" s="1"/>
      <c r="E1" s="10" t="s">
        <v>102</v>
      </c>
      <c r="F1" s="1"/>
      <c r="G1" s="35"/>
      <c r="H1" s="39">
        <f t="shared" ref="H1:K1" si="0">SUM(H3:H196)</f>
        <v>925297260.79989994</v>
      </c>
      <c r="I1" s="39">
        <f t="shared" si="0"/>
        <v>521992810.06999993</v>
      </c>
      <c r="J1" s="39">
        <f t="shared" si="0"/>
        <v>8730099.6700000018</v>
      </c>
      <c r="K1" s="39">
        <f t="shared" si="0"/>
        <v>516279503.44</v>
      </c>
      <c r="L1" s="40">
        <f>IFERROR(SUM(I1:J1)/H1,"")</f>
        <v>0.57357017276934463</v>
      </c>
      <c r="M1" s="39">
        <f t="shared" ref="M1:AB1" si="1">SUM(M3:M196)</f>
        <v>12878</v>
      </c>
      <c r="N1" s="39">
        <f t="shared" si="1"/>
        <v>10076</v>
      </c>
      <c r="O1" s="39">
        <f t="shared" si="1"/>
        <v>887</v>
      </c>
      <c r="P1" s="39">
        <f t="shared" si="1"/>
        <v>13765</v>
      </c>
      <c r="Q1" s="39">
        <f t="shared" si="1"/>
        <v>3689</v>
      </c>
      <c r="R1" s="39">
        <f t="shared" si="1"/>
        <v>5420</v>
      </c>
      <c r="S1" s="39">
        <f t="shared" si="1"/>
        <v>42</v>
      </c>
      <c r="T1" s="39">
        <f t="shared" si="1"/>
        <v>745</v>
      </c>
      <c r="U1" s="39">
        <f t="shared" si="1"/>
        <v>7269</v>
      </c>
      <c r="V1" s="39">
        <f t="shared" si="1"/>
        <v>11554</v>
      </c>
      <c r="W1" s="39">
        <f t="shared" si="1"/>
        <v>4123</v>
      </c>
      <c r="X1" s="39">
        <f t="shared" si="1"/>
        <v>456</v>
      </c>
      <c r="Y1" s="39">
        <f t="shared" si="1"/>
        <v>2076</v>
      </c>
      <c r="Z1" s="39">
        <f t="shared" si="1"/>
        <v>40187</v>
      </c>
      <c r="AA1" s="39">
        <f t="shared" si="1"/>
        <v>58396</v>
      </c>
      <c r="AB1" s="39">
        <f t="shared" si="1"/>
        <v>12183</v>
      </c>
      <c r="AC1" s="39">
        <f>SUM(I1:J1)/AB1</f>
        <v>43562.579803004184</v>
      </c>
      <c r="AD1" s="39">
        <f>Z1/AB1</f>
        <v>3.2986128211442174</v>
      </c>
      <c r="AE1" s="39">
        <f t="shared" ref="AE1:AF1" si="2">SUM(AE3:AE196)</f>
        <v>20106380.350000001</v>
      </c>
      <c r="AF1" s="39">
        <f t="shared" si="2"/>
        <v>4516058</v>
      </c>
      <c r="AG1" s="40">
        <f>SUM(AE1:AF1)/SUM(I1:J1)</f>
        <v>4.6394150126404909E-2</v>
      </c>
      <c r="AH1" s="39">
        <f>I1/R1</f>
        <v>96308.636544280424</v>
      </c>
      <c r="AI1" s="33"/>
      <c r="AJ1" s="33"/>
      <c r="AK1" s="33"/>
      <c r="AL1" s="33"/>
      <c r="AM1" s="1"/>
      <c r="AN1" s="1"/>
      <c r="AT1" s="11" t="s">
        <v>108</v>
      </c>
      <c r="AU1" s="11" t="s">
        <v>109</v>
      </c>
    </row>
    <row r="2" spans="1:48" ht="48.75" customHeight="1">
      <c r="A2" s="9" t="s">
        <v>30</v>
      </c>
      <c r="B2" s="9" t="s">
        <v>31</v>
      </c>
      <c r="C2" s="10" t="s">
        <v>6</v>
      </c>
      <c r="D2" s="10" t="s">
        <v>32</v>
      </c>
      <c r="E2" s="10" t="s">
        <v>34</v>
      </c>
      <c r="F2" s="10" t="s">
        <v>35</v>
      </c>
      <c r="G2" s="13" t="s">
        <v>36</v>
      </c>
      <c r="H2" s="13" t="s">
        <v>39</v>
      </c>
      <c r="I2" s="13" t="s">
        <v>40</v>
      </c>
      <c r="J2" s="12" t="s">
        <v>41</v>
      </c>
      <c r="K2" s="12" t="s">
        <v>42</v>
      </c>
      <c r="L2" s="14" t="s">
        <v>43</v>
      </c>
      <c r="M2" s="12" t="s">
        <v>47</v>
      </c>
      <c r="N2" s="12" t="s">
        <v>48</v>
      </c>
      <c r="O2" s="12" t="s">
        <v>49</v>
      </c>
      <c r="P2" s="12" t="s">
        <v>52</v>
      </c>
      <c r="Q2" s="12" t="s">
        <v>53</v>
      </c>
      <c r="R2" s="12" t="s">
        <v>58</v>
      </c>
      <c r="S2" s="12" t="s">
        <v>59</v>
      </c>
      <c r="T2" s="12" t="s">
        <v>389</v>
      </c>
      <c r="U2" s="12" t="s">
        <v>60</v>
      </c>
      <c r="V2" s="12" t="s">
        <v>61</v>
      </c>
      <c r="W2" s="12" t="s">
        <v>64</v>
      </c>
      <c r="X2" s="12" t="s">
        <v>66</v>
      </c>
      <c r="Y2" s="12" t="s">
        <v>69</v>
      </c>
      <c r="Z2" s="12" t="s">
        <v>70</v>
      </c>
      <c r="AA2" s="12" t="s">
        <v>71</v>
      </c>
      <c r="AB2" s="12" t="s">
        <v>72</v>
      </c>
      <c r="AC2" s="12" t="s">
        <v>388</v>
      </c>
      <c r="AD2" s="12" t="s">
        <v>74</v>
      </c>
      <c r="AE2" s="12" t="s">
        <v>75</v>
      </c>
      <c r="AF2" s="12" t="s">
        <v>76</v>
      </c>
      <c r="AG2" s="14" t="s">
        <v>77</v>
      </c>
      <c r="AH2" s="12" t="s">
        <v>78</v>
      </c>
      <c r="AI2" s="15" t="s">
        <v>79</v>
      </c>
      <c r="AJ2" s="15" t="s">
        <v>80</v>
      </c>
      <c r="AK2" s="15" t="s">
        <v>82</v>
      </c>
      <c r="AL2" s="15" t="s">
        <v>83</v>
      </c>
      <c r="AM2" s="12" t="s">
        <v>88</v>
      </c>
      <c r="AN2" s="12" t="s">
        <v>89</v>
      </c>
      <c r="AO2" s="18" t="s">
        <v>90</v>
      </c>
      <c r="AQ2" s="46"/>
      <c r="AR2" s="46"/>
      <c r="AS2" s="46"/>
      <c r="AT2" s="46" t="s">
        <v>124</v>
      </c>
      <c r="AU2" s="46" t="s">
        <v>125</v>
      </c>
      <c r="AV2" s="46"/>
    </row>
    <row r="3" spans="1:48" ht="15.6">
      <c r="A3" s="19" t="s">
        <v>118</v>
      </c>
      <c r="B3" s="19" t="s">
        <v>362</v>
      </c>
      <c r="C3" s="20" t="s">
        <v>29</v>
      </c>
      <c r="D3" s="21" t="s">
        <v>420</v>
      </c>
      <c r="E3" s="22">
        <v>39859</v>
      </c>
      <c r="F3" s="20" t="s">
        <v>419</v>
      </c>
      <c r="G3" s="23">
        <v>28690782.84</v>
      </c>
      <c r="H3" s="23">
        <v>0</v>
      </c>
      <c r="I3" s="23">
        <v>1199546.82</v>
      </c>
      <c r="J3" s="23">
        <v>0</v>
      </c>
      <c r="K3" s="23">
        <v>0</v>
      </c>
      <c r="L3" s="24"/>
      <c r="M3" s="25">
        <v>136</v>
      </c>
      <c r="N3" s="26">
        <v>107</v>
      </c>
      <c r="O3" s="25">
        <v>3</v>
      </c>
      <c r="P3" s="25">
        <v>139</v>
      </c>
      <c r="Q3" s="25">
        <v>32</v>
      </c>
      <c r="R3" s="25">
        <v>12</v>
      </c>
      <c r="S3" s="25">
        <v>0</v>
      </c>
      <c r="T3" s="25">
        <v>0</v>
      </c>
      <c r="U3" s="25">
        <v>4</v>
      </c>
      <c r="V3" s="25">
        <v>4</v>
      </c>
      <c r="W3" s="25">
        <v>55</v>
      </c>
      <c r="X3" s="25">
        <v>9</v>
      </c>
      <c r="Y3" s="25">
        <v>0</v>
      </c>
      <c r="Z3" s="25">
        <v>238</v>
      </c>
      <c r="AA3" s="25">
        <v>306</v>
      </c>
      <c r="AB3" s="25">
        <v>75</v>
      </c>
      <c r="AC3" s="23">
        <v>15993.957600000002</v>
      </c>
      <c r="AD3" s="26">
        <v>3.1733333333333333</v>
      </c>
      <c r="AE3" s="23">
        <v>195501</v>
      </c>
      <c r="AF3" s="25">
        <v>43105</v>
      </c>
      <c r="AG3" s="24">
        <v>0.19891345299885835</v>
      </c>
      <c r="AH3" s="23">
        <v>99962.235000000001</v>
      </c>
      <c r="AI3" s="21">
        <v>21</v>
      </c>
      <c r="AJ3" s="116">
        <v>901</v>
      </c>
      <c r="AK3" s="21">
        <v>19014.45</v>
      </c>
      <c r="AL3" s="27">
        <v>178</v>
      </c>
      <c r="AM3" s="29"/>
      <c r="AN3" s="21"/>
      <c r="AO3" s="30">
        <v>-1199546.82</v>
      </c>
      <c r="AQ3" s="27"/>
      <c r="AR3" s="44"/>
      <c r="AT3" s="11" t="s">
        <v>136</v>
      </c>
      <c r="AU3" s="11" t="s">
        <v>137</v>
      </c>
    </row>
    <row r="4" spans="1:48" ht="15.6">
      <c r="A4" s="19" t="s">
        <v>118</v>
      </c>
      <c r="B4" s="19" t="s">
        <v>362</v>
      </c>
      <c r="C4" s="20" t="s">
        <v>85</v>
      </c>
      <c r="D4" s="21" t="s">
        <v>420</v>
      </c>
      <c r="E4" s="44">
        <v>39859</v>
      </c>
      <c r="F4" s="21" t="s">
        <v>419</v>
      </c>
      <c r="G4" s="23">
        <v>38475930.539999999</v>
      </c>
      <c r="H4" s="23">
        <v>15150000</v>
      </c>
      <c r="I4" s="23">
        <v>9856419.6300000008</v>
      </c>
      <c r="J4" s="23">
        <v>0</v>
      </c>
      <c r="K4" s="23">
        <v>11659258</v>
      </c>
      <c r="L4" s="24">
        <v>0.65058875445544562</v>
      </c>
      <c r="M4" s="25">
        <v>104</v>
      </c>
      <c r="N4" s="25">
        <v>80</v>
      </c>
      <c r="O4" s="25">
        <v>2</v>
      </c>
      <c r="P4" s="25">
        <v>106</v>
      </c>
      <c r="Q4" s="25">
        <v>26</v>
      </c>
      <c r="R4" s="25">
        <v>47</v>
      </c>
      <c r="S4" s="25">
        <v>0</v>
      </c>
      <c r="T4" s="25">
        <v>2</v>
      </c>
      <c r="U4" s="25">
        <v>2</v>
      </c>
      <c r="V4" s="25">
        <v>2</v>
      </c>
      <c r="W4" s="25">
        <v>46</v>
      </c>
      <c r="X4" s="25">
        <v>0</v>
      </c>
      <c r="Y4" s="25">
        <v>0</v>
      </c>
      <c r="Z4" s="25">
        <v>231</v>
      </c>
      <c r="AA4" s="25">
        <v>279</v>
      </c>
      <c r="AB4" s="25">
        <v>73</v>
      </c>
      <c r="AC4" s="23">
        <v>135019.44698630139</v>
      </c>
      <c r="AD4" s="26">
        <v>3.1643835616438358</v>
      </c>
      <c r="AE4" s="23">
        <v>168000</v>
      </c>
      <c r="AF4" s="25">
        <v>16620</v>
      </c>
      <c r="AG4" s="24">
        <v>1.8730939522711858E-2</v>
      </c>
      <c r="AH4" s="23">
        <v>209711.05595744684</v>
      </c>
      <c r="AI4" s="27">
        <v>114</v>
      </c>
      <c r="AJ4" s="27">
        <v>763</v>
      </c>
      <c r="AK4" s="27">
        <v>5969.86</v>
      </c>
      <c r="AL4" s="27">
        <v>75</v>
      </c>
      <c r="AM4" s="29"/>
      <c r="AN4" s="41"/>
      <c r="AO4" s="30">
        <v>1802838.3699999992</v>
      </c>
      <c r="AT4" s="11" t="s">
        <v>154</v>
      </c>
      <c r="AU4" s="11" t="s">
        <v>155</v>
      </c>
    </row>
    <row r="5" spans="1:48" ht="15.6">
      <c r="A5" s="19" t="s">
        <v>201</v>
      </c>
      <c r="B5" s="19" t="s">
        <v>431</v>
      </c>
      <c r="C5" s="20" t="s">
        <v>104</v>
      </c>
      <c r="D5" s="21" t="s">
        <v>433</v>
      </c>
      <c r="E5" s="44">
        <v>41004</v>
      </c>
      <c r="F5" s="21" t="s">
        <v>432</v>
      </c>
      <c r="G5" s="23">
        <v>45381670</v>
      </c>
      <c r="H5" s="23">
        <v>12500001</v>
      </c>
      <c r="I5" s="23">
        <v>8779321.7300000004</v>
      </c>
      <c r="J5" s="23">
        <v>609406.62</v>
      </c>
      <c r="K5" s="23">
        <v>9284916</v>
      </c>
      <c r="L5" s="24">
        <v>0.75109820791214332</v>
      </c>
      <c r="M5" s="25">
        <v>50</v>
      </c>
      <c r="N5" s="25">
        <v>46</v>
      </c>
      <c r="O5" s="25">
        <v>5</v>
      </c>
      <c r="P5" s="25">
        <v>55</v>
      </c>
      <c r="Q5" s="25">
        <v>9</v>
      </c>
      <c r="R5" s="25">
        <v>37</v>
      </c>
      <c r="S5" s="25">
        <v>4</v>
      </c>
      <c r="T5" s="25">
        <v>5</v>
      </c>
      <c r="U5" s="25">
        <v>7</v>
      </c>
      <c r="V5" s="25">
        <v>9</v>
      </c>
      <c r="W5" s="25">
        <v>111</v>
      </c>
      <c r="X5" s="25">
        <v>19</v>
      </c>
      <c r="Y5" s="25">
        <v>0</v>
      </c>
      <c r="Z5" s="25">
        <v>134</v>
      </c>
      <c r="AA5" s="25">
        <v>273</v>
      </c>
      <c r="AB5" s="25">
        <v>64</v>
      </c>
      <c r="AC5" s="23">
        <v>146698.88046874999</v>
      </c>
      <c r="AD5" s="26">
        <v>2.09375</v>
      </c>
      <c r="AE5" s="23">
        <v>250005</v>
      </c>
      <c r="AF5" s="25">
        <v>37010</v>
      </c>
      <c r="AG5" s="24">
        <v>3.0570167684103887E-2</v>
      </c>
      <c r="AH5" s="23">
        <v>237278.96567567569</v>
      </c>
      <c r="AI5" s="27">
        <v>121</v>
      </c>
      <c r="AJ5" s="27">
        <v>467</v>
      </c>
      <c r="AK5" s="27">
        <v>3589.7</v>
      </c>
      <c r="AL5" s="27">
        <v>78</v>
      </c>
      <c r="AM5" s="29"/>
      <c r="AN5" s="21"/>
      <c r="AO5" s="30">
        <v>-103812.34999999963</v>
      </c>
      <c r="AT5" s="11" t="s">
        <v>279</v>
      </c>
      <c r="AU5" s="11" t="s">
        <v>161</v>
      </c>
    </row>
    <row r="6" spans="1:48" ht="15.6">
      <c r="A6" s="19" t="s">
        <v>118</v>
      </c>
      <c r="B6" s="19" t="s">
        <v>362</v>
      </c>
      <c r="C6" s="20" t="s">
        <v>91</v>
      </c>
      <c r="D6" s="21" t="s">
        <v>439</v>
      </c>
      <c r="E6" s="44">
        <v>41159</v>
      </c>
      <c r="F6" s="21" t="s">
        <v>419</v>
      </c>
      <c r="G6" s="23">
        <v>63090460</v>
      </c>
      <c r="H6" s="23">
        <v>20499999</v>
      </c>
      <c r="I6" s="23">
        <v>11336697.859999999</v>
      </c>
      <c r="J6" s="23">
        <v>0</v>
      </c>
      <c r="K6" s="23">
        <v>15622599</v>
      </c>
      <c r="L6" s="24">
        <v>0.5530096786833989</v>
      </c>
      <c r="M6" s="25">
        <v>139</v>
      </c>
      <c r="N6" s="25">
        <v>119</v>
      </c>
      <c r="O6" s="25">
        <v>2</v>
      </c>
      <c r="P6" s="25">
        <v>141</v>
      </c>
      <c r="Q6" s="25">
        <v>22</v>
      </c>
      <c r="R6" s="25">
        <v>50</v>
      </c>
      <c r="S6" s="25">
        <v>0</v>
      </c>
      <c r="T6" s="25">
        <v>1</v>
      </c>
      <c r="U6" s="25">
        <v>10</v>
      </c>
      <c r="V6" s="25">
        <v>15</v>
      </c>
      <c r="W6" s="25">
        <v>7</v>
      </c>
      <c r="X6" s="25">
        <v>0</v>
      </c>
      <c r="Y6" s="25">
        <v>0</v>
      </c>
      <c r="Z6" s="25">
        <v>391</v>
      </c>
      <c r="AA6" s="25">
        <v>413</v>
      </c>
      <c r="AB6" s="25">
        <v>77</v>
      </c>
      <c r="AC6" s="23">
        <v>147229.84233766233</v>
      </c>
      <c r="AD6" s="26">
        <v>5.0779220779220777</v>
      </c>
      <c r="AE6" s="23">
        <v>217005</v>
      </c>
      <c r="AF6" s="25">
        <v>21651</v>
      </c>
      <c r="AG6" s="24">
        <v>2.1051632754725283E-2</v>
      </c>
      <c r="AH6" s="23">
        <v>226733.95719999998</v>
      </c>
      <c r="AI6" s="27">
        <v>106</v>
      </c>
      <c r="AJ6" s="27">
        <v>871</v>
      </c>
      <c r="AK6" s="27">
        <v>3725.07</v>
      </c>
      <c r="AL6" s="27">
        <v>31</v>
      </c>
      <c r="AM6" s="29"/>
      <c r="AN6" s="21"/>
      <c r="AO6" s="30">
        <v>4285901.1400000006</v>
      </c>
      <c r="AT6" s="11" t="s">
        <v>118</v>
      </c>
    </row>
    <row r="7" spans="1:48" ht="15.6">
      <c r="A7" s="19" t="s">
        <v>118</v>
      </c>
      <c r="B7" s="19" t="s">
        <v>362</v>
      </c>
      <c r="C7" s="20" t="s">
        <v>92</v>
      </c>
      <c r="D7" s="21" t="s">
        <v>420</v>
      </c>
      <c r="E7" s="44">
        <v>41400</v>
      </c>
      <c r="F7" s="21" t="s">
        <v>419</v>
      </c>
      <c r="G7" s="23">
        <v>67969652.420000002</v>
      </c>
      <c r="H7" s="23">
        <v>25500000</v>
      </c>
      <c r="I7" s="23">
        <v>17497664.760000002</v>
      </c>
      <c r="J7" s="23">
        <v>0</v>
      </c>
      <c r="K7" s="23">
        <v>17177835.600000001</v>
      </c>
      <c r="L7" s="24">
        <v>0.68618293176470591</v>
      </c>
      <c r="M7" s="25">
        <v>54</v>
      </c>
      <c r="N7" s="25">
        <v>45</v>
      </c>
      <c r="O7" s="25">
        <v>0</v>
      </c>
      <c r="P7" s="25">
        <v>54</v>
      </c>
      <c r="Q7" s="25">
        <v>9</v>
      </c>
      <c r="R7" s="25">
        <v>43</v>
      </c>
      <c r="S7" s="25">
        <v>0</v>
      </c>
      <c r="T7" s="25">
        <v>0</v>
      </c>
      <c r="U7" s="25">
        <v>1</v>
      </c>
      <c r="V7" s="25">
        <v>2</v>
      </c>
      <c r="W7" s="25">
        <v>60</v>
      </c>
      <c r="X7" s="25">
        <v>0</v>
      </c>
      <c r="Y7" s="25">
        <v>0</v>
      </c>
      <c r="Z7" s="25">
        <v>360</v>
      </c>
      <c r="AA7" s="25">
        <v>422</v>
      </c>
      <c r="AB7" s="25">
        <v>65</v>
      </c>
      <c r="AC7" s="23">
        <v>269194.8424615385</v>
      </c>
      <c r="AD7" s="26">
        <v>5.5384615384615383</v>
      </c>
      <c r="AE7" s="23">
        <v>222501</v>
      </c>
      <c r="AF7" s="25">
        <v>14214</v>
      </c>
      <c r="AG7" s="24">
        <v>1.3528376686078421E-2</v>
      </c>
      <c r="AH7" s="23">
        <v>406922.43627906981</v>
      </c>
      <c r="AI7" s="27">
        <v>267</v>
      </c>
      <c r="AJ7" s="27">
        <v>618</v>
      </c>
      <c r="AK7" s="27">
        <v>973</v>
      </c>
      <c r="AL7" s="27">
        <v>22</v>
      </c>
      <c r="AM7" s="29"/>
      <c r="AN7" s="21"/>
      <c r="AO7" s="30">
        <v>-319829.16000000015</v>
      </c>
      <c r="AT7" s="11" t="s">
        <v>177</v>
      </c>
    </row>
    <row r="8" spans="1:48" ht="15.6">
      <c r="A8" s="19" t="s">
        <v>118</v>
      </c>
      <c r="B8" s="19" t="s">
        <v>359</v>
      </c>
      <c r="C8" s="20" t="s">
        <v>28</v>
      </c>
      <c r="D8" s="21" t="s">
        <v>444</v>
      </c>
      <c r="E8" s="44">
        <v>41563</v>
      </c>
      <c r="F8" s="21" t="s">
        <v>442</v>
      </c>
      <c r="G8" s="23">
        <v>17275853.090000004</v>
      </c>
      <c r="H8" s="23">
        <v>6300000</v>
      </c>
      <c r="I8" s="23">
        <v>5395769.4900000002</v>
      </c>
      <c r="J8" s="23">
        <v>0</v>
      </c>
      <c r="K8" s="23">
        <v>5003774.54</v>
      </c>
      <c r="L8" s="24">
        <v>0.85647134761904764</v>
      </c>
      <c r="M8" s="25">
        <v>38</v>
      </c>
      <c r="N8" s="25">
        <v>36</v>
      </c>
      <c r="O8" s="25">
        <v>0</v>
      </c>
      <c r="P8" s="25">
        <v>38</v>
      </c>
      <c r="Q8" s="25">
        <v>2</v>
      </c>
      <c r="R8" s="25">
        <v>21</v>
      </c>
      <c r="S8" s="25">
        <v>0</v>
      </c>
      <c r="T8" s="25">
        <v>0</v>
      </c>
      <c r="U8" s="25">
        <v>0</v>
      </c>
      <c r="V8" s="25">
        <v>0</v>
      </c>
      <c r="W8" s="25">
        <v>5</v>
      </c>
      <c r="X8" s="25">
        <v>0</v>
      </c>
      <c r="Y8" s="25">
        <v>0</v>
      </c>
      <c r="Z8" s="25">
        <v>208</v>
      </c>
      <c r="AA8" s="25">
        <v>213</v>
      </c>
      <c r="AB8" s="25">
        <v>74</v>
      </c>
      <c r="AC8" s="23">
        <v>72915.803918918915</v>
      </c>
      <c r="AD8" s="26">
        <v>2.810810810810811</v>
      </c>
      <c r="AE8" s="23">
        <v>126501</v>
      </c>
      <c r="AF8" s="25">
        <v>37091</v>
      </c>
      <c r="AG8" s="24">
        <v>3.0318567222559389E-2</v>
      </c>
      <c r="AH8" s="23">
        <v>256941.40428571429</v>
      </c>
      <c r="AI8" s="27">
        <v>84</v>
      </c>
      <c r="AJ8" s="27">
        <v>872</v>
      </c>
      <c r="AK8" s="27">
        <v>7184.02</v>
      </c>
      <c r="AL8" s="27">
        <v>200</v>
      </c>
      <c r="AM8" s="29"/>
      <c r="AN8" s="21"/>
      <c r="AO8" s="30">
        <v>-391994.95000000019</v>
      </c>
      <c r="AT8" s="11" t="s">
        <v>117</v>
      </c>
    </row>
    <row r="9" spans="1:48" ht="15.6">
      <c r="A9" s="19" t="s">
        <v>118</v>
      </c>
      <c r="B9" s="19" t="s">
        <v>372</v>
      </c>
      <c r="C9" s="20" t="s">
        <v>93</v>
      </c>
      <c r="D9" s="21" t="s">
        <v>448</v>
      </c>
      <c r="E9" s="44">
        <v>41719</v>
      </c>
      <c r="F9" s="21" t="s">
        <v>447</v>
      </c>
      <c r="G9" s="23"/>
      <c r="H9" s="23">
        <v>0</v>
      </c>
      <c r="I9" s="23">
        <v>0</v>
      </c>
      <c r="J9" s="23">
        <v>0</v>
      </c>
      <c r="K9" s="23"/>
      <c r="L9" s="24"/>
      <c r="M9" s="25">
        <v>157</v>
      </c>
      <c r="N9" s="25">
        <v>36</v>
      </c>
      <c r="O9" s="25">
        <v>4</v>
      </c>
      <c r="P9" s="25">
        <v>161</v>
      </c>
      <c r="Q9" s="25">
        <v>125</v>
      </c>
      <c r="R9" s="25">
        <v>0</v>
      </c>
      <c r="S9" s="25">
        <v>0</v>
      </c>
      <c r="T9" s="25">
        <v>0</v>
      </c>
      <c r="U9" s="25">
        <v>25</v>
      </c>
      <c r="V9" s="25">
        <v>36</v>
      </c>
      <c r="W9" s="25">
        <v>66</v>
      </c>
      <c r="X9" s="25">
        <v>11</v>
      </c>
      <c r="Y9" s="25">
        <v>8</v>
      </c>
      <c r="Z9" s="25">
        <v>64</v>
      </c>
      <c r="AA9" s="25">
        <v>185</v>
      </c>
      <c r="AB9" s="25">
        <v>74</v>
      </c>
      <c r="AC9" s="23">
        <v>0</v>
      </c>
      <c r="AD9" s="26">
        <v>0.86486486486486491</v>
      </c>
      <c r="AE9" s="23">
        <v>230001</v>
      </c>
      <c r="AF9" s="25"/>
      <c r="AG9" s="24"/>
      <c r="AH9" s="23"/>
      <c r="AI9" s="27">
        <v>0</v>
      </c>
      <c r="AJ9" s="27">
        <v>726</v>
      </c>
      <c r="AK9" s="27">
        <v>24224.13</v>
      </c>
      <c r="AL9" s="27">
        <v>673</v>
      </c>
      <c r="AM9" s="29"/>
      <c r="AN9" s="21"/>
      <c r="AO9" s="30">
        <v>0</v>
      </c>
      <c r="AT9" s="11" t="s">
        <v>119</v>
      </c>
    </row>
    <row r="10" spans="1:48" ht="15.6">
      <c r="A10" s="19" t="s">
        <v>118</v>
      </c>
      <c r="B10" s="19" t="s">
        <v>362</v>
      </c>
      <c r="C10" s="20" t="s">
        <v>27</v>
      </c>
      <c r="D10" s="21" t="s">
        <v>452</v>
      </c>
      <c r="E10" s="44">
        <v>41791</v>
      </c>
      <c r="F10" s="21" t="s">
        <v>419</v>
      </c>
      <c r="G10" s="23">
        <v>103680911.2</v>
      </c>
      <c r="H10" s="23">
        <v>37500000</v>
      </c>
      <c r="I10" s="23">
        <v>18521023.530000001</v>
      </c>
      <c r="J10" s="23">
        <v>0</v>
      </c>
      <c r="K10" s="23">
        <v>19965173</v>
      </c>
      <c r="L10" s="24">
        <v>0.49389396080000003</v>
      </c>
      <c r="M10" s="25">
        <v>99</v>
      </c>
      <c r="N10" s="25">
        <v>79</v>
      </c>
      <c r="O10" s="25">
        <v>0</v>
      </c>
      <c r="P10" s="25">
        <v>99</v>
      </c>
      <c r="Q10" s="25">
        <v>20</v>
      </c>
      <c r="R10" s="25">
        <v>65</v>
      </c>
      <c r="S10" s="25">
        <v>0</v>
      </c>
      <c r="T10" s="25">
        <v>0</v>
      </c>
      <c r="U10" s="25">
        <v>5</v>
      </c>
      <c r="V10" s="25">
        <v>5</v>
      </c>
      <c r="W10" s="25">
        <v>51</v>
      </c>
      <c r="X10" s="25">
        <v>0</v>
      </c>
      <c r="Y10" s="25">
        <v>0</v>
      </c>
      <c r="Z10" s="25">
        <v>246</v>
      </c>
      <c r="AA10" s="25">
        <v>302</v>
      </c>
      <c r="AB10" s="25">
        <v>71</v>
      </c>
      <c r="AC10" s="23">
        <v>260859.48633802819</v>
      </c>
      <c r="AD10" s="26">
        <v>3.464788732394366</v>
      </c>
      <c r="AE10" s="23">
        <v>234255</v>
      </c>
      <c r="AF10" s="25">
        <v>27767</v>
      </c>
      <c r="AG10" s="24">
        <v>1.4147274289435557E-2</v>
      </c>
      <c r="AH10" s="23">
        <v>284938.82353846158</v>
      </c>
      <c r="AI10" s="27">
        <v>197</v>
      </c>
      <c r="AJ10" s="27">
        <v>863</v>
      </c>
      <c r="AK10" s="27">
        <v>9566.14</v>
      </c>
      <c r="AL10" s="27">
        <v>121</v>
      </c>
      <c r="AM10" s="29"/>
      <c r="AN10" s="21"/>
      <c r="AO10" s="30">
        <v>1444149.4699999988</v>
      </c>
      <c r="AT10" s="11" t="s">
        <v>201</v>
      </c>
    </row>
    <row r="11" spans="1:48" ht="15.6">
      <c r="A11" s="19" t="s">
        <v>118</v>
      </c>
      <c r="B11" s="19" t="s">
        <v>359</v>
      </c>
      <c r="C11" s="20" t="s">
        <v>38</v>
      </c>
      <c r="D11" s="21" t="s">
        <v>455</v>
      </c>
      <c r="E11" s="44">
        <v>42125</v>
      </c>
      <c r="F11" s="21" t="s">
        <v>442</v>
      </c>
      <c r="G11" s="23">
        <v>60223274.439999998</v>
      </c>
      <c r="H11" s="23">
        <v>19674000</v>
      </c>
      <c r="I11" s="23">
        <v>18213831.68</v>
      </c>
      <c r="J11" s="23">
        <v>0</v>
      </c>
      <c r="K11" s="23">
        <v>18476626</v>
      </c>
      <c r="L11" s="24">
        <v>0.92578182779302631</v>
      </c>
      <c r="M11" s="25">
        <v>81</v>
      </c>
      <c r="N11" s="25">
        <v>84</v>
      </c>
      <c r="O11" s="25">
        <v>4</v>
      </c>
      <c r="P11" s="25">
        <v>85</v>
      </c>
      <c r="Q11" s="25">
        <v>1</v>
      </c>
      <c r="R11" s="25">
        <v>73</v>
      </c>
      <c r="S11" s="25">
        <v>0</v>
      </c>
      <c r="T11" s="25">
        <v>4</v>
      </c>
      <c r="U11" s="25">
        <v>0</v>
      </c>
      <c r="V11" s="25">
        <v>0</v>
      </c>
      <c r="W11" s="25">
        <v>66</v>
      </c>
      <c r="X11" s="25">
        <v>0</v>
      </c>
      <c r="Y11" s="25">
        <v>0</v>
      </c>
      <c r="Z11" s="25">
        <v>399</v>
      </c>
      <c r="AA11" s="25">
        <v>465</v>
      </c>
      <c r="AB11" s="25">
        <v>78</v>
      </c>
      <c r="AC11" s="23">
        <v>233510.66256410256</v>
      </c>
      <c r="AD11" s="26">
        <v>5.115384615384615</v>
      </c>
      <c r="AE11" s="23">
        <v>212505</v>
      </c>
      <c r="AF11" s="25">
        <v>37950</v>
      </c>
      <c r="AG11" s="24">
        <v>1.3750813359882768E-2</v>
      </c>
      <c r="AH11" s="23">
        <v>249504.54356164383</v>
      </c>
      <c r="AI11" s="27">
        <v>363</v>
      </c>
      <c r="AJ11" s="27">
        <v>957</v>
      </c>
      <c r="AK11" s="27">
        <v>7679.03</v>
      </c>
      <c r="AL11" s="27">
        <v>91</v>
      </c>
      <c r="AM11" s="29"/>
      <c r="AN11" s="21"/>
      <c r="AO11" s="30">
        <v>262794.3200000003</v>
      </c>
    </row>
    <row r="12" spans="1:48" ht="15.6">
      <c r="A12" s="19" t="s">
        <v>201</v>
      </c>
      <c r="B12" s="19" t="s">
        <v>431</v>
      </c>
      <c r="C12" s="20" t="s">
        <v>106</v>
      </c>
      <c r="D12" s="21" t="s">
        <v>459</v>
      </c>
      <c r="E12" s="44">
        <v>42530</v>
      </c>
      <c r="F12" s="21" t="s">
        <v>431</v>
      </c>
      <c r="G12" s="23">
        <v>21287274</v>
      </c>
      <c r="H12" s="23">
        <v>9375000</v>
      </c>
      <c r="I12" s="23">
        <v>5563811.8499999996</v>
      </c>
      <c r="J12" s="23">
        <v>0</v>
      </c>
      <c r="K12" s="23">
        <v>5783808.7999999998</v>
      </c>
      <c r="L12" s="24">
        <v>0.593473264</v>
      </c>
      <c r="M12" s="25">
        <v>69</v>
      </c>
      <c r="N12" s="25">
        <v>49</v>
      </c>
      <c r="O12" s="25">
        <v>8</v>
      </c>
      <c r="P12" s="25">
        <v>77</v>
      </c>
      <c r="Q12" s="25">
        <v>28</v>
      </c>
      <c r="R12" s="25">
        <v>37</v>
      </c>
      <c r="S12" s="25">
        <v>0</v>
      </c>
      <c r="T12" s="25">
        <v>2</v>
      </c>
      <c r="U12" s="25">
        <v>47</v>
      </c>
      <c r="V12" s="25">
        <v>56</v>
      </c>
      <c r="W12" s="25">
        <v>46</v>
      </c>
      <c r="X12" s="25">
        <v>0</v>
      </c>
      <c r="Y12" s="25">
        <v>0</v>
      </c>
      <c r="Z12" s="25">
        <v>150</v>
      </c>
      <c r="AA12" s="25">
        <v>252</v>
      </c>
      <c r="AB12" s="25">
        <v>71</v>
      </c>
      <c r="AC12" s="23">
        <v>78363.547183098592</v>
      </c>
      <c r="AD12" s="26">
        <v>2.112676056338028</v>
      </c>
      <c r="AE12" s="23">
        <v>193755</v>
      </c>
      <c r="AF12" s="25">
        <v>39420</v>
      </c>
      <c r="AG12" s="24">
        <v>4.1909217329123019E-2</v>
      </c>
      <c r="AH12" s="23">
        <v>150373.29324324324</v>
      </c>
      <c r="AI12" s="27">
        <v>75</v>
      </c>
      <c r="AJ12" s="27">
        <v>628</v>
      </c>
      <c r="AK12" s="27">
        <v>4213.1400000000003</v>
      </c>
      <c r="AL12" s="27">
        <v>86</v>
      </c>
      <c r="AM12" s="29"/>
      <c r="AN12" s="21"/>
      <c r="AO12" s="30">
        <v>219996.95000000019</v>
      </c>
    </row>
    <row r="13" spans="1:48" ht="15.6">
      <c r="A13" s="19" t="s">
        <v>118</v>
      </c>
      <c r="B13" s="19" t="s">
        <v>362</v>
      </c>
      <c r="C13" s="20" t="s">
        <v>45</v>
      </c>
      <c r="D13" s="21" t="s">
        <v>464</v>
      </c>
      <c r="E13" s="44">
        <v>42660</v>
      </c>
      <c r="F13" s="21" t="s">
        <v>419</v>
      </c>
      <c r="G13" s="23">
        <v>27594897</v>
      </c>
      <c r="H13" s="23">
        <v>10149999</v>
      </c>
      <c r="I13" s="23">
        <v>7175719.6799999997</v>
      </c>
      <c r="J13" s="23">
        <v>0</v>
      </c>
      <c r="K13" s="23">
        <v>7087384</v>
      </c>
      <c r="L13" s="24">
        <v>0.70696752580960842</v>
      </c>
      <c r="M13" s="25">
        <v>49</v>
      </c>
      <c r="N13" s="25">
        <v>41</v>
      </c>
      <c r="O13" s="25">
        <v>0</v>
      </c>
      <c r="P13" s="25">
        <v>49</v>
      </c>
      <c r="Q13" s="25">
        <v>8</v>
      </c>
      <c r="R13" s="25">
        <v>32</v>
      </c>
      <c r="S13" s="25">
        <v>0</v>
      </c>
      <c r="T13" s="25">
        <v>0</v>
      </c>
      <c r="U13" s="25">
        <v>2</v>
      </c>
      <c r="V13" s="25">
        <v>2</v>
      </c>
      <c r="W13" s="25">
        <v>72</v>
      </c>
      <c r="X13" s="25">
        <v>0</v>
      </c>
      <c r="Y13" s="25">
        <v>0</v>
      </c>
      <c r="Z13" s="25">
        <v>220</v>
      </c>
      <c r="AA13" s="25">
        <v>294</v>
      </c>
      <c r="AB13" s="25">
        <v>69</v>
      </c>
      <c r="AC13" s="23">
        <v>103995.93739130434</v>
      </c>
      <c r="AD13" s="26">
        <v>3.1884057971014492</v>
      </c>
      <c r="AE13" s="23">
        <v>121500</v>
      </c>
      <c r="AF13" s="25">
        <v>31042</v>
      </c>
      <c r="AG13" s="24">
        <v>2.1258076792654197E-2</v>
      </c>
      <c r="AH13" s="23">
        <v>224241.24</v>
      </c>
      <c r="AI13" s="27">
        <v>93</v>
      </c>
      <c r="AJ13" s="27">
        <v>736</v>
      </c>
      <c r="AK13" s="27">
        <v>4906.24</v>
      </c>
      <c r="AL13" s="27">
        <v>120</v>
      </c>
      <c r="AM13" s="29"/>
      <c r="AN13" s="21"/>
      <c r="AO13" s="30">
        <v>-88335.679999999702</v>
      </c>
    </row>
    <row r="14" spans="1:48" ht="15.6">
      <c r="A14" s="19" t="s">
        <v>201</v>
      </c>
      <c r="B14" s="19" t="s">
        <v>469</v>
      </c>
      <c r="C14" s="20" t="s">
        <v>107</v>
      </c>
      <c r="D14" s="21" t="s">
        <v>471</v>
      </c>
      <c r="E14" s="44">
        <v>42720</v>
      </c>
      <c r="F14" s="21" t="s">
        <v>470</v>
      </c>
      <c r="G14" s="23">
        <v>19644499</v>
      </c>
      <c r="H14" s="23">
        <v>9375000</v>
      </c>
      <c r="I14" s="23">
        <v>3278832.35</v>
      </c>
      <c r="J14" s="23">
        <v>1055807.3799999999</v>
      </c>
      <c r="K14" s="23">
        <v>2500500</v>
      </c>
      <c r="L14" s="24">
        <v>0.46236157120000004</v>
      </c>
      <c r="M14" s="25">
        <v>59</v>
      </c>
      <c r="N14" s="25">
        <v>51</v>
      </c>
      <c r="O14" s="25">
        <v>5</v>
      </c>
      <c r="P14" s="25">
        <v>64</v>
      </c>
      <c r="Q14" s="25">
        <v>13</v>
      </c>
      <c r="R14" s="25">
        <v>27</v>
      </c>
      <c r="S14" s="25">
        <v>4</v>
      </c>
      <c r="T14" s="25">
        <v>4</v>
      </c>
      <c r="U14" s="25">
        <v>28</v>
      </c>
      <c r="V14" s="25">
        <v>41</v>
      </c>
      <c r="W14" s="25">
        <v>15</v>
      </c>
      <c r="X14" s="25">
        <v>14</v>
      </c>
      <c r="Y14" s="25">
        <v>13</v>
      </c>
      <c r="Z14" s="25">
        <v>165</v>
      </c>
      <c r="AA14" s="25">
        <v>248</v>
      </c>
      <c r="AB14" s="25">
        <v>74</v>
      </c>
      <c r="AC14" s="23">
        <v>58576.212567567571</v>
      </c>
      <c r="AD14" s="26">
        <v>2.2297297297297298</v>
      </c>
      <c r="AE14" s="23">
        <v>161250</v>
      </c>
      <c r="AF14" s="25">
        <v>13115</v>
      </c>
      <c r="AG14" s="24">
        <v>4.0225949758458932E-2</v>
      </c>
      <c r="AH14" s="23">
        <v>121438.23518518519</v>
      </c>
      <c r="AI14" s="27">
        <v>59</v>
      </c>
      <c r="AJ14" s="27">
        <v>537</v>
      </c>
      <c r="AK14" s="27">
        <v>4769.04</v>
      </c>
      <c r="AL14" s="27">
        <v>94</v>
      </c>
      <c r="AM14" s="29"/>
      <c r="AN14" s="21"/>
      <c r="AO14" s="30">
        <v>-1834139.7300000004</v>
      </c>
    </row>
    <row r="15" spans="1:48" ht="15.6">
      <c r="A15" s="19" t="s">
        <v>118</v>
      </c>
      <c r="B15" s="19" t="s">
        <v>375</v>
      </c>
      <c r="C15" s="20" t="s">
        <v>95</v>
      </c>
      <c r="D15" s="21" t="s">
        <v>474</v>
      </c>
      <c r="E15" s="44">
        <v>42769</v>
      </c>
      <c r="F15" s="21" t="s">
        <v>473</v>
      </c>
      <c r="G15" s="23">
        <v>8136889</v>
      </c>
      <c r="H15" s="23">
        <v>4200000</v>
      </c>
      <c r="I15" s="23">
        <v>1303584.32</v>
      </c>
      <c r="J15" s="23">
        <v>0</v>
      </c>
      <c r="K15" s="23">
        <v>1412499</v>
      </c>
      <c r="L15" s="24">
        <v>0.31037721904761906</v>
      </c>
      <c r="M15" s="25">
        <v>44</v>
      </c>
      <c r="N15" s="25">
        <v>45</v>
      </c>
      <c r="O15" s="25">
        <v>1</v>
      </c>
      <c r="P15" s="25">
        <v>45</v>
      </c>
      <c r="Q15" s="25">
        <v>0</v>
      </c>
      <c r="R15" s="25">
        <v>29</v>
      </c>
      <c r="S15" s="25">
        <v>0</v>
      </c>
      <c r="T15" s="25">
        <v>1</v>
      </c>
      <c r="U15" s="25">
        <v>4</v>
      </c>
      <c r="V15" s="25">
        <v>5</v>
      </c>
      <c r="W15" s="25">
        <v>9</v>
      </c>
      <c r="X15" s="25">
        <v>0</v>
      </c>
      <c r="Y15" s="25">
        <v>0</v>
      </c>
      <c r="Z15" s="25">
        <v>228</v>
      </c>
      <c r="AA15" s="25">
        <v>242</v>
      </c>
      <c r="AB15" s="25">
        <v>78</v>
      </c>
      <c r="AC15" s="23">
        <v>16712.619487179487</v>
      </c>
      <c r="AD15" s="26">
        <v>2.9230769230769229</v>
      </c>
      <c r="AE15" s="23">
        <v>103755</v>
      </c>
      <c r="AF15" s="25">
        <v>19450</v>
      </c>
      <c r="AG15" s="24">
        <v>9.4512489993742788E-2</v>
      </c>
      <c r="AH15" s="23">
        <v>44951.183448275864</v>
      </c>
      <c r="AI15" s="27">
        <v>58</v>
      </c>
      <c r="AJ15" s="27">
        <v>860</v>
      </c>
      <c r="AK15" s="27">
        <v>6029</v>
      </c>
      <c r="AL15" s="27">
        <v>134</v>
      </c>
      <c r="AM15" s="29"/>
      <c r="AN15" s="21"/>
      <c r="AO15" s="30">
        <v>108914.67999999993</v>
      </c>
    </row>
    <row r="16" spans="1:48" ht="15.6">
      <c r="A16" s="19" t="s">
        <v>118</v>
      </c>
      <c r="B16" s="19" t="s">
        <v>359</v>
      </c>
      <c r="C16" s="20" t="s">
        <v>26</v>
      </c>
      <c r="D16" s="21" t="s">
        <v>477</v>
      </c>
      <c r="E16" s="44">
        <v>42826</v>
      </c>
      <c r="F16" s="21" t="s">
        <v>442</v>
      </c>
      <c r="G16" s="23">
        <v>5631228.7199999997</v>
      </c>
      <c r="H16" s="23">
        <v>6000000</v>
      </c>
      <c r="I16" s="23">
        <v>1627540.09</v>
      </c>
      <c r="J16" s="23">
        <v>0</v>
      </c>
      <c r="K16" s="23">
        <v>3306155.8100000005</v>
      </c>
      <c r="L16" s="24">
        <v>0.27125668166666667</v>
      </c>
      <c r="M16" s="25">
        <v>71</v>
      </c>
      <c r="N16" s="25">
        <v>71</v>
      </c>
      <c r="O16" s="25">
        <v>13</v>
      </c>
      <c r="P16" s="25">
        <v>84</v>
      </c>
      <c r="Q16" s="25">
        <v>13</v>
      </c>
      <c r="R16" s="25">
        <v>40</v>
      </c>
      <c r="S16" s="25">
        <v>0</v>
      </c>
      <c r="T16" s="25">
        <v>13</v>
      </c>
      <c r="U16" s="25">
        <v>0</v>
      </c>
      <c r="V16" s="25">
        <v>0</v>
      </c>
      <c r="W16" s="25">
        <v>55</v>
      </c>
      <c r="X16" s="25">
        <v>0</v>
      </c>
      <c r="Y16" s="25">
        <v>0</v>
      </c>
      <c r="Z16" s="25">
        <v>280</v>
      </c>
      <c r="AA16" s="25">
        <v>335</v>
      </c>
      <c r="AB16" s="25">
        <v>68</v>
      </c>
      <c r="AC16" s="23">
        <v>23934.413088235295</v>
      </c>
      <c r="AD16" s="26">
        <v>4.117647058823529</v>
      </c>
      <c r="AE16" s="23">
        <v>220002</v>
      </c>
      <c r="AF16" s="25">
        <v>28673</v>
      </c>
      <c r="AG16" s="24">
        <v>0.15279193522047127</v>
      </c>
      <c r="AH16" s="23">
        <v>40688.502250000005</v>
      </c>
      <c r="AI16" s="27">
        <v>65</v>
      </c>
      <c r="AJ16" s="27">
        <v>574</v>
      </c>
      <c r="AK16" s="27">
        <v>3403.13</v>
      </c>
      <c r="AL16" s="27">
        <v>48</v>
      </c>
      <c r="AM16" s="29"/>
      <c r="AN16" s="21"/>
      <c r="AO16" s="30">
        <v>1678615.7200000004</v>
      </c>
    </row>
    <row r="17" spans="1:41" ht="15.6">
      <c r="A17" s="19" t="s">
        <v>118</v>
      </c>
      <c r="B17" s="19" t="s">
        <v>362</v>
      </c>
      <c r="C17" s="20" t="s">
        <v>51</v>
      </c>
      <c r="D17" s="21" t="s">
        <v>439</v>
      </c>
      <c r="E17" s="44">
        <v>42826</v>
      </c>
      <c r="F17" s="21" t="s">
        <v>419</v>
      </c>
      <c r="G17" s="23">
        <v>44970678.609999999</v>
      </c>
      <c r="H17" s="23">
        <v>11400000</v>
      </c>
      <c r="I17" s="23">
        <v>10408070.02</v>
      </c>
      <c r="J17" s="23">
        <v>0</v>
      </c>
      <c r="K17" s="23">
        <v>5845175.75</v>
      </c>
      <c r="L17" s="24">
        <v>0.91298859824561396</v>
      </c>
      <c r="M17" s="25">
        <v>125</v>
      </c>
      <c r="N17" s="25">
        <v>60</v>
      </c>
      <c r="O17" s="25">
        <v>1</v>
      </c>
      <c r="P17" s="25">
        <v>126</v>
      </c>
      <c r="Q17" s="25">
        <v>66</v>
      </c>
      <c r="R17" s="25">
        <v>12</v>
      </c>
      <c r="S17" s="25">
        <v>0</v>
      </c>
      <c r="T17" s="25">
        <v>0</v>
      </c>
      <c r="U17" s="25">
        <v>4</v>
      </c>
      <c r="V17" s="25">
        <v>5</v>
      </c>
      <c r="W17" s="25">
        <v>33</v>
      </c>
      <c r="X17" s="25">
        <v>0</v>
      </c>
      <c r="Y17" s="25">
        <v>0</v>
      </c>
      <c r="Z17" s="25">
        <v>215</v>
      </c>
      <c r="AA17" s="25">
        <v>253</v>
      </c>
      <c r="AB17" s="25">
        <v>74</v>
      </c>
      <c r="AC17" s="23">
        <v>140649.59486486486</v>
      </c>
      <c r="AD17" s="26">
        <v>2.9054054054054053</v>
      </c>
      <c r="AE17" s="23">
        <v>172500</v>
      </c>
      <c r="AF17" s="25">
        <v>19724</v>
      </c>
      <c r="AG17" s="24">
        <v>1.8468745851116016E-2</v>
      </c>
      <c r="AH17" s="23">
        <v>867339.16833333333</v>
      </c>
      <c r="AI17" s="27">
        <v>27</v>
      </c>
      <c r="AJ17" s="27">
        <v>906</v>
      </c>
      <c r="AK17" s="27">
        <v>13642.54</v>
      </c>
      <c r="AL17" s="27">
        <v>227</v>
      </c>
      <c r="AM17" s="29"/>
      <c r="AN17" s="21"/>
      <c r="AO17" s="30">
        <v>-4562894.2699999996</v>
      </c>
    </row>
    <row r="18" spans="1:41" ht="13.2">
      <c r="A18" s="19" t="s">
        <v>124</v>
      </c>
      <c r="B18" s="19" t="s">
        <v>443</v>
      </c>
      <c r="C18" s="19" t="s">
        <v>98</v>
      </c>
      <c r="D18" s="21" t="s">
        <v>480</v>
      </c>
      <c r="E18" s="44">
        <v>42926</v>
      </c>
      <c r="F18" s="21" t="s">
        <v>479</v>
      </c>
      <c r="G18" s="23">
        <v>20081138</v>
      </c>
      <c r="H18" s="23">
        <v>6000000</v>
      </c>
      <c r="I18" s="23">
        <v>5705529.0999999996</v>
      </c>
      <c r="J18" s="23">
        <v>0</v>
      </c>
      <c r="K18" s="23">
        <v>6180258</v>
      </c>
      <c r="L18" s="24">
        <v>0.95092151666666658</v>
      </c>
      <c r="M18" s="25">
        <v>139</v>
      </c>
      <c r="N18" s="25">
        <v>72</v>
      </c>
      <c r="O18" s="25">
        <v>2</v>
      </c>
      <c r="P18" s="25">
        <v>141</v>
      </c>
      <c r="Q18" s="25">
        <v>69</v>
      </c>
      <c r="R18" s="25">
        <v>66</v>
      </c>
      <c r="S18" s="25">
        <v>0</v>
      </c>
      <c r="T18" s="25">
        <v>2</v>
      </c>
      <c r="U18" s="25">
        <v>7</v>
      </c>
      <c r="V18" s="25">
        <v>8</v>
      </c>
      <c r="W18" s="25">
        <v>22</v>
      </c>
      <c r="X18" s="25">
        <v>0</v>
      </c>
      <c r="Y18" s="25">
        <v>0</v>
      </c>
      <c r="Z18" s="25">
        <v>191</v>
      </c>
      <c r="AA18" s="25">
        <v>221</v>
      </c>
      <c r="AB18" s="25">
        <v>74</v>
      </c>
      <c r="AC18" s="23">
        <v>77101.744594594595</v>
      </c>
      <c r="AD18" s="26">
        <v>2.5810810810810811</v>
      </c>
      <c r="AE18" s="23">
        <v>116250</v>
      </c>
      <c r="AF18" s="25">
        <v>44070</v>
      </c>
      <c r="AG18" s="24">
        <v>2.8099059209074934E-2</v>
      </c>
      <c r="AH18" s="23">
        <v>86447.410606060599</v>
      </c>
      <c r="AI18" s="27">
        <v>163</v>
      </c>
      <c r="AJ18" s="27">
        <v>550</v>
      </c>
      <c r="AK18" s="27">
        <v>5335.97</v>
      </c>
      <c r="AL18" s="27">
        <v>74</v>
      </c>
      <c r="AM18" s="29"/>
      <c r="AN18" s="21"/>
      <c r="AO18" s="30">
        <v>474728.90000000037</v>
      </c>
    </row>
    <row r="19" spans="1:41" ht="15.6">
      <c r="A19" s="19" t="s">
        <v>117</v>
      </c>
      <c r="B19" s="19" t="s">
        <v>450</v>
      </c>
      <c r="C19" s="20" t="s">
        <v>99</v>
      </c>
      <c r="D19" s="21" t="s">
        <v>483</v>
      </c>
      <c r="E19" s="44">
        <v>42993</v>
      </c>
      <c r="F19" s="21" t="s">
        <v>482</v>
      </c>
      <c r="G19" s="23">
        <v>8386751</v>
      </c>
      <c r="H19" s="23">
        <v>3750000</v>
      </c>
      <c r="I19" s="23">
        <v>2583368.7400000002</v>
      </c>
      <c r="J19" s="23">
        <v>0</v>
      </c>
      <c r="K19" s="23">
        <v>2538455</v>
      </c>
      <c r="L19" s="24">
        <v>0.68889833066666673</v>
      </c>
      <c r="M19" s="25">
        <v>126</v>
      </c>
      <c r="N19" s="25">
        <v>90</v>
      </c>
      <c r="O19" s="25">
        <v>4</v>
      </c>
      <c r="P19" s="25">
        <v>130</v>
      </c>
      <c r="Q19" s="25">
        <v>40</v>
      </c>
      <c r="R19" s="25">
        <v>73</v>
      </c>
      <c r="S19" s="25">
        <v>0</v>
      </c>
      <c r="T19" s="25">
        <v>4</v>
      </c>
      <c r="U19" s="25">
        <v>113</v>
      </c>
      <c r="V19" s="25">
        <v>131</v>
      </c>
      <c r="W19" s="25">
        <v>92</v>
      </c>
      <c r="X19" s="25">
        <v>0</v>
      </c>
      <c r="Y19" s="25">
        <v>0</v>
      </c>
      <c r="Z19" s="25">
        <v>188</v>
      </c>
      <c r="AA19" s="25">
        <v>411</v>
      </c>
      <c r="AB19" s="25">
        <v>78</v>
      </c>
      <c r="AC19" s="23">
        <v>33120.112051282056</v>
      </c>
      <c r="AD19" s="26">
        <v>2.4102564102564101</v>
      </c>
      <c r="AE19" s="23">
        <v>140001</v>
      </c>
      <c r="AF19" s="25">
        <v>26321</v>
      </c>
      <c r="AG19" s="24">
        <v>6.4381827272555744E-2</v>
      </c>
      <c r="AH19" s="23">
        <v>35388.61287671233</v>
      </c>
      <c r="AI19" s="27">
        <v>161</v>
      </c>
      <c r="AJ19" s="27">
        <v>737</v>
      </c>
      <c r="AK19" s="27">
        <v>7455.54</v>
      </c>
      <c r="AL19" s="27">
        <v>83</v>
      </c>
      <c r="AM19" s="29"/>
      <c r="AN19" s="21"/>
      <c r="AO19" s="30">
        <v>-44913.740000000224</v>
      </c>
    </row>
    <row r="20" spans="1:41" ht="15.6">
      <c r="A20" s="19" t="s">
        <v>118</v>
      </c>
      <c r="B20" s="19" t="s">
        <v>362</v>
      </c>
      <c r="C20" s="20" t="s">
        <v>67</v>
      </c>
      <c r="D20" s="21" t="s">
        <v>485</v>
      </c>
      <c r="E20" s="44">
        <v>43009</v>
      </c>
      <c r="F20" s="21" t="s">
        <v>419</v>
      </c>
      <c r="G20" s="23">
        <v>131748574.09999999</v>
      </c>
      <c r="H20" s="23">
        <v>0</v>
      </c>
      <c r="I20" s="23">
        <v>1259297.28</v>
      </c>
      <c r="J20" s="23">
        <v>0</v>
      </c>
      <c r="K20" s="23">
        <v>0</v>
      </c>
      <c r="L20" s="24"/>
      <c r="M20" s="25">
        <v>182</v>
      </c>
      <c r="N20" s="25">
        <v>87</v>
      </c>
      <c r="O20" s="25">
        <v>5</v>
      </c>
      <c r="P20" s="25">
        <v>187</v>
      </c>
      <c r="Q20" s="25">
        <v>100</v>
      </c>
      <c r="R20" s="25">
        <v>8</v>
      </c>
      <c r="S20" s="25">
        <v>0</v>
      </c>
      <c r="T20" s="25">
        <v>1</v>
      </c>
      <c r="U20" s="25">
        <v>2</v>
      </c>
      <c r="V20" s="25">
        <v>3</v>
      </c>
      <c r="W20" s="25">
        <v>46</v>
      </c>
      <c r="X20" s="25">
        <v>0</v>
      </c>
      <c r="Y20" s="25">
        <v>0</v>
      </c>
      <c r="Z20" s="25">
        <v>190</v>
      </c>
      <c r="AA20" s="25">
        <v>239</v>
      </c>
      <c r="AB20" s="25">
        <v>77</v>
      </c>
      <c r="AC20" s="23">
        <v>16354.51012987013</v>
      </c>
      <c r="AD20" s="26">
        <v>2.4675324675324677</v>
      </c>
      <c r="AE20" s="23">
        <v>151251</v>
      </c>
      <c r="AF20" s="25">
        <v>29364</v>
      </c>
      <c r="AG20" s="24">
        <v>0.14342522839404528</v>
      </c>
      <c r="AH20" s="23">
        <v>157412.16</v>
      </c>
      <c r="AI20" s="27">
        <v>11</v>
      </c>
      <c r="AJ20" s="27">
        <v>829</v>
      </c>
      <c r="AK20" s="27">
        <v>6377.72</v>
      </c>
      <c r="AL20" s="27">
        <v>73</v>
      </c>
      <c r="AM20" s="29"/>
      <c r="AN20" s="21"/>
      <c r="AO20" s="30">
        <v>-1259297.28</v>
      </c>
    </row>
    <row r="21" spans="1:41" ht="15.6">
      <c r="A21" s="19" t="s">
        <v>118</v>
      </c>
      <c r="B21" s="19" t="s">
        <v>362</v>
      </c>
      <c r="C21" s="20" t="s">
        <v>81</v>
      </c>
      <c r="D21" s="21" t="s">
        <v>439</v>
      </c>
      <c r="E21" s="44">
        <v>43119</v>
      </c>
      <c r="F21" s="21" t="s">
        <v>419</v>
      </c>
      <c r="G21" s="23">
        <v>83333921.829999998</v>
      </c>
      <c r="H21" s="23">
        <v>11499999</v>
      </c>
      <c r="I21" s="23">
        <v>7070338</v>
      </c>
      <c r="J21" s="23">
        <v>0</v>
      </c>
      <c r="K21" s="23">
        <v>16702862</v>
      </c>
      <c r="L21" s="24">
        <v>0.6148120534619177</v>
      </c>
      <c r="M21" s="25">
        <v>54</v>
      </c>
      <c r="N21" s="25">
        <v>20</v>
      </c>
      <c r="O21" s="25">
        <v>0</v>
      </c>
      <c r="P21" s="25">
        <v>54</v>
      </c>
      <c r="Q21" s="25">
        <v>34</v>
      </c>
      <c r="R21" s="25">
        <v>2</v>
      </c>
      <c r="S21" s="25">
        <v>0</v>
      </c>
      <c r="T21" s="25">
        <v>0</v>
      </c>
      <c r="U21" s="25">
        <v>4</v>
      </c>
      <c r="V21" s="25">
        <v>4</v>
      </c>
      <c r="W21" s="25">
        <v>9</v>
      </c>
      <c r="X21" s="25">
        <v>0</v>
      </c>
      <c r="Y21" s="25">
        <v>0</v>
      </c>
      <c r="Z21" s="25">
        <v>95</v>
      </c>
      <c r="AA21" s="25">
        <v>108</v>
      </c>
      <c r="AB21" s="25">
        <v>71</v>
      </c>
      <c r="AC21" s="23">
        <v>99582.225352112669</v>
      </c>
      <c r="AD21" s="26">
        <v>1.3380281690140845</v>
      </c>
      <c r="AE21" s="23">
        <v>157500</v>
      </c>
      <c r="AF21" s="25">
        <v>29385</v>
      </c>
      <c r="AG21" s="24">
        <v>2.6432258259788996E-2</v>
      </c>
      <c r="AH21" s="23">
        <v>3535169</v>
      </c>
      <c r="AI21" s="27">
        <v>4</v>
      </c>
      <c r="AJ21" s="27">
        <v>600</v>
      </c>
      <c r="AK21" s="27">
        <v>1960.11</v>
      </c>
      <c r="AL21" s="27">
        <v>98</v>
      </c>
      <c r="AM21" s="29"/>
      <c r="AN21" s="21"/>
      <c r="AO21" s="30">
        <v>9632524</v>
      </c>
    </row>
    <row r="22" spans="1:41" ht="15.6">
      <c r="A22" s="19" t="s">
        <v>118</v>
      </c>
      <c r="B22" s="19" t="s">
        <v>649</v>
      </c>
      <c r="C22" s="20" t="s">
        <v>96</v>
      </c>
      <c r="D22" s="21" t="s">
        <v>487</v>
      </c>
      <c r="E22" s="44">
        <v>43185</v>
      </c>
      <c r="F22" s="21" t="s">
        <v>486</v>
      </c>
      <c r="G22" s="23">
        <v>7359568.4700000016</v>
      </c>
      <c r="H22" s="23">
        <v>1608334</v>
      </c>
      <c r="I22" s="23">
        <v>108830</v>
      </c>
      <c r="J22" s="23">
        <v>0</v>
      </c>
      <c r="K22" s="23">
        <v>0</v>
      </c>
      <c r="L22" s="24">
        <v>0.11981284403449885</v>
      </c>
      <c r="M22" s="25">
        <v>94</v>
      </c>
      <c r="N22" s="25">
        <v>35</v>
      </c>
      <c r="O22" s="25">
        <v>1</v>
      </c>
      <c r="P22" s="25">
        <v>95</v>
      </c>
      <c r="Q22" s="25">
        <v>60</v>
      </c>
      <c r="R22" s="25">
        <v>7</v>
      </c>
      <c r="S22" s="25">
        <v>0</v>
      </c>
      <c r="T22" s="25">
        <v>0</v>
      </c>
      <c r="U22" s="25">
        <v>3</v>
      </c>
      <c r="V22" s="25">
        <v>3</v>
      </c>
      <c r="W22" s="25">
        <v>0</v>
      </c>
      <c r="X22" s="25">
        <v>1</v>
      </c>
      <c r="Y22" s="25">
        <v>0</v>
      </c>
      <c r="Z22" s="25">
        <v>36</v>
      </c>
      <c r="AA22" s="25">
        <v>40</v>
      </c>
      <c r="AB22" s="25">
        <v>8</v>
      </c>
      <c r="AC22" s="23">
        <v>13603.75</v>
      </c>
      <c r="AD22" s="26">
        <v>4.5</v>
      </c>
      <c r="AE22" s="23">
        <v>16042.5</v>
      </c>
      <c r="AF22" s="25">
        <v>4550</v>
      </c>
      <c r="AG22" s="24">
        <v>0.189217127630249</v>
      </c>
      <c r="AH22" s="23">
        <v>15547.142857142857</v>
      </c>
      <c r="AI22" s="27">
        <v>7</v>
      </c>
      <c r="AJ22" s="27">
        <v>83</v>
      </c>
      <c r="AK22" s="27">
        <v>456.65</v>
      </c>
      <c r="AL22" s="27">
        <v>13</v>
      </c>
      <c r="AM22" s="29"/>
      <c r="AN22" s="21" t="s">
        <v>679</v>
      </c>
      <c r="AO22" s="30">
        <v>-108830</v>
      </c>
    </row>
    <row r="23" spans="1:41" ht="15.6">
      <c r="A23" s="19" t="s">
        <v>118</v>
      </c>
      <c r="B23" s="19" t="s">
        <v>362</v>
      </c>
      <c r="C23" s="20" t="s">
        <v>103</v>
      </c>
      <c r="D23" s="21" t="s">
        <v>490</v>
      </c>
      <c r="E23" s="44">
        <v>43255</v>
      </c>
      <c r="F23" s="21" t="s">
        <v>419</v>
      </c>
      <c r="G23" s="23">
        <v>42087785</v>
      </c>
      <c r="H23" s="23">
        <v>15999999</v>
      </c>
      <c r="I23" s="23">
        <v>7120233.2699999996</v>
      </c>
      <c r="J23" s="23">
        <v>0</v>
      </c>
      <c r="K23" s="23">
        <v>8341293</v>
      </c>
      <c r="L23" s="24">
        <v>0.4450146071884129</v>
      </c>
      <c r="M23" s="25">
        <v>142</v>
      </c>
      <c r="N23" s="25">
        <v>109</v>
      </c>
      <c r="O23" s="25">
        <v>0</v>
      </c>
      <c r="P23" s="25">
        <v>142</v>
      </c>
      <c r="Q23" s="25">
        <v>33</v>
      </c>
      <c r="R23" s="25">
        <v>37</v>
      </c>
      <c r="S23" s="25">
        <v>0</v>
      </c>
      <c r="T23" s="25">
        <v>0</v>
      </c>
      <c r="U23" s="25">
        <v>8</v>
      </c>
      <c r="V23" s="25">
        <v>8</v>
      </c>
      <c r="W23" s="25">
        <v>7</v>
      </c>
      <c r="X23" s="25">
        <v>0</v>
      </c>
      <c r="Y23" s="25">
        <v>0</v>
      </c>
      <c r="Z23" s="25">
        <v>367</v>
      </c>
      <c r="AA23" s="25">
        <v>382</v>
      </c>
      <c r="AB23" s="25">
        <v>77</v>
      </c>
      <c r="AC23" s="23">
        <v>92470.561948051938</v>
      </c>
      <c r="AD23" s="26">
        <v>4.7662337662337659</v>
      </c>
      <c r="AE23" s="23">
        <v>118752</v>
      </c>
      <c r="AF23" s="25">
        <v>15525</v>
      </c>
      <c r="AG23" s="24">
        <v>1.8858511358856085E-2</v>
      </c>
      <c r="AH23" s="23">
        <v>192438.737027027</v>
      </c>
      <c r="AI23" s="27">
        <v>92</v>
      </c>
      <c r="AJ23" s="27">
        <v>836</v>
      </c>
      <c r="AK23" s="27">
        <v>5082.76</v>
      </c>
      <c r="AL23" s="27">
        <v>47</v>
      </c>
      <c r="AM23" s="29"/>
      <c r="AN23" s="21"/>
      <c r="AO23" s="30">
        <v>1221059.7300000004</v>
      </c>
    </row>
    <row r="24" spans="1:41" ht="13.2">
      <c r="A24" s="19" t="s">
        <v>201</v>
      </c>
      <c r="B24" s="19" t="s">
        <v>469</v>
      </c>
      <c r="C24" s="19" t="s">
        <v>110</v>
      </c>
      <c r="D24" s="21" t="s">
        <v>491</v>
      </c>
      <c r="E24" s="44">
        <v>43315</v>
      </c>
      <c r="F24" s="21" t="s">
        <v>470</v>
      </c>
      <c r="G24" s="23">
        <v>42196144</v>
      </c>
      <c r="H24" s="23">
        <v>12500001</v>
      </c>
      <c r="I24" s="23">
        <v>11254507.84</v>
      </c>
      <c r="J24" s="23">
        <v>0</v>
      </c>
      <c r="K24" s="23">
        <v>11120719</v>
      </c>
      <c r="L24" s="24">
        <v>0.90036055517115554</v>
      </c>
      <c r="M24" s="25">
        <v>94</v>
      </c>
      <c r="N24" s="25">
        <v>91</v>
      </c>
      <c r="O24" s="25">
        <v>4</v>
      </c>
      <c r="P24" s="25">
        <v>98</v>
      </c>
      <c r="Q24" s="25">
        <v>7</v>
      </c>
      <c r="R24" s="25">
        <v>79</v>
      </c>
      <c r="S24" s="25">
        <v>0</v>
      </c>
      <c r="T24" s="25">
        <v>4</v>
      </c>
      <c r="U24" s="25">
        <v>5</v>
      </c>
      <c r="V24" s="25">
        <v>6</v>
      </c>
      <c r="W24" s="25">
        <v>14</v>
      </c>
      <c r="X24" s="25">
        <v>0</v>
      </c>
      <c r="Y24" s="25">
        <v>1</v>
      </c>
      <c r="Z24" s="25">
        <v>347</v>
      </c>
      <c r="AA24" s="25">
        <v>368</v>
      </c>
      <c r="AB24" s="25">
        <v>77</v>
      </c>
      <c r="AC24" s="23">
        <v>146162.43948051948</v>
      </c>
      <c r="AD24" s="26">
        <v>4.5064935064935066</v>
      </c>
      <c r="AE24" s="23">
        <v>375000</v>
      </c>
      <c r="AF24" s="25">
        <v>41980</v>
      </c>
      <c r="AG24" s="24">
        <v>3.7050043051904791E-2</v>
      </c>
      <c r="AH24" s="23">
        <v>142462.12455696202</v>
      </c>
      <c r="AI24" s="27">
        <v>317</v>
      </c>
      <c r="AJ24" s="27">
        <v>574</v>
      </c>
      <c r="AK24" s="27">
        <v>4215.41</v>
      </c>
      <c r="AL24" s="27">
        <v>46</v>
      </c>
      <c r="AM24" s="29"/>
      <c r="AN24" s="21"/>
      <c r="AO24" s="30">
        <v>-133788.83999999985</v>
      </c>
    </row>
    <row r="25" spans="1:41" ht="15.6">
      <c r="A25" s="19" t="s">
        <v>118</v>
      </c>
      <c r="B25" s="19" t="s">
        <v>375</v>
      </c>
      <c r="C25" s="20" t="s">
        <v>97</v>
      </c>
      <c r="D25" s="21" t="s">
        <v>492</v>
      </c>
      <c r="E25" s="44">
        <v>43424</v>
      </c>
      <c r="F25" s="21" t="s">
        <v>473</v>
      </c>
      <c r="G25" s="23">
        <v>11767268.16</v>
      </c>
      <c r="H25" s="23">
        <v>8799999.9999000002</v>
      </c>
      <c r="I25" s="23">
        <v>2663327.38</v>
      </c>
      <c r="J25" s="23">
        <v>371067.3</v>
      </c>
      <c r="K25" s="23">
        <v>0</v>
      </c>
      <c r="L25" s="24">
        <v>0.34481757727664564</v>
      </c>
      <c r="M25" s="25">
        <v>109</v>
      </c>
      <c r="N25" s="25">
        <v>74</v>
      </c>
      <c r="O25" s="25">
        <v>1</v>
      </c>
      <c r="P25" s="25">
        <v>110</v>
      </c>
      <c r="Q25" s="25">
        <v>36</v>
      </c>
      <c r="R25" s="25">
        <v>66</v>
      </c>
      <c r="S25" s="25">
        <v>2</v>
      </c>
      <c r="T25" s="25">
        <v>1</v>
      </c>
      <c r="U25" s="25">
        <v>1</v>
      </c>
      <c r="V25" s="25">
        <v>1</v>
      </c>
      <c r="W25" s="25">
        <v>29</v>
      </c>
      <c r="X25" s="25">
        <v>21</v>
      </c>
      <c r="Y25" s="25">
        <v>0</v>
      </c>
      <c r="Z25" s="25">
        <v>284</v>
      </c>
      <c r="AA25" s="25">
        <v>335</v>
      </c>
      <c r="AB25" s="25">
        <v>73</v>
      </c>
      <c r="AC25" s="23">
        <v>41567.050410958902</v>
      </c>
      <c r="AD25" s="26">
        <v>3.8904109589041096</v>
      </c>
      <c r="AE25" s="23">
        <v>111255</v>
      </c>
      <c r="AF25" s="25">
        <v>35180</v>
      </c>
      <c r="AG25" s="24">
        <v>4.8258389379986659E-2</v>
      </c>
      <c r="AH25" s="23">
        <v>40353.445151515152</v>
      </c>
      <c r="AI25" s="27">
        <v>156</v>
      </c>
      <c r="AJ25" s="27">
        <v>599</v>
      </c>
      <c r="AK25" s="27">
        <v>4734.79</v>
      </c>
      <c r="AL25" s="27">
        <v>64</v>
      </c>
      <c r="AM25" s="29"/>
      <c r="AN25" s="21"/>
      <c r="AO25" s="30">
        <v>-3034394.6799999997</v>
      </c>
    </row>
    <row r="26" spans="1:41" ht="13.2">
      <c r="A26" s="19" t="s">
        <v>118</v>
      </c>
      <c r="B26" s="19" t="s">
        <v>359</v>
      </c>
      <c r="C26" s="19" t="s">
        <v>112</v>
      </c>
      <c r="D26" s="21" t="s">
        <v>493</v>
      </c>
      <c r="E26" s="44">
        <v>43556</v>
      </c>
      <c r="F26" s="21" t="s">
        <v>442</v>
      </c>
      <c r="G26" s="23">
        <v>16969894.600000001</v>
      </c>
      <c r="H26" s="23">
        <v>6000000</v>
      </c>
      <c r="I26" s="23">
        <v>4434309.57</v>
      </c>
      <c r="J26" s="23">
        <v>0</v>
      </c>
      <c r="K26" s="23">
        <v>4549746</v>
      </c>
      <c r="L26" s="24">
        <v>0.73905159500000006</v>
      </c>
      <c r="M26" s="25">
        <v>70</v>
      </c>
      <c r="N26" s="25">
        <v>68</v>
      </c>
      <c r="O26" s="25">
        <v>3</v>
      </c>
      <c r="P26" s="25">
        <v>73</v>
      </c>
      <c r="Q26" s="25">
        <v>5</v>
      </c>
      <c r="R26" s="25">
        <v>31</v>
      </c>
      <c r="S26" s="25">
        <v>0</v>
      </c>
      <c r="T26" s="25">
        <v>1</v>
      </c>
      <c r="U26" s="25">
        <v>0</v>
      </c>
      <c r="V26" s="25">
        <v>0</v>
      </c>
      <c r="W26" s="25">
        <v>73</v>
      </c>
      <c r="X26" s="25">
        <v>0</v>
      </c>
      <c r="Y26" s="25">
        <v>0</v>
      </c>
      <c r="Z26" s="25">
        <v>264</v>
      </c>
      <c r="AA26" s="25">
        <v>337</v>
      </c>
      <c r="AB26" s="25">
        <v>78</v>
      </c>
      <c r="AC26" s="23">
        <v>56850.122692307697</v>
      </c>
      <c r="AD26" s="26">
        <v>3.3846153846153846</v>
      </c>
      <c r="AE26" s="23">
        <v>106251</v>
      </c>
      <c r="AF26" s="25">
        <v>26680</v>
      </c>
      <c r="AG26" s="24">
        <v>2.9977834858291138E-2</v>
      </c>
      <c r="AH26" s="23">
        <v>143042.24419354839</v>
      </c>
      <c r="AI26" s="27">
        <v>61</v>
      </c>
      <c r="AJ26" s="27">
        <v>627</v>
      </c>
      <c r="AK26" s="27">
        <v>2320.84</v>
      </c>
      <c r="AL26" s="27">
        <v>34</v>
      </c>
      <c r="AM26" s="29"/>
      <c r="AN26" s="21"/>
      <c r="AO26" s="30">
        <v>115436.4299999997</v>
      </c>
    </row>
    <row r="27" spans="1:41" ht="15.6">
      <c r="A27" s="19" t="s">
        <v>118</v>
      </c>
      <c r="B27" s="19" t="s">
        <v>436</v>
      </c>
      <c r="C27" s="20" t="s">
        <v>111</v>
      </c>
      <c r="D27" s="21" t="s">
        <v>437</v>
      </c>
      <c r="E27" s="44">
        <v>43557</v>
      </c>
      <c r="F27" s="21" t="s">
        <v>494</v>
      </c>
      <c r="G27" s="23">
        <v>13932526</v>
      </c>
      <c r="H27" s="23">
        <v>5000001</v>
      </c>
      <c r="I27" s="23">
        <v>3499948.86</v>
      </c>
      <c r="J27" s="23">
        <v>0</v>
      </c>
      <c r="K27" s="23">
        <v>3521392</v>
      </c>
      <c r="L27" s="24">
        <v>0.69998963200207354</v>
      </c>
      <c r="M27" s="25">
        <v>121</v>
      </c>
      <c r="N27" s="25">
        <v>105</v>
      </c>
      <c r="O27" s="25">
        <v>3</v>
      </c>
      <c r="P27" s="25">
        <v>124</v>
      </c>
      <c r="Q27" s="25">
        <v>19</v>
      </c>
      <c r="R27" s="25">
        <v>55</v>
      </c>
      <c r="S27" s="25">
        <v>0</v>
      </c>
      <c r="T27" s="25">
        <v>3</v>
      </c>
      <c r="U27" s="25">
        <v>8</v>
      </c>
      <c r="V27" s="25">
        <v>9</v>
      </c>
      <c r="W27" s="25">
        <v>29</v>
      </c>
      <c r="X27" s="25">
        <v>0</v>
      </c>
      <c r="Y27" s="25">
        <v>0</v>
      </c>
      <c r="Z27" s="25">
        <v>367</v>
      </c>
      <c r="AA27" s="25">
        <v>405</v>
      </c>
      <c r="AB27" s="25">
        <v>74</v>
      </c>
      <c r="AC27" s="23">
        <v>47296.606216216212</v>
      </c>
      <c r="AD27" s="26">
        <v>4.9594594594594597</v>
      </c>
      <c r="AE27" s="23">
        <v>151050</v>
      </c>
      <c r="AF27" s="25">
        <v>52247</v>
      </c>
      <c r="AG27" s="24">
        <v>5.8085705857999312E-2</v>
      </c>
      <c r="AH27" s="23">
        <v>63635.433818181817</v>
      </c>
      <c r="AI27" s="27">
        <v>143</v>
      </c>
      <c r="AJ27" s="27">
        <v>676</v>
      </c>
      <c r="AK27" s="27">
        <v>6233.49</v>
      </c>
      <c r="AL27" s="27">
        <v>59</v>
      </c>
      <c r="AM27" s="29"/>
      <c r="AN27" s="21"/>
      <c r="AO27" s="30">
        <v>21443.14000000013</v>
      </c>
    </row>
    <row r="28" spans="1:41" ht="13.2">
      <c r="A28" s="19" t="s">
        <v>118</v>
      </c>
      <c r="B28" s="19" t="s">
        <v>372</v>
      </c>
      <c r="C28" s="19" t="s">
        <v>113</v>
      </c>
      <c r="D28" s="21" t="s">
        <v>495</v>
      </c>
      <c r="E28" s="44">
        <v>43647</v>
      </c>
      <c r="F28" s="21" t="s">
        <v>447</v>
      </c>
      <c r="G28" s="23">
        <v>71069534.319999993</v>
      </c>
      <c r="H28" s="23">
        <v>18750000</v>
      </c>
      <c r="I28" s="23">
        <v>11763022.199999999</v>
      </c>
      <c r="J28" s="23">
        <v>0</v>
      </c>
      <c r="K28" s="23">
        <v>13663947</v>
      </c>
      <c r="L28" s="24">
        <v>0.62736118399999996</v>
      </c>
      <c r="M28" s="25">
        <v>86</v>
      </c>
      <c r="N28" s="25">
        <v>87</v>
      </c>
      <c r="O28" s="25">
        <v>10</v>
      </c>
      <c r="P28" s="25">
        <v>96</v>
      </c>
      <c r="Q28" s="25">
        <v>9</v>
      </c>
      <c r="R28" s="25">
        <v>63</v>
      </c>
      <c r="S28" s="25">
        <v>0</v>
      </c>
      <c r="T28" s="25">
        <v>9</v>
      </c>
      <c r="U28" s="25">
        <v>11</v>
      </c>
      <c r="V28" s="25">
        <v>15</v>
      </c>
      <c r="W28" s="25">
        <v>22</v>
      </c>
      <c r="X28" s="25">
        <v>0</v>
      </c>
      <c r="Y28" s="25">
        <v>0</v>
      </c>
      <c r="Z28" s="25">
        <v>318</v>
      </c>
      <c r="AA28" s="25">
        <v>355</v>
      </c>
      <c r="AB28" s="25">
        <v>75</v>
      </c>
      <c r="AC28" s="23">
        <v>156840.296</v>
      </c>
      <c r="AD28" s="26">
        <v>4.24</v>
      </c>
      <c r="AE28" s="23">
        <v>85005</v>
      </c>
      <c r="AF28" s="25">
        <v>33320</v>
      </c>
      <c r="AG28" s="24">
        <v>1.0059064582909654E-2</v>
      </c>
      <c r="AH28" s="23">
        <v>186714.63809523807</v>
      </c>
      <c r="AI28" s="27">
        <v>163</v>
      </c>
      <c r="AJ28" s="27">
        <v>775</v>
      </c>
      <c r="AK28" s="27">
        <v>5887.46</v>
      </c>
      <c r="AL28" s="27">
        <v>68</v>
      </c>
      <c r="AM28" s="29"/>
      <c r="AN28" s="21"/>
      <c r="AO28" s="30">
        <v>1900924.8000000007</v>
      </c>
    </row>
    <row r="29" spans="1:41" ht="15.6">
      <c r="A29" s="19" t="s">
        <v>118</v>
      </c>
      <c r="B29" s="19" t="s">
        <v>359</v>
      </c>
      <c r="C29" s="20" t="s">
        <v>33</v>
      </c>
      <c r="D29" s="21" t="s">
        <v>496</v>
      </c>
      <c r="E29" s="44">
        <v>43710</v>
      </c>
      <c r="F29" s="21" t="s">
        <v>442</v>
      </c>
      <c r="G29" s="23">
        <v>13753144.49</v>
      </c>
      <c r="H29" s="23">
        <v>6000000</v>
      </c>
      <c r="I29" s="23">
        <v>4171953.26</v>
      </c>
      <c r="J29" s="23">
        <v>319925</v>
      </c>
      <c r="K29" s="23">
        <v>4963636</v>
      </c>
      <c r="L29" s="24">
        <v>0.6953255433333333</v>
      </c>
      <c r="M29" s="25">
        <v>52</v>
      </c>
      <c r="N29" s="25">
        <v>49</v>
      </c>
      <c r="O29" s="25">
        <v>2</v>
      </c>
      <c r="P29" s="25">
        <v>54</v>
      </c>
      <c r="Q29" s="25">
        <v>5</v>
      </c>
      <c r="R29" s="25">
        <v>41</v>
      </c>
      <c r="S29" s="25">
        <v>0</v>
      </c>
      <c r="T29" s="25">
        <v>2</v>
      </c>
      <c r="U29" s="25">
        <v>10</v>
      </c>
      <c r="V29" s="25">
        <v>18</v>
      </c>
      <c r="W29" s="25">
        <v>3</v>
      </c>
      <c r="X29" s="25">
        <v>11</v>
      </c>
      <c r="Y29" s="25">
        <v>0</v>
      </c>
      <c r="Z29" s="25">
        <v>261</v>
      </c>
      <c r="AA29" s="25">
        <v>293</v>
      </c>
      <c r="AB29" s="25">
        <v>66</v>
      </c>
      <c r="AC29" s="23">
        <v>63211.413030303025</v>
      </c>
      <c r="AD29" s="26">
        <v>3.9545454545454546</v>
      </c>
      <c r="AE29" s="23">
        <v>135501</v>
      </c>
      <c r="AF29" s="25">
        <v>33764</v>
      </c>
      <c r="AG29" s="24">
        <v>4.0572122804654817E-2</v>
      </c>
      <c r="AH29" s="23">
        <v>101754.9575609756</v>
      </c>
      <c r="AI29" s="27">
        <v>120</v>
      </c>
      <c r="AJ29" s="27">
        <v>703</v>
      </c>
      <c r="AK29" s="27">
        <v>6493.66</v>
      </c>
      <c r="AL29" s="27">
        <v>133</v>
      </c>
      <c r="AM29" s="29"/>
      <c r="AN29" s="21"/>
      <c r="AO29" s="30">
        <v>791682.74000000022</v>
      </c>
    </row>
    <row r="30" spans="1:41" ht="15.6">
      <c r="A30" s="19" t="s">
        <v>118</v>
      </c>
      <c r="B30" s="19" t="s">
        <v>484</v>
      </c>
      <c r="C30" s="20" t="s">
        <v>114</v>
      </c>
      <c r="D30" s="21" t="s">
        <v>498</v>
      </c>
      <c r="E30" s="44">
        <v>43710</v>
      </c>
      <c r="F30" s="21" t="s">
        <v>497</v>
      </c>
      <c r="G30" s="23">
        <v>10055911</v>
      </c>
      <c r="H30" s="23">
        <v>4500000</v>
      </c>
      <c r="I30" s="23">
        <v>3632109.63</v>
      </c>
      <c r="J30" s="23">
        <v>0</v>
      </c>
      <c r="K30" s="23">
        <v>3339591</v>
      </c>
      <c r="L30" s="24">
        <v>0.80713547333333335</v>
      </c>
      <c r="M30" s="25">
        <v>77</v>
      </c>
      <c r="N30" s="25">
        <v>58</v>
      </c>
      <c r="O30" s="25">
        <v>1</v>
      </c>
      <c r="P30" s="25">
        <v>78</v>
      </c>
      <c r="Q30" s="25">
        <v>20</v>
      </c>
      <c r="R30" s="25">
        <v>35</v>
      </c>
      <c r="S30" s="25">
        <v>0</v>
      </c>
      <c r="T30" s="25">
        <v>1</v>
      </c>
      <c r="U30" s="25">
        <v>6</v>
      </c>
      <c r="V30" s="25">
        <v>10</v>
      </c>
      <c r="W30" s="25">
        <v>24</v>
      </c>
      <c r="X30" s="25">
        <v>0</v>
      </c>
      <c r="Y30" s="25">
        <v>1</v>
      </c>
      <c r="Z30" s="25">
        <v>316</v>
      </c>
      <c r="AA30" s="25">
        <v>351</v>
      </c>
      <c r="AB30" s="25">
        <v>74</v>
      </c>
      <c r="AC30" s="23">
        <v>49082.562567567569</v>
      </c>
      <c r="AD30" s="26">
        <v>4.2702702702702702</v>
      </c>
      <c r="AE30" s="23">
        <v>76500</v>
      </c>
      <c r="AF30" s="25">
        <v>28980</v>
      </c>
      <c r="AG30" s="24">
        <v>2.9040973633827238E-2</v>
      </c>
      <c r="AH30" s="23">
        <v>103774.56085714286</v>
      </c>
      <c r="AI30" s="27">
        <v>72</v>
      </c>
      <c r="AJ30" s="27">
        <v>730</v>
      </c>
      <c r="AK30" s="27">
        <v>2883.28</v>
      </c>
      <c r="AL30" s="27">
        <v>50</v>
      </c>
      <c r="AM30" s="29"/>
      <c r="AN30" s="21"/>
      <c r="AO30" s="30">
        <v>-292518.62999999989</v>
      </c>
    </row>
    <row r="31" spans="1:41" ht="15.6">
      <c r="A31" s="19" t="s">
        <v>118</v>
      </c>
      <c r="B31" s="19" t="s">
        <v>436</v>
      </c>
      <c r="C31" s="20" t="s">
        <v>116</v>
      </c>
      <c r="D31" s="21" t="s">
        <v>500</v>
      </c>
      <c r="E31" s="44">
        <v>44046</v>
      </c>
      <c r="F31" s="21" t="s">
        <v>499</v>
      </c>
      <c r="G31" s="23">
        <v>16241492.24</v>
      </c>
      <c r="H31" s="23">
        <v>5874999</v>
      </c>
      <c r="I31" s="23">
        <v>3521017.67</v>
      </c>
      <c r="J31" s="23">
        <v>0</v>
      </c>
      <c r="K31" s="23">
        <v>2776302.79</v>
      </c>
      <c r="L31" s="24">
        <v>0.599322258608044</v>
      </c>
      <c r="M31" s="25">
        <v>100</v>
      </c>
      <c r="N31" s="25">
        <v>102</v>
      </c>
      <c r="O31" s="25">
        <v>2</v>
      </c>
      <c r="P31" s="25">
        <v>102</v>
      </c>
      <c r="Q31" s="25">
        <v>0</v>
      </c>
      <c r="R31" s="25">
        <v>72</v>
      </c>
      <c r="S31" s="25">
        <v>0</v>
      </c>
      <c r="T31" s="25">
        <v>2</v>
      </c>
      <c r="U31" s="25">
        <v>2</v>
      </c>
      <c r="V31" s="25">
        <v>5</v>
      </c>
      <c r="W31" s="25">
        <v>3</v>
      </c>
      <c r="X31" s="25">
        <v>0</v>
      </c>
      <c r="Y31" s="25">
        <v>1</v>
      </c>
      <c r="Z31" s="25">
        <v>467</v>
      </c>
      <c r="AA31" s="25">
        <v>476</v>
      </c>
      <c r="AB31" s="25">
        <v>72</v>
      </c>
      <c r="AC31" s="23">
        <v>48903.023194444446</v>
      </c>
      <c r="AD31" s="26">
        <v>6.4861111111111107</v>
      </c>
      <c r="AE31" s="23">
        <v>95928</v>
      </c>
      <c r="AF31" s="23">
        <v>37017</v>
      </c>
      <c r="AG31" s="24">
        <v>3.7757549793835603E-2</v>
      </c>
      <c r="AH31" s="23">
        <v>48903.023194444446</v>
      </c>
      <c r="AI31" s="27">
        <v>155</v>
      </c>
      <c r="AJ31" s="27">
        <v>795</v>
      </c>
      <c r="AK31" s="27">
        <v>8186.67</v>
      </c>
      <c r="AL31" s="27">
        <v>80</v>
      </c>
      <c r="AM31" s="29"/>
      <c r="AN31" s="21"/>
      <c r="AO31" s="30">
        <v>-744714.87999999989</v>
      </c>
    </row>
    <row r="32" spans="1:41" ht="15.6">
      <c r="A32" s="19" t="s">
        <v>118</v>
      </c>
      <c r="B32" s="19" t="s">
        <v>372</v>
      </c>
      <c r="C32" s="20" t="s">
        <v>122</v>
      </c>
      <c r="D32" s="21" t="s">
        <v>503</v>
      </c>
      <c r="E32" s="44">
        <v>44166</v>
      </c>
      <c r="F32" s="21" t="s">
        <v>447</v>
      </c>
      <c r="G32" s="23">
        <v>6083540</v>
      </c>
      <c r="H32" s="23">
        <v>4500000</v>
      </c>
      <c r="I32" s="23">
        <v>3098487.61</v>
      </c>
      <c r="J32" s="23">
        <v>0</v>
      </c>
      <c r="K32" s="23">
        <v>8078989</v>
      </c>
      <c r="L32" s="24">
        <v>0.68855280222222215</v>
      </c>
      <c r="M32" s="25">
        <v>42</v>
      </c>
      <c r="N32" s="25">
        <v>40</v>
      </c>
      <c r="O32" s="25">
        <v>0</v>
      </c>
      <c r="P32" s="25">
        <v>42</v>
      </c>
      <c r="Q32" s="25">
        <v>2</v>
      </c>
      <c r="R32" s="25">
        <v>18</v>
      </c>
      <c r="S32" s="25">
        <v>0</v>
      </c>
      <c r="T32" s="25">
        <v>0</v>
      </c>
      <c r="U32" s="25">
        <v>8</v>
      </c>
      <c r="V32" s="25">
        <v>10</v>
      </c>
      <c r="W32" s="25">
        <v>18</v>
      </c>
      <c r="X32" s="25">
        <v>0</v>
      </c>
      <c r="Y32" s="25">
        <v>0</v>
      </c>
      <c r="Z32" s="25">
        <v>215</v>
      </c>
      <c r="AA32" s="25">
        <v>243</v>
      </c>
      <c r="AB32" s="25">
        <v>72</v>
      </c>
      <c r="AC32" s="23">
        <v>43034.550138888888</v>
      </c>
      <c r="AD32" s="26">
        <v>2.9861111111111112</v>
      </c>
      <c r="AE32" s="23">
        <v>75501</v>
      </c>
      <c r="AF32" s="23">
        <v>28946</v>
      </c>
      <c r="AG32" s="24">
        <v>3.370902619165226E-2</v>
      </c>
      <c r="AH32" s="23">
        <v>172138.20055555555</v>
      </c>
      <c r="AI32" s="27">
        <v>27</v>
      </c>
      <c r="AJ32" s="27">
        <v>594</v>
      </c>
      <c r="AK32" s="27">
        <v>2591.75</v>
      </c>
      <c r="AL32" s="27">
        <v>65</v>
      </c>
      <c r="AM32" s="29"/>
      <c r="AN32" s="21"/>
      <c r="AO32" s="30">
        <v>4980501.3900000006</v>
      </c>
    </row>
    <row r="33" spans="1:41" ht="15.6">
      <c r="A33" s="19" t="s">
        <v>201</v>
      </c>
      <c r="B33" s="19" t="s">
        <v>438</v>
      </c>
      <c r="C33" s="20" t="s">
        <v>123</v>
      </c>
      <c r="D33" s="21" t="s">
        <v>505</v>
      </c>
      <c r="E33" s="44">
        <v>44207</v>
      </c>
      <c r="F33" s="21" t="s">
        <v>504</v>
      </c>
      <c r="G33" s="23">
        <v>7509183</v>
      </c>
      <c r="H33" s="23">
        <v>0</v>
      </c>
      <c r="I33" s="23">
        <v>306632.08</v>
      </c>
      <c r="J33" s="23">
        <v>0</v>
      </c>
      <c r="K33" s="23">
        <v>0</v>
      </c>
      <c r="L33" s="24"/>
      <c r="M33" s="25">
        <v>70</v>
      </c>
      <c r="N33" s="25">
        <v>43</v>
      </c>
      <c r="O33" s="25">
        <v>0</v>
      </c>
      <c r="P33" s="25">
        <v>70</v>
      </c>
      <c r="Q33" s="25">
        <v>27</v>
      </c>
      <c r="R33" s="25">
        <v>13</v>
      </c>
      <c r="S33" s="25">
        <v>0</v>
      </c>
      <c r="T33" s="25">
        <v>0</v>
      </c>
      <c r="U33" s="25">
        <v>4</v>
      </c>
      <c r="V33" s="25">
        <v>5</v>
      </c>
      <c r="W33" s="25">
        <v>1</v>
      </c>
      <c r="X33" s="25">
        <v>0</v>
      </c>
      <c r="Y33" s="25">
        <v>0</v>
      </c>
      <c r="Z33" s="25">
        <v>73</v>
      </c>
      <c r="AA33" s="25">
        <v>79</v>
      </c>
      <c r="AB33" s="25">
        <v>23</v>
      </c>
      <c r="AC33" s="23">
        <v>13331.829565217393</v>
      </c>
      <c r="AD33" s="26">
        <v>3.1739130434782608</v>
      </c>
      <c r="AE33" s="23">
        <v>40085</v>
      </c>
      <c r="AF33" s="23">
        <v>10260</v>
      </c>
      <c r="AG33" s="24">
        <v>0.16418699569855835</v>
      </c>
      <c r="AH33" s="23">
        <v>23587.083076923078</v>
      </c>
      <c r="AI33" s="27">
        <v>19</v>
      </c>
      <c r="AJ33" s="27">
        <v>196</v>
      </c>
      <c r="AK33" s="27">
        <v>734.57</v>
      </c>
      <c r="AL33" s="27">
        <v>17</v>
      </c>
      <c r="AM33" s="29">
        <v>45777</v>
      </c>
      <c r="AN33" s="21"/>
      <c r="AO33" s="30">
        <v>-306632.08</v>
      </c>
    </row>
    <row r="34" spans="1:41" ht="15.6">
      <c r="A34" s="19" t="s">
        <v>108</v>
      </c>
      <c r="B34" s="19" t="s">
        <v>465</v>
      </c>
      <c r="C34" s="20" t="s">
        <v>128</v>
      </c>
      <c r="D34" s="21" t="s">
        <v>507</v>
      </c>
      <c r="E34" s="44">
        <v>44224</v>
      </c>
      <c r="F34" s="21" t="s">
        <v>506</v>
      </c>
      <c r="G34" s="23"/>
      <c r="H34" s="23">
        <v>0</v>
      </c>
      <c r="I34" s="23">
        <v>0</v>
      </c>
      <c r="J34" s="23">
        <v>0</v>
      </c>
      <c r="K34" s="23"/>
      <c r="L34" s="24"/>
      <c r="M34" s="25">
        <v>146</v>
      </c>
      <c r="N34" s="25">
        <v>42</v>
      </c>
      <c r="O34" s="25">
        <v>2</v>
      </c>
      <c r="P34" s="25">
        <v>148</v>
      </c>
      <c r="Q34" s="25">
        <v>106</v>
      </c>
      <c r="R34" s="25">
        <v>0</v>
      </c>
      <c r="S34" s="25">
        <v>0</v>
      </c>
      <c r="T34" s="25">
        <v>0</v>
      </c>
      <c r="U34" s="25">
        <v>3</v>
      </c>
      <c r="V34" s="25">
        <v>3</v>
      </c>
      <c r="W34" s="25">
        <v>1</v>
      </c>
      <c r="X34" s="25">
        <v>0</v>
      </c>
      <c r="Y34" s="25">
        <v>0</v>
      </c>
      <c r="Z34" s="25">
        <v>75</v>
      </c>
      <c r="AA34" s="25">
        <v>79</v>
      </c>
      <c r="AB34" s="25">
        <v>18</v>
      </c>
      <c r="AC34" s="23">
        <v>0</v>
      </c>
      <c r="AD34" s="26">
        <v>4.166666666666667</v>
      </c>
      <c r="AE34" s="23">
        <v>31988.7</v>
      </c>
      <c r="AF34" s="23">
        <v>9680</v>
      </c>
      <c r="AG34" s="24"/>
      <c r="AH34" s="23"/>
      <c r="AI34" s="27">
        <v>0</v>
      </c>
      <c r="AJ34" s="27">
        <v>142</v>
      </c>
      <c r="AK34" s="27">
        <v>655.94</v>
      </c>
      <c r="AL34" s="27">
        <v>16</v>
      </c>
      <c r="AM34" s="29">
        <v>45774</v>
      </c>
      <c r="AN34" s="21"/>
      <c r="AO34" s="30">
        <v>0</v>
      </c>
    </row>
    <row r="35" spans="1:41" ht="13.2">
      <c r="A35" s="19" t="s">
        <v>118</v>
      </c>
      <c r="B35" s="19" t="s">
        <v>468</v>
      </c>
      <c r="C35" s="19" t="s">
        <v>132</v>
      </c>
      <c r="D35" s="21" t="s">
        <v>510</v>
      </c>
      <c r="E35" s="44">
        <v>44228</v>
      </c>
      <c r="F35" s="21" t="s">
        <v>509</v>
      </c>
      <c r="G35" s="23">
        <v>27236545</v>
      </c>
      <c r="H35" s="23">
        <v>10500000</v>
      </c>
      <c r="I35" s="23">
        <v>3878092.24</v>
      </c>
      <c r="J35" s="23">
        <v>0</v>
      </c>
      <c r="K35" s="23">
        <v>7415352</v>
      </c>
      <c r="L35" s="24">
        <v>0.36934211809523809</v>
      </c>
      <c r="M35" s="25">
        <v>75</v>
      </c>
      <c r="N35" s="25">
        <v>64</v>
      </c>
      <c r="O35" s="25">
        <v>0</v>
      </c>
      <c r="P35" s="25">
        <v>75</v>
      </c>
      <c r="Q35" s="25">
        <v>11</v>
      </c>
      <c r="R35" s="25">
        <v>39</v>
      </c>
      <c r="S35" s="25">
        <v>0</v>
      </c>
      <c r="T35" s="25">
        <v>0</v>
      </c>
      <c r="U35" s="25">
        <v>27</v>
      </c>
      <c r="V35" s="25">
        <v>36</v>
      </c>
      <c r="W35" s="25">
        <v>61</v>
      </c>
      <c r="X35" s="25">
        <v>0</v>
      </c>
      <c r="Y35" s="25">
        <v>0</v>
      </c>
      <c r="Z35" s="25">
        <v>132</v>
      </c>
      <c r="AA35" s="25">
        <v>229</v>
      </c>
      <c r="AB35" s="25">
        <v>74</v>
      </c>
      <c r="AC35" s="23">
        <v>52406.651891891896</v>
      </c>
      <c r="AD35" s="26">
        <v>1.7837837837837838</v>
      </c>
      <c r="AE35" s="23">
        <v>112500</v>
      </c>
      <c r="AF35" s="23">
        <v>29215</v>
      </c>
      <c r="AG35" s="24">
        <v>3.6542452120736556E-2</v>
      </c>
      <c r="AH35" s="23">
        <v>99438.262564102566</v>
      </c>
      <c r="AI35" s="27">
        <v>61</v>
      </c>
      <c r="AJ35" s="27">
        <v>726</v>
      </c>
      <c r="AK35" s="27">
        <v>3415.88</v>
      </c>
      <c r="AL35" s="27">
        <v>53</v>
      </c>
      <c r="AM35" s="29"/>
      <c r="AN35" s="21"/>
      <c r="AO35" s="30">
        <v>3537259.76</v>
      </c>
    </row>
    <row r="36" spans="1:41" ht="15.6">
      <c r="A36" s="19" t="s">
        <v>201</v>
      </c>
      <c r="B36" s="19" t="s">
        <v>438</v>
      </c>
      <c r="C36" s="20" t="s">
        <v>134</v>
      </c>
      <c r="D36" s="21" t="s">
        <v>511</v>
      </c>
      <c r="E36" s="44">
        <v>44245</v>
      </c>
      <c r="F36" s="21" t="s">
        <v>504</v>
      </c>
      <c r="G36" s="23">
        <v>15003664</v>
      </c>
      <c r="H36" s="23">
        <v>6999999</v>
      </c>
      <c r="I36" s="23">
        <v>3281936.76</v>
      </c>
      <c r="J36" s="23">
        <v>0</v>
      </c>
      <c r="K36" s="23">
        <v>2728072</v>
      </c>
      <c r="L36" s="24">
        <v>0.46884817554973934</v>
      </c>
      <c r="M36" s="25">
        <v>99</v>
      </c>
      <c r="N36" s="25">
        <v>81</v>
      </c>
      <c r="O36" s="25">
        <v>4</v>
      </c>
      <c r="P36" s="25">
        <v>103</v>
      </c>
      <c r="Q36" s="25">
        <v>22</v>
      </c>
      <c r="R36" s="25">
        <v>48</v>
      </c>
      <c r="S36" s="25">
        <v>0</v>
      </c>
      <c r="T36" s="25">
        <v>4</v>
      </c>
      <c r="U36" s="25">
        <v>17</v>
      </c>
      <c r="V36" s="25">
        <v>26</v>
      </c>
      <c r="W36" s="25">
        <v>8</v>
      </c>
      <c r="X36" s="25">
        <v>0</v>
      </c>
      <c r="Y36" s="25">
        <v>0</v>
      </c>
      <c r="Z36" s="25">
        <v>201</v>
      </c>
      <c r="AA36" s="25">
        <v>235</v>
      </c>
      <c r="AB36" s="25">
        <v>68</v>
      </c>
      <c r="AC36" s="23">
        <v>48263.775882352937</v>
      </c>
      <c r="AD36" s="26">
        <v>2.9558823529411766</v>
      </c>
      <c r="AE36" s="23">
        <v>108750</v>
      </c>
      <c r="AF36" s="23">
        <v>31829</v>
      </c>
      <c r="AG36" s="24">
        <v>4.2834158693539244E-2</v>
      </c>
      <c r="AH36" s="23">
        <v>68373.682499999995</v>
      </c>
      <c r="AI36" s="27">
        <v>95</v>
      </c>
      <c r="AJ36" s="27">
        <v>669</v>
      </c>
      <c r="AK36" s="27">
        <v>4522.59</v>
      </c>
      <c r="AL36" s="27">
        <v>56</v>
      </c>
      <c r="AM36" s="29"/>
      <c r="AN36" s="21"/>
      <c r="AO36" s="30">
        <v>-553864.75999999978</v>
      </c>
    </row>
    <row r="37" spans="1:41" ht="15.6">
      <c r="A37" s="19" t="s">
        <v>201</v>
      </c>
      <c r="B37" s="19" t="s">
        <v>431</v>
      </c>
      <c r="C37" s="20" t="s">
        <v>135</v>
      </c>
      <c r="D37" s="21" t="s">
        <v>513</v>
      </c>
      <c r="E37" s="44">
        <v>44247</v>
      </c>
      <c r="F37" s="21" t="s">
        <v>431</v>
      </c>
      <c r="G37" s="23">
        <v>18863938.540000003</v>
      </c>
      <c r="H37" s="23">
        <v>9999999</v>
      </c>
      <c r="I37" s="23">
        <v>6370623.0300000003</v>
      </c>
      <c r="J37" s="23">
        <v>0</v>
      </c>
      <c r="K37" s="23">
        <v>2319789.08</v>
      </c>
      <c r="L37" s="24">
        <v>0.63706236670623673</v>
      </c>
      <c r="M37" s="25">
        <v>74</v>
      </c>
      <c r="N37" s="25">
        <v>42</v>
      </c>
      <c r="O37" s="25">
        <v>17</v>
      </c>
      <c r="P37" s="25">
        <v>91</v>
      </c>
      <c r="Q37" s="25">
        <v>49</v>
      </c>
      <c r="R37" s="25">
        <v>50</v>
      </c>
      <c r="S37" s="25">
        <v>0</v>
      </c>
      <c r="T37" s="25">
        <v>17</v>
      </c>
      <c r="U37" s="25">
        <v>1</v>
      </c>
      <c r="V37" s="25">
        <v>1</v>
      </c>
      <c r="W37" s="25">
        <v>51</v>
      </c>
      <c r="X37" s="25">
        <v>0</v>
      </c>
      <c r="Y37" s="25">
        <v>0</v>
      </c>
      <c r="Z37" s="25">
        <v>178</v>
      </c>
      <c r="AA37" s="25">
        <v>230</v>
      </c>
      <c r="AB37" s="25">
        <v>71</v>
      </c>
      <c r="AC37" s="23">
        <v>89727.084929577468</v>
      </c>
      <c r="AD37" s="26">
        <v>2.507042253521127</v>
      </c>
      <c r="AE37" s="23">
        <v>113751</v>
      </c>
      <c r="AF37" s="23">
        <v>25140</v>
      </c>
      <c r="AG37" s="24">
        <v>2.1801792280903488E-2</v>
      </c>
      <c r="AH37" s="23">
        <v>127412.46060000001</v>
      </c>
      <c r="AI37" s="27">
        <v>174</v>
      </c>
      <c r="AJ37" s="27">
        <v>738</v>
      </c>
      <c r="AK37" s="27">
        <v>3121.96</v>
      </c>
      <c r="AL37" s="27">
        <v>74</v>
      </c>
      <c r="AM37" s="29"/>
      <c r="AN37" s="21"/>
      <c r="AO37" s="30">
        <v>-4050833.95</v>
      </c>
    </row>
    <row r="38" spans="1:41" ht="15.6">
      <c r="A38" s="19" t="s">
        <v>118</v>
      </c>
      <c r="B38" s="19" t="s">
        <v>372</v>
      </c>
      <c r="C38" s="20" t="s">
        <v>138</v>
      </c>
      <c r="D38" s="21" t="s">
        <v>514</v>
      </c>
      <c r="E38" s="44">
        <v>44396</v>
      </c>
      <c r="F38" s="21" t="s">
        <v>447</v>
      </c>
      <c r="G38" s="23">
        <v>0</v>
      </c>
      <c r="H38" s="23">
        <v>7500000</v>
      </c>
      <c r="I38" s="23">
        <v>7253032.9400000004</v>
      </c>
      <c r="J38" s="23">
        <v>0</v>
      </c>
      <c r="K38" s="23">
        <v>10303460</v>
      </c>
      <c r="L38" s="24">
        <v>0.96707105866666676</v>
      </c>
      <c r="M38" s="25">
        <v>242</v>
      </c>
      <c r="N38" s="25">
        <v>114</v>
      </c>
      <c r="O38" s="25">
        <v>3</v>
      </c>
      <c r="P38" s="25">
        <v>245</v>
      </c>
      <c r="Q38" s="25">
        <v>131</v>
      </c>
      <c r="R38" s="25">
        <v>48</v>
      </c>
      <c r="S38" s="25">
        <v>0</v>
      </c>
      <c r="T38" s="25">
        <v>1</v>
      </c>
      <c r="U38" s="25">
        <v>123</v>
      </c>
      <c r="V38" s="25">
        <v>138</v>
      </c>
      <c r="W38" s="25">
        <v>42</v>
      </c>
      <c r="X38" s="25">
        <v>0</v>
      </c>
      <c r="Y38" s="25">
        <v>2</v>
      </c>
      <c r="Z38" s="25">
        <v>223</v>
      </c>
      <c r="AA38" s="25">
        <v>405</v>
      </c>
      <c r="AB38" s="25">
        <v>76</v>
      </c>
      <c r="AC38" s="23">
        <v>95434.64394736843</v>
      </c>
      <c r="AD38" s="26">
        <v>2.9342105263157894</v>
      </c>
      <c r="AE38" s="23">
        <v>135501</v>
      </c>
      <c r="AF38" s="23">
        <v>57939</v>
      </c>
      <c r="AG38" s="24">
        <v>2.6670222181563674E-2</v>
      </c>
      <c r="AH38" s="23">
        <v>151104.85291666668</v>
      </c>
      <c r="AI38" s="27">
        <v>80</v>
      </c>
      <c r="AJ38" s="27">
        <v>776</v>
      </c>
      <c r="AK38" s="27">
        <v>4160.82</v>
      </c>
      <c r="AL38" s="27">
        <v>36</v>
      </c>
      <c r="AM38" s="29"/>
      <c r="AN38" s="21"/>
      <c r="AO38" s="30">
        <v>3050427.0599999996</v>
      </c>
    </row>
    <row r="39" spans="1:41" ht="15.6">
      <c r="A39" s="19" t="s">
        <v>118</v>
      </c>
      <c r="B39" s="19" t="s">
        <v>468</v>
      </c>
      <c r="C39" s="20" t="s">
        <v>140</v>
      </c>
      <c r="D39" s="21" t="s">
        <v>516</v>
      </c>
      <c r="E39" s="44">
        <v>44424</v>
      </c>
      <c r="F39" s="21" t="s">
        <v>515</v>
      </c>
      <c r="G39" s="23">
        <v>58277388</v>
      </c>
      <c r="H39" s="23">
        <v>22250001</v>
      </c>
      <c r="I39" s="23">
        <v>5959699.8399999999</v>
      </c>
      <c r="J39" s="23">
        <v>0</v>
      </c>
      <c r="K39" s="23">
        <v>15140000</v>
      </c>
      <c r="L39" s="24">
        <v>0.26785166616397005</v>
      </c>
      <c r="M39" s="25">
        <v>72</v>
      </c>
      <c r="N39" s="25">
        <v>70</v>
      </c>
      <c r="O39" s="25">
        <v>3</v>
      </c>
      <c r="P39" s="25">
        <v>75</v>
      </c>
      <c r="Q39" s="25">
        <v>5</v>
      </c>
      <c r="R39" s="25">
        <v>31</v>
      </c>
      <c r="S39" s="25">
        <v>0</v>
      </c>
      <c r="T39" s="25">
        <v>2</v>
      </c>
      <c r="U39" s="25">
        <v>11</v>
      </c>
      <c r="V39" s="25">
        <v>15</v>
      </c>
      <c r="W39" s="25">
        <v>48</v>
      </c>
      <c r="X39" s="25">
        <v>0</v>
      </c>
      <c r="Y39" s="25">
        <v>0</v>
      </c>
      <c r="Z39" s="25">
        <v>268</v>
      </c>
      <c r="AA39" s="25">
        <v>331</v>
      </c>
      <c r="AB39" s="25">
        <v>69</v>
      </c>
      <c r="AC39" s="23">
        <v>86372.461449275361</v>
      </c>
      <c r="AD39" s="26">
        <v>3.8840579710144927</v>
      </c>
      <c r="AE39" s="23">
        <v>135240</v>
      </c>
      <c r="AF39" s="23">
        <v>28867</v>
      </c>
      <c r="AG39" s="24">
        <v>2.7536118329073433E-2</v>
      </c>
      <c r="AH39" s="23">
        <v>192248.38193548386</v>
      </c>
      <c r="AI39" s="27">
        <v>47</v>
      </c>
      <c r="AJ39" s="27">
        <v>744</v>
      </c>
      <c r="AK39" s="27">
        <v>3994.27</v>
      </c>
      <c r="AL39" s="27">
        <v>57</v>
      </c>
      <c r="AM39" s="29"/>
      <c r="AN39" s="21"/>
      <c r="AO39" s="30">
        <v>9180300.1600000001</v>
      </c>
    </row>
    <row r="40" spans="1:41" ht="15.6">
      <c r="A40" s="19" t="s">
        <v>124</v>
      </c>
      <c r="B40" s="19" t="s">
        <v>443</v>
      </c>
      <c r="C40" s="20" t="s">
        <v>142</v>
      </c>
      <c r="D40" s="21" t="s">
        <v>518</v>
      </c>
      <c r="E40" s="44">
        <v>44459</v>
      </c>
      <c r="F40" s="21" t="s">
        <v>517</v>
      </c>
      <c r="G40" s="23">
        <v>24878609</v>
      </c>
      <c r="H40" s="23">
        <v>5400000</v>
      </c>
      <c r="I40" s="23">
        <v>3034883.68</v>
      </c>
      <c r="J40" s="23">
        <v>0</v>
      </c>
      <c r="K40" s="23">
        <v>0</v>
      </c>
      <c r="L40" s="24">
        <v>0.43983821449275362</v>
      </c>
      <c r="M40" s="25">
        <v>84</v>
      </c>
      <c r="N40" s="25">
        <v>29</v>
      </c>
      <c r="O40" s="25">
        <v>0</v>
      </c>
      <c r="P40" s="25">
        <v>84</v>
      </c>
      <c r="Q40" s="25">
        <v>55</v>
      </c>
      <c r="R40" s="25">
        <v>26</v>
      </c>
      <c r="S40" s="25">
        <v>0</v>
      </c>
      <c r="T40" s="25">
        <v>0</v>
      </c>
      <c r="U40" s="25">
        <v>6</v>
      </c>
      <c r="V40" s="25">
        <v>6</v>
      </c>
      <c r="W40" s="25">
        <v>57</v>
      </c>
      <c r="X40" s="25">
        <v>0</v>
      </c>
      <c r="Y40" s="25">
        <v>1</v>
      </c>
      <c r="Z40" s="25">
        <v>65</v>
      </c>
      <c r="AA40" s="25">
        <v>129</v>
      </c>
      <c r="AB40" s="25">
        <v>75</v>
      </c>
      <c r="AC40" s="23">
        <v>40465.115733333332</v>
      </c>
      <c r="AD40" s="26">
        <v>0.8666666666666667</v>
      </c>
      <c r="AE40" s="23">
        <v>148755</v>
      </c>
      <c r="AF40" s="23">
        <v>45268</v>
      </c>
      <c r="AG40" s="24">
        <v>6.393095105378141E-2</v>
      </c>
      <c r="AH40" s="23">
        <v>116726.2953846154</v>
      </c>
      <c r="AI40" s="27">
        <v>45</v>
      </c>
      <c r="AJ40" s="27">
        <v>772</v>
      </c>
      <c r="AK40" s="27">
        <v>6789.55</v>
      </c>
      <c r="AL40" s="27">
        <v>234</v>
      </c>
      <c r="AM40" s="29"/>
      <c r="AN40" s="21"/>
      <c r="AO40" s="30">
        <v>-3034883.68</v>
      </c>
    </row>
    <row r="41" spans="1:41" ht="15.6">
      <c r="A41" s="19" t="s">
        <v>118</v>
      </c>
      <c r="B41" s="19" t="s">
        <v>484</v>
      </c>
      <c r="C41" s="20" t="s">
        <v>144</v>
      </c>
      <c r="D41" s="21" t="s">
        <v>520</v>
      </c>
      <c r="E41" s="44">
        <v>44501</v>
      </c>
      <c r="F41" s="21" t="s">
        <v>497</v>
      </c>
      <c r="G41" s="23">
        <v>35253240</v>
      </c>
      <c r="H41" s="23">
        <v>13500000</v>
      </c>
      <c r="I41" s="23">
        <v>11077051.789999999</v>
      </c>
      <c r="J41" s="23">
        <v>0</v>
      </c>
      <c r="K41" s="23">
        <v>11052460</v>
      </c>
      <c r="L41" s="24">
        <v>0.82052235481481473</v>
      </c>
      <c r="M41" s="25">
        <v>101</v>
      </c>
      <c r="N41" s="25">
        <v>88</v>
      </c>
      <c r="O41" s="25">
        <v>3</v>
      </c>
      <c r="P41" s="25">
        <v>104</v>
      </c>
      <c r="Q41" s="25">
        <v>16</v>
      </c>
      <c r="R41" s="25">
        <v>36</v>
      </c>
      <c r="S41" s="25">
        <v>0</v>
      </c>
      <c r="T41" s="25">
        <v>3</v>
      </c>
      <c r="U41" s="25">
        <v>4</v>
      </c>
      <c r="V41" s="25">
        <v>6</v>
      </c>
      <c r="W41" s="25">
        <v>1</v>
      </c>
      <c r="X41" s="25">
        <v>0</v>
      </c>
      <c r="Y41" s="25">
        <v>0</v>
      </c>
      <c r="Z41" s="25">
        <v>527</v>
      </c>
      <c r="AA41" s="25">
        <v>534</v>
      </c>
      <c r="AB41" s="25">
        <v>76</v>
      </c>
      <c r="AC41" s="23">
        <v>145750.68144736841</v>
      </c>
      <c r="AD41" s="26">
        <v>6.9342105263157894</v>
      </c>
      <c r="AE41" s="23">
        <v>144660</v>
      </c>
      <c r="AF41" s="23">
        <v>60750</v>
      </c>
      <c r="AG41" s="24">
        <v>1.8543742856329103E-2</v>
      </c>
      <c r="AH41" s="23">
        <v>307695.88305555552</v>
      </c>
      <c r="AI41" s="27">
        <v>68</v>
      </c>
      <c r="AJ41" s="27">
        <v>763</v>
      </c>
      <c r="AK41" s="27">
        <v>3519.25</v>
      </c>
      <c r="AL41" s="27">
        <v>40</v>
      </c>
      <c r="AM41" s="29"/>
      <c r="AN41" s="21"/>
      <c r="AO41" s="30">
        <v>-24591.789999999106</v>
      </c>
    </row>
    <row r="42" spans="1:41" ht="13.2">
      <c r="A42" s="19" t="s">
        <v>201</v>
      </c>
      <c r="B42" s="19" t="s">
        <v>443</v>
      </c>
      <c r="C42" s="19" t="s">
        <v>145</v>
      </c>
      <c r="D42" s="21" t="s">
        <v>521</v>
      </c>
      <c r="E42" s="44">
        <v>44501</v>
      </c>
      <c r="F42" s="21" t="s">
        <v>517</v>
      </c>
      <c r="G42" s="23">
        <v>6088405.5</v>
      </c>
      <c r="H42" s="23">
        <v>5280000</v>
      </c>
      <c r="I42" s="23">
        <v>1980099.93</v>
      </c>
      <c r="J42" s="23">
        <v>0</v>
      </c>
      <c r="K42" s="23">
        <v>1614757</v>
      </c>
      <c r="L42" s="24">
        <v>0.37501892613636362</v>
      </c>
      <c r="M42" s="25">
        <v>73</v>
      </c>
      <c r="N42" s="25">
        <v>61</v>
      </c>
      <c r="O42" s="25">
        <v>2</v>
      </c>
      <c r="P42" s="25">
        <v>75</v>
      </c>
      <c r="Q42" s="25">
        <v>14</v>
      </c>
      <c r="R42" s="25">
        <v>31</v>
      </c>
      <c r="S42" s="25">
        <v>0</v>
      </c>
      <c r="T42" s="25">
        <v>2</v>
      </c>
      <c r="U42" s="25">
        <v>43</v>
      </c>
      <c r="V42" s="25">
        <v>54</v>
      </c>
      <c r="W42" s="25">
        <v>0</v>
      </c>
      <c r="X42" s="25">
        <v>0</v>
      </c>
      <c r="Y42" s="25">
        <v>0</v>
      </c>
      <c r="Z42" s="25">
        <v>229</v>
      </c>
      <c r="AA42" s="25">
        <v>283</v>
      </c>
      <c r="AB42" s="25">
        <v>74</v>
      </c>
      <c r="AC42" s="23">
        <v>26758.10716216216</v>
      </c>
      <c r="AD42" s="26">
        <v>3.0945945945945947</v>
      </c>
      <c r="AE42" s="23">
        <v>77505</v>
      </c>
      <c r="AF42" s="23">
        <v>18476</v>
      </c>
      <c r="AG42" s="24">
        <v>4.8472806117416507E-2</v>
      </c>
      <c r="AH42" s="23">
        <v>63874.191290322582</v>
      </c>
      <c r="AI42" s="27">
        <v>89</v>
      </c>
      <c r="AJ42" s="27">
        <v>878</v>
      </c>
      <c r="AK42" s="27">
        <v>11916.25</v>
      </c>
      <c r="AL42" s="27">
        <v>195</v>
      </c>
      <c r="AM42" s="29"/>
      <c r="AN42" s="21"/>
      <c r="AO42" s="30">
        <v>-365342.92999999993</v>
      </c>
    </row>
    <row r="43" spans="1:41" ht="15.6">
      <c r="A43" s="19" t="s">
        <v>118</v>
      </c>
      <c r="B43" s="19" t="s">
        <v>436</v>
      </c>
      <c r="C43" s="20" t="s">
        <v>146</v>
      </c>
      <c r="D43" s="21" t="s">
        <v>522</v>
      </c>
      <c r="E43" s="44">
        <v>44508</v>
      </c>
      <c r="F43" s="21" t="s">
        <v>499</v>
      </c>
      <c r="G43" s="23">
        <v>3914074</v>
      </c>
      <c r="H43" s="23">
        <v>0</v>
      </c>
      <c r="I43" s="23">
        <v>44994.400000000001</v>
      </c>
      <c r="J43" s="23">
        <v>0</v>
      </c>
      <c r="K43" s="23">
        <v>0</v>
      </c>
      <c r="L43" s="24"/>
      <c r="M43" s="25">
        <v>95</v>
      </c>
      <c r="N43" s="25">
        <v>40</v>
      </c>
      <c r="O43" s="25">
        <v>0</v>
      </c>
      <c r="P43" s="25">
        <v>95</v>
      </c>
      <c r="Q43" s="25">
        <v>55</v>
      </c>
      <c r="R43" s="25">
        <v>7</v>
      </c>
      <c r="S43" s="25">
        <v>0</v>
      </c>
      <c r="T43" s="25">
        <v>0</v>
      </c>
      <c r="U43" s="25">
        <v>14</v>
      </c>
      <c r="V43" s="25">
        <v>14</v>
      </c>
      <c r="W43" s="25">
        <v>1</v>
      </c>
      <c r="X43" s="25">
        <v>0</v>
      </c>
      <c r="Y43" s="25">
        <v>0</v>
      </c>
      <c r="Z43" s="25">
        <v>47</v>
      </c>
      <c r="AA43" s="25">
        <v>62</v>
      </c>
      <c r="AB43" s="25">
        <v>10</v>
      </c>
      <c r="AC43" s="23">
        <v>4499.4400000000005</v>
      </c>
      <c r="AD43" s="26">
        <v>4.7</v>
      </c>
      <c r="AE43" s="23">
        <v>8666.8000000000011</v>
      </c>
      <c r="AF43" s="23">
        <v>6357</v>
      </c>
      <c r="AG43" s="24">
        <v>0.3339037746919617</v>
      </c>
      <c r="AH43" s="23">
        <v>6427.7714285714292</v>
      </c>
      <c r="AI43" s="27">
        <v>7</v>
      </c>
      <c r="AJ43" s="27">
        <v>126</v>
      </c>
      <c r="AK43" s="27">
        <v>987.37</v>
      </c>
      <c r="AL43" s="27">
        <v>25</v>
      </c>
      <c r="AM43" s="29">
        <v>45759</v>
      </c>
      <c r="AN43" s="21"/>
      <c r="AO43" s="30">
        <v>-44994.400000000001</v>
      </c>
    </row>
    <row r="44" spans="1:41" ht="15.6">
      <c r="A44" s="19" t="s">
        <v>201</v>
      </c>
      <c r="B44" s="19" t="s">
        <v>431</v>
      </c>
      <c r="C44" s="20" t="s">
        <v>147</v>
      </c>
      <c r="D44" s="21" t="s">
        <v>523</v>
      </c>
      <c r="E44" s="44">
        <v>44511</v>
      </c>
      <c r="F44" s="21" t="s">
        <v>431</v>
      </c>
      <c r="G44" s="23">
        <v>14942928.359999999</v>
      </c>
      <c r="H44" s="23">
        <v>6500001</v>
      </c>
      <c r="I44" s="23">
        <v>4402161.7</v>
      </c>
      <c r="J44" s="23">
        <v>543914.39</v>
      </c>
      <c r="K44" s="23">
        <v>2342560</v>
      </c>
      <c r="L44" s="24">
        <v>0.83831783926816283</v>
      </c>
      <c r="M44" s="25">
        <v>74</v>
      </c>
      <c r="N44" s="25">
        <v>60</v>
      </c>
      <c r="O44" s="25">
        <v>3</v>
      </c>
      <c r="P44" s="25">
        <v>77</v>
      </c>
      <c r="Q44" s="25">
        <v>17</v>
      </c>
      <c r="R44" s="25">
        <v>43</v>
      </c>
      <c r="S44" s="25">
        <v>1</v>
      </c>
      <c r="T44" s="25">
        <v>3</v>
      </c>
      <c r="U44" s="25">
        <v>7</v>
      </c>
      <c r="V44" s="25">
        <v>11</v>
      </c>
      <c r="W44" s="25">
        <v>17</v>
      </c>
      <c r="X44" s="25">
        <v>8</v>
      </c>
      <c r="Y44" s="25">
        <v>5</v>
      </c>
      <c r="Z44" s="25">
        <v>208</v>
      </c>
      <c r="AA44" s="25">
        <v>249</v>
      </c>
      <c r="AB44" s="25">
        <v>74</v>
      </c>
      <c r="AC44" s="23">
        <v>66838.866081081083</v>
      </c>
      <c r="AD44" s="26">
        <v>2.810810810810811</v>
      </c>
      <c r="AE44" s="23">
        <v>120255</v>
      </c>
      <c r="AF44" s="23">
        <v>21356</v>
      </c>
      <c r="AG44" s="24">
        <v>2.8630978865511147E-2</v>
      </c>
      <c r="AH44" s="23">
        <v>102375.8534883721</v>
      </c>
      <c r="AI44" s="27">
        <v>84</v>
      </c>
      <c r="AJ44" s="27">
        <v>513</v>
      </c>
      <c r="AK44" s="27">
        <v>3666.23</v>
      </c>
      <c r="AL44" s="27">
        <v>61</v>
      </c>
      <c r="AM44" s="29"/>
      <c r="AN44" s="21"/>
      <c r="AO44" s="30">
        <v>-2603516.09</v>
      </c>
    </row>
    <row r="45" spans="1:41" ht="15.6">
      <c r="A45" s="19" t="s">
        <v>124</v>
      </c>
      <c r="B45" s="19" t="s">
        <v>443</v>
      </c>
      <c r="C45" s="20" t="s">
        <v>149</v>
      </c>
      <c r="D45" s="21" t="s">
        <v>524</v>
      </c>
      <c r="E45" s="44">
        <v>44635</v>
      </c>
      <c r="F45" s="21" t="s">
        <v>517</v>
      </c>
      <c r="G45" s="23">
        <v>13608518</v>
      </c>
      <c r="H45" s="23">
        <v>0</v>
      </c>
      <c r="I45" s="23">
        <v>0</v>
      </c>
      <c r="J45" s="23">
        <v>0</v>
      </c>
      <c r="K45" s="23">
        <v>0</v>
      </c>
      <c r="L45" s="24"/>
      <c r="M45" s="25">
        <v>116</v>
      </c>
      <c r="N45" s="25">
        <v>6</v>
      </c>
      <c r="O45" s="25">
        <v>1</v>
      </c>
      <c r="P45" s="25">
        <v>117</v>
      </c>
      <c r="Q45" s="25">
        <v>111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9</v>
      </c>
      <c r="AA45" s="25">
        <v>9</v>
      </c>
      <c r="AB45" s="25">
        <v>3</v>
      </c>
      <c r="AC45" s="23">
        <v>0</v>
      </c>
      <c r="AD45" s="26">
        <v>3</v>
      </c>
      <c r="AE45" s="23">
        <v>8740</v>
      </c>
      <c r="AF45" s="23"/>
      <c r="AG45" s="24"/>
      <c r="AH45" s="23"/>
      <c r="AI45" s="27">
        <v>0</v>
      </c>
      <c r="AJ45" s="27">
        <v>24</v>
      </c>
      <c r="AK45" s="27">
        <v>24.37</v>
      </c>
      <c r="AL45" s="27">
        <v>4</v>
      </c>
      <c r="AM45" s="29">
        <v>45754</v>
      </c>
      <c r="AN45" s="21"/>
      <c r="AO45" s="30">
        <v>0</v>
      </c>
    </row>
    <row r="46" spans="1:41" ht="15.6">
      <c r="A46" s="19" t="s">
        <v>201</v>
      </c>
      <c r="B46" s="19" t="s">
        <v>469</v>
      </c>
      <c r="C46" s="20" t="s">
        <v>150</v>
      </c>
      <c r="D46" s="21" t="s">
        <v>525</v>
      </c>
      <c r="E46" s="44">
        <v>44662</v>
      </c>
      <c r="F46" s="21" t="s">
        <v>470</v>
      </c>
      <c r="G46" s="23">
        <v>6008130</v>
      </c>
      <c r="H46" s="23">
        <v>5199999</v>
      </c>
      <c r="I46" s="23">
        <v>1638062.73</v>
      </c>
      <c r="J46" s="23">
        <v>0</v>
      </c>
      <c r="K46" s="23">
        <v>2140993</v>
      </c>
      <c r="L46" s="24">
        <v>0.3150121240407931</v>
      </c>
      <c r="M46" s="25">
        <v>37</v>
      </c>
      <c r="N46" s="25">
        <v>23</v>
      </c>
      <c r="O46" s="25">
        <v>0</v>
      </c>
      <c r="P46" s="25">
        <v>37</v>
      </c>
      <c r="Q46" s="25">
        <v>14</v>
      </c>
      <c r="R46" s="25">
        <v>18</v>
      </c>
      <c r="S46" s="25">
        <v>0</v>
      </c>
      <c r="T46" s="25">
        <v>0</v>
      </c>
      <c r="U46" s="25">
        <v>72</v>
      </c>
      <c r="V46" s="25">
        <v>92</v>
      </c>
      <c r="W46" s="25">
        <v>0</v>
      </c>
      <c r="X46" s="25">
        <v>2</v>
      </c>
      <c r="Y46" s="25">
        <v>13</v>
      </c>
      <c r="Z46" s="25">
        <v>105</v>
      </c>
      <c r="AA46" s="25">
        <v>212</v>
      </c>
      <c r="AB46" s="25">
        <v>50</v>
      </c>
      <c r="AC46" s="23">
        <v>32761.2546</v>
      </c>
      <c r="AD46" s="26">
        <v>2.1</v>
      </c>
      <c r="AE46" s="23">
        <v>139155</v>
      </c>
      <c r="AF46" s="23">
        <v>0</v>
      </c>
      <c r="AG46" s="24">
        <v>8.4950959112536556E-2</v>
      </c>
      <c r="AH46" s="23">
        <v>91003.485000000001</v>
      </c>
      <c r="AI46" s="27">
        <v>26</v>
      </c>
      <c r="AJ46" s="27">
        <v>337</v>
      </c>
      <c r="AK46" s="27">
        <v>2219.17</v>
      </c>
      <c r="AL46" s="27">
        <v>96</v>
      </c>
      <c r="AM46" s="29"/>
      <c r="AN46" s="21"/>
      <c r="AO46" s="30">
        <v>502930.27</v>
      </c>
    </row>
    <row r="47" spans="1:41" ht="15.6">
      <c r="A47" s="19" t="s">
        <v>136</v>
      </c>
      <c r="B47" s="19" t="s">
        <v>653</v>
      </c>
      <c r="C47" s="20" t="s">
        <v>152</v>
      </c>
      <c r="D47" s="21" t="s">
        <v>526</v>
      </c>
      <c r="E47" s="44">
        <v>44684</v>
      </c>
      <c r="F47" s="21" t="s">
        <v>421</v>
      </c>
      <c r="G47" s="23">
        <v>12210958</v>
      </c>
      <c r="H47" s="23">
        <v>6999999</v>
      </c>
      <c r="I47" s="23">
        <v>2348715.42</v>
      </c>
      <c r="J47" s="23">
        <v>0</v>
      </c>
      <c r="K47" s="23">
        <v>1001185</v>
      </c>
      <c r="L47" s="24">
        <v>0.33553082221868885</v>
      </c>
      <c r="M47" s="25">
        <v>31</v>
      </c>
      <c r="N47" s="25">
        <v>26</v>
      </c>
      <c r="O47" s="25">
        <v>1</v>
      </c>
      <c r="P47" s="25">
        <v>32</v>
      </c>
      <c r="Q47" s="25">
        <v>6</v>
      </c>
      <c r="R47" s="25">
        <v>14</v>
      </c>
      <c r="S47" s="25">
        <v>0</v>
      </c>
      <c r="T47" s="25">
        <v>1</v>
      </c>
      <c r="U47" s="25">
        <v>6</v>
      </c>
      <c r="V47" s="25">
        <v>6</v>
      </c>
      <c r="W47" s="25">
        <v>15</v>
      </c>
      <c r="X47" s="25">
        <v>0</v>
      </c>
      <c r="Y47" s="25">
        <v>0</v>
      </c>
      <c r="Z47" s="25">
        <v>76</v>
      </c>
      <c r="AA47" s="25">
        <v>97</v>
      </c>
      <c r="AB47" s="25">
        <v>73</v>
      </c>
      <c r="AC47" s="23">
        <v>32174.183835616437</v>
      </c>
      <c r="AD47" s="26">
        <v>1.0410958904109588</v>
      </c>
      <c r="AE47" s="23">
        <v>113505</v>
      </c>
      <c r="AF47" s="23">
        <v>9175</v>
      </c>
      <c r="AG47" s="24">
        <v>5.2232807327505008E-2</v>
      </c>
      <c r="AH47" s="23">
        <v>167765.38714285713</v>
      </c>
      <c r="AI47" s="27">
        <v>26</v>
      </c>
      <c r="AJ47" s="27">
        <v>21</v>
      </c>
      <c r="AK47" s="27">
        <v>81.78</v>
      </c>
      <c r="AL47" s="27">
        <v>20</v>
      </c>
      <c r="AM47" s="29"/>
      <c r="AN47" s="21"/>
      <c r="AO47" s="30">
        <v>-1347530.42</v>
      </c>
    </row>
    <row r="48" spans="1:41" ht="15.6">
      <c r="A48" s="19" t="s">
        <v>108</v>
      </c>
      <c r="B48" s="19" t="s">
        <v>465</v>
      </c>
      <c r="C48" s="20" t="s">
        <v>156</v>
      </c>
      <c r="D48" s="21" t="s">
        <v>461</v>
      </c>
      <c r="E48" s="44">
        <v>44693</v>
      </c>
      <c r="F48" s="21" t="s">
        <v>506</v>
      </c>
      <c r="G48" s="23">
        <v>8046618</v>
      </c>
      <c r="H48" s="23">
        <v>3840000</v>
      </c>
      <c r="I48" s="23">
        <v>2711761.57</v>
      </c>
      <c r="J48" s="23">
        <v>0</v>
      </c>
      <c r="K48" s="23">
        <v>2756926</v>
      </c>
      <c r="L48" s="24">
        <v>0.7061879088541666</v>
      </c>
      <c r="M48" s="25">
        <v>67</v>
      </c>
      <c r="N48" s="25">
        <v>57</v>
      </c>
      <c r="O48" s="25">
        <v>0</v>
      </c>
      <c r="P48" s="25">
        <v>67</v>
      </c>
      <c r="Q48" s="25">
        <v>10</v>
      </c>
      <c r="R48" s="25">
        <v>29</v>
      </c>
      <c r="S48" s="25">
        <v>0</v>
      </c>
      <c r="T48" s="25">
        <v>0</v>
      </c>
      <c r="U48" s="25">
        <v>4</v>
      </c>
      <c r="V48" s="25">
        <v>5</v>
      </c>
      <c r="W48" s="25">
        <v>2</v>
      </c>
      <c r="X48" s="25">
        <v>0</v>
      </c>
      <c r="Y48" s="25">
        <v>0</v>
      </c>
      <c r="Z48" s="25">
        <v>342</v>
      </c>
      <c r="AA48" s="25">
        <v>349</v>
      </c>
      <c r="AB48" s="25">
        <v>68</v>
      </c>
      <c r="AC48" s="23">
        <v>39878.846617647054</v>
      </c>
      <c r="AD48" s="26">
        <v>5.0294117647058822</v>
      </c>
      <c r="AE48" s="23">
        <v>89700</v>
      </c>
      <c r="AF48" s="23">
        <v>19340</v>
      </c>
      <c r="AG48" s="24">
        <v>4.021002480686383E-2</v>
      </c>
      <c r="AH48" s="23">
        <v>93509.019655172408</v>
      </c>
      <c r="AI48" s="27">
        <v>49</v>
      </c>
      <c r="AJ48" s="27">
        <v>580</v>
      </c>
      <c r="AK48" s="27">
        <v>2605.48</v>
      </c>
      <c r="AL48" s="27">
        <v>46</v>
      </c>
      <c r="AM48" s="29"/>
      <c r="AN48" s="21"/>
      <c r="AO48" s="30">
        <v>45164.430000000168</v>
      </c>
    </row>
    <row r="49" spans="1:41" ht="15.6">
      <c r="A49" s="19" t="s">
        <v>124</v>
      </c>
      <c r="B49" s="19" t="s">
        <v>443</v>
      </c>
      <c r="C49" s="20" t="s">
        <v>153</v>
      </c>
      <c r="D49" s="21" t="s">
        <v>527</v>
      </c>
      <c r="E49" s="44">
        <v>44697</v>
      </c>
      <c r="F49" s="21" t="s">
        <v>517</v>
      </c>
      <c r="G49" s="23">
        <v>8307773</v>
      </c>
      <c r="H49" s="23">
        <v>3600000</v>
      </c>
      <c r="I49" s="23">
        <v>1401253.2</v>
      </c>
      <c r="J49" s="23">
        <v>0</v>
      </c>
      <c r="K49" s="23">
        <v>1463070</v>
      </c>
      <c r="L49" s="24">
        <v>0.389237</v>
      </c>
      <c r="M49" s="25">
        <v>75</v>
      </c>
      <c r="N49" s="25">
        <v>50</v>
      </c>
      <c r="O49" s="25">
        <v>1</v>
      </c>
      <c r="P49" s="25">
        <v>76</v>
      </c>
      <c r="Q49" s="25">
        <v>26</v>
      </c>
      <c r="R49" s="25">
        <v>24</v>
      </c>
      <c r="S49" s="25">
        <v>0</v>
      </c>
      <c r="T49" s="25">
        <v>1</v>
      </c>
      <c r="U49" s="25">
        <v>33</v>
      </c>
      <c r="V49" s="25">
        <v>39</v>
      </c>
      <c r="W49" s="25">
        <v>0</v>
      </c>
      <c r="X49" s="25">
        <v>0</v>
      </c>
      <c r="Y49" s="25">
        <v>0</v>
      </c>
      <c r="Z49" s="25">
        <v>278</v>
      </c>
      <c r="AA49" s="25">
        <v>317</v>
      </c>
      <c r="AB49" s="25">
        <v>74</v>
      </c>
      <c r="AC49" s="23">
        <v>18935.854054054053</v>
      </c>
      <c r="AD49" s="26">
        <v>3.7567567567567566</v>
      </c>
      <c r="AE49" s="23">
        <v>102000</v>
      </c>
      <c r="AF49" s="23">
        <v>24258</v>
      </c>
      <c r="AG49" s="24">
        <v>9.0103630093404968E-2</v>
      </c>
      <c r="AH49" s="23">
        <v>58385.549999999996</v>
      </c>
      <c r="AI49" s="27">
        <v>62</v>
      </c>
      <c r="AJ49" s="27">
        <v>604</v>
      </c>
      <c r="AK49" s="27">
        <v>5001.8999999999996</v>
      </c>
      <c r="AL49" s="27">
        <v>100</v>
      </c>
      <c r="AM49" s="29"/>
      <c r="AN49" s="21"/>
      <c r="AO49" s="30">
        <v>61816.800000000047</v>
      </c>
    </row>
    <row r="50" spans="1:41" ht="15.6">
      <c r="A50" s="19" t="s">
        <v>118</v>
      </c>
      <c r="B50" s="19" t="s">
        <v>375</v>
      </c>
      <c r="C50" s="20" t="s">
        <v>157</v>
      </c>
      <c r="D50" s="21" t="s">
        <v>502</v>
      </c>
      <c r="E50" s="44">
        <v>44743</v>
      </c>
      <c r="F50" s="21" t="s">
        <v>473</v>
      </c>
      <c r="G50" s="23">
        <v>4730158</v>
      </c>
      <c r="H50" s="23">
        <v>3600000</v>
      </c>
      <c r="I50" s="23">
        <v>1121516.1100000001</v>
      </c>
      <c r="J50" s="23">
        <v>0</v>
      </c>
      <c r="K50" s="23">
        <v>97310</v>
      </c>
      <c r="L50" s="24">
        <v>0.3115322527777778</v>
      </c>
      <c r="M50" s="25">
        <v>73</v>
      </c>
      <c r="N50" s="25">
        <v>68</v>
      </c>
      <c r="O50" s="25">
        <v>2</v>
      </c>
      <c r="P50" s="25">
        <v>75</v>
      </c>
      <c r="Q50" s="25">
        <v>7</v>
      </c>
      <c r="R50" s="25">
        <v>33</v>
      </c>
      <c r="S50" s="25">
        <v>0</v>
      </c>
      <c r="T50" s="25">
        <v>2</v>
      </c>
      <c r="U50" s="25">
        <v>7</v>
      </c>
      <c r="V50" s="25">
        <v>9</v>
      </c>
      <c r="W50" s="25">
        <v>7</v>
      </c>
      <c r="X50" s="25">
        <v>0</v>
      </c>
      <c r="Y50" s="25">
        <v>0</v>
      </c>
      <c r="Z50" s="25">
        <v>279</v>
      </c>
      <c r="AA50" s="25">
        <v>295</v>
      </c>
      <c r="AB50" s="25">
        <v>75</v>
      </c>
      <c r="AC50" s="23">
        <v>14953.548133333335</v>
      </c>
      <c r="AD50" s="26">
        <v>3.72</v>
      </c>
      <c r="AE50" s="23">
        <v>69720</v>
      </c>
      <c r="AF50" s="23">
        <v>9982</v>
      </c>
      <c r="AG50" s="24">
        <v>7.1066299707455829E-2</v>
      </c>
      <c r="AH50" s="23">
        <v>33985.33666666667</v>
      </c>
      <c r="AI50" s="27">
        <v>69</v>
      </c>
      <c r="AJ50" s="27">
        <v>792</v>
      </c>
      <c r="AK50" s="27">
        <v>4811.1099999999997</v>
      </c>
      <c r="AL50" s="27">
        <v>71</v>
      </c>
      <c r="AM50" s="29"/>
      <c r="AN50" s="21"/>
      <c r="AO50" s="30">
        <v>-1024206.1100000001</v>
      </c>
    </row>
    <row r="51" spans="1:41" ht="15.6">
      <c r="A51" s="19" t="s">
        <v>201</v>
      </c>
      <c r="B51" s="19" t="s">
        <v>469</v>
      </c>
      <c r="C51" s="20" t="s">
        <v>159</v>
      </c>
      <c r="D51" s="21" t="s">
        <v>528</v>
      </c>
      <c r="E51" s="44">
        <v>44805</v>
      </c>
      <c r="F51" s="21" t="s">
        <v>470</v>
      </c>
      <c r="G51" s="23">
        <v>3178281</v>
      </c>
      <c r="H51" s="23">
        <v>5000001</v>
      </c>
      <c r="I51" s="23">
        <v>670340.44999999995</v>
      </c>
      <c r="J51" s="23">
        <v>461289.61</v>
      </c>
      <c r="K51" s="23">
        <v>540368</v>
      </c>
      <c r="L51" s="24">
        <v>0.22632596673480668</v>
      </c>
      <c r="M51" s="25">
        <v>77</v>
      </c>
      <c r="N51" s="25">
        <v>62</v>
      </c>
      <c r="O51" s="25">
        <v>0</v>
      </c>
      <c r="P51" s="25">
        <v>77</v>
      </c>
      <c r="Q51" s="25">
        <v>15</v>
      </c>
      <c r="R51" s="25">
        <v>27</v>
      </c>
      <c r="S51" s="25">
        <v>1</v>
      </c>
      <c r="T51" s="25">
        <v>0</v>
      </c>
      <c r="U51" s="25">
        <v>61</v>
      </c>
      <c r="V51" s="25">
        <v>73</v>
      </c>
      <c r="W51" s="25">
        <v>17</v>
      </c>
      <c r="X51" s="25">
        <v>9</v>
      </c>
      <c r="Y51" s="25">
        <v>0</v>
      </c>
      <c r="Z51" s="25">
        <v>189</v>
      </c>
      <c r="AA51" s="25">
        <v>288</v>
      </c>
      <c r="AB51" s="25">
        <v>71</v>
      </c>
      <c r="AC51" s="23">
        <v>15938.451549295776</v>
      </c>
      <c r="AD51" s="26">
        <v>2.6619718309859155</v>
      </c>
      <c r="AE51" s="23">
        <v>109005</v>
      </c>
      <c r="AF51" s="23">
        <v>23675</v>
      </c>
      <c r="AG51" s="24">
        <v>0.11724679706723237</v>
      </c>
      <c r="AH51" s="23">
        <v>24827.424074074072</v>
      </c>
      <c r="AI51" s="27">
        <v>48</v>
      </c>
      <c r="AJ51" s="27">
        <v>579</v>
      </c>
      <c r="AK51" s="27">
        <v>2865.62</v>
      </c>
      <c r="AL51" s="27">
        <v>46</v>
      </c>
      <c r="AM51" s="29"/>
      <c r="AN51" s="21"/>
      <c r="AO51" s="30">
        <v>-591262.06000000006</v>
      </c>
    </row>
    <row r="52" spans="1:41" ht="15.6">
      <c r="A52" s="19" t="s">
        <v>120</v>
      </c>
      <c r="B52" s="19" t="s">
        <v>206</v>
      </c>
      <c r="C52" s="20" t="s">
        <v>139</v>
      </c>
      <c r="D52" s="21" t="s">
        <v>141</v>
      </c>
      <c r="E52" s="44">
        <v>44809</v>
      </c>
      <c r="F52" s="21" t="s">
        <v>206</v>
      </c>
      <c r="G52" s="23">
        <v>21927090</v>
      </c>
      <c r="H52" s="23">
        <v>5400000</v>
      </c>
      <c r="I52" s="23">
        <v>5096544.6100000003</v>
      </c>
      <c r="J52" s="23">
        <v>0</v>
      </c>
      <c r="K52" s="23">
        <v>5423666</v>
      </c>
      <c r="L52" s="24">
        <v>0.94380455740740743</v>
      </c>
      <c r="M52" s="25">
        <v>94</v>
      </c>
      <c r="N52" s="25">
        <v>87</v>
      </c>
      <c r="O52" s="25">
        <v>5</v>
      </c>
      <c r="P52" s="25">
        <v>99</v>
      </c>
      <c r="Q52" s="25">
        <v>12</v>
      </c>
      <c r="R52" s="25">
        <v>69</v>
      </c>
      <c r="S52" s="25">
        <v>0</v>
      </c>
      <c r="T52" s="25">
        <v>5</v>
      </c>
      <c r="U52" s="25">
        <v>22</v>
      </c>
      <c r="V52" s="25">
        <v>31</v>
      </c>
      <c r="W52" s="25">
        <v>58</v>
      </c>
      <c r="X52" s="25">
        <v>0</v>
      </c>
      <c r="Y52" s="25">
        <v>3</v>
      </c>
      <c r="Z52" s="25">
        <v>335</v>
      </c>
      <c r="AA52" s="25">
        <v>427</v>
      </c>
      <c r="AB52" s="25">
        <v>71</v>
      </c>
      <c r="AC52" s="23">
        <v>71782.318450704232</v>
      </c>
      <c r="AD52" s="26">
        <v>4.71830985915493</v>
      </c>
      <c r="AE52" s="23">
        <v>98730</v>
      </c>
      <c r="AF52" s="23">
        <v>23894</v>
      </c>
      <c r="AG52" s="24">
        <v>2.4060223030207124E-2</v>
      </c>
      <c r="AH52" s="23">
        <v>73862.96536231885</v>
      </c>
      <c r="AI52" s="27">
        <v>233</v>
      </c>
      <c r="AJ52" s="27">
        <v>668</v>
      </c>
      <c r="AK52" s="27">
        <v>2918.18</v>
      </c>
      <c r="AL52" s="27">
        <v>34</v>
      </c>
      <c r="AM52" s="29"/>
      <c r="AN52" s="21"/>
      <c r="AO52" s="30">
        <v>327121.38999999966</v>
      </c>
    </row>
    <row r="53" spans="1:41" ht="13.2">
      <c r="A53" s="19" t="s">
        <v>124</v>
      </c>
      <c r="B53" s="19" t="s">
        <v>443</v>
      </c>
      <c r="C53" s="19" t="s">
        <v>162</v>
      </c>
      <c r="D53" s="21" t="s">
        <v>503</v>
      </c>
      <c r="E53" s="44">
        <v>44825</v>
      </c>
      <c r="F53" s="21" t="s">
        <v>517</v>
      </c>
      <c r="G53" s="23">
        <v>11046346</v>
      </c>
      <c r="H53" s="23">
        <v>5400000</v>
      </c>
      <c r="I53" s="23">
        <v>2506694.86</v>
      </c>
      <c r="J53" s="23">
        <v>0</v>
      </c>
      <c r="K53" s="23">
        <v>2562000</v>
      </c>
      <c r="L53" s="24">
        <v>0.46420275185185184</v>
      </c>
      <c r="M53" s="25">
        <v>91</v>
      </c>
      <c r="N53" s="25">
        <v>82</v>
      </c>
      <c r="O53" s="25">
        <v>1</v>
      </c>
      <c r="P53" s="25">
        <v>92</v>
      </c>
      <c r="Q53" s="25">
        <v>10</v>
      </c>
      <c r="R53" s="25">
        <v>39</v>
      </c>
      <c r="S53" s="25">
        <v>0</v>
      </c>
      <c r="T53" s="25">
        <v>1</v>
      </c>
      <c r="U53" s="25">
        <v>17</v>
      </c>
      <c r="V53" s="25">
        <v>28</v>
      </c>
      <c r="W53" s="25">
        <v>28</v>
      </c>
      <c r="X53" s="25">
        <v>0</v>
      </c>
      <c r="Y53" s="25">
        <v>0</v>
      </c>
      <c r="Z53" s="25">
        <v>374</v>
      </c>
      <c r="AA53" s="25">
        <v>430</v>
      </c>
      <c r="AB53" s="25">
        <v>75</v>
      </c>
      <c r="AC53" s="23">
        <v>33422.598133333333</v>
      </c>
      <c r="AD53" s="26">
        <v>4.9866666666666664</v>
      </c>
      <c r="AE53" s="23">
        <v>125001</v>
      </c>
      <c r="AF53" s="23">
        <v>30319</v>
      </c>
      <c r="AG53" s="24">
        <v>6.1962069048962745E-2</v>
      </c>
      <c r="AH53" s="23">
        <v>64274.227179487178</v>
      </c>
      <c r="AI53" s="27">
        <v>87</v>
      </c>
      <c r="AJ53" s="27">
        <v>644</v>
      </c>
      <c r="AK53" s="27">
        <v>4508.3</v>
      </c>
      <c r="AL53" s="27">
        <v>55</v>
      </c>
      <c r="AM53" s="29"/>
      <c r="AN53" s="21"/>
      <c r="AO53" s="30">
        <v>55305.14000000013</v>
      </c>
    </row>
    <row r="54" spans="1:41" ht="15.6">
      <c r="A54" s="19" t="s">
        <v>118</v>
      </c>
      <c r="B54" s="19" t="s">
        <v>484</v>
      </c>
      <c r="C54" s="20" t="s">
        <v>133</v>
      </c>
      <c r="D54" s="21" t="s">
        <v>530</v>
      </c>
      <c r="E54" s="44">
        <v>44868</v>
      </c>
      <c r="F54" s="21" t="s">
        <v>529</v>
      </c>
      <c r="G54" s="23">
        <v>10577915.360000001</v>
      </c>
      <c r="H54" s="23">
        <v>4500000</v>
      </c>
      <c r="I54" s="23">
        <v>2060801.21</v>
      </c>
      <c r="J54" s="23">
        <v>0</v>
      </c>
      <c r="K54" s="23">
        <v>2148565.89</v>
      </c>
      <c r="L54" s="24">
        <v>0.45795582444444444</v>
      </c>
      <c r="M54" s="25">
        <v>58</v>
      </c>
      <c r="N54" s="25">
        <v>34</v>
      </c>
      <c r="O54" s="25">
        <v>0</v>
      </c>
      <c r="P54" s="25">
        <v>58</v>
      </c>
      <c r="Q54" s="25">
        <v>24</v>
      </c>
      <c r="R54" s="25">
        <v>18</v>
      </c>
      <c r="S54" s="25">
        <v>0</v>
      </c>
      <c r="T54" s="25">
        <v>0</v>
      </c>
      <c r="U54" s="25">
        <v>1</v>
      </c>
      <c r="V54" s="25">
        <v>2</v>
      </c>
      <c r="W54" s="25">
        <v>17</v>
      </c>
      <c r="X54" s="25">
        <v>0</v>
      </c>
      <c r="Y54" s="25">
        <v>0</v>
      </c>
      <c r="Z54" s="25">
        <v>110</v>
      </c>
      <c r="AA54" s="25">
        <v>129</v>
      </c>
      <c r="AB54" s="25">
        <v>52</v>
      </c>
      <c r="AC54" s="23">
        <v>39630.792499999996</v>
      </c>
      <c r="AD54" s="26">
        <v>2.1153846153846154</v>
      </c>
      <c r="AE54" s="23">
        <v>86250</v>
      </c>
      <c r="AF54" s="23">
        <v>19707</v>
      </c>
      <c r="AG54" s="24">
        <v>5.1415439531889637E-2</v>
      </c>
      <c r="AH54" s="23">
        <v>114488.95611111111</v>
      </c>
      <c r="AI54" s="27">
        <v>22</v>
      </c>
      <c r="AJ54" s="27">
        <v>470</v>
      </c>
      <c r="AK54" s="27">
        <v>868.91</v>
      </c>
      <c r="AL54" s="27">
        <v>26</v>
      </c>
      <c r="AM54" s="29"/>
      <c r="AN54" s="21"/>
      <c r="AO54" s="30">
        <v>87764.680000000168</v>
      </c>
    </row>
    <row r="55" spans="1:41" ht="15.6">
      <c r="A55" s="19" t="s">
        <v>201</v>
      </c>
      <c r="B55" s="19" t="s">
        <v>431</v>
      </c>
      <c r="C55" s="20" t="s">
        <v>164</v>
      </c>
      <c r="D55" s="21" t="s">
        <v>531</v>
      </c>
      <c r="E55" s="44">
        <v>44911</v>
      </c>
      <c r="F55" s="21" t="s">
        <v>431</v>
      </c>
      <c r="G55" s="23">
        <v>13718152</v>
      </c>
      <c r="H55" s="23">
        <v>5000001</v>
      </c>
      <c r="I55" s="23">
        <v>5112426.93</v>
      </c>
      <c r="J55" s="23">
        <v>0</v>
      </c>
      <c r="K55" s="23">
        <v>5181141</v>
      </c>
      <c r="L55" s="24">
        <v>1.0224851815029636</v>
      </c>
      <c r="M55" s="25">
        <v>194</v>
      </c>
      <c r="N55" s="25">
        <v>139</v>
      </c>
      <c r="O55" s="25">
        <v>12</v>
      </c>
      <c r="P55" s="25">
        <v>206</v>
      </c>
      <c r="Q55" s="25">
        <v>67</v>
      </c>
      <c r="R55" s="25">
        <v>122</v>
      </c>
      <c r="S55" s="25">
        <v>0</v>
      </c>
      <c r="T55" s="25">
        <v>11</v>
      </c>
      <c r="U55" s="25">
        <v>18</v>
      </c>
      <c r="V55" s="25">
        <v>21</v>
      </c>
      <c r="W55" s="25">
        <v>59</v>
      </c>
      <c r="X55" s="25">
        <v>0</v>
      </c>
      <c r="Y55" s="25">
        <v>0</v>
      </c>
      <c r="Z55" s="25">
        <v>359</v>
      </c>
      <c r="AA55" s="25">
        <v>439</v>
      </c>
      <c r="AB55" s="25">
        <v>71</v>
      </c>
      <c r="AC55" s="23">
        <v>72006.013098591546</v>
      </c>
      <c r="AD55" s="26">
        <v>5.056338028169014</v>
      </c>
      <c r="AE55" s="23">
        <v>114855</v>
      </c>
      <c r="AF55" s="23">
        <v>37975</v>
      </c>
      <c r="AG55" s="24">
        <v>2.9893825788136989E-2</v>
      </c>
      <c r="AH55" s="23">
        <v>41905.138770491802</v>
      </c>
      <c r="AI55" s="27">
        <v>254</v>
      </c>
      <c r="AJ55" s="27">
        <v>516</v>
      </c>
      <c r="AK55" s="27">
        <v>4526.22</v>
      </c>
      <c r="AL55" s="27">
        <v>33</v>
      </c>
      <c r="AM55" s="29"/>
      <c r="AN55" s="21"/>
      <c r="AO55" s="30">
        <v>68714.070000000298</v>
      </c>
    </row>
    <row r="56" spans="1:41" ht="15.6">
      <c r="A56" s="19" t="s">
        <v>117</v>
      </c>
      <c r="B56" s="19" t="s">
        <v>450</v>
      </c>
      <c r="C56" s="20" t="s">
        <v>165</v>
      </c>
      <c r="D56" s="21" t="s">
        <v>532</v>
      </c>
      <c r="E56" s="44">
        <v>44928</v>
      </c>
      <c r="F56" s="21" t="s">
        <v>482</v>
      </c>
      <c r="G56" s="23">
        <v>3181012</v>
      </c>
      <c r="H56" s="23">
        <v>2499999</v>
      </c>
      <c r="I56" s="23">
        <v>746766.9</v>
      </c>
      <c r="J56" s="23">
        <v>0</v>
      </c>
      <c r="K56" s="23">
        <v>638166</v>
      </c>
      <c r="L56" s="24">
        <v>0.29870687948275182</v>
      </c>
      <c r="M56" s="25">
        <v>64</v>
      </c>
      <c r="N56" s="25">
        <v>65</v>
      </c>
      <c r="O56" s="25">
        <v>9</v>
      </c>
      <c r="P56" s="25">
        <v>73</v>
      </c>
      <c r="Q56" s="25">
        <v>8</v>
      </c>
      <c r="R56" s="25">
        <v>36</v>
      </c>
      <c r="S56" s="25">
        <v>0</v>
      </c>
      <c r="T56" s="25">
        <v>9</v>
      </c>
      <c r="U56" s="25">
        <v>67</v>
      </c>
      <c r="V56" s="25">
        <v>97</v>
      </c>
      <c r="W56" s="25">
        <v>23</v>
      </c>
      <c r="X56" s="25">
        <v>0</v>
      </c>
      <c r="Y56" s="25">
        <v>3</v>
      </c>
      <c r="Z56" s="25">
        <v>171</v>
      </c>
      <c r="AA56" s="25">
        <v>294</v>
      </c>
      <c r="AB56" s="25">
        <v>73</v>
      </c>
      <c r="AC56" s="23">
        <v>10229.683561643837</v>
      </c>
      <c r="AD56" s="26">
        <v>2.3424657534246576</v>
      </c>
      <c r="AE56" s="23">
        <v>135000</v>
      </c>
      <c r="AF56" s="23">
        <v>19368</v>
      </c>
      <c r="AG56" s="24">
        <v>0.20671510748534783</v>
      </c>
      <c r="AH56" s="23">
        <v>20743.525000000001</v>
      </c>
      <c r="AI56" s="27">
        <v>51</v>
      </c>
      <c r="AJ56" s="27">
        <v>683</v>
      </c>
      <c r="AK56" s="27">
        <v>4645.29</v>
      </c>
      <c r="AL56" s="27">
        <v>71</v>
      </c>
      <c r="AM56" s="29"/>
      <c r="AN56" s="21"/>
      <c r="AO56" s="30">
        <v>-108600.90000000002</v>
      </c>
    </row>
    <row r="57" spans="1:41" ht="15.6">
      <c r="A57" s="19" t="s">
        <v>118</v>
      </c>
      <c r="B57" s="19" t="s">
        <v>375</v>
      </c>
      <c r="C57" s="20" t="s">
        <v>166</v>
      </c>
      <c r="D57" s="21" t="s">
        <v>508</v>
      </c>
      <c r="E57" s="44">
        <v>44953</v>
      </c>
      <c r="F57" s="21" t="s">
        <v>473</v>
      </c>
      <c r="G57" s="23">
        <v>11302117</v>
      </c>
      <c r="H57" s="23">
        <v>4200000</v>
      </c>
      <c r="I57" s="23">
        <v>1929822.87</v>
      </c>
      <c r="J57" s="23">
        <v>0</v>
      </c>
      <c r="K57" s="23">
        <v>2084174</v>
      </c>
      <c r="L57" s="24">
        <v>0.45948163571428574</v>
      </c>
      <c r="M57" s="25">
        <v>132</v>
      </c>
      <c r="N57" s="25">
        <v>126</v>
      </c>
      <c r="O57" s="25">
        <v>7</v>
      </c>
      <c r="P57" s="25">
        <v>139</v>
      </c>
      <c r="Q57" s="25">
        <v>13</v>
      </c>
      <c r="R57" s="25">
        <v>78</v>
      </c>
      <c r="S57" s="25">
        <v>0</v>
      </c>
      <c r="T57" s="25">
        <v>7</v>
      </c>
      <c r="U57" s="25">
        <v>1</v>
      </c>
      <c r="V57" s="25">
        <v>1</v>
      </c>
      <c r="W57" s="25">
        <v>0</v>
      </c>
      <c r="X57" s="25">
        <v>0</v>
      </c>
      <c r="Y57" s="25">
        <v>0</v>
      </c>
      <c r="Z57" s="25">
        <v>512</v>
      </c>
      <c r="AA57" s="25">
        <v>513</v>
      </c>
      <c r="AB57" s="25">
        <v>73</v>
      </c>
      <c r="AC57" s="23">
        <v>26435.9297260274</v>
      </c>
      <c r="AD57" s="26">
        <v>7.0136986301369859</v>
      </c>
      <c r="AE57" s="23">
        <v>97005</v>
      </c>
      <c r="AF57" s="23">
        <v>29380</v>
      </c>
      <c r="AG57" s="24">
        <v>6.5490466490326124E-2</v>
      </c>
      <c r="AH57" s="23">
        <v>24741.318846153848</v>
      </c>
      <c r="AI57" s="27">
        <v>172</v>
      </c>
      <c r="AJ57" s="27">
        <v>793</v>
      </c>
      <c r="AK57" s="27">
        <v>5450.14</v>
      </c>
      <c r="AL57" s="27">
        <v>43</v>
      </c>
      <c r="AM57" s="29"/>
      <c r="AN57" s="21"/>
      <c r="AO57" s="30">
        <v>154351.12999999989</v>
      </c>
    </row>
    <row r="58" spans="1:41" ht="15.6">
      <c r="A58" s="19" t="s">
        <v>118</v>
      </c>
      <c r="B58" s="19" t="s">
        <v>362</v>
      </c>
      <c r="C58" s="20" t="s">
        <v>167</v>
      </c>
      <c r="D58" s="21" t="s">
        <v>533</v>
      </c>
      <c r="E58" s="44">
        <v>44958</v>
      </c>
      <c r="F58" s="21" t="s">
        <v>419</v>
      </c>
      <c r="G58" s="23">
        <v>19406539.399999999</v>
      </c>
      <c r="H58" s="23">
        <v>12000000</v>
      </c>
      <c r="I58" s="23">
        <v>7983792.2599999998</v>
      </c>
      <c r="J58" s="23">
        <v>0</v>
      </c>
      <c r="K58" s="23">
        <v>8116979</v>
      </c>
      <c r="L58" s="24">
        <v>0.6653160216666667</v>
      </c>
      <c r="M58" s="25">
        <v>64</v>
      </c>
      <c r="N58" s="25">
        <v>63</v>
      </c>
      <c r="O58" s="25">
        <v>1</v>
      </c>
      <c r="P58" s="25">
        <v>65</v>
      </c>
      <c r="Q58" s="25">
        <v>2</v>
      </c>
      <c r="R58" s="25">
        <v>42</v>
      </c>
      <c r="S58" s="25">
        <v>0</v>
      </c>
      <c r="T58" s="25">
        <v>1</v>
      </c>
      <c r="U58" s="25">
        <v>1</v>
      </c>
      <c r="V58" s="25">
        <v>1</v>
      </c>
      <c r="W58" s="25">
        <v>11</v>
      </c>
      <c r="X58" s="25">
        <v>0</v>
      </c>
      <c r="Y58" s="25">
        <v>0</v>
      </c>
      <c r="Z58" s="25">
        <v>330</v>
      </c>
      <c r="AA58" s="25">
        <v>342</v>
      </c>
      <c r="AB58" s="25">
        <v>73</v>
      </c>
      <c r="AC58" s="23">
        <v>109367.01726027398</v>
      </c>
      <c r="AD58" s="26">
        <v>4.5205479452054798</v>
      </c>
      <c r="AE58" s="23">
        <v>58755</v>
      </c>
      <c r="AF58" s="23">
        <v>19421</v>
      </c>
      <c r="AG58" s="24">
        <v>9.7918379454427339E-3</v>
      </c>
      <c r="AH58" s="23">
        <v>190090.29190476189</v>
      </c>
      <c r="AI58" s="27">
        <v>78</v>
      </c>
      <c r="AJ58" s="27">
        <v>808</v>
      </c>
      <c r="AK58" s="27">
        <v>3802.92</v>
      </c>
      <c r="AL58" s="27">
        <v>60</v>
      </c>
      <c r="AM58" s="29"/>
      <c r="AN58" s="21"/>
      <c r="AO58" s="30">
        <v>133186.74000000022</v>
      </c>
    </row>
    <row r="59" spans="1:41" ht="13.2">
      <c r="A59" s="19" t="s">
        <v>120</v>
      </c>
      <c r="B59" s="19" t="s">
        <v>163</v>
      </c>
      <c r="C59" s="19" t="s">
        <v>170</v>
      </c>
      <c r="D59" s="21" t="s">
        <v>163</v>
      </c>
      <c r="E59" s="44">
        <v>44994</v>
      </c>
      <c r="F59" s="21" t="s">
        <v>534</v>
      </c>
      <c r="G59" s="23">
        <v>11621619</v>
      </c>
      <c r="H59" s="23">
        <v>5100000</v>
      </c>
      <c r="I59" s="23">
        <v>3155049.04</v>
      </c>
      <c r="J59" s="23">
        <v>271023.53000000003</v>
      </c>
      <c r="K59" s="23">
        <v>3683201</v>
      </c>
      <c r="L59" s="24">
        <v>0.6717789352941177</v>
      </c>
      <c r="M59" s="25">
        <v>82</v>
      </c>
      <c r="N59" s="25">
        <v>50</v>
      </c>
      <c r="O59" s="25">
        <v>2</v>
      </c>
      <c r="P59" s="25">
        <v>84</v>
      </c>
      <c r="Q59" s="25">
        <v>34</v>
      </c>
      <c r="R59" s="25">
        <v>31</v>
      </c>
      <c r="S59" s="25">
        <v>3</v>
      </c>
      <c r="T59" s="25">
        <v>2</v>
      </c>
      <c r="U59" s="25">
        <v>8</v>
      </c>
      <c r="V59" s="25">
        <v>8</v>
      </c>
      <c r="W59" s="25">
        <v>25</v>
      </c>
      <c r="X59" s="25">
        <v>40</v>
      </c>
      <c r="Y59" s="25">
        <v>20</v>
      </c>
      <c r="Z59" s="25">
        <v>265</v>
      </c>
      <c r="AA59" s="25">
        <v>358</v>
      </c>
      <c r="AB59" s="25">
        <v>71</v>
      </c>
      <c r="AC59" s="23">
        <v>48254.543239436622</v>
      </c>
      <c r="AD59" s="26">
        <v>3.732394366197183</v>
      </c>
      <c r="AE59" s="23">
        <v>124251</v>
      </c>
      <c r="AF59" s="23">
        <v>14880</v>
      </c>
      <c r="AG59" s="24">
        <v>4.0609472554167171E-2</v>
      </c>
      <c r="AH59" s="23">
        <v>101775.77548387097</v>
      </c>
      <c r="AI59" s="27">
        <v>79</v>
      </c>
      <c r="AJ59" s="27">
        <v>675</v>
      </c>
      <c r="AK59" s="27">
        <v>1982.2</v>
      </c>
      <c r="AL59" s="27">
        <v>40</v>
      </c>
      <c r="AM59" s="29"/>
      <c r="AN59" s="21"/>
      <c r="AO59" s="30">
        <v>257128.4299999997</v>
      </c>
    </row>
    <row r="60" spans="1:41" ht="15.6">
      <c r="A60" s="19" t="s">
        <v>201</v>
      </c>
      <c r="B60" s="19" t="s">
        <v>431</v>
      </c>
      <c r="C60" s="20" t="s">
        <v>171</v>
      </c>
      <c r="D60" s="21" t="s">
        <v>535</v>
      </c>
      <c r="E60" s="44">
        <v>45000</v>
      </c>
      <c r="F60" s="21" t="s">
        <v>431</v>
      </c>
      <c r="G60" s="23">
        <v>8973760</v>
      </c>
      <c r="H60" s="23">
        <v>6249999</v>
      </c>
      <c r="I60" s="23">
        <v>1423653.11</v>
      </c>
      <c r="J60" s="23">
        <v>0</v>
      </c>
      <c r="K60" s="23">
        <v>618604</v>
      </c>
      <c r="L60" s="24">
        <v>0.22778453404552546</v>
      </c>
      <c r="M60" s="25">
        <v>30</v>
      </c>
      <c r="N60" s="25">
        <v>26</v>
      </c>
      <c r="O60" s="25">
        <v>4</v>
      </c>
      <c r="P60" s="25">
        <v>34</v>
      </c>
      <c r="Q60" s="25">
        <v>8</v>
      </c>
      <c r="R60" s="25">
        <v>17</v>
      </c>
      <c r="S60" s="25">
        <v>0</v>
      </c>
      <c r="T60" s="25">
        <v>4</v>
      </c>
      <c r="U60" s="25">
        <v>8</v>
      </c>
      <c r="V60" s="25">
        <v>9</v>
      </c>
      <c r="W60" s="25">
        <v>11</v>
      </c>
      <c r="X60" s="25">
        <v>0</v>
      </c>
      <c r="Y60" s="25">
        <v>0</v>
      </c>
      <c r="Z60" s="25">
        <v>241</v>
      </c>
      <c r="AA60" s="25">
        <v>261</v>
      </c>
      <c r="AB60" s="25">
        <v>67</v>
      </c>
      <c r="AC60" s="23">
        <v>21248.553880597017</v>
      </c>
      <c r="AD60" s="26">
        <v>3.5970149253731343</v>
      </c>
      <c r="AE60" s="23">
        <v>79500</v>
      </c>
      <c r="AF60" s="23">
        <v>30040</v>
      </c>
      <c r="AG60" s="24">
        <v>7.6942900788521437E-2</v>
      </c>
      <c r="AH60" s="23">
        <v>83744.300588235303</v>
      </c>
      <c r="AI60" s="27">
        <v>27</v>
      </c>
      <c r="AJ60" s="27">
        <v>465</v>
      </c>
      <c r="AK60" s="27">
        <v>2744.07</v>
      </c>
      <c r="AL60" s="27">
        <v>106</v>
      </c>
      <c r="AM60" s="29"/>
      <c r="AN60" s="21"/>
      <c r="AO60" s="30">
        <v>-805049.1100000001</v>
      </c>
    </row>
    <row r="61" spans="1:41" ht="15.6">
      <c r="A61" s="19" t="s">
        <v>118</v>
      </c>
      <c r="B61" s="19" t="s">
        <v>468</v>
      </c>
      <c r="C61" s="20" t="s">
        <v>173</v>
      </c>
      <c r="D61" s="21" t="s">
        <v>536</v>
      </c>
      <c r="E61" s="44">
        <v>45040</v>
      </c>
      <c r="F61" s="21" t="s">
        <v>509</v>
      </c>
      <c r="G61" s="23">
        <v>9731676</v>
      </c>
      <c r="H61" s="23">
        <v>4500000</v>
      </c>
      <c r="I61" s="23">
        <v>2102049.13</v>
      </c>
      <c r="J61" s="23">
        <v>0</v>
      </c>
      <c r="K61" s="23">
        <v>1446286</v>
      </c>
      <c r="L61" s="24">
        <v>0.46712202888888887</v>
      </c>
      <c r="M61" s="25">
        <v>27</v>
      </c>
      <c r="N61" s="25">
        <v>29</v>
      </c>
      <c r="O61" s="25">
        <v>4</v>
      </c>
      <c r="P61" s="25">
        <v>31</v>
      </c>
      <c r="Q61" s="25">
        <v>2</v>
      </c>
      <c r="R61" s="25">
        <v>14</v>
      </c>
      <c r="S61" s="25">
        <v>0</v>
      </c>
      <c r="T61" s="25">
        <v>4</v>
      </c>
      <c r="U61" s="25">
        <v>18</v>
      </c>
      <c r="V61" s="25">
        <v>26</v>
      </c>
      <c r="W61" s="25">
        <v>3</v>
      </c>
      <c r="X61" s="25">
        <v>0</v>
      </c>
      <c r="Y61" s="25">
        <v>0</v>
      </c>
      <c r="Z61" s="25">
        <v>319</v>
      </c>
      <c r="AA61" s="25">
        <v>348</v>
      </c>
      <c r="AB61" s="25">
        <v>72</v>
      </c>
      <c r="AC61" s="23">
        <v>29195.126805555556</v>
      </c>
      <c r="AD61" s="26">
        <v>4.4305555555555554</v>
      </c>
      <c r="AE61" s="23">
        <v>99270</v>
      </c>
      <c r="AF61" s="23">
        <v>35986</v>
      </c>
      <c r="AG61" s="24">
        <v>6.434483289170316E-2</v>
      </c>
      <c r="AH61" s="23">
        <v>150146.36642857143</v>
      </c>
      <c r="AI61" s="27">
        <v>26</v>
      </c>
      <c r="AJ61" s="27">
        <v>617</v>
      </c>
      <c r="AK61" s="27">
        <v>3779.22</v>
      </c>
      <c r="AL61" s="27">
        <v>130</v>
      </c>
      <c r="AM61" s="29"/>
      <c r="AN61" s="21"/>
      <c r="AO61" s="30">
        <v>-655763.12999999989</v>
      </c>
    </row>
    <row r="62" spans="1:41" ht="13.2">
      <c r="A62" s="19" t="s">
        <v>118</v>
      </c>
      <c r="B62" s="19" t="s">
        <v>362</v>
      </c>
      <c r="C62" s="19" t="s">
        <v>174</v>
      </c>
      <c r="D62" s="21" t="s">
        <v>490</v>
      </c>
      <c r="E62" s="44">
        <v>45040</v>
      </c>
      <c r="F62" s="21" t="s">
        <v>419</v>
      </c>
      <c r="G62" s="23">
        <v>2706692</v>
      </c>
      <c r="H62" s="23">
        <v>4500000</v>
      </c>
      <c r="I62" s="23">
        <v>2273147.85</v>
      </c>
      <c r="J62" s="23">
        <v>0</v>
      </c>
      <c r="K62" s="23">
        <v>1982004</v>
      </c>
      <c r="L62" s="24">
        <v>0.50514396666666672</v>
      </c>
      <c r="M62" s="25">
        <v>69</v>
      </c>
      <c r="N62" s="25">
        <v>47</v>
      </c>
      <c r="O62" s="25">
        <v>0</v>
      </c>
      <c r="P62" s="25">
        <v>69</v>
      </c>
      <c r="Q62" s="25">
        <v>22</v>
      </c>
      <c r="R62" s="25">
        <v>18</v>
      </c>
      <c r="S62" s="25">
        <v>0</v>
      </c>
      <c r="T62" s="25">
        <v>0</v>
      </c>
      <c r="U62" s="25">
        <v>4</v>
      </c>
      <c r="V62" s="25">
        <v>8</v>
      </c>
      <c r="W62" s="25">
        <v>1</v>
      </c>
      <c r="X62" s="25">
        <v>0</v>
      </c>
      <c r="Y62" s="25">
        <v>0</v>
      </c>
      <c r="Z62" s="25">
        <v>346</v>
      </c>
      <c r="AA62" s="25">
        <v>355</v>
      </c>
      <c r="AB62" s="25">
        <v>75</v>
      </c>
      <c r="AC62" s="23">
        <v>30308.638000000003</v>
      </c>
      <c r="AD62" s="26">
        <v>4.6133333333333333</v>
      </c>
      <c r="AE62" s="23">
        <v>72000</v>
      </c>
      <c r="AF62" s="23">
        <v>15499</v>
      </c>
      <c r="AG62" s="24">
        <v>3.8492436820596602E-2</v>
      </c>
      <c r="AH62" s="23">
        <v>126285.99166666667</v>
      </c>
      <c r="AI62" s="27">
        <v>46</v>
      </c>
      <c r="AJ62" s="27">
        <v>628</v>
      </c>
      <c r="AK62" s="27">
        <v>3321.61</v>
      </c>
      <c r="AL62" s="27">
        <v>71</v>
      </c>
      <c r="AM62" s="29"/>
      <c r="AN62" s="21"/>
      <c r="AO62" s="30">
        <v>-291143.85000000009</v>
      </c>
    </row>
    <row r="63" spans="1:41" ht="15.6">
      <c r="A63" s="19" t="s">
        <v>124</v>
      </c>
      <c r="B63" s="19" t="s">
        <v>443</v>
      </c>
      <c r="C63" s="20" t="s">
        <v>175</v>
      </c>
      <c r="D63" s="21" t="s">
        <v>518</v>
      </c>
      <c r="E63" s="44">
        <v>45047</v>
      </c>
      <c r="F63" s="21" t="s">
        <v>517</v>
      </c>
      <c r="G63" s="23">
        <v>7311644</v>
      </c>
      <c r="H63" s="23">
        <v>3600000</v>
      </c>
      <c r="I63" s="23">
        <v>689409.46</v>
      </c>
      <c r="J63" s="23">
        <v>0</v>
      </c>
      <c r="K63" s="23">
        <v>833127</v>
      </c>
      <c r="L63" s="24">
        <v>0.19150262777777777</v>
      </c>
      <c r="M63" s="25">
        <v>109</v>
      </c>
      <c r="N63" s="25">
        <v>84</v>
      </c>
      <c r="O63" s="25">
        <v>1</v>
      </c>
      <c r="P63" s="25">
        <v>110</v>
      </c>
      <c r="Q63" s="25">
        <v>26</v>
      </c>
      <c r="R63" s="25">
        <v>40</v>
      </c>
      <c r="S63" s="25">
        <v>0</v>
      </c>
      <c r="T63" s="25">
        <v>1</v>
      </c>
      <c r="U63" s="25">
        <v>6</v>
      </c>
      <c r="V63" s="25">
        <v>10</v>
      </c>
      <c r="W63" s="25">
        <v>11</v>
      </c>
      <c r="X63" s="25">
        <v>0</v>
      </c>
      <c r="Y63" s="25">
        <v>0</v>
      </c>
      <c r="Z63" s="25">
        <v>272</v>
      </c>
      <c r="AA63" s="25">
        <v>293</v>
      </c>
      <c r="AB63" s="25">
        <v>70</v>
      </c>
      <c r="AC63" s="23">
        <v>9848.7065714285709</v>
      </c>
      <c r="AD63" s="26">
        <v>3.8857142857142857</v>
      </c>
      <c r="AE63" s="23">
        <v>105501</v>
      </c>
      <c r="AF63" s="23">
        <v>22376</v>
      </c>
      <c r="AG63" s="24">
        <v>0.18548773612709057</v>
      </c>
      <c r="AH63" s="23">
        <v>17235.236499999999</v>
      </c>
      <c r="AI63" s="27">
        <v>65</v>
      </c>
      <c r="AJ63" s="27">
        <v>692</v>
      </c>
      <c r="AK63" s="27">
        <v>4458.43</v>
      </c>
      <c r="AL63" s="27">
        <v>53</v>
      </c>
      <c r="AM63" s="29"/>
      <c r="AN63" s="21"/>
      <c r="AO63" s="30">
        <v>143717.54000000004</v>
      </c>
    </row>
    <row r="64" spans="1:41" ht="15.6">
      <c r="A64" s="19" t="s">
        <v>124</v>
      </c>
      <c r="B64" s="19" t="s">
        <v>443</v>
      </c>
      <c r="C64" s="20" t="s">
        <v>176</v>
      </c>
      <c r="D64" s="21" t="s">
        <v>537</v>
      </c>
      <c r="E64" s="44">
        <v>45047</v>
      </c>
      <c r="F64" s="21" t="s">
        <v>517</v>
      </c>
      <c r="G64" s="23">
        <v>3836040</v>
      </c>
      <c r="H64" s="23">
        <v>0</v>
      </c>
      <c r="I64" s="23">
        <v>0</v>
      </c>
      <c r="J64" s="23">
        <v>0</v>
      </c>
      <c r="K64" s="23">
        <v>0</v>
      </c>
      <c r="L64" s="24"/>
      <c r="M64" s="25">
        <v>35</v>
      </c>
      <c r="N64" s="25">
        <v>28</v>
      </c>
      <c r="O64" s="25">
        <v>0</v>
      </c>
      <c r="P64" s="25">
        <v>35</v>
      </c>
      <c r="Q64" s="25">
        <v>7</v>
      </c>
      <c r="R64" s="25">
        <v>0</v>
      </c>
      <c r="S64" s="25">
        <v>0</v>
      </c>
      <c r="T64" s="25">
        <v>0</v>
      </c>
      <c r="U64" s="25">
        <v>3</v>
      </c>
      <c r="V64" s="25">
        <v>4</v>
      </c>
      <c r="W64" s="25">
        <v>26</v>
      </c>
      <c r="X64" s="25">
        <v>4</v>
      </c>
      <c r="Y64" s="25">
        <v>5</v>
      </c>
      <c r="Z64" s="25">
        <v>74</v>
      </c>
      <c r="AA64" s="25">
        <v>113</v>
      </c>
      <c r="AB64" s="25">
        <v>32</v>
      </c>
      <c r="AC64" s="23">
        <v>0</v>
      </c>
      <c r="AD64" s="26">
        <v>2.3125</v>
      </c>
      <c r="AE64" s="23">
        <v>47042.1</v>
      </c>
      <c r="AF64" s="23">
        <v>11050</v>
      </c>
      <c r="AG64" s="24"/>
      <c r="AH64" s="23"/>
      <c r="AI64" s="27">
        <v>0</v>
      </c>
      <c r="AJ64" s="27">
        <v>275</v>
      </c>
      <c r="AK64" s="27">
        <v>2661.84</v>
      </c>
      <c r="AL64" s="27">
        <v>95</v>
      </c>
      <c r="AM64" s="29">
        <v>45785</v>
      </c>
      <c r="AN64" s="21"/>
      <c r="AO64" s="30">
        <v>0</v>
      </c>
    </row>
    <row r="65" spans="1:41" ht="15.6">
      <c r="A65" s="19" t="s">
        <v>118</v>
      </c>
      <c r="B65" s="19" t="s">
        <v>362</v>
      </c>
      <c r="C65" s="20" t="s">
        <v>179</v>
      </c>
      <c r="D65" s="21" t="s">
        <v>538</v>
      </c>
      <c r="E65" s="44">
        <v>45047</v>
      </c>
      <c r="F65" s="21" t="s">
        <v>419</v>
      </c>
      <c r="G65" s="23">
        <v>7721539</v>
      </c>
      <c r="H65" s="23">
        <v>4500000</v>
      </c>
      <c r="I65" s="23">
        <v>2559366.62</v>
      </c>
      <c r="J65" s="23">
        <v>0</v>
      </c>
      <c r="K65" s="23">
        <v>2534605</v>
      </c>
      <c r="L65" s="24">
        <v>0.56874813777777777</v>
      </c>
      <c r="M65" s="25">
        <v>41</v>
      </c>
      <c r="N65" s="25">
        <v>38</v>
      </c>
      <c r="O65" s="25">
        <v>1</v>
      </c>
      <c r="P65" s="25">
        <v>42</v>
      </c>
      <c r="Q65" s="25">
        <v>4</v>
      </c>
      <c r="R65" s="25">
        <v>12</v>
      </c>
      <c r="S65" s="25">
        <v>0</v>
      </c>
      <c r="T65" s="25">
        <v>1</v>
      </c>
      <c r="U65" s="25">
        <v>32</v>
      </c>
      <c r="V65" s="25">
        <v>72</v>
      </c>
      <c r="W65" s="25">
        <v>4</v>
      </c>
      <c r="X65" s="25">
        <v>0</v>
      </c>
      <c r="Y65" s="25">
        <v>0</v>
      </c>
      <c r="Z65" s="25">
        <v>375</v>
      </c>
      <c r="AA65" s="25">
        <v>451</v>
      </c>
      <c r="AB65" s="25">
        <v>74</v>
      </c>
      <c r="AC65" s="23">
        <v>34586.035405405404</v>
      </c>
      <c r="AD65" s="26">
        <v>5.0675675675675675</v>
      </c>
      <c r="AE65" s="23">
        <v>87501</v>
      </c>
      <c r="AF65" s="23">
        <v>22662</v>
      </c>
      <c r="AG65" s="24">
        <v>4.3043071336141749E-2</v>
      </c>
      <c r="AH65" s="23">
        <v>213280.55166666667</v>
      </c>
      <c r="AI65" s="27">
        <v>22</v>
      </c>
      <c r="AJ65" s="27">
        <v>751</v>
      </c>
      <c r="AK65" s="27">
        <v>6225.77</v>
      </c>
      <c r="AL65" s="27">
        <v>164</v>
      </c>
      <c r="AM65" s="29"/>
      <c r="AN65" s="21"/>
      <c r="AO65" s="30">
        <v>-24761.620000000112</v>
      </c>
    </row>
    <row r="66" spans="1:41" ht="15.6">
      <c r="A66" s="19" t="s">
        <v>118</v>
      </c>
      <c r="B66" s="19" t="s">
        <v>362</v>
      </c>
      <c r="C66" s="20" t="s">
        <v>181</v>
      </c>
      <c r="D66" s="21" t="s">
        <v>538</v>
      </c>
      <c r="E66" s="44">
        <v>45047</v>
      </c>
      <c r="F66" s="21" t="s">
        <v>419</v>
      </c>
      <c r="G66" s="23">
        <v>10161192</v>
      </c>
      <c r="H66" s="23">
        <v>4500000</v>
      </c>
      <c r="I66" s="23">
        <v>2785326.54</v>
      </c>
      <c r="J66" s="23">
        <v>0</v>
      </c>
      <c r="K66" s="23">
        <v>2785361</v>
      </c>
      <c r="L66" s="24">
        <v>0.6189614533333333</v>
      </c>
      <c r="M66" s="25">
        <v>48</v>
      </c>
      <c r="N66" s="25">
        <v>37</v>
      </c>
      <c r="O66" s="25">
        <v>2</v>
      </c>
      <c r="P66" s="25">
        <v>50</v>
      </c>
      <c r="Q66" s="25">
        <v>13</v>
      </c>
      <c r="R66" s="25">
        <v>11</v>
      </c>
      <c r="S66" s="25">
        <v>0</v>
      </c>
      <c r="T66" s="25">
        <v>1</v>
      </c>
      <c r="U66" s="25">
        <v>46</v>
      </c>
      <c r="V66" s="25">
        <v>74</v>
      </c>
      <c r="W66" s="25">
        <v>3</v>
      </c>
      <c r="X66" s="25">
        <v>0</v>
      </c>
      <c r="Y66" s="25">
        <v>0</v>
      </c>
      <c r="Z66" s="25">
        <v>258</v>
      </c>
      <c r="AA66" s="25">
        <v>335</v>
      </c>
      <c r="AB66" s="25">
        <v>77</v>
      </c>
      <c r="AC66" s="23">
        <v>36173.071948051947</v>
      </c>
      <c r="AD66" s="26">
        <v>3.3506493506493507</v>
      </c>
      <c r="AE66" s="23">
        <v>72000</v>
      </c>
      <c r="AF66" s="23">
        <v>23941</v>
      </c>
      <c r="AG66" s="24">
        <v>3.4445153421760022E-2</v>
      </c>
      <c r="AH66" s="23">
        <v>253211.50363636363</v>
      </c>
      <c r="AI66" s="83">
        <v>28</v>
      </c>
      <c r="AJ66" s="83">
        <v>585</v>
      </c>
      <c r="AK66" s="83">
        <v>3484.68</v>
      </c>
      <c r="AL66" s="83">
        <v>94</v>
      </c>
      <c r="AM66" s="84"/>
      <c r="AN66" s="85"/>
      <c r="AO66" s="30">
        <v>34.459999999962747</v>
      </c>
    </row>
    <row r="67" spans="1:41" ht="15.6">
      <c r="A67" s="19" t="s">
        <v>118</v>
      </c>
      <c r="B67" s="19" t="s">
        <v>362</v>
      </c>
      <c r="C67" s="20" t="s">
        <v>184</v>
      </c>
      <c r="D67" s="21" t="s">
        <v>539</v>
      </c>
      <c r="E67" s="44">
        <v>45047</v>
      </c>
      <c r="F67" s="21" t="s">
        <v>419</v>
      </c>
      <c r="G67" s="23">
        <v>26259193</v>
      </c>
      <c r="H67" s="23">
        <v>9900000</v>
      </c>
      <c r="I67" s="23">
        <v>4564949.76</v>
      </c>
      <c r="J67" s="23">
        <v>0</v>
      </c>
      <c r="K67" s="23">
        <v>4787969</v>
      </c>
      <c r="L67" s="24">
        <v>0.46110603636363634</v>
      </c>
      <c r="M67" s="25">
        <v>108</v>
      </c>
      <c r="N67" s="25">
        <v>105</v>
      </c>
      <c r="O67" s="25">
        <v>2</v>
      </c>
      <c r="P67" s="25">
        <v>110</v>
      </c>
      <c r="Q67" s="25">
        <v>5</v>
      </c>
      <c r="R67" s="25">
        <v>69</v>
      </c>
      <c r="S67" s="25">
        <v>0</v>
      </c>
      <c r="T67" s="25">
        <v>2</v>
      </c>
      <c r="U67" s="25">
        <v>1</v>
      </c>
      <c r="V67" s="25">
        <v>2</v>
      </c>
      <c r="W67" s="25">
        <v>10</v>
      </c>
      <c r="X67" s="25">
        <v>0</v>
      </c>
      <c r="Y67" s="25">
        <v>0</v>
      </c>
      <c r="Z67" s="25">
        <v>387</v>
      </c>
      <c r="AA67" s="25">
        <v>399</v>
      </c>
      <c r="AB67" s="25">
        <v>78</v>
      </c>
      <c r="AC67" s="23">
        <v>58524.99692307692</v>
      </c>
      <c r="AD67" s="26">
        <v>4.9615384615384617</v>
      </c>
      <c r="AE67" s="23">
        <v>75501</v>
      </c>
      <c r="AF67" s="23">
        <v>19158</v>
      </c>
      <c r="AG67" s="24">
        <v>2.0736044201283828E-2</v>
      </c>
      <c r="AH67" s="23">
        <v>66158.692173913034</v>
      </c>
      <c r="AI67" s="83">
        <v>137</v>
      </c>
      <c r="AJ67" s="83">
        <v>782</v>
      </c>
      <c r="AK67" s="83">
        <v>4934.49</v>
      </c>
      <c r="AL67" s="83">
        <v>47</v>
      </c>
      <c r="AM67" s="84"/>
      <c r="AN67" s="85"/>
      <c r="AO67" s="30">
        <v>223019.24000000022</v>
      </c>
    </row>
    <row r="68" spans="1:41" ht="13.2">
      <c r="A68" s="19" t="s">
        <v>118</v>
      </c>
      <c r="B68" s="19" t="s">
        <v>362</v>
      </c>
      <c r="C68" s="19" t="s">
        <v>183</v>
      </c>
      <c r="D68" s="21" t="s">
        <v>540</v>
      </c>
      <c r="E68" s="44">
        <v>45048</v>
      </c>
      <c r="F68" s="21" t="s">
        <v>419</v>
      </c>
      <c r="G68" s="23">
        <v>10441561</v>
      </c>
      <c r="H68" s="23">
        <v>4500000</v>
      </c>
      <c r="I68" s="23">
        <v>3398893.68</v>
      </c>
      <c r="J68" s="23">
        <v>0</v>
      </c>
      <c r="K68" s="23">
        <v>3910118</v>
      </c>
      <c r="L68" s="24">
        <v>0.75530970666666675</v>
      </c>
      <c r="M68" s="25">
        <v>49</v>
      </c>
      <c r="N68" s="25">
        <v>46</v>
      </c>
      <c r="O68" s="25">
        <v>2</v>
      </c>
      <c r="P68" s="25">
        <v>51</v>
      </c>
      <c r="Q68" s="25">
        <v>5</v>
      </c>
      <c r="R68" s="25">
        <v>34</v>
      </c>
      <c r="S68" s="25">
        <v>0</v>
      </c>
      <c r="T68" s="25">
        <v>2</v>
      </c>
      <c r="U68" s="25">
        <v>1</v>
      </c>
      <c r="V68" s="25">
        <v>1</v>
      </c>
      <c r="W68" s="25">
        <v>54</v>
      </c>
      <c r="X68" s="25">
        <v>0</v>
      </c>
      <c r="Y68" s="25">
        <v>0</v>
      </c>
      <c r="Z68" s="25">
        <v>271</v>
      </c>
      <c r="AA68" s="25">
        <v>326</v>
      </c>
      <c r="AB68" s="25">
        <v>73</v>
      </c>
      <c r="AC68" s="23">
        <v>46560.187397260277</v>
      </c>
      <c r="AD68" s="26">
        <v>3.7123287671232879</v>
      </c>
      <c r="AE68" s="23">
        <v>72000</v>
      </c>
      <c r="AF68" s="23">
        <v>24538</v>
      </c>
      <c r="AG68" s="24">
        <v>2.8402771339408297E-2</v>
      </c>
      <c r="AH68" s="23">
        <v>99967.461176470591</v>
      </c>
      <c r="AI68" s="83">
        <v>80</v>
      </c>
      <c r="AJ68" s="83">
        <v>656</v>
      </c>
      <c r="AK68" s="83">
        <v>4103.05</v>
      </c>
      <c r="AL68" s="83">
        <v>89</v>
      </c>
      <c r="AM68" s="84"/>
      <c r="AN68" s="85"/>
      <c r="AO68" s="30">
        <v>511224.31999999983</v>
      </c>
    </row>
    <row r="69" spans="1:41" ht="15.6">
      <c r="A69" s="19" t="s">
        <v>118</v>
      </c>
      <c r="B69" s="19" t="s">
        <v>436</v>
      </c>
      <c r="C69" s="20" t="s">
        <v>178</v>
      </c>
      <c r="D69" s="21" t="s">
        <v>437</v>
      </c>
      <c r="E69" s="44">
        <v>45054</v>
      </c>
      <c r="F69" s="21" t="s">
        <v>499</v>
      </c>
      <c r="G69" s="23">
        <v>5601796</v>
      </c>
      <c r="H69" s="23">
        <v>0</v>
      </c>
      <c r="I69" s="23">
        <v>490239.24</v>
      </c>
      <c r="J69" s="23">
        <v>0</v>
      </c>
      <c r="K69" s="23">
        <v>314657</v>
      </c>
      <c r="L69" s="24"/>
      <c r="M69" s="25">
        <v>86</v>
      </c>
      <c r="N69" s="25">
        <v>71</v>
      </c>
      <c r="O69" s="25">
        <v>3</v>
      </c>
      <c r="P69" s="25">
        <v>89</v>
      </c>
      <c r="Q69" s="25">
        <v>18</v>
      </c>
      <c r="R69" s="25">
        <v>25</v>
      </c>
      <c r="S69" s="25">
        <v>0</v>
      </c>
      <c r="T69" s="25">
        <v>3</v>
      </c>
      <c r="U69" s="25">
        <v>1</v>
      </c>
      <c r="V69" s="25">
        <v>1</v>
      </c>
      <c r="W69" s="25">
        <v>2</v>
      </c>
      <c r="X69" s="25">
        <v>0</v>
      </c>
      <c r="Y69" s="25">
        <v>0</v>
      </c>
      <c r="Z69" s="25">
        <v>241</v>
      </c>
      <c r="AA69" s="25">
        <v>244</v>
      </c>
      <c r="AB69" s="25">
        <v>43</v>
      </c>
      <c r="AC69" s="23">
        <v>11400.912558139535</v>
      </c>
      <c r="AD69" s="26">
        <v>5.6046511627906979</v>
      </c>
      <c r="AE69" s="23">
        <v>39471</v>
      </c>
      <c r="AF69" s="23">
        <v>31945</v>
      </c>
      <c r="AG69" s="24">
        <v>0.14567581330290902</v>
      </c>
      <c r="AH69" s="23">
        <v>19609.569599999999</v>
      </c>
      <c r="AI69" s="83">
        <v>31</v>
      </c>
      <c r="AJ69" s="83">
        <v>431</v>
      </c>
      <c r="AK69" s="83">
        <v>5661.48</v>
      </c>
      <c r="AL69" s="83">
        <v>80</v>
      </c>
      <c r="AM69" s="84">
        <v>45801</v>
      </c>
      <c r="AN69" s="85"/>
      <c r="AO69" s="30">
        <v>-175582.24</v>
      </c>
    </row>
    <row r="70" spans="1:41" ht="15.6">
      <c r="A70" s="19" t="s">
        <v>118</v>
      </c>
      <c r="B70" s="19" t="s">
        <v>362</v>
      </c>
      <c r="C70" s="20" t="s">
        <v>186</v>
      </c>
      <c r="D70" s="21" t="s">
        <v>538</v>
      </c>
      <c r="E70" s="44">
        <v>45056</v>
      </c>
      <c r="F70" s="21" t="s">
        <v>419</v>
      </c>
      <c r="G70" s="23">
        <v>10208613</v>
      </c>
      <c r="H70" s="23">
        <v>4500000</v>
      </c>
      <c r="I70" s="23">
        <v>3530551.47</v>
      </c>
      <c r="J70" s="23">
        <v>0</v>
      </c>
      <c r="K70" s="23">
        <v>3561477</v>
      </c>
      <c r="L70" s="24">
        <v>0.78456699333333335</v>
      </c>
      <c r="M70" s="25">
        <v>56</v>
      </c>
      <c r="N70" s="25">
        <v>49</v>
      </c>
      <c r="O70" s="25">
        <v>3</v>
      </c>
      <c r="P70" s="25">
        <v>59</v>
      </c>
      <c r="Q70" s="25">
        <v>10</v>
      </c>
      <c r="R70" s="25">
        <v>18</v>
      </c>
      <c r="S70" s="25">
        <v>0</v>
      </c>
      <c r="T70" s="25">
        <v>2</v>
      </c>
      <c r="U70" s="25">
        <v>71</v>
      </c>
      <c r="V70" s="25">
        <v>148</v>
      </c>
      <c r="W70" s="25">
        <v>3</v>
      </c>
      <c r="X70" s="25">
        <v>0</v>
      </c>
      <c r="Y70" s="25">
        <v>0</v>
      </c>
      <c r="Z70" s="25">
        <v>289</v>
      </c>
      <c r="AA70" s="25">
        <v>440</v>
      </c>
      <c r="AB70" s="25">
        <v>72</v>
      </c>
      <c r="AC70" s="23">
        <v>49035.437083333338</v>
      </c>
      <c r="AD70" s="26">
        <v>4.0138888888888893</v>
      </c>
      <c r="AE70" s="23">
        <v>68751</v>
      </c>
      <c r="AF70" s="23">
        <v>26444</v>
      </c>
      <c r="AG70" s="24">
        <v>2.6963209801328856E-2</v>
      </c>
      <c r="AH70" s="23">
        <v>196141.74833333335</v>
      </c>
      <c r="AI70" s="83">
        <v>35</v>
      </c>
      <c r="AJ70" s="83">
        <v>794</v>
      </c>
      <c r="AK70" s="83">
        <v>4805.79</v>
      </c>
      <c r="AL70" s="83">
        <v>98</v>
      </c>
      <c r="AM70" s="84"/>
      <c r="AN70" s="85"/>
      <c r="AO70" s="30">
        <v>30925.529999999795</v>
      </c>
    </row>
    <row r="71" spans="1:41" ht="15.6">
      <c r="A71" s="19" t="s">
        <v>118</v>
      </c>
      <c r="B71" s="19" t="s">
        <v>372</v>
      </c>
      <c r="C71" s="20" t="s">
        <v>187</v>
      </c>
      <c r="D71" s="21" t="s">
        <v>514</v>
      </c>
      <c r="E71" s="44">
        <v>45058</v>
      </c>
      <c r="F71" s="21" t="s">
        <v>447</v>
      </c>
      <c r="G71" s="23">
        <v>3848383</v>
      </c>
      <c r="H71" s="23">
        <v>6000000</v>
      </c>
      <c r="I71" s="23">
        <v>1796254.91</v>
      </c>
      <c r="J71" s="23">
        <v>0</v>
      </c>
      <c r="K71" s="23">
        <v>4678508.2</v>
      </c>
      <c r="L71" s="24">
        <v>0.29937581833333332</v>
      </c>
      <c r="M71" s="25">
        <v>111</v>
      </c>
      <c r="N71" s="25">
        <v>82</v>
      </c>
      <c r="O71" s="25">
        <v>4</v>
      </c>
      <c r="P71" s="25">
        <v>115</v>
      </c>
      <c r="Q71" s="25">
        <v>33</v>
      </c>
      <c r="R71" s="25">
        <v>31</v>
      </c>
      <c r="S71" s="25">
        <v>0</v>
      </c>
      <c r="T71" s="25">
        <v>3</v>
      </c>
      <c r="U71" s="25">
        <v>64</v>
      </c>
      <c r="V71" s="25">
        <v>74</v>
      </c>
      <c r="W71" s="25">
        <v>44</v>
      </c>
      <c r="X71" s="25">
        <v>0</v>
      </c>
      <c r="Y71" s="25">
        <v>0</v>
      </c>
      <c r="Z71" s="25">
        <v>205</v>
      </c>
      <c r="AA71" s="25">
        <v>323</v>
      </c>
      <c r="AB71" s="25">
        <v>74</v>
      </c>
      <c r="AC71" s="23">
        <v>24273.715</v>
      </c>
      <c r="AD71" s="26">
        <v>2.7702702702702702</v>
      </c>
      <c r="AE71" s="23">
        <v>86250</v>
      </c>
      <c r="AF71" s="23">
        <v>28202</v>
      </c>
      <c r="AG71" s="24">
        <v>6.371701441862726E-2</v>
      </c>
      <c r="AH71" s="23">
        <v>57943.706774193546</v>
      </c>
      <c r="AI71" s="83">
        <v>50</v>
      </c>
      <c r="AJ71" s="83">
        <v>696</v>
      </c>
      <c r="AK71" s="83">
        <v>2629.82</v>
      </c>
      <c r="AL71" s="83">
        <v>32</v>
      </c>
      <c r="AM71" s="84"/>
      <c r="AN71" s="85"/>
      <c r="AO71" s="30">
        <v>2882253.29</v>
      </c>
    </row>
    <row r="72" spans="1:41" ht="15.6">
      <c r="A72" s="19" t="s">
        <v>154</v>
      </c>
      <c r="B72" s="19" t="s">
        <v>370</v>
      </c>
      <c r="C72" s="20" t="s">
        <v>188</v>
      </c>
      <c r="D72" s="21" t="s">
        <v>369</v>
      </c>
      <c r="E72" s="44">
        <v>45061</v>
      </c>
      <c r="F72" s="21" t="s">
        <v>542</v>
      </c>
      <c r="G72" s="23">
        <v>10859936</v>
      </c>
      <c r="H72" s="23">
        <v>4500000</v>
      </c>
      <c r="I72" s="23">
        <v>3819522.05</v>
      </c>
      <c r="J72" s="23">
        <v>0</v>
      </c>
      <c r="K72" s="23">
        <v>4399310</v>
      </c>
      <c r="L72" s="24">
        <v>0.84878267777777772</v>
      </c>
      <c r="M72" s="25">
        <v>109</v>
      </c>
      <c r="N72" s="25">
        <v>98</v>
      </c>
      <c r="O72" s="25">
        <v>9</v>
      </c>
      <c r="P72" s="25">
        <v>118</v>
      </c>
      <c r="Q72" s="25">
        <v>20</v>
      </c>
      <c r="R72" s="25">
        <v>40</v>
      </c>
      <c r="S72" s="25">
        <v>0</v>
      </c>
      <c r="T72" s="25">
        <v>9</v>
      </c>
      <c r="U72" s="25">
        <v>81</v>
      </c>
      <c r="V72" s="25">
        <v>104</v>
      </c>
      <c r="W72" s="25">
        <v>18</v>
      </c>
      <c r="X72" s="25">
        <v>0</v>
      </c>
      <c r="Y72" s="25">
        <v>6</v>
      </c>
      <c r="Z72" s="25">
        <v>424</v>
      </c>
      <c r="AA72" s="25">
        <v>552</v>
      </c>
      <c r="AB72" s="25">
        <v>69</v>
      </c>
      <c r="AC72" s="23">
        <v>55355.392028985501</v>
      </c>
      <c r="AD72" s="26">
        <v>6.1449275362318838</v>
      </c>
      <c r="AE72" s="23">
        <v>108570</v>
      </c>
      <c r="AF72" s="23">
        <v>18986</v>
      </c>
      <c r="AG72" s="24">
        <v>3.3395801445890334E-2</v>
      </c>
      <c r="AH72" s="23">
        <v>95488.05124999999</v>
      </c>
      <c r="AI72" s="83">
        <v>70</v>
      </c>
      <c r="AJ72" s="83">
        <v>762</v>
      </c>
      <c r="AK72" s="83">
        <v>6448.47</v>
      </c>
      <c r="AL72" s="83">
        <v>66</v>
      </c>
      <c r="AM72" s="99"/>
      <c r="AN72" s="99"/>
      <c r="AO72" s="30">
        <v>579787.95000000019</v>
      </c>
    </row>
    <row r="73" spans="1:41" ht="15.6">
      <c r="A73" s="19" t="s">
        <v>136</v>
      </c>
      <c r="B73" s="19" t="s">
        <v>653</v>
      </c>
      <c r="C73" s="20" t="s">
        <v>192</v>
      </c>
      <c r="D73" s="21" t="s">
        <v>422</v>
      </c>
      <c r="E73" s="44">
        <v>45068</v>
      </c>
      <c r="F73" s="21" t="s">
        <v>421</v>
      </c>
      <c r="G73" s="23">
        <v>9383403</v>
      </c>
      <c r="H73" s="23">
        <v>6375000</v>
      </c>
      <c r="I73" s="23">
        <v>1973201.9</v>
      </c>
      <c r="J73" s="23">
        <v>1361032.44</v>
      </c>
      <c r="K73" s="23">
        <v>3219320</v>
      </c>
      <c r="L73" s="24">
        <v>0.52301715137254901</v>
      </c>
      <c r="M73" s="25">
        <v>48</v>
      </c>
      <c r="N73" s="25">
        <v>36</v>
      </c>
      <c r="O73" s="25">
        <v>0</v>
      </c>
      <c r="P73" s="25">
        <v>48</v>
      </c>
      <c r="Q73" s="25">
        <v>12</v>
      </c>
      <c r="R73" s="25">
        <v>22</v>
      </c>
      <c r="S73" s="25">
        <v>6</v>
      </c>
      <c r="T73" s="25">
        <v>0</v>
      </c>
      <c r="U73" s="25">
        <v>14</v>
      </c>
      <c r="V73" s="25">
        <v>27</v>
      </c>
      <c r="W73" s="25">
        <v>33</v>
      </c>
      <c r="X73" s="25">
        <v>46</v>
      </c>
      <c r="Y73" s="25">
        <v>4</v>
      </c>
      <c r="Z73" s="25">
        <v>138</v>
      </c>
      <c r="AA73" s="25">
        <v>248</v>
      </c>
      <c r="AB73" s="25">
        <v>76</v>
      </c>
      <c r="AC73" s="23">
        <v>43871.50447368421</v>
      </c>
      <c r="AD73" s="26">
        <v>1.8157894736842106</v>
      </c>
      <c r="AE73" s="23">
        <v>82500</v>
      </c>
      <c r="AF73" s="23">
        <v>9490</v>
      </c>
      <c r="AG73" s="24">
        <v>2.7589542491485469E-2</v>
      </c>
      <c r="AH73" s="23">
        <v>89690.995454545453</v>
      </c>
      <c r="AI73" s="83">
        <v>44</v>
      </c>
      <c r="AJ73" s="83">
        <v>623</v>
      </c>
      <c r="AK73" s="83">
        <v>3304.68</v>
      </c>
      <c r="AL73" s="83">
        <v>92</v>
      </c>
      <c r="AM73" s="99"/>
      <c r="AN73" s="99"/>
      <c r="AO73" s="30">
        <v>-114914.33999999985</v>
      </c>
    </row>
    <row r="74" spans="1:41" ht="15.6">
      <c r="A74" s="19" t="s">
        <v>118</v>
      </c>
      <c r="B74" s="19" t="s">
        <v>362</v>
      </c>
      <c r="C74" s="20" t="s">
        <v>189</v>
      </c>
      <c r="D74" s="21" t="s">
        <v>544</v>
      </c>
      <c r="E74" s="44">
        <v>45069</v>
      </c>
      <c r="F74" s="21" t="s">
        <v>419</v>
      </c>
      <c r="G74" s="23">
        <v>12280918.9</v>
      </c>
      <c r="H74" s="23">
        <v>4500000</v>
      </c>
      <c r="I74" s="23">
        <v>1856755.06</v>
      </c>
      <c r="J74" s="23">
        <v>0</v>
      </c>
      <c r="K74" s="23">
        <v>2176861</v>
      </c>
      <c r="L74" s="24">
        <v>0.4126122355555556</v>
      </c>
      <c r="M74" s="25">
        <v>41</v>
      </c>
      <c r="N74" s="25">
        <v>36</v>
      </c>
      <c r="O74" s="25">
        <v>2</v>
      </c>
      <c r="P74" s="25">
        <v>43</v>
      </c>
      <c r="Q74" s="25">
        <v>7</v>
      </c>
      <c r="R74" s="25">
        <v>23</v>
      </c>
      <c r="S74" s="25">
        <v>0</v>
      </c>
      <c r="T74" s="25">
        <v>2</v>
      </c>
      <c r="U74" s="25">
        <v>20</v>
      </c>
      <c r="V74" s="25">
        <v>51</v>
      </c>
      <c r="W74" s="25">
        <v>6</v>
      </c>
      <c r="X74" s="25">
        <v>0</v>
      </c>
      <c r="Y74" s="25">
        <v>0</v>
      </c>
      <c r="Z74" s="25">
        <v>314</v>
      </c>
      <c r="AA74" s="25">
        <v>371</v>
      </c>
      <c r="AB74" s="25">
        <v>77</v>
      </c>
      <c r="AC74" s="23">
        <v>24113.70207792208</v>
      </c>
      <c r="AD74" s="26">
        <v>4.0779220779220777</v>
      </c>
      <c r="AE74" s="23">
        <v>79500</v>
      </c>
      <c r="AF74" s="23">
        <v>18478</v>
      </c>
      <c r="AG74" s="24">
        <v>5.2768403388651595E-2</v>
      </c>
      <c r="AH74" s="23">
        <v>80728.480869565217</v>
      </c>
      <c r="AI74" s="83">
        <v>49</v>
      </c>
      <c r="AJ74" s="83">
        <v>841</v>
      </c>
      <c r="AK74" s="83">
        <v>4245.82</v>
      </c>
      <c r="AL74" s="83">
        <v>118</v>
      </c>
      <c r="AM74" s="99"/>
      <c r="AN74" s="99"/>
      <c r="AO74" s="30">
        <v>320105.93999999994</v>
      </c>
    </row>
    <row r="75" spans="1:41" ht="15.6">
      <c r="A75" s="19" t="s">
        <v>118</v>
      </c>
      <c r="B75" s="19" t="s">
        <v>362</v>
      </c>
      <c r="C75" s="20" t="s">
        <v>190</v>
      </c>
      <c r="D75" s="21" t="s">
        <v>539</v>
      </c>
      <c r="E75" s="44">
        <v>45069</v>
      </c>
      <c r="F75" s="21" t="s">
        <v>419</v>
      </c>
      <c r="G75" s="23">
        <v>16611055.629999999</v>
      </c>
      <c r="H75" s="23">
        <v>4500000</v>
      </c>
      <c r="I75" s="23">
        <v>4339586.4000000004</v>
      </c>
      <c r="J75" s="23">
        <v>0</v>
      </c>
      <c r="K75" s="23">
        <v>4402927</v>
      </c>
      <c r="L75" s="24">
        <v>0.96435253333333337</v>
      </c>
      <c r="M75" s="25">
        <v>122</v>
      </c>
      <c r="N75" s="25">
        <v>100</v>
      </c>
      <c r="O75" s="25">
        <v>1</v>
      </c>
      <c r="P75" s="25">
        <v>123</v>
      </c>
      <c r="Q75" s="25">
        <v>23</v>
      </c>
      <c r="R75" s="25">
        <v>83</v>
      </c>
      <c r="S75" s="25">
        <v>0</v>
      </c>
      <c r="T75" s="25">
        <v>0</v>
      </c>
      <c r="U75" s="25">
        <v>2</v>
      </c>
      <c r="V75" s="25">
        <v>2</v>
      </c>
      <c r="W75" s="25">
        <v>12</v>
      </c>
      <c r="X75" s="25">
        <v>0</v>
      </c>
      <c r="Y75" s="25">
        <v>0</v>
      </c>
      <c r="Z75" s="25">
        <v>383</v>
      </c>
      <c r="AA75" s="25">
        <v>397</v>
      </c>
      <c r="AB75" s="25">
        <v>74</v>
      </c>
      <c r="AC75" s="23">
        <v>58643.059459459466</v>
      </c>
      <c r="AD75" s="26">
        <v>5.1756756756756754</v>
      </c>
      <c r="AE75" s="23">
        <v>68751</v>
      </c>
      <c r="AF75" s="23">
        <v>11250</v>
      </c>
      <c r="AG75" s="24">
        <v>1.8435167001168588E-2</v>
      </c>
      <c r="AH75" s="23">
        <v>52284.173493975912</v>
      </c>
      <c r="AI75" s="83">
        <v>155</v>
      </c>
      <c r="AJ75" s="83">
        <v>794</v>
      </c>
      <c r="AK75" s="83">
        <v>4542.3500000000004</v>
      </c>
      <c r="AL75" s="83">
        <v>45</v>
      </c>
      <c r="AM75" s="99"/>
      <c r="AN75" s="99"/>
      <c r="AO75" s="30">
        <v>63340.599999999627</v>
      </c>
    </row>
    <row r="76" spans="1:41" ht="15.6">
      <c r="A76" s="19" t="s">
        <v>118</v>
      </c>
      <c r="B76" s="19" t="s">
        <v>375</v>
      </c>
      <c r="C76" s="20" t="s">
        <v>191</v>
      </c>
      <c r="D76" s="21" t="s">
        <v>545</v>
      </c>
      <c r="E76" s="44">
        <v>45071</v>
      </c>
      <c r="F76" s="21" t="s">
        <v>473</v>
      </c>
      <c r="G76" s="23">
        <v>3069474</v>
      </c>
      <c r="H76" s="23">
        <v>2400000</v>
      </c>
      <c r="I76" s="23">
        <v>606786.61</v>
      </c>
      <c r="J76" s="23">
        <v>0</v>
      </c>
      <c r="K76" s="23">
        <v>0</v>
      </c>
      <c r="L76" s="24">
        <v>0.25282775416666664</v>
      </c>
      <c r="M76" s="25">
        <v>56</v>
      </c>
      <c r="N76" s="25">
        <v>55</v>
      </c>
      <c r="O76" s="25">
        <v>1</v>
      </c>
      <c r="P76" s="25">
        <v>57</v>
      </c>
      <c r="Q76" s="25">
        <v>2</v>
      </c>
      <c r="R76" s="25">
        <v>22</v>
      </c>
      <c r="S76" s="25">
        <v>0</v>
      </c>
      <c r="T76" s="25">
        <v>1</v>
      </c>
      <c r="U76" s="25">
        <v>32</v>
      </c>
      <c r="V76" s="25">
        <v>44</v>
      </c>
      <c r="W76" s="25">
        <v>1</v>
      </c>
      <c r="X76" s="25">
        <v>0</v>
      </c>
      <c r="Y76" s="25">
        <v>0</v>
      </c>
      <c r="Z76" s="25">
        <v>221</v>
      </c>
      <c r="AA76" s="25">
        <v>266</v>
      </c>
      <c r="AB76" s="25">
        <v>49</v>
      </c>
      <c r="AC76" s="23">
        <v>12383.400204081632</v>
      </c>
      <c r="AD76" s="26">
        <v>4.5102040816326534</v>
      </c>
      <c r="AE76" s="23">
        <v>48334</v>
      </c>
      <c r="AF76" s="23">
        <v>27708</v>
      </c>
      <c r="AG76" s="24">
        <v>0.12531917934049336</v>
      </c>
      <c r="AH76" s="23">
        <v>27581.209545454545</v>
      </c>
      <c r="AI76" s="83">
        <v>31</v>
      </c>
      <c r="AJ76" s="83">
        <v>400</v>
      </c>
      <c r="AK76" s="83">
        <v>3724</v>
      </c>
      <c r="AL76" s="83">
        <v>68</v>
      </c>
      <c r="AM76" s="99">
        <v>45808</v>
      </c>
      <c r="AN76" s="99"/>
      <c r="AO76" s="30">
        <v>-606786.61</v>
      </c>
    </row>
    <row r="77" spans="1:41" ht="15.6">
      <c r="A77" s="19" t="s">
        <v>154</v>
      </c>
      <c r="B77" s="19" t="s">
        <v>370</v>
      </c>
      <c r="C77" s="20" t="s">
        <v>193</v>
      </c>
      <c r="D77" s="21" t="s">
        <v>369</v>
      </c>
      <c r="E77" s="44">
        <v>45079</v>
      </c>
      <c r="F77" s="21" t="s">
        <v>542</v>
      </c>
      <c r="G77" s="23">
        <v>6258334</v>
      </c>
      <c r="H77" s="23">
        <v>0</v>
      </c>
      <c r="I77" s="23">
        <v>301773.34999999998</v>
      </c>
      <c r="J77" s="23">
        <v>0</v>
      </c>
      <c r="K77" s="23">
        <v>0</v>
      </c>
      <c r="L77" s="24"/>
      <c r="M77" s="25">
        <v>94</v>
      </c>
      <c r="N77" s="25">
        <v>70</v>
      </c>
      <c r="O77" s="25">
        <v>4</v>
      </c>
      <c r="P77" s="25">
        <v>98</v>
      </c>
      <c r="Q77" s="25">
        <v>28</v>
      </c>
      <c r="R77" s="25">
        <v>31</v>
      </c>
      <c r="S77" s="25">
        <v>0</v>
      </c>
      <c r="T77" s="25">
        <v>1</v>
      </c>
      <c r="U77" s="25">
        <v>108</v>
      </c>
      <c r="V77" s="25">
        <v>117</v>
      </c>
      <c r="W77" s="25">
        <v>12</v>
      </c>
      <c r="X77" s="25">
        <v>0</v>
      </c>
      <c r="Y77" s="25">
        <v>1</v>
      </c>
      <c r="Z77" s="25">
        <v>126</v>
      </c>
      <c r="AA77" s="25">
        <v>256</v>
      </c>
      <c r="AB77" s="25">
        <v>37</v>
      </c>
      <c r="AC77" s="23">
        <v>8156.036486486486</v>
      </c>
      <c r="AD77" s="26">
        <v>3.4054054054054053</v>
      </c>
      <c r="AE77" s="23">
        <v>37331.75</v>
      </c>
      <c r="AF77" s="23">
        <v>24883</v>
      </c>
      <c r="AG77" s="24">
        <v>0.20616383123294355</v>
      </c>
      <c r="AH77" s="23">
        <v>9734.6241935483868</v>
      </c>
      <c r="AI77" s="83">
        <v>35</v>
      </c>
      <c r="AJ77" s="83">
        <v>441</v>
      </c>
      <c r="AK77" s="83">
        <v>3921.81</v>
      </c>
      <c r="AL77" s="83">
        <v>56</v>
      </c>
      <c r="AM77" s="99">
        <v>45794</v>
      </c>
      <c r="AN77" s="99"/>
      <c r="AO77" s="30">
        <v>-301773.34999999998</v>
      </c>
    </row>
    <row r="78" spans="1:41" ht="15.6">
      <c r="A78" s="19" t="s">
        <v>201</v>
      </c>
      <c r="B78" s="19" t="s">
        <v>431</v>
      </c>
      <c r="C78" s="20" t="s">
        <v>195</v>
      </c>
      <c r="D78" s="21" t="s">
        <v>541</v>
      </c>
      <c r="E78" s="44">
        <v>45080</v>
      </c>
      <c r="F78" s="21" t="s">
        <v>431</v>
      </c>
      <c r="G78" s="23">
        <v>17874712</v>
      </c>
      <c r="H78" s="23">
        <v>7500000</v>
      </c>
      <c r="I78" s="23">
        <v>3762036</v>
      </c>
      <c r="J78" s="23">
        <v>1301195.2</v>
      </c>
      <c r="K78" s="23">
        <v>4104179</v>
      </c>
      <c r="L78" s="24">
        <v>0.67509749333333335</v>
      </c>
      <c r="M78" s="25">
        <v>115</v>
      </c>
      <c r="N78" s="25">
        <v>85</v>
      </c>
      <c r="O78" s="25">
        <v>4</v>
      </c>
      <c r="P78" s="25">
        <v>119</v>
      </c>
      <c r="Q78" s="25">
        <v>34</v>
      </c>
      <c r="R78" s="25">
        <v>32</v>
      </c>
      <c r="S78" s="25">
        <v>6</v>
      </c>
      <c r="T78" s="25">
        <v>3</v>
      </c>
      <c r="U78" s="25">
        <v>60</v>
      </c>
      <c r="V78" s="25">
        <v>77</v>
      </c>
      <c r="W78" s="25">
        <v>38</v>
      </c>
      <c r="X78" s="25">
        <v>37</v>
      </c>
      <c r="Y78" s="25">
        <v>0</v>
      </c>
      <c r="Z78" s="25">
        <v>298</v>
      </c>
      <c r="AA78" s="25">
        <v>450</v>
      </c>
      <c r="AB78" s="25">
        <v>76</v>
      </c>
      <c r="AC78" s="23">
        <v>66621.463157894745</v>
      </c>
      <c r="AD78" s="26">
        <v>3.9210526315789473</v>
      </c>
      <c r="AE78" s="23">
        <v>151251</v>
      </c>
      <c r="AF78" s="23">
        <v>29355</v>
      </c>
      <c r="AG78" s="24">
        <v>3.5670107262729775E-2</v>
      </c>
      <c r="AH78" s="23">
        <v>117563.625</v>
      </c>
      <c r="AI78" s="83">
        <v>68</v>
      </c>
      <c r="AJ78" s="83">
        <v>818</v>
      </c>
      <c r="AK78" s="83">
        <v>5761.86</v>
      </c>
      <c r="AL78" s="83">
        <v>68</v>
      </c>
      <c r="AM78" s="99"/>
      <c r="AN78" s="99"/>
      <c r="AO78" s="30">
        <v>-959052.20000000019</v>
      </c>
    </row>
    <row r="79" spans="1:41" ht="15.6">
      <c r="A79" s="19" t="s">
        <v>118</v>
      </c>
      <c r="B79" s="19" t="s">
        <v>362</v>
      </c>
      <c r="C79" s="20" t="s">
        <v>197</v>
      </c>
      <c r="D79" s="21" t="s">
        <v>547</v>
      </c>
      <c r="E79" s="44">
        <v>45084</v>
      </c>
      <c r="F79" s="21" t="s">
        <v>419</v>
      </c>
      <c r="G79" s="23">
        <v>7732005</v>
      </c>
      <c r="H79" s="23">
        <v>7500000</v>
      </c>
      <c r="I79" s="23">
        <v>1653904.09</v>
      </c>
      <c r="J79" s="23">
        <v>0</v>
      </c>
      <c r="K79" s="23">
        <v>1904689</v>
      </c>
      <c r="L79" s="24">
        <v>0.22052054533333335</v>
      </c>
      <c r="M79" s="25">
        <v>78</v>
      </c>
      <c r="N79" s="25">
        <v>77</v>
      </c>
      <c r="O79" s="25">
        <v>6</v>
      </c>
      <c r="P79" s="25">
        <v>84</v>
      </c>
      <c r="Q79" s="25">
        <v>7</v>
      </c>
      <c r="R79" s="25">
        <v>20</v>
      </c>
      <c r="S79" s="25">
        <v>0</v>
      </c>
      <c r="T79" s="25">
        <v>3</v>
      </c>
      <c r="U79" s="25">
        <v>30</v>
      </c>
      <c r="V79" s="25">
        <v>46</v>
      </c>
      <c r="W79" s="25">
        <v>8</v>
      </c>
      <c r="X79" s="25">
        <v>0</v>
      </c>
      <c r="Y79" s="25">
        <v>0</v>
      </c>
      <c r="Z79" s="25">
        <v>210</v>
      </c>
      <c r="AA79" s="25">
        <v>264</v>
      </c>
      <c r="AB79" s="25">
        <v>48</v>
      </c>
      <c r="AC79" s="23">
        <v>34456.335208333338</v>
      </c>
      <c r="AD79" s="26">
        <v>4.375</v>
      </c>
      <c r="AE79" s="23">
        <v>70500</v>
      </c>
      <c r="AF79" s="23">
        <v>5450</v>
      </c>
      <c r="AG79" s="24">
        <v>4.5921647125257425E-2</v>
      </c>
      <c r="AH79" s="23">
        <v>82695.204500000007</v>
      </c>
      <c r="AI79" s="83">
        <v>27</v>
      </c>
      <c r="AJ79" s="83">
        <v>398</v>
      </c>
      <c r="AK79" s="83">
        <v>5315.99</v>
      </c>
      <c r="AL79" s="83">
        <v>69</v>
      </c>
      <c r="AM79" s="99"/>
      <c r="AN79" s="99"/>
      <c r="AO79" s="30">
        <v>250784.90999999992</v>
      </c>
    </row>
    <row r="80" spans="1:41" ht="15.6">
      <c r="A80" s="19" t="s">
        <v>118</v>
      </c>
      <c r="B80" s="19" t="s">
        <v>484</v>
      </c>
      <c r="C80" s="20" t="s">
        <v>199</v>
      </c>
      <c r="D80" s="21" t="s">
        <v>549</v>
      </c>
      <c r="E80" s="44">
        <v>45108</v>
      </c>
      <c r="F80" s="21" t="s">
        <v>548</v>
      </c>
      <c r="G80" s="23">
        <v>10769962</v>
      </c>
      <c r="H80" s="23">
        <v>4500000</v>
      </c>
      <c r="I80" s="23">
        <v>4345155.8499999996</v>
      </c>
      <c r="J80" s="23">
        <v>0</v>
      </c>
      <c r="K80" s="23">
        <v>3149457</v>
      </c>
      <c r="L80" s="24">
        <v>0.96559018888888881</v>
      </c>
      <c r="M80" s="25">
        <v>57</v>
      </c>
      <c r="N80" s="25">
        <v>59</v>
      </c>
      <c r="O80" s="25">
        <v>5</v>
      </c>
      <c r="P80" s="25">
        <v>62</v>
      </c>
      <c r="Q80" s="25">
        <v>3</v>
      </c>
      <c r="R80" s="25">
        <v>25</v>
      </c>
      <c r="S80" s="25">
        <v>0</v>
      </c>
      <c r="T80" s="25">
        <v>5</v>
      </c>
      <c r="U80" s="25">
        <v>56</v>
      </c>
      <c r="V80" s="25">
        <v>105</v>
      </c>
      <c r="W80" s="25">
        <v>1</v>
      </c>
      <c r="X80" s="25">
        <v>0</v>
      </c>
      <c r="Y80" s="25">
        <v>0</v>
      </c>
      <c r="Z80" s="25">
        <v>316</v>
      </c>
      <c r="AA80" s="25">
        <v>422</v>
      </c>
      <c r="AB80" s="25">
        <v>75</v>
      </c>
      <c r="AC80" s="23">
        <v>57935.41133333333</v>
      </c>
      <c r="AD80" s="26">
        <v>4.2133333333333329</v>
      </c>
      <c r="AE80" s="23">
        <v>75495</v>
      </c>
      <c r="AF80" s="23">
        <v>30088</v>
      </c>
      <c r="AG80" s="24">
        <v>2.4299013348393479E-2</v>
      </c>
      <c r="AH80" s="23">
        <v>173806.234</v>
      </c>
      <c r="AI80" s="83">
        <v>36</v>
      </c>
      <c r="AJ80" s="83">
        <v>818</v>
      </c>
      <c r="AK80" s="83">
        <v>7261.08</v>
      </c>
      <c r="AL80" s="83">
        <v>123</v>
      </c>
      <c r="AM80" s="99"/>
      <c r="AN80" s="99"/>
      <c r="AO80" s="30">
        <v>-1195698.8499999996</v>
      </c>
    </row>
    <row r="81" spans="1:41" ht="15.6">
      <c r="A81" s="19" t="s">
        <v>118</v>
      </c>
      <c r="B81" s="19" t="s">
        <v>362</v>
      </c>
      <c r="C81" s="20" t="s">
        <v>200</v>
      </c>
      <c r="D81" s="21" t="s">
        <v>551</v>
      </c>
      <c r="E81" s="44">
        <v>45108</v>
      </c>
      <c r="F81" s="21" t="s">
        <v>419</v>
      </c>
      <c r="G81" s="23">
        <v>16550810.310000001</v>
      </c>
      <c r="H81" s="23">
        <v>12000000</v>
      </c>
      <c r="I81" s="23">
        <v>8376576.2999999998</v>
      </c>
      <c r="J81" s="23">
        <v>0</v>
      </c>
      <c r="K81" s="23">
        <v>6272809</v>
      </c>
      <c r="L81" s="24">
        <v>0.69804802499999996</v>
      </c>
      <c r="M81" s="25">
        <v>136</v>
      </c>
      <c r="N81" s="25">
        <v>74</v>
      </c>
      <c r="O81" s="25">
        <v>6</v>
      </c>
      <c r="P81" s="25">
        <v>142</v>
      </c>
      <c r="Q81" s="25">
        <v>68</v>
      </c>
      <c r="R81" s="25">
        <v>39</v>
      </c>
      <c r="S81" s="25">
        <v>0</v>
      </c>
      <c r="T81" s="25">
        <v>4</v>
      </c>
      <c r="U81" s="25">
        <v>3</v>
      </c>
      <c r="V81" s="25">
        <v>4</v>
      </c>
      <c r="W81" s="25">
        <v>18</v>
      </c>
      <c r="X81" s="25">
        <v>0</v>
      </c>
      <c r="Y81" s="25">
        <v>0</v>
      </c>
      <c r="Z81" s="25">
        <v>339</v>
      </c>
      <c r="AA81" s="25">
        <v>361</v>
      </c>
      <c r="AB81" s="25">
        <v>74</v>
      </c>
      <c r="AC81" s="23">
        <v>113196.97702702702</v>
      </c>
      <c r="AD81" s="26">
        <v>4.5810810810810807</v>
      </c>
      <c r="AE81" s="23">
        <v>54960</v>
      </c>
      <c r="AF81" s="23">
        <v>20495</v>
      </c>
      <c r="AG81" s="24">
        <v>9.0078568257057484E-3</v>
      </c>
      <c r="AH81" s="23">
        <v>214784.0076923077</v>
      </c>
      <c r="AI81" s="83">
        <v>60</v>
      </c>
      <c r="AJ81" s="83">
        <v>756</v>
      </c>
      <c r="AK81" s="83">
        <v>3265.93</v>
      </c>
      <c r="AL81" s="83">
        <v>44</v>
      </c>
      <c r="AM81" s="99"/>
      <c r="AN81" s="99"/>
      <c r="AO81" s="30">
        <v>-2103767.2999999998</v>
      </c>
    </row>
    <row r="82" spans="1:41" ht="15.6">
      <c r="A82" s="19" t="s">
        <v>118</v>
      </c>
      <c r="B82" s="19" t="s">
        <v>362</v>
      </c>
      <c r="C82" s="20" t="s">
        <v>202</v>
      </c>
      <c r="D82" s="21" t="s">
        <v>490</v>
      </c>
      <c r="E82" s="44">
        <v>45117</v>
      </c>
      <c r="F82" s="21" t="s">
        <v>419</v>
      </c>
      <c r="G82" s="23">
        <v>13630333</v>
      </c>
      <c r="H82" s="23">
        <v>4500000</v>
      </c>
      <c r="I82" s="23">
        <v>2583041.94</v>
      </c>
      <c r="J82" s="23">
        <v>0</v>
      </c>
      <c r="K82" s="23">
        <v>2411045</v>
      </c>
      <c r="L82" s="24">
        <v>0.57400931999999993</v>
      </c>
      <c r="M82" s="25">
        <v>57</v>
      </c>
      <c r="N82" s="25">
        <v>44</v>
      </c>
      <c r="O82" s="25">
        <v>5</v>
      </c>
      <c r="P82" s="25">
        <v>62</v>
      </c>
      <c r="Q82" s="25">
        <v>18</v>
      </c>
      <c r="R82" s="25">
        <v>27</v>
      </c>
      <c r="S82" s="25">
        <v>0</v>
      </c>
      <c r="T82" s="25">
        <v>5</v>
      </c>
      <c r="U82" s="25">
        <v>13</v>
      </c>
      <c r="V82" s="25">
        <v>41</v>
      </c>
      <c r="W82" s="25">
        <v>10</v>
      </c>
      <c r="X82" s="25">
        <v>0</v>
      </c>
      <c r="Y82" s="25">
        <v>0</v>
      </c>
      <c r="Z82" s="25">
        <v>326</v>
      </c>
      <c r="AA82" s="25">
        <v>377</v>
      </c>
      <c r="AB82" s="25">
        <v>68</v>
      </c>
      <c r="AC82" s="23">
        <v>37985.910882352939</v>
      </c>
      <c r="AD82" s="26">
        <v>4.7941176470588234</v>
      </c>
      <c r="AE82" s="23">
        <v>72360</v>
      </c>
      <c r="AF82" s="23">
        <v>19023</v>
      </c>
      <c r="AG82" s="24">
        <v>3.5378055069442658E-2</v>
      </c>
      <c r="AH82" s="23">
        <v>95668.22</v>
      </c>
      <c r="AI82" s="83">
        <v>70</v>
      </c>
      <c r="AJ82" s="83">
        <v>733</v>
      </c>
      <c r="AK82" s="83">
        <v>4265.8500000000004</v>
      </c>
      <c r="AL82" s="83">
        <v>97</v>
      </c>
      <c r="AM82" s="99"/>
      <c r="AN82" s="99"/>
      <c r="AO82" s="30">
        <v>-171996.93999999994</v>
      </c>
    </row>
    <row r="83" spans="1:41" ht="15.6">
      <c r="A83" s="19" t="s">
        <v>201</v>
      </c>
      <c r="B83" s="19" t="s">
        <v>431</v>
      </c>
      <c r="C83" s="20" t="s">
        <v>204</v>
      </c>
      <c r="D83" s="21" t="s">
        <v>543</v>
      </c>
      <c r="E83" s="44">
        <v>45121</v>
      </c>
      <c r="F83" s="21" t="s">
        <v>431</v>
      </c>
      <c r="G83" s="23">
        <v>22188990</v>
      </c>
      <c r="H83" s="23">
        <v>6624999</v>
      </c>
      <c r="I83" s="23">
        <v>6463041.5199999996</v>
      </c>
      <c r="J83" s="23">
        <v>0</v>
      </c>
      <c r="K83" s="23">
        <v>6411926</v>
      </c>
      <c r="L83" s="24">
        <v>0.97555358423450322</v>
      </c>
      <c r="M83" s="25">
        <v>61</v>
      </c>
      <c r="N83" s="25">
        <v>55</v>
      </c>
      <c r="O83" s="25">
        <v>3</v>
      </c>
      <c r="P83" s="25">
        <v>64</v>
      </c>
      <c r="Q83" s="25">
        <v>9</v>
      </c>
      <c r="R83" s="25">
        <v>25</v>
      </c>
      <c r="S83" s="25">
        <v>0</v>
      </c>
      <c r="T83" s="25">
        <v>3</v>
      </c>
      <c r="U83" s="25">
        <v>15</v>
      </c>
      <c r="V83" s="25">
        <v>19</v>
      </c>
      <c r="W83" s="25">
        <v>8</v>
      </c>
      <c r="X83" s="25">
        <v>0</v>
      </c>
      <c r="Y83" s="25">
        <v>0</v>
      </c>
      <c r="Z83" s="25">
        <v>198</v>
      </c>
      <c r="AA83" s="25">
        <v>225</v>
      </c>
      <c r="AB83" s="25">
        <v>67</v>
      </c>
      <c r="AC83" s="23">
        <v>96463.306268656714</v>
      </c>
      <c r="AD83" s="26">
        <v>2.955223880597015</v>
      </c>
      <c r="AE83" s="23">
        <v>72360</v>
      </c>
      <c r="AF83" s="23">
        <v>14146</v>
      </c>
      <c r="AG83" s="24">
        <v>1.3384719830795703E-2</v>
      </c>
      <c r="AH83" s="23">
        <v>258521.66079999998</v>
      </c>
      <c r="AI83" s="83">
        <v>48</v>
      </c>
      <c r="AJ83" s="83">
        <v>503</v>
      </c>
      <c r="AK83" s="83">
        <v>1774.52</v>
      </c>
      <c r="AL83" s="83">
        <v>32</v>
      </c>
      <c r="AM83" s="99"/>
      <c r="AN83" s="99"/>
      <c r="AO83" s="30">
        <v>-51115.519999999553</v>
      </c>
    </row>
    <row r="84" spans="1:41" ht="15.6">
      <c r="A84" s="19" t="s">
        <v>201</v>
      </c>
      <c r="B84" s="19" t="s">
        <v>431</v>
      </c>
      <c r="C84" s="20" t="s">
        <v>205</v>
      </c>
      <c r="D84" s="21" t="s">
        <v>546</v>
      </c>
      <c r="E84" s="44">
        <v>45122</v>
      </c>
      <c r="F84" s="21" t="s">
        <v>431</v>
      </c>
      <c r="G84" s="23">
        <v>6564514</v>
      </c>
      <c r="H84" s="23">
        <v>5375001</v>
      </c>
      <c r="I84" s="23">
        <v>3072307.52</v>
      </c>
      <c r="J84" s="23">
        <v>0</v>
      </c>
      <c r="K84" s="23">
        <v>2464541</v>
      </c>
      <c r="L84" s="24">
        <v>0.57159199040149011</v>
      </c>
      <c r="M84" s="25">
        <v>48</v>
      </c>
      <c r="N84" s="25">
        <v>42</v>
      </c>
      <c r="O84" s="25">
        <v>2</v>
      </c>
      <c r="P84" s="25">
        <v>50</v>
      </c>
      <c r="Q84" s="25">
        <v>8</v>
      </c>
      <c r="R84" s="25">
        <v>29</v>
      </c>
      <c r="S84" s="25">
        <v>0</v>
      </c>
      <c r="T84" s="25">
        <v>2</v>
      </c>
      <c r="U84" s="25">
        <v>57</v>
      </c>
      <c r="V84" s="25">
        <v>87</v>
      </c>
      <c r="W84" s="25">
        <v>2</v>
      </c>
      <c r="X84" s="25">
        <v>0</v>
      </c>
      <c r="Y84" s="25">
        <v>0</v>
      </c>
      <c r="Z84" s="25">
        <v>370</v>
      </c>
      <c r="AA84" s="25">
        <v>459</v>
      </c>
      <c r="AB84" s="25">
        <v>71</v>
      </c>
      <c r="AC84" s="23">
        <v>43271.936901408451</v>
      </c>
      <c r="AD84" s="26">
        <v>5.211267605633803</v>
      </c>
      <c r="AE84" s="23">
        <v>65955</v>
      </c>
      <c r="AF84" s="23">
        <v>10100</v>
      </c>
      <c r="AG84" s="24">
        <v>2.4755008899629942E-2</v>
      </c>
      <c r="AH84" s="23">
        <v>105941.63862068966</v>
      </c>
      <c r="AI84" s="83">
        <v>81</v>
      </c>
      <c r="AJ84" s="83">
        <v>510</v>
      </c>
      <c r="AK84" s="83">
        <v>2941.48</v>
      </c>
      <c r="AL84" s="83">
        <v>70</v>
      </c>
      <c r="AM84" s="99"/>
      <c r="AN84" s="99"/>
      <c r="AO84" s="30">
        <v>-607766.52</v>
      </c>
    </row>
    <row r="85" spans="1:41" ht="15.6">
      <c r="A85" s="19" t="s">
        <v>201</v>
      </c>
      <c r="B85" s="19" t="s">
        <v>443</v>
      </c>
      <c r="C85" s="20" t="s">
        <v>203</v>
      </c>
      <c r="D85" s="21" t="s">
        <v>550</v>
      </c>
      <c r="E85" s="44">
        <v>45124</v>
      </c>
      <c r="F85" s="21" t="s">
        <v>517</v>
      </c>
      <c r="G85" s="23">
        <v>9816935</v>
      </c>
      <c r="H85" s="23">
        <v>4950000</v>
      </c>
      <c r="I85" s="23">
        <v>2457259.5699999998</v>
      </c>
      <c r="J85" s="23">
        <v>0</v>
      </c>
      <c r="K85" s="23">
        <v>2136410</v>
      </c>
      <c r="L85" s="24">
        <v>0.49641607474747473</v>
      </c>
      <c r="M85" s="25">
        <v>40</v>
      </c>
      <c r="N85" s="25">
        <v>35</v>
      </c>
      <c r="O85" s="25">
        <v>1</v>
      </c>
      <c r="P85" s="25">
        <v>41</v>
      </c>
      <c r="Q85" s="25">
        <v>6</v>
      </c>
      <c r="R85" s="25">
        <v>27</v>
      </c>
      <c r="S85" s="25">
        <v>0</v>
      </c>
      <c r="T85" s="25">
        <v>1</v>
      </c>
      <c r="U85" s="25">
        <v>85</v>
      </c>
      <c r="V85" s="25">
        <v>152</v>
      </c>
      <c r="W85" s="25">
        <v>0</v>
      </c>
      <c r="X85" s="25">
        <v>0</v>
      </c>
      <c r="Y85" s="25">
        <v>0</v>
      </c>
      <c r="Z85" s="25">
        <v>89</v>
      </c>
      <c r="AA85" s="25">
        <v>241</v>
      </c>
      <c r="AB85" s="25">
        <v>62</v>
      </c>
      <c r="AC85" s="23">
        <v>39633.218870967736</v>
      </c>
      <c r="AD85" s="26">
        <v>1.435483870967742</v>
      </c>
      <c r="AE85" s="23">
        <v>79500</v>
      </c>
      <c r="AF85" s="23">
        <v>30339</v>
      </c>
      <c r="AG85" s="24">
        <v>4.4699795390358378E-2</v>
      </c>
      <c r="AH85" s="23">
        <v>91009.613703703697</v>
      </c>
      <c r="AI85" s="83">
        <v>88</v>
      </c>
      <c r="AJ85" s="83">
        <v>719</v>
      </c>
      <c r="AK85" s="83">
        <v>4305.04</v>
      </c>
      <c r="AL85" s="83">
        <v>123</v>
      </c>
      <c r="AM85" s="99"/>
      <c r="AN85" s="99"/>
      <c r="AO85" s="30">
        <v>-320849.56999999983</v>
      </c>
    </row>
    <row r="86" spans="1:41" ht="15.6">
      <c r="A86" s="19" t="s">
        <v>201</v>
      </c>
      <c r="B86" s="19" t="s">
        <v>469</v>
      </c>
      <c r="C86" s="20" t="s">
        <v>208</v>
      </c>
      <c r="D86" s="21" t="s">
        <v>552</v>
      </c>
      <c r="E86" s="44">
        <v>45145</v>
      </c>
      <c r="F86" s="21" t="s">
        <v>432</v>
      </c>
      <c r="G86" s="23">
        <v>11115196.659999998</v>
      </c>
      <c r="H86" s="23">
        <v>5499999</v>
      </c>
      <c r="I86" s="23">
        <v>2799441.57</v>
      </c>
      <c r="J86" s="23">
        <v>0</v>
      </c>
      <c r="K86" s="23">
        <v>2398055.1799999997</v>
      </c>
      <c r="L86" s="24">
        <v>0.50898946890717611</v>
      </c>
      <c r="M86" s="25">
        <v>63</v>
      </c>
      <c r="N86" s="25">
        <v>54</v>
      </c>
      <c r="O86" s="25">
        <v>1</v>
      </c>
      <c r="P86" s="25">
        <v>64</v>
      </c>
      <c r="Q86" s="25">
        <v>10</v>
      </c>
      <c r="R86" s="25">
        <v>33</v>
      </c>
      <c r="S86" s="25">
        <v>0</v>
      </c>
      <c r="T86" s="25">
        <v>1</v>
      </c>
      <c r="U86" s="25">
        <v>13</v>
      </c>
      <c r="V86" s="25">
        <v>21</v>
      </c>
      <c r="W86" s="25">
        <v>22</v>
      </c>
      <c r="X86" s="25">
        <v>0</v>
      </c>
      <c r="Y86" s="25">
        <v>0</v>
      </c>
      <c r="Z86" s="25">
        <v>221</v>
      </c>
      <c r="AA86" s="25">
        <v>264</v>
      </c>
      <c r="AB86" s="25">
        <v>69</v>
      </c>
      <c r="AC86" s="23">
        <v>40571.616956521735</v>
      </c>
      <c r="AD86" s="26">
        <v>3.2028985507246377</v>
      </c>
      <c r="AE86" s="23">
        <v>108570</v>
      </c>
      <c r="AF86" s="23">
        <v>23960</v>
      </c>
      <c r="AG86" s="24">
        <v>4.7341584628965844E-2</v>
      </c>
      <c r="AH86" s="23">
        <v>84831.562727272729</v>
      </c>
      <c r="AI86" s="83">
        <v>139</v>
      </c>
      <c r="AJ86" s="83">
        <v>636</v>
      </c>
      <c r="AK86" s="83">
        <v>4508.59</v>
      </c>
      <c r="AL86" s="83">
        <v>83</v>
      </c>
      <c r="AM86" s="99"/>
      <c r="AN86" s="99"/>
      <c r="AO86" s="30">
        <v>-401386.39000000013</v>
      </c>
    </row>
    <row r="87" spans="1:41" ht="15.6">
      <c r="A87" s="19" t="s">
        <v>118</v>
      </c>
      <c r="B87" s="19" t="s">
        <v>362</v>
      </c>
      <c r="C87" s="20" t="s">
        <v>210</v>
      </c>
      <c r="D87" s="21" t="s">
        <v>553</v>
      </c>
      <c r="E87" s="44">
        <v>45148</v>
      </c>
      <c r="F87" s="21" t="s">
        <v>419</v>
      </c>
      <c r="G87" s="23">
        <v>13172623</v>
      </c>
      <c r="H87" s="23">
        <v>5199999</v>
      </c>
      <c r="I87" s="23">
        <v>3738353.09</v>
      </c>
      <c r="J87" s="23">
        <v>0</v>
      </c>
      <c r="K87" s="23">
        <v>2913215</v>
      </c>
      <c r="L87" s="24">
        <v>0.71891419402196033</v>
      </c>
      <c r="M87" s="25">
        <v>84</v>
      </c>
      <c r="N87" s="25">
        <v>88</v>
      </c>
      <c r="O87" s="25">
        <v>9</v>
      </c>
      <c r="P87" s="25">
        <v>93</v>
      </c>
      <c r="Q87" s="25">
        <v>5</v>
      </c>
      <c r="R87" s="25">
        <v>51</v>
      </c>
      <c r="S87" s="25">
        <v>0</v>
      </c>
      <c r="T87" s="25">
        <v>7</v>
      </c>
      <c r="U87" s="25">
        <v>28</v>
      </c>
      <c r="V87" s="25">
        <v>36</v>
      </c>
      <c r="W87" s="25">
        <v>26</v>
      </c>
      <c r="X87" s="25">
        <v>0</v>
      </c>
      <c r="Y87" s="25">
        <v>0</v>
      </c>
      <c r="Z87" s="25">
        <v>311</v>
      </c>
      <c r="AA87" s="25">
        <v>373</v>
      </c>
      <c r="AB87" s="25">
        <v>72</v>
      </c>
      <c r="AC87" s="23">
        <v>51921.570694444439</v>
      </c>
      <c r="AD87" s="26">
        <v>4.3194444444444446</v>
      </c>
      <c r="AE87" s="23">
        <v>73275</v>
      </c>
      <c r="AF87" s="23">
        <v>21354</v>
      </c>
      <c r="AG87" s="24">
        <v>2.5313018252109513E-2</v>
      </c>
      <c r="AH87" s="23">
        <v>73301.04098039215</v>
      </c>
      <c r="AI87" s="83">
        <v>85</v>
      </c>
      <c r="AJ87" s="83">
        <v>831</v>
      </c>
      <c r="AK87" s="83">
        <v>5319.25</v>
      </c>
      <c r="AL87" s="83">
        <v>60</v>
      </c>
      <c r="AM87" s="99"/>
      <c r="AN87" s="99"/>
      <c r="AO87" s="30">
        <v>-825138.08999999985</v>
      </c>
    </row>
    <row r="88" spans="1:41" ht="15.6">
      <c r="A88" s="19" t="s">
        <v>201</v>
      </c>
      <c r="B88" s="19" t="s">
        <v>469</v>
      </c>
      <c r="C88" s="20" t="s">
        <v>211</v>
      </c>
      <c r="D88" s="21" t="s">
        <v>471</v>
      </c>
      <c r="E88" s="44">
        <v>45152</v>
      </c>
      <c r="F88" s="21" t="s">
        <v>470</v>
      </c>
      <c r="G88" s="23">
        <v>8371588</v>
      </c>
      <c r="H88" s="23">
        <v>6000000</v>
      </c>
      <c r="I88" s="23">
        <v>4902712.76</v>
      </c>
      <c r="J88" s="23">
        <v>0</v>
      </c>
      <c r="K88" s="23">
        <v>4129907</v>
      </c>
      <c r="L88" s="24">
        <v>0.81711879333333326</v>
      </c>
      <c r="M88" s="25">
        <v>89</v>
      </c>
      <c r="N88" s="25">
        <v>84</v>
      </c>
      <c r="O88" s="25">
        <v>19</v>
      </c>
      <c r="P88" s="25">
        <v>108</v>
      </c>
      <c r="Q88" s="25">
        <v>24</v>
      </c>
      <c r="R88" s="25">
        <v>58</v>
      </c>
      <c r="S88" s="25">
        <v>0</v>
      </c>
      <c r="T88" s="25">
        <v>16</v>
      </c>
      <c r="U88" s="25">
        <v>39</v>
      </c>
      <c r="V88" s="25">
        <v>44</v>
      </c>
      <c r="W88" s="25">
        <v>12</v>
      </c>
      <c r="X88" s="25">
        <v>0</v>
      </c>
      <c r="Y88" s="25">
        <v>22</v>
      </c>
      <c r="Z88" s="25">
        <v>167</v>
      </c>
      <c r="AA88" s="25">
        <v>245</v>
      </c>
      <c r="AB88" s="25">
        <v>70</v>
      </c>
      <c r="AC88" s="23">
        <v>70038.753714285718</v>
      </c>
      <c r="AD88" s="26">
        <v>2.3857142857142857</v>
      </c>
      <c r="AE88" s="23">
        <v>117996</v>
      </c>
      <c r="AF88" s="23">
        <v>25402</v>
      </c>
      <c r="AG88" s="24">
        <v>2.9248705159712438E-2</v>
      </c>
      <c r="AH88" s="23">
        <v>84529.530344827581</v>
      </c>
      <c r="AI88" s="83">
        <v>243</v>
      </c>
      <c r="AJ88" s="83">
        <v>599</v>
      </c>
      <c r="AK88" s="83">
        <v>3792.66</v>
      </c>
      <c r="AL88" s="83">
        <v>45</v>
      </c>
      <c r="AM88" s="99"/>
      <c r="AN88" s="99"/>
      <c r="AO88" s="30">
        <v>-772805.75999999978</v>
      </c>
    </row>
    <row r="89" spans="1:41" ht="15.6">
      <c r="A89" s="19" t="s">
        <v>124</v>
      </c>
      <c r="B89" s="19" t="s">
        <v>443</v>
      </c>
      <c r="C89" s="20" t="s">
        <v>212</v>
      </c>
      <c r="D89" s="21" t="s">
        <v>554</v>
      </c>
      <c r="E89" s="44">
        <v>45159</v>
      </c>
      <c r="F89" s="21" t="s">
        <v>517</v>
      </c>
      <c r="G89" s="23">
        <v>13420107</v>
      </c>
      <c r="H89" s="23">
        <v>4500000</v>
      </c>
      <c r="I89" s="23">
        <v>2640419.29</v>
      </c>
      <c r="J89" s="23">
        <v>0</v>
      </c>
      <c r="K89" s="23">
        <v>2665332</v>
      </c>
      <c r="L89" s="24">
        <v>0.58675984222222222</v>
      </c>
      <c r="M89" s="25">
        <v>61</v>
      </c>
      <c r="N89" s="25">
        <v>57</v>
      </c>
      <c r="O89" s="25">
        <v>4</v>
      </c>
      <c r="P89" s="25">
        <v>65</v>
      </c>
      <c r="Q89" s="25">
        <v>8</v>
      </c>
      <c r="R89" s="25">
        <v>34</v>
      </c>
      <c r="S89" s="25">
        <v>0</v>
      </c>
      <c r="T89" s="25">
        <v>4</v>
      </c>
      <c r="U89" s="25">
        <v>31</v>
      </c>
      <c r="V89" s="25">
        <v>45</v>
      </c>
      <c r="W89" s="25">
        <v>0</v>
      </c>
      <c r="X89" s="25">
        <v>0</v>
      </c>
      <c r="Y89" s="25">
        <v>0</v>
      </c>
      <c r="Z89" s="25">
        <v>334</v>
      </c>
      <c r="AA89" s="25">
        <v>379</v>
      </c>
      <c r="AB89" s="25">
        <v>73</v>
      </c>
      <c r="AC89" s="23">
        <v>36170.12726027397</v>
      </c>
      <c r="AD89" s="26">
        <v>4.5753424657534243</v>
      </c>
      <c r="AE89" s="23">
        <v>75495</v>
      </c>
      <c r="AF89" s="23">
        <v>10072</v>
      </c>
      <c r="AG89" s="24">
        <v>3.240659554490681E-2</v>
      </c>
      <c r="AH89" s="23">
        <v>77659.390882352949</v>
      </c>
      <c r="AI89" s="83">
        <v>78</v>
      </c>
      <c r="AJ89" s="83">
        <v>746</v>
      </c>
      <c r="AK89" s="83">
        <v>5177.59</v>
      </c>
      <c r="AL89" s="83">
        <v>91</v>
      </c>
      <c r="AM89" s="99"/>
      <c r="AN89" s="99"/>
      <c r="AO89" s="30">
        <v>24912.709999999963</v>
      </c>
    </row>
    <row r="90" spans="1:41" ht="15.6">
      <c r="A90" s="19" t="s">
        <v>118</v>
      </c>
      <c r="B90" s="19" t="s">
        <v>468</v>
      </c>
      <c r="C90" s="20" t="s">
        <v>213</v>
      </c>
      <c r="D90" s="21" t="s">
        <v>555</v>
      </c>
      <c r="E90" s="44">
        <v>45170</v>
      </c>
      <c r="F90" s="21" t="s">
        <v>509</v>
      </c>
      <c r="G90" s="23"/>
      <c r="H90" s="23">
        <v>0</v>
      </c>
      <c r="I90" s="23">
        <v>0</v>
      </c>
      <c r="J90" s="23">
        <v>0</v>
      </c>
      <c r="K90" s="23"/>
      <c r="L90" s="24"/>
      <c r="M90" s="25">
        <v>135</v>
      </c>
      <c r="N90" s="25">
        <v>99</v>
      </c>
      <c r="O90" s="25">
        <v>11</v>
      </c>
      <c r="P90" s="25">
        <v>146</v>
      </c>
      <c r="Q90" s="25">
        <v>47</v>
      </c>
      <c r="R90" s="25">
        <v>0</v>
      </c>
      <c r="S90" s="25">
        <v>0</v>
      </c>
      <c r="T90" s="25">
        <v>0</v>
      </c>
      <c r="U90" s="25">
        <v>23</v>
      </c>
      <c r="V90" s="25">
        <v>31</v>
      </c>
      <c r="W90" s="25">
        <v>41</v>
      </c>
      <c r="X90" s="25">
        <v>0</v>
      </c>
      <c r="Y90" s="25">
        <v>0</v>
      </c>
      <c r="Z90" s="25">
        <v>152</v>
      </c>
      <c r="AA90" s="25">
        <v>224</v>
      </c>
      <c r="AB90" s="25">
        <v>63</v>
      </c>
      <c r="AC90" s="23">
        <v>0</v>
      </c>
      <c r="AD90" s="26">
        <v>2.4126984126984126</v>
      </c>
      <c r="AE90" s="23">
        <v>256155</v>
      </c>
      <c r="AF90" s="23">
        <v>85667</v>
      </c>
      <c r="AG90" s="24"/>
      <c r="AH90" s="23"/>
      <c r="AI90" s="83">
        <v>0</v>
      </c>
      <c r="AJ90" s="83">
        <v>631</v>
      </c>
      <c r="AK90" s="83">
        <v>3680.13</v>
      </c>
      <c r="AL90" s="83">
        <v>37</v>
      </c>
      <c r="AM90" s="99"/>
      <c r="AN90" s="99"/>
      <c r="AO90" s="30">
        <v>0</v>
      </c>
    </row>
    <row r="91" spans="1:41" ht="15.6">
      <c r="A91" s="19" t="s">
        <v>201</v>
      </c>
      <c r="B91" s="19" t="s">
        <v>431</v>
      </c>
      <c r="C91" s="20" t="s">
        <v>214</v>
      </c>
      <c r="D91" s="21" t="s">
        <v>557</v>
      </c>
      <c r="E91" s="44">
        <v>45171</v>
      </c>
      <c r="F91" s="21" t="s">
        <v>556</v>
      </c>
      <c r="G91" s="23">
        <v>711581</v>
      </c>
      <c r="H91" s="23">
        <v>3000000</v>
      </c>
      <c r="I91" s="23">
        <v>352693.33</v>
      </c>
      <c r="J91" s="23">
        <v>0</v>
      </c>
      <c r="K91" s="23">
        <v>162786</v>
      </c>
      <c r="L91" s="24">
        <v>0.11756444333333334</v>
      </c>
      <c r="M91" s="25">
        <v>23</v>
      </c>
      <c r="N91" s="25">
        <v>22</v>
      </c>
      <c r="O91" s="25">
        <v>1</v>
      </c>
      <c r="P91" s="25">
        <v>24</v>
      </c>
      <c r="Q91" s="25">
        <v>2</v>
      </c>
      <c r="R91" s="25">
        <v>9</v>
      </c>
      <c r="S91" s="25">
        <v>0</v>
      </c>
      <c r="T91" s="25">
        <v>1</v>
      </c>
      <c r="U91" s="25">
        <v>42</v>
      </c>
      <c r="V91" s="25">
        <v>60</v>
      </c>
      <c r="W91" s="25">
        <v>32</v>
      </c>
      <c r="X91" s="25">
        <v>9</v>
      </c>
      <c r="Y91" s="25">
        <v>62</v>
      </c>
      <c r="Z91" s="25">
        <v>178</v>
      </c>
      <c r="AA91" s="25">
        <v>341</v>
      </c>
      <c r="AB91" s="25">
        <v>74</v>
      </c>
      <c r="AC91" s="23">
        <v>4766.1260810810809</v>
      </c>
      <c r="AD91" s="26">
        <v>2.4054054054054053</v>
      </c>
      <c r="AE91" s="23">
        <v>102270</v>
      </c>
      <c r="AF91" s="23">
        <v>17165</v>
      </c>
      <c r="AG91" s="24">
        <v>0.33863696826928935</v>
      </c>
      <c r="AH91" s="23">
        <v>39188.147777777776</v>
      </c>
      <c r="AI91" s="83">
        <v>19</v>
      </c>
      <c r="AJ91" s="83">
        <v>712</v>
      </c>
      <c r="AK91" s="83">
        <v>2985.13</v>
      </c>
      <c r="AL91" s="83">
        <v>136</v>
      </c>
      <c r="AM91" s="99"/>
      <c r="AN91" s="99"/>
      <c r="AO91" s="30">
        <v>-189907.33000000002</v>
      </c>
    </row>
    <row r="92" spans="1:41" ht="15.6">
      <c r="A92" s="19" t="s">
        <v>118</v>
      </c>
      <c r="B92" s="19" t="s">
        <v>468</v>
      </c>
      <c r="C92" s="20" t="s">
        <v>215</v>
      </c>
      <c r="D92" s="21" t="s">
        <v>558</v>
      </c>
      <c r="E92" s="44">
        <v>45184</v>
      </c>
      <c r="F92" s="21" t="s">
        <v>509</v>
      </c>
      <c r="G92" s="23">
        <v>14189383</v>
      </c>
      <c r="H92" s="23">
        <v>5574999</v>
      </c>
      <c r="I92" s="23">
        <v>3198999</v>
      </c>
      <c r="J92" s="23">
        <v>0</v>
      </c>
      <c r="K92" s="23">
        <v>3517343</v>
      </c>
      <c r="L92" s="24">
        <v>0.57381158274647226</v>
      </c>
      <c r="M92" s="25">
        <v>44</v>
      </c>
      <c r="N92" s="25">
        <v>39</v>
      </c>
      <c r="O92" s="25">
        <v>3</v>
      </c>
      <c r="P92" s="25">
        <v>47</v>
      </c>
      <c r="Q92" s="25">
        <v>8</v>
      </c>
      <c r="R92" s="25">
        <v>21</v>
      </c>
      <c r="S92" s="25">
        <v>0</v>
      </c>
      <c r="T92" s="25">
        <v>3</v>
      </c>
      <c r="U92" s="25">
        <v>7</v>
      </c>
      <c r="V92" s="25">
        <v>7</v>
      </c>
      <c r="W92" s="25">
        <v>3</v>
      </c>
      <c r="X92" s="25">
        <v>0</v>
      </c>
      <c r="Y92" s="25">
        <v>0</v>
      </c>
      <c r="Z92" s="25">
        <v>251</v>
      </c>
      <c r="AA92" s="25">
        <v>261</v>
      </c>
      <c r="AB92" s="25">
        <v>77</v>
      </c>
      <c r="AC92" s="23">
        <v>41545.441558441562</v>
      </c>
      <c r="AD92" s="26">
        <v>3.2597402597402598</v>
      </c>
      <c r="AE92" s="23">
        <v>97500</v>
      </c>
      <c r="AF92" s="23">
        <v>36094</v>
      </c>
      <c r="AG92" s="24">
        <v>4.1761188421753179E-2</v>
      </c>
      <c r="AH92" s="23">
        <v>152333.28571428571</v>
      </c>
      <c r="AI92" s="83">
        <v>49</v>
      </c>
      <c r="AJ92" s="83">
        <v>657</v>
      </c>
      <c r="AK92" s="83">
        <v>2994.74</v>
      </c>
      <c r="AL92" s="83">
        <v>77</v>
      </c>
      <c r="AM92" s="99"/>
      <c r="AN92" s="99"/>
      <c r="AO92" s="30">
        <v>318344</v>
      </c>
    </row>
    <row r="93" spans="1:41" ht="15.6">
      <c r="A93" s="19" t="s">
        <v>201</v>
      </c>
      <c r="B93" s="19" t="s">
        <v>431</v>
      </c>
      <c r="C93" s="20" t="s">
        <v>217</v>
      </c>
      <c r="D93" s="21" t="s">
        <v>531</v>
      </c>
      <c r="E93" s="44">
        <v>45187</v>
      </c>
      <c r="F93" s="21" t="s">
        <v>431</v>
      </c>
      <c r="G93" s="23">
        <v>5985747</v>
      </c>
      <c r="H93" s="23">
        <v>5499999</v>
      </c>
      <c r="I93" s="23">
        <v>2114157.62</v>
      </c>
      <c r="J93" s="23">
        <v>0</v>
      </c>
      <c r="K93" s="23">
        <v>1369431</v>
      </c>
      <c r="L93" s="24">
        <v>0.38439236443497538</v>
      </c>
      <c r="M93" s="25">
        <v>94</v>
      </c>
      <c r="N93" s="25">
        <v>76</v>
      </c>
      <c r="O93" s="25">
        <v>11</v>
      </c>
      <c r="P93" s="25">
        <v>105</v>
      </c>
      <c r="Q93" s="25">
        <v>29</v>
      </c>
      <c r="R93" s="25">
        <v>49</v>
      </c>
      <c r="S93" s="25">
        <v>0</v>
      </c>
      <c r="T93" s="25">
        <v>8</v>
      </c>
      <c r="U93" s="25">
        <v>28</v>
      </c>
      <c r="V93" s="25">
        <v>35</v>
      </c>
      <c r="W93" s="25">
        <v>37</v>
      </c>
      <c r="X93" s="25">
        <v>0</v>
      </c>
      <c r="Y93" s="25">
        <v>0</v>
      </c>
      <c r="Z93" s="25">
        <v>284</v>
      </c>
      <c r="AA93" s="25">
        <v>356</v>
      </c>
      <c r="AB93" s="25">
        <v>72</v>
      </c>
      <c r="AC93" s="23">
        <v>29363.30027777778</v>
      </c>
      <c r="AD93" s="26">
        <v>3.9444444444444446</v>
      </c>
      <c r="AE93" s="23">
        <v>133095</v>
      </c>
      <c r="AF93" s="23">
        <v>17488</v>
      </c>
      <c r="AG93" s="24">
        <v>7.1226004426292483E-2</v>
      </c>
      <c r="AH93" s="23">
        <v>43146.073877551025</v>
      </c>
      <c r="AI93" s="83">
        <v>117</v>
      </c>
      <c r="AJ93" s="83">
        <v>610</v>
      </c>
      <c r="AK93" s="83">
        <v>3144.91</v>
      </c>
      <c r="AL93" s="83">
        <v>41</v>
      </c>
      <c r="AM93" s="99"/>
      <c r="AN93" s="99"/>
      <c r="AO93" s="30">
        <v>-744726.62000000011</v>
      </c>
    </row>
    <row r="94" spans="1:41" ht="15.6">
      <c r="A94" s="19" t="s">
        <v>118</v>
      </c>
      <c r="B94" s="19" t="s">
        <v>362</v>
      </c>
      <c r="C94" s="20" t="s">
        <v>218</v>
      </c>
      <c r="D94" s="21" t="s">
        <v>560</v>
      </c>
      <c r="E94" s="44">
        <v>45202</v>
      </c>
      <c r="F94" s="21" t="s">
        <v>559</v>
      </c>
      <c r="G94" s="23">
        <v>9796166</v>
      </c>
      <c r="H94" s="23">
        <v>4500000</v>
      </c>
      <c r="I94" s="23">
        <v>2986909.03</v>
      </c>
      <c r="J94" s="23">
        <v>0</v>
      </c>
      <c r="K94" s="23">
        <v>1996004</v>
      </c>
      <c r="L94" s="24">
        <v>0.66375756222222215</v>
      </c>
      <c r="M94" s="25">
        <v>37</v>
      </c>
      <c r="N94" s="25">
        <v>37</v>
      </c>
      <c r="O94" s="25">
        <v>1</v>
      </c>
      <c r="P94" s="25">
        <v>38</v>
      </c>
      <c r="Q94" s="25">
        <v>1</v>
      </c>
      <c r="R94" s="25">
        <v>16</v>
      </c>
      <c r="S94" s="25">
        <v>0</v>
      </c>
      <c r="T94" s="25">
        <v>1</v>
      </c>
      <c r="U94" s="25">
        <v>6</v>
      </c>
      <c r="V94" s="25">
        <v>11</v>
      </c>
      <c r="W94" s="25">
        <v>6</v>
      </c>
      <c r="X94" s="25">
        <v>0</v>
      </c>
      <c r="Y94" s="25">
        <v>0</v>
      </c>
      <c r="Z94" s="25">
        <v>307</v>
      </c>
      <c r="AA94" s="25">
        <v>324</v>
      </c>
      <c r="AB94" s="25">
        <v>69</v>
      </c>
      <c r="AC94" s="23">
        <v>43288.536666666667</v>
      </c>
      <c r="AD94" s="26">
        <v>4.4492753623188408</v>
      </c>
      <c r="AE94" s="23">
        <v>72360</v>
      </c>
      <c r="AF94" s="23">
        <v>22665</v>
      </c>
      <c r="AG94" s="24">
        <v>3.1813824607842177E-2</v>
      </c>
      <c r="AH94" s="23">
        <v>186681.81437499999</v>
      </c>
      <c r="AI94" s="83">
        <v>53</v>
      </c>
      <c r="AJ94" s="83">
        <v>798</v>
      </c>
      <c r="AK94" s="83">
        <v>3679.04</v>
      </c>
      <c r="AL94" s="83">
        <v>99</v>
      </c>
      <c r="AM94" s="99"/>
      <c r="AN94" s="99"/>
      <c r="AO94" s="30">
        <v>-990905.0299999998</v>
      </c>
    </row>
    <row r="95" spans="1:41" ht="15.6">
      <c r="A95" s="19" t="s">
        <v>118</v>
      </c>
      <c r="B95" s="19" t="s">
        <v>362</v>
      </c>
      <c r="C95" s="20" t="s">
        <v>219</v>
      </c>
      <c r="D95" s="21" t="s">
        <v>539</v>
      </c>
      <c r="E95" s="44">
        <v>45202</v>
      </c>
      <c r="F95" s="21" t="s">
        <v>419</v>
      </c>
      <c r="G95" s="23"/>
      <c r="H95" s="23">
        <v>0</v>
      </c>
      <c r="I95" s="23">
        <v>0</v>
      </c>
      <c r="J95" s="23">
        <v>0</v>
      </c>
      <c r="K95" s="23"/>
      <c r="L95" s="24"/>
      <c r="M95" s="25">
        <v>77</v>
      </c>
      <c r="N95" s="25">
        <v>43</v>
      </c>
      <c r="O95" s="25">
        <v>1</v>
      </c>
      <c r="P95" s="25">
        <v>78</v>
      </c>
      <c r="Q95" s="25">
        <v>35</v>
      </c>
      <c r="R95" s="25">
        <v>0</v>
      </c>
      <c r="S95" s="25">
        <v>0</v>
      </c>
      <c r="T95" s="25">
        <v>0</v>
      </c>
      <c r="U95" s="25">
        <v>9</v>
      </c>
      <c r="V95" s="25">
        <v>13</v>
      </c>
      <c r="W95" s="25">
        <v>26</v>
      </c>
      <c r="X95" s="25">
        <v>0</v>
      </c>
      <c r="Y95" s="25">
        <v>0</v>
      </c>
      <c r="Z95" s="25">
        <v>79</v>
      </c>
      <c r="AA95" s="25">
        <v>118</v>
      </c>
      <c r="AB95" s="25">
        <v>75</v>
      </c>
      <c r="AC95" s="23">
        <v>0</v>
      </c>
      <c r="AD95" s="26">
        <v>1.0533333333333332</v>
      </c>
      <c r="AE95" s="23">
        <v>255870</v>
      </c>
      <c r="AF95" s="23">
        <v>20898</v>
      </c>
      <c r="AG95" s="24"/>
      <c r="AH95" s="23"/>
      <c r="AI95" s="83">
        <v>0</v>
      </c>
      <c r="AJ95" s="83">
        <v>739</v>
      </c>
      <c r="AK95" s="83">
        <v>4375.3900000000003</v>
      </c>
      <c r="AL95" s="83">
        <v>102</v>
      </c>
      <c r="AM95" s="99"/>
      <c r="AN95" s="99"/>
      <c r="AO95" s="30">
        <v>0</v>
      </c>
    </row>
    <row r="96" spans="1:41" ht="15.6">
      <c r="A96" s="19" t="s">
        <v>136</v>
      </c>
      <c r="B96" s="19" t="s">
        <v>653</v>
      </c>
      <c r="C96" s="20" t="s">
        <v>220</v>
      </c>
      <c r="D96" s="21" t="s">
        <v>424</v>
      </c>
      <c r="E96" s="44">
        <v>45208</v>
      </c>
      <c r="F96" s="21" t="s">
        <v>421</v>
      </c>
      <c r="G96" s="23">
        <v>2772546</v>
      </c>
      <c r="H96" s="23">
        <v>3500001</v>
      </c>
      <c r="I96" s="23">
        <v>38657.39</v>
      </c>
      <c r="J96" s="23">
        <v>435045.81</v>
      </c>
      <c r="K96" s="23">
        <v>452799</v>
      </c>
      <c r="L96" s="24">
        <v>0.13534373275893349</v>
      </c>
      <c r="M96" s="25">
        <v>22</v>
      </c>
      <c r="N96" s="25">
        <v>18</v>
      </c>
      <c r="O96" s="25">
        <v>0</v>
      </c>
      <c r="P96" s="25">
        <v>22</v>
      </c>
      <c r="Q96" s="25">
        <v>4</v>
      </c>
      <c r="R96" s="25">
        <v>3</v>
      </c>
      <c r="S96" s="25">
        <v>2</v>
      </c>
      <c r="T96" s="25">
        <v>0</v>
      </c>
      <c r="U96" s="25">
        <v>4</v>
      </c>
      <c r="V96" s="25">
        <v>5</v>
      </c>
      <c r="W96" s="25">
        <v>3</v>
      </c>
      <c r="X96" s="25">
        <v>17</v>
      </c>
      <c r="Y96" s="25">
        <v>0</v>
      </c>
      <c r="Z96" s="25">
        <v>241</v>
      </c>
      <c r="AA96" s="25">
        <v>266</v>
      </c>
      <c r="AB96" s="25">
        <v>71</v>
      </c>
      <c r="AC96" s="23">
        <v>6671.8760563380283</v>
      </c>
      <c r="AD96" s="26">
        <v>3.3943661971830985</v>
      </c>
      <c r="AE96" s="23">
        <v>65946</v>
      </c>
      <c r="AF96" s="23">
        <v>6665</v>
      </c>
      <c r="AG96" s="24">
        <v>0.15328374391391064</v>
      </c>
      <c r="AH96" s="23">
        <v>12885.796666666667</v>
      </c>
      <c r="AI96" s="83">
        <v>3</v>
      </c>
      <c r="AJ96" s="83">
        <v>695</v>
      </c>
      <c r="AK96" s="83">
        <v>2843.85</v>
      </c>
      <c r="AL96" s="83">
        <v>158</v>
      </c>
      <c r="AM96" s="99"/>
      <c r="AN96" s="99"/>
      <c r="AO96" s="30">
        <v>-20904.200000000012</v>
      </c>
    </row>
    <row r="97" spans="1:41" ht="15.6">
      <c r="A97" s="19" t="s">
        <v>118</v>
      </c>
      <c r="B97" s="19" t="s">
        <v>372</v>
      </c>
      <c r="C97" s="20" t="s">
        <v>221</v>
      </c>
      <c r="D97" s="21" t="s">
        <v>562</v>
      </c>
      <c r="E97" s="44">
        <v>45231</v>
      </c>
      <c r="F97" s="21" t="s">
        <v>515</v>
      </c>
      <c r="G97" s="23">
        <v>4021075</v>
      </c>
      <c r="H97" s="23">
        <v>4500000</v>
      </c>
      <c r="I97" s="23">
        <v>3312861.46</v>
      </c>
      <c r="J97" s="23">
        <v>0</v>
      </c>
      <c r="K97" s="23">
        <v>1046116</v>
      </c>
      <c r="L97" s="24">
        <v>0.73619143555555555</v>
      </c>
      <c r="M97" s="25">
        <v>37</v>
      </c>
      <c r="N97" s="25">
        <v>35</v>
      </c>
      <c r="O97" s="25">
        <v>1</v>
      </c>
      <c r="P97" s="25">
        <v>38</v>
      </c>
      <c r="Q97" s="25">
        <v>3</v>
      </c>
      <c r="R97" s="25">
        <v>11</v>
      </c>
      <c r="S97" s="25">
        <v>0</v>
      </c>
      <c r="T97" s="25">
        <v>1</v>
      </c>
      <c r="U97" s="25">
        <v>17</v>
      </c>
      <c r="V97" s="25">
        <v>23</v>
      </c>
      <c r="W97" s="25">
        <v>53</v>
      </c>
      <c r="X97" s="25">
        <v>0</v>
      </c>
      <c r="Y97" s="25">
        <v>0</v>
      </c>
      <c r="Z97" s="25">
        <v>233</v>
      </c>
      <c r="AA97" s="25">
        <v>309</v>
      </c>
      <c r="AB97" s="25">
        <v>69</v>
      </c>
      <c r="AC97" s="23">
        <v>48012.484927536228</v>
      </c>
      <c r="AD97" s="26">
        <v>3.3768115942028984</v>
      </c>
      <c r="AE97" s="23">
        <v>72360</v>
      </c>
      <c r="AF97" s="23">
        <v>23294</v>
      </c>
      <c r="AG97" s="24">
        <v>2.8873528565845914E-2</v>
      </c>
      <c r="AH97" s="23">
        <v>301169.22363636363</v>
      </c>
      <c r="AI97" s="83">
        <v>17</v>
      </c>
      <c r="AJ97" s="83">
        <v>667</v>
      </c>
      <c r="AK97" s="83">
        <v>3021.47</v>
      </c>
      <c r="AL97" s="83">
        <v>86</v>
      </c>
      <c r="AM97" s="99"/>
      <c r="AN97" s="99"/>
      <c r="AO97" s="30">
        <v>-2266745.46</v>
      </c>
    </row>
    <row r="98" spans="1:41" ht="15.6">
      <c r="A98" s="19" t="s">
        <v>118</v>
      </c>
      <c r="B98" s="19" t="s">
        <v>372</v>
      </c>
      <c r="C98" s="20" t="s">
        <v>222</v>
      </c>
      <c r="D98" s="21" t="s">
        <v>564</v>
      </c>
      <c r="E98" s="44">
        <v>45233</v>
      </c>
      <c r="F98" s="21" t="s">
        <v>447</v>
      </c>
      <c r="G98" s="23">
        <v>11446272.782999998</v>
      </c>
      <c r="H98" s="23">
        <v>4500000</v>
      </c>
      <c r="I98" s="23">
        <v>1169685.9099999999</v>
      </c>
      <c r="J98" s="23">
        <v>0</v>
      </c>
      <c r="K98" s="23">
        <v>2479608.6799999997</v>
      </c>
      <c r="L98" s="24">
        <v>0.25993020222222218</v>
      </c>
      <c r="M98" s="25">
        <v>33</v>
      </c>
      <c r="N98" s="25">
        <v>30</v>
      </c>
      <c r="O98" s="25">
        <v>9</v>
      </c>
      <c r="P98" s="25">
        <v>42</v>
      </c>
      <c r="Q98" s="25">
        <v>12</v>
      </c>
      <c r="R98" s="25">
        <v>23</v>
      </c>
      <c r="S98" s="25">
        <v>0</v>
      </c>
      <c r="T98" s="25">
        <v>9</v>
      </c>
      <c r="U98" s="25">
        <v>19</v>
      </c>
      <c r="V98" s="25">
        <v>29</v>
      </c>
      <c r="W98" s="25">
        <v>20</v>
      </c>
      <c r="X98" s="25">
        <v>8</v>
      </c>
      <c r="Y98" s="25">
        <v>2</v>
      </c>
      <c r="Z98" s="25">
        <v>134</v>
      </c>
      <c r="AA98" s="25">
        <v>193</v>
      </c>
      <c r="AB98" s="25">
        <v>61</v>
      </c>
      <c r="AC98" s="23">
        <v>19175.178852459016</v>
      </c>
      <c r="AD98" s="26">
        <v>2.1967213114754101</v>
      </c>
      <c r="AE98" s="23">
        <v>72360</v>
      </c>
      <c r="AF98" s="23">
        <v>17327</v>
      </c>
      <c r="AG98" s="24">
        <v>7.667613949457594E-2</v>
      </c>
      <c r="AH98" s="23">
        <v>50855.909130434782</v>
      </c>
      <c r="AI98" s="83">
        <v>37</v>
      </c>
      <c r="AJ98" s="83">
        <v>629</v>
      </c>
      <c r="AK98" s="83">
        <v>3849.59</v>
      </c>
      <c r="AL98" s="83">
        <v>128</v>
      </c>
      <c r="AM98" s="99"/>
      <c r="AN98" s="99"/>
      <c r="AO98" s="30">
        <v>1309922.7699999998</v>
      </c>
    </row>
    <row r="99" spans="1:41" ht="15.6">
      <c r="A99" s="19" t="s">
        <v>118</v>
      </c>
      <c r="B99" s="19" t="s">
        <v>372</v>
      </c>
      <c r="C99" s="20" t="s">
        <v>223</v>
      </c>
      <c r="D99" s="21" t="s">
        <v>565</v>
      </c>
      <c r="E99" s="44">
        <v>45236</v>
      </c>
      <c r="F99" s="21" t="s">
        <v>447</v>
      </c>
      <c r="G99" s="23">
        <v>7452303</v>
      </c>
      <c r="H99" s="23">
        <v>4500000</v>
      </c>
      <c r="I99" s="23">
        <v>3370191.15</v>
      </c>
      <c r="J99" s="23">
        <v>0</v>
      </c>
      <c r="K99" s="23">
        <v>2166600</v>
      </c>
      <c r="L99" s="24">
        <v>0.7489313666666666</v>
      </c>
      <c r="M99" s="25">
        <v>53</v>
      </c>
      <c r="N99" s="25">
        <v>48</v>
      </c>
      <c r="O99" s="25">
        <v>3</v>
      </c>
      <c r="P99" s="25">
        <v>56</v>
      </c>
      <c r="Q99" s="25">
        <v>8</v>
      </c>
      <c r="R99" s="25">
        <v>36</v>
      </c>
      <c r="S99" s="25">
        <v>0</v>
      </c>
      <c r="T99" s="25">
        <v>3</v>
      </c>
      <c r="U99" s="25">
        <v>22</v>
      </c>
      <c r="V99" s="25">
        <v>32</v>
      </c>
      <c r="W99" s="25">
        <v>0</v>
      </c>
      <c r="X99" s="25">
        <v>0</v>
      </c>
      <c r="Y99" s="25">
        <v>0</v>
      </c>
      <c r="Z99" s="25">
        <v>413</v>
      </c>
      <c r="AA99" s="25">
        <v>445</v>
      </c>
      <c r="AB99" s="25">
        <v>72</v>
      </c>
      <c r="AC99" s="23">
        <v>46808.210416666669</v>
      </c>
      <c r="AD99" s="26">
        <v>5.7361111111111107</v>
      </c>
      <c r="AE99" s="23">
        <v>75495</v>
      </c>
      <c r="AF99" s="23">
        <v>33731</v>
      </c>
      <c r="AG99" s="24">
        <v>3.2409437666465896E-2</v>
      </c>
      <c r="AH99" s="23">
        <v>93616.420833333337</v>
      </c>
      <c r="AI99" s="83">
        <v>171</v>
      </c>
      <c r="AJ99" s="83">
        <v>563</v>
      </c>
      <c r="AK99" s="83">
        <v>4748.1099999999997</v>
      </c>
      <c r="AL99" s="83">
        <v>99</v>
      </c>
      <c r="AM99" s="99"/>
      <c r="AN99" s="99"/>
      <c r="AO99" s="30">
        <v>-1203591.1499999999</v>
      </c>
    </row>
    <row r="100" spans="1:41" ht="15.6">
      <c r="A100" s="19" t="s">
        <v>118</v>
      </c>
      <c r="B100" s="19" t="s">
        <v>468</v>
      </c>
      <c r="C100" s="20" t="s">
        <v>224</v>
      </c>
      <c r="D100" s="21" t="s">
        <v>566</v>
      </c>
      <c r="E100" s="44">
        <v>45236</v>
      </c>
      <c r="F100" s="21" t="s">
        <v>515</v>
      </c>
      <c r="G100" s="23">
        <v>16070321</v>
      </c>
      <c r="H100" s="23">
        <v>5850000</v>
      </c>
      <c r="I100" s="23">
        <v>3528904.25</v>
      </c>
      <c r="J100" s="23">
        <v>0</v>
      </c>
      <c r="K100" s="23">
        <v>4216563.3600000003</v>
      </c>
      <c r="L100" s="24">
        <v>0.6032314957264957</v>
      </c>
      <c r="M100" s="25">
        <v>26</v>
      </c>
      <c r="N100" s="25">
        <v>28</v>
      </c>
      <c r="O100" s="25">
        <v>3</v>
      </c>
      <c r="P100" s="25">
        <v>29</v>
      </c>
      <c r="Q100" s="25">
        <v>1</v>
      </c>
      <c r="R100" s="25">
        <v>17</v>
      </c>
      <c r="S100" s="25">
        <v>0</v>
      </c>
      <c r="T100" s="25">
        <v>2</v>
      </c>
      <c r="U100" s="25">
        <v>13</v>
      </c>
      <c r="V100" s="25">
        <v>21</v>
      </c>
      <c r="W100" s="25">
        <v>1</v>
      </c>
      <c r="X100" s="25">
        <v>0</v>
      </c>
      <c r="Y100" s="25">
        <v>0</v>
      </c>
      <c r="Z100" s="25">
        <v>276</v>
      </c>
      <c r="AA100" s="25">
        <v>298</v>
      </c>
      <c r="AB100" s="25">
        <v>71</v>
      </c>
      <c r="AC100" s="23">
        <v>49702.876760563384</v>
      </c>
      <c r="AD100" s="26">
        <v>3.887323943661972</v>
      </c>
      <c r="AE100" s="23">
        <v>81780</v>
      </c>
      <c r="AF100" s="23">
        <v>38760</v>
      </c>
      <c r="AG100" s="24">
        <v>3.4157911765387232E-2</v>
      </c>
      <c r="AH100" s="23">
        <v>207582.60294117648</v>
      </c>
      <c r="AI100" s="83">
        <v>25</v>
      </c>
      <c r="AJ100" s="83">
        <v>774</v>
      </c>
      <c r="AK100" s="83">
        <v>5601.62</v>
      </c>
      <c r="AL100" s="83">
        <v>200</v>
      </c>
      <c r="AM100" s="99"/>
      <c r="AN100" s="99"/>
      <c r="AO100" s="30">
        <v>687659.11000000034</v>
      </c>
    </row>
    <row r="101" spans="1:41" ht="15.6">
      <c r="A101" s="19" t="s">
        <v>120</v>
      </c>
      <c r="B101" s="19" t="s">
        <v>206</v>
      </c>
      <c r="C101" s="20" t="s">
        <v>180</v>
      </c>
      <c r="D101" s="21" t="s">
        <v>182</v>
      </c>
      <c r="E101" s="44">
        <v>45261</v>
      </c>
      <c r="F101" s="21" t="s">
        <v>206</v>
      </c>
      <c r="G101" s="23">
        <v>10296470</v>
      </c>
      <c r="H101" s="23">
        <v>4200000</v>
      </c>
      <c r="I101" s="23">
        <v>2846927.82</v>
      </c>
      <c r="J101" s="23">
        <v>291671.86</v>
      </c>
      <c r="K101" s="23">
        <v>3209331</v>
      </c>
      <c r="L101" s="24">
        <v>0.74728563809523807</v>
      </c>
      <c r="M101" s="25">
        <v>71</v>
      </c>
      <c r="N101" s="25">
        <v>73</v>
      </c>
      <c r="O101" s="25">
        <v>11</v>
      </c>
      <c r="P101" s="25">
        <v>82</v>
      </c>
      <c r="Q101" s="25">
        <v>9</v>
      </c>
      <c r="R101" s="25">
        <v>37</v>
      </c>
      <c r="S101" s="25">
        <v>2</v>
      </c>
      <c r="T101" s="25">
        <v>11</v>
      </c>
      <c r="U101" s="25">
        <v>41</v>
      </c>
      <c r="V101" s="25">
        <v>70</v>
      </c>
      <c r="W101" s="25">
        <v>60</v>
      </c>
      <c r="X101" s="25">
        <v>14</v>
      </c>
      <c r="Y101" s="25">
        <v>0</v>
      </c>
      <c r="Z101" s="25">
        <v>294</v>
      </c>
      <c r="AA101" s="25">
        <v>438</v>
      </c>
      <c r="AB101" s="25">
        <v>77</v>
      </c>
      <c r="AC101" s="23">
        <v>40761.034805194802</v>
      </c>
      <c r="AD101" s="26">
        <v>3.8181818181818183</v>
      </c>
      <c r="AE101" s="23">
        <v>72348</v>
      </c>
      <c r="AF101" s="23">
        <v>22401</v>
      </c>
      <c r="AG101" s="24">
        <v>3.0188303594041024E-2</v>
      </c>
      <c r="AH101" s="23">
        <v>76943.995135135134</v>
      </c>
      <c r="AI101" s="83">
        <v>68</v>
      </c>
      <c r="AJ101" s="83">
        <v>791</v>
      </c>
      <c r="AK101" s="83">
        <v>4564.59</v>
      </c>
      <c r="AL101" s="83">
        <v>63</v>
      </c>
      <c r="AM101" s="99"/>
      <c r="AN101" s="99"/>
      <c r="AO101" s="30">
        <v>70731.320000000298</v>
      </c>
    </row>
    <row r="102" spans="1:41" ht="15.6">
      <c r="A102" s="19" t="s">
        <v>118</v>
      </c>
      <c r="B102" s="19" t="s">
        <v>649</v>
      </c>
      <c r="C102" s="20" t="s">
        <v>119</v>
      </c>
      <c r="D102" s="21" t="s">
        <v>519</v>
      </c>
      <c r="E102" s="44">
        <v>45264</v>
      </c>
      <c r="F102" s="21" t="s">
        <v>567</v>
      </c>
      <c r="G102" s="23"/>
      <c r="H102" s="23">
        <v>0</v>
      </c>
      <c r="I102" s="23">
        <v>1639585.16</v>
      </c>
      <c r="J102" s="23">
        <v>0</v>
      </c>
      <c r="K102" s="23"/>
      <c r="L102" s="24"/>
      <c r="M102" s="25">
        <v>250</v>
      </c>
      <c r="N102" s="25">
        <v>109</v>
      </c>
      <c r="O102" s="25">
        <v>25</v>
      </c>
      <c r="P102" s="25">
        <v>275</v>
      </c>
      <c r="Q102" s="25">
        <v>166</v>
      </c>
      <c r="R102" s="25">
        <v>29</v>
      </c>
      <c r="S102" s="25">
        <v>0</v>
      </c>
      <c r="T102" s="25">
        <v>2</v>
      </c>
      <c r="U102" s="25">
        <v>91</v>
      </c>
      <c r="V102" s="25">
        <v>105</v>
      </c>
      <c r="W102" s="25">
        <v>22</v>
      </c>
      <c r="X102" s="25">
        <v>0</v>
      </c>
      <c r="Y102" s="25">
        <v>7</v>
      </c>
      <c r="Z102" s="25">
        <v>200</v>
      </c>
      <c r="AA102" s="25">
        <v>334</v>
      </c>
      <c r="AB102" s="25">
        <v>74</v>
      </c>
      <c r="AC102" s="23">
        <v>22156.556216216217</v>
      </c>
      <c r="AD102" s="26">
        <v>2.7027027027027026</v>
      </c>
      <c r="AE102" s="23">
        <v>0</v>
      </c>
      <c r="AF102" s="23">
        <v>101380</v>
      </c>
      <c r="AG102" s="24">
        <v>6.1832713831101033E-2</v>
      </c>
      <c r="AH102" s="23">
        <v>56537.419310344827</v>
      </c>
      <c r="AI102" s="83">
        <v>63</v>
      </c>
      <c r="AJ102" s="83">
        <v>863</v>
      </c>
      <c r="AK102" s="83">
        <v>4403.92</v>
      </c>
      <c r="AL102" s="83">
        <v>40</v>
      </c>
      <c r="AM102" s="99"/>
      <c r="AN102" s="99"/>
      <c r="AO102" s="30">
        <v>-1639585.16</v>
      </c>
    </row>
    <row r="103" spans="1:41" ht="15.6">
      <c r="A103" s="19" t="s">
        <v>177</v>
      </c>
      <c r="B103" s="19" t="s">
        <v>364</v>
      </c>
      <c r="C103" s="20" t="s">
        <v>225</v>
      </c>
      <c r="D103" s="21" t="s">
        <v>569</v>
      </c>
      <c r="E103" s="44">
        <v>45271</v>
      </c>
      <c r="F103" s="21" t="s">
        <v>568</v>
      </c>
      <c r="G103" s="23"/>
      <c r="H103" s="23">
        <v>0</v>
      </c>
      <c r="I103" s="23">
        <v>0</v>
      </c>
      <c r="J103" s="23">
        <v>0</v>
      </c>
      <c r="K103" s="23"/>
      <c r="L103" s="24"/>
      <c r="M103" s="25">
        <v>61</v>
      </c>
      <c r="N103" s="25">
        <v>17</v>
      </c>
      <c r="O103" s="25">
        <v>1</v>
      </c>
      <c r="P103" s="25">
        <v>62</v>
      </c>
      <c r="Q103" s="25">
        <v>45</v>
      </c>
      <c r="R103" s="25">
        <v>0</v>
      </c>
      <c r="S103" s="25">
        <v>0</v>
      </c>
      <c r="T103" s="25">
        <v>0</v>
      </c>
      <c r="U103" s="25">
        <v>9</v>
      </c>
      <c r="V103" s="25">
        <v>11</v>
      </c>
      <c r="W103" s="25">
        <v>24</v>
      </c>
      <c r="X103" s="25">
        <v>0</v>
      </c>
      <c r="Y103" s="25">
        <v>138</v>
      </c>
      <c r="Z103" s="25">
        <v>20</v>
      </c>
      <c r="AA103" s="25">
        <v>193</v>
      </c>
      <c r="AB103" s="25">
        <v>69</v>
      </c>
      <c r="AC103" s="23">
        <v>0</v>
      </c>
      <c r="AD103" s="26">
        <v>0.28985507246376813</v>
      </c>
      <c r="AE103" s="23">
        <v>110085</v>
      </c>
      <c r="AF103" s="23">
        <v>48226</v>
      </c>
      <c r="AG103" s="24"/>
      <c r="AH103" s="23"/>
      <c r="AI103" s="83">
        <v>0</v>
      </c>
      <c r="AJ103" s="83">
        <v>662</v>
      </c>
      <c r="AK103" s="83">
        <v>9159.0300000000007</v>
      </c>
      <c r="AL103" s="83">
        <v>539</v>
      </c>
      <c r="AM103" s="99"/>
      <c r="AN103" s="99"/>
      <c r="AO103" s="30">
        <v>0</v>
      </c>
    </row>
    <row r="104" spans="1:41" ht="15.6">
      <c r="A104" s="19" t="s">
        <v>118</v>
      </c>
      <c r="B104" s="19" t="s">
        <v>359</v>
      </c>
      <c r="C104" s="20" t="s">
        <v>226</v>
      </c>
      <c r="D104" s="21" t="s">
        <v>571</v>
      </c>
      <c r="E104" s="44">
        <v>45278</v>
      </c>
      <c r="F104" s="21" t="s">
        <v>442</v>
      </c>
      <c r="G104" s="23">
        <v>10015957.879999999</v>
      </c>
      <c r="H104" s="23">
        <v>5100000</v>
      </c>
      <c r="I104" s="23">
        <v>2721546.27</v>
      </c>
      <c r="J104" s="23">
        <v>0</v>
      </c>
      <c r="K104" s="23">
        <v>3225912</v>
      </c>
      <c r="L104" s="24">
        <v>0.53363652352941182</v>
      </c>
      <c r="M104" s="25">
        <v>62</v>
      </c>
      <c r="N104" s="25">
        <v>62</v>
      </c>
      <c r="O104" s="25">
        <v>2</v>
      </c>
      <c r="P104" s="25">
        <v>64</v>
      </c>
      <c r="Q104" s="25">
        <v>2</v>
      </c>
      <c r="R104" s="25">
        <v>27</v>
      </c>
      <c r="S104" s="25">
        <v>0</v>
      </c>
      <c r="T104" s="25">
        <v>2</v>
      </c>
      <c r="U104" s="25">
        <v>21</v>
      </c>
      <c r="V104" s="25">
        <v>47</v>
      </c>
      <c r="W104" s="25">
        <v>11</v>
      </c>
      <c r="X104" s="25">
        <v>0</v>
      </c>
      <c r="Y104" s="25">
        <v>0</v>
      </c>
      <c r="Z104" s="25">
        <v>304</v>
      </c>
      <c r="AA104" s="25">
        <v>362</v>
      </c>
      <c r="AB104" s="25">
        <v>73</v>
      </c>
      <c r="AC104" s="23">
        <v>37281.455753424656</v>
      </c>
      <c r="AD104" s="26">
        <v>4.1643835616438354</v>
      </c>
      <c r="AE104" s="23">
        <v>108570</v>
      </c>
      <c r="AF104" s="23">
        <v>35025</v>
      </c>
      <c r="AG104" s="24">
        <v>5.276228502262429E-2</v>
      </c>
      <c r="AH104" s="23">
        <v>100798.01</v>
      </c>
      <c r="AI104" s="83">
        <v>77</v>
      </c>
      <c r="AJ104" s="83">
        <v>857</v>
      </c>
      <c r="AK104" s="83">
        <v>6314.4</v>
      </c>
      <c r="AL104" s="83">
        <v>102</v>
      </c>
      <c r="AM104" s="99"/>
      <c r="AN104" s="99"/>
      <c r="AO104" s="30">
        <v>504365.73</v>
      </c>
    </row>
    <row r="105" spans="1:41" ht="15.6">
      <c r="A105" s="19" t="s">
        <v>118</v>
      </c>
      <c r="B105" s="19" t="s">
        <v>484</v>
      </c>
      <c r="C105" s="20" t="s">
        <v>227</v>
      </c>
      <c r="D105" s="21" t="s">
        <v>573</v>
      </c>
      <c r="E105" s="44">
        <v>45292</v>
      </c>
      <c r="F105" s="21" t="s">
        <v>572</v>
      </c>
      <c r="G105" s="23">
        <v>9030360</v>
      </c>
      <c r="H105" s="23">
        <v>4500000</v>
      </c>
      <c r="I105" s="23">
        <v>3416502.69</v>
      </c>
      <c r="J105" s="23">
        <v>0</v>
      </c>
      <c r="K105" s="23">
        <v>3417445</v>
      </c>
      <c r="L105" s="24">
        <v>0.75922281999999996</v>
      </c>
      <c r="M105" s="25">
        <v>41</v>
      </c>
      <c r="N105" s="25">
        <v>37</v>
      </c>
      <c r="O105" s="25">
        <v>1</v>
      </c>
      <c r="P105" s="25">
        <v>42</v>
      </c>
      <c r="Q105" s="25">
        <v>5</v>
      </c>
      <c r="R105" s="25">
        <v>15</v>
      </c>
      <c r="S105" s="25">
        <v>0</v>
      </c>
      <c r="T105" s="25">
        <v>1</v>
      </c>
      <c r="U105" s="25">
        <v>11</v>
      </c>
      <c r="V105" s="25">
        <v>13</v>
      </c>
      <c r="W105" s="25">
        <v>1</v>
      </c>
      <c r="X105" s="25">
        <v>0</v>
      </c>
      <c r="Y105" s="25">
        <v>0</v>
      </c>
      <c r="Z105" s="25">
        <v>385</v>
      </c>
      <c r="AA105" s="25">
        <v>399</v>
      </c>
      <c r="AB105" s="25">
        <v>68</v>
      </c>
      <c r="AC105" s="23">
        <v>50242.686617647058</v>
      </c>
      <c r="AD105" s="26">
        <v>5.6617647058823533</v>
      </c>
      <c r="AE105" s="23">
        <v>80265</v>
      </c>
      <c r="AF105" s="23">
        <v>33270</v>
      </c>
      <c r="AG105" s="24">
        <v>3.3231350975461989E-2</v>
      </c>
      <c r="AH105" s="23">
        <v>227766.84599999999</v>
      </c>
      <c r="AI105" s="83">
        <v>31</v>
      </c>
      <c r="AJ105" s="83">
        <v>787</v>
      </c>
      <c r="AK105" s="83">
        <v>2560.16</v>
      </c>
      <c r="AL105" s="83">
        <v>69</v>
      </c>
      <c r="AM105" s="99"/>
      <c r="AN105" s="99"/>
      <c r="AO105" s="30">
        <v>942.31000000005588</v>
      </c>
    </row>
    <row r="106" spans="1:41" ht="15.6">
      <c r="A106" s="19" t="s">
        <v>118</v>
      </c>
      <c r="B106" s="19" t="s">
        <v>436</v>
      </c>
      <c r="C106" s="20" t="s">
        <v>228</v>
      </c>
      <c r="D106" s="21" t="s">
        <v>449</v>
      </c>
      <c r="E106" s="44">
        <v>45294</v>
      </c>
      <c r="F106" s="21" t="s">
        <v>499</v>
      </c>
      <c r="G106" s="23">
        <v>6456256</v>
      </c>
      <c r="H106" s="23">
        <v>5000001</v>
      </c>
      <c r="I106" s="23">
        <v>2709801.6</v>
      </c>
      <c r="J106" s="23">
        <v>0</v>
      </c>
      <c r="K106" s="23">
        <v>3025064</v>
      </c>
      <c r="L106" s="24">
        <v>0.54196021160795771</v>
      </c>
      <c r="M106" s="25">
        <v>65</v>
      </c>
      <c r="N106" s="25">
        <v>20</v>
      </c>
      <c r="O106" s="25">
        <v>5</v>
      </c>
      <c r="P106" s="25">
        <v>70</v>
      </c>
      <c r="Q106" s="25">
        <v>50</v>
      </c>
      <c r="R106" s="25">
        <v>22</v>
      </c>
      <c r="S106" s="25">
        <v>0</v>
      </c>
      <c r="T106" s="25">
        <v>2</v>
      </c>
      <c r="U106" s="25">
        <v>3</v>
      </c>
      <c r="V106" s="25">
        <v>10</v>
      </c>
      <c r="W106" s="25">
        <v>6</v>
      </c>
      <c r="X106" s="25">
        <v>17</v>
      </c>
      <c r="Y106" s="25">
        <v>6</v>
      </c>
      <c r="Z106" s="25">
        <v>71</v>
      </c>
      <c r="AA106" s="25">
        <v>110</v>
      </c>
      <c r="AB106" s="25">
        <v>77</v>
      </c>
      <c r="AC106" s="23">
        <v>35192.228571428575</v>
      </c>
      <c r="AD106" s="26">
        <v>0.92207792207792205</v>
      </c>
      <c r="AE106" s="23">
        <v>187455</v>
      </c>
      <c r="AF106" s="23">
        <v>65159</v>
      </c>
      <c r="AG106" s="24">
        <v>9.3222322992207243E-2</v>
      </c>
      <c r="AH106" s="23">
        <v>123172.8</v>
      </c>
      <c r="AI106" s="83">
        <v>37</v>
      </c>
      <c r="AJ106" s="83">
        <v>799</v>
      </c>
      <c r="AK106" s="83">
        <v>5560.71</v>
      </c>
      <c r="AL106" s="83">
        <v>278</v>
      </c>
      <c r="AM106" s="99"/>
      <c r="AN106" s="99"/>
      <c r="AO106" s="30">
        <v>315262.39999999991</v>
      </c>
    </row>
    <row r="107" spans="1:41" ht="15.6">
      <c r="A107" s="19" t="s">
        <v>118</v>
      </c>
      <c r="B107" s="19" t="s">
        <v>362</v>
      </c>
      <c r="C107" s="20" t="s">
        <v>229</v>
      </c>
      <c r="D107" s="21" t="s">
        <v>539</v>
      </c>
      <c r="E107" s="44">
        <v>45295</v>
      </c>
      <c r="F107" s="21" t="s">
        <v>419</v>
      </c>
      <c r="G107" s="23"/>
      <c r="H107" s="23">
        <v>0</v>
      </c>
      <c r="I107" s="23">
        <v>0</v>
      </c>
      <c r="J107" s="23">
        <v>0</v>
      </c>
      <c r="K107" s="23"/>
      <c r="L107" s="24"/>
      <c r="M107" s="25">
        <v>110</v>
      </c>
      <c r="N107" s="25">
        <v>74</v>
      </c>
      <c r="O107" s="25">
        <v>2</v>
      </c>
      <c r="P107" s="25">
        <v>112</v>
      </c>
      <c r="Q107" s="25">
        <v>38</v>
      </c>
      <c r="R107" s="25">
        <v>0</v>
      </c>
      <c r="S107" s="25">
        <v>0</v>
      </c>
      <c r="T107" s="25">
        <v>0</v>
      </c>
      <c r="U107" s="25">
        <v>2</v>
      </c>
      <c r="V107" s="25">
        <v>2</v>
      </c>
      <c r="W107" s="25">
        <v>22</v>
      </c>
      <c r="X107" s="25">
        <v>0</v>
      </c>
      <c r="Y107" s="25">
        <v>0</v>
      </c>
      <c r="Z107" s="25">
        <v>121</v>
      </c>
      <c r="AA107" s="25">
        <v>145</v>
      </c>
      <c r="AB107" s="25">
        <v>74</v>
      </c>
      <c r="AC107" s="23">
        <v>0</v>
      </c>
      <c r="AD107" s="26">
        <v>1.6351351351351351</v>
      </c>
      <c r="AE107" s="23">
        <v>241500</v>
      </c>
      <c r="AF107" s="23">
        <v>29063</v>
      </c>
      <c r="AG107" s="24"/>
      <c r="AH107" s="23"/>
      <c r="AI107" s="83">
        <v>0</v>
      </c>
      <c r="AJ107" s="83">
        <v>815</v>
      </c>
      <c r="AK107" s="83">
        <v>6414.46</v>
      </c>
      <c r="AL107" s="83">
        <v>87</v>
      </c>
      <c r="AM107" s="99"/>
      <c r="AN107" s="99"/>
      <c r="AO107" s="30">
        <v>0</v>
      </c>
    </row>
    <row r="108" spans="1:41" ht="15.6">
      <c r="A108" s="19" t="s">
        <v>118</v>
      </c>
      <c r="B108" s="19" t="s">
        <v>484</v>
      </c>
      <c r="C108" s="20" t="s">
        <v>232</v>
      </c>
      <c r="D108" s="21" t="s">
        <v>575</v>
      </c>
      <c r="E108" s="44">
        <v>45309</v>
      </c>
      <c r="F108" s="21" t="s">
        <v>574</v>
      </c>
      <c r="G108" s="23">
        <v>11640474</v>
      </c>
      <c r="H108" s="23">
        <v>4500000</v>
      </c>
      <c r="I108" s="23">
        <v>4763317.3</v>
      </c>
      <c r="J108" s="23">
        <v>0</v>
      </c>
      <c r="K108" s="23">
        <v>4763288</v>
      </c>
      <c r="L108" s="24">
        <v>1.0585149555555555</v>
      </c>
      <c r="M108" s="25">
        <v>103</v>
      </c>
      <c r="N108" s="25">
        <v>87</v>
      </c>
      <c r="O108" s="25">
        <v>2</v>
      </c>
      <c r="P108" s="25">
        <v>105</v>
      </c>
      <c r="Q108" s="25">
        <v>18</v>
      </c>
      <c r="R108" s="25">
        <v>39</v>
      </c>
      <c r="S108" s="25">
        <v>0</v>
      </c>
      <c r="T108" s="25">
        <v>2</v>
      </c>
      <c r="U108" s="25">
        <v>7</v>
      </c>
      <c r="V108" s="25">
        <v>13</v>
      </c>
      <c r="W108" s="25">
        <v>5</v>
      </c>
      <c r="X108" s="25">
        <v>0</v>
      </c>
      <c r="Y108" s="25">
        <v>0</v>
      </c>
      <c r="Z108" s="25">
        <v>300</v>
      </c>
      <c r="AA108" s="25">
        <v>318</v>
      </c>
      <c r="AB108" s="25">
        <v>69</v>
      </c>
      <c r="AC108" s="23">
        <v>69033.584057971006</v>
      </c>
      <c r="AD108" s="26">
        <v>4.3478260869565215</v>
      </c>
      <c r="AE108" s="23">
        <v>111705</v>
      </c>
      <c r="AF108" s="23">
        <v>35440</v>
      </c>
      <c r="AG108" s="24">
        <v>3.0891286624974576E-2</v>
      </c>
      <c r="AH108" s="23">
        <v>122136.34102564103</v>
      </c>
      <c r="AI108" s="83">
        <v>71</v>
      </c>
      <c r="AJ108" s="83">
        <v>663</v>
      </c>
      <c r="AK108" s="83">
        <v>3713.41</v>
      </c>
      <c r="AL108" s="83">
        <v>43</v>
      </c>
      <c r="AM108" s="99"/>
      <c r="AN108" s="99"/>
      <c r="AO108" s="30">
        <v>-29.299999999813735</v>
      </c>
    </row>
    <row r="109" spans="1:41" ht="15.6">
      <c r="A109" s="19" t="s">
        <v>177</v>
      </c>
      <c r="B109" s="19" t="s">
        <v>364</v>
      </c>
      <c r="C109" s="20" t="s">
        <v>231</v>
      </c>
      <c r="D109" s="21" t="s">
        <v>361</v>
      </c>
      <c r="E109" s="44">
        <v>45311</v>
      </c>
      <c r="F109" s="21" t="s">
        <v>576</v>
      </c>
      <c r="G109" s="23">
        <v>5256136</v>
      </c>
      <c r="H109" s="23">
        <v>2499999</v>
      </c>
      <c r="I109" s="23">
        <v>1812580.85</v>
      </c>
      <c r="J109" s="23">
        <v>0</v>
      </c>
      <c r="K109" s="23">
        <v>1894467</v>
      </c>
      <c r="L109" s="24">
        <v>0.72503263001305207</v>
      </c>
      <c r="M109" s="25">
        <v>67</v>
      </c>
      <c r="N109" s="25">
        <v>71</v>
      </c>
      <c r="O109" s="25">
        <v>4</v>
      </c>
      <c r="P109" s="25">
        <v>71</v>
      </c>
      <c r="Q109" s="25">
        <v>0</v>
      </c>
      <c r="R109" s="25">
        <v>68</v>
      </c>
      <c r="S109" s="25">
        <v>0</v>
      </c>
      <c r="T109" s="25">
        <v>4</v>
      </c>
      <c r="U109" s="25">
        <v>50</v>
      </c>
      <c r="V109" s="25">
        <v>81</v>
      </c>
      <c r="W109" s="25">
        <v>46</v>
      </c>
      <c r="X109" s="25">
        <v>1</v>
      </c>
      <c r="Y109" s="25">
        <v>0</v>
      </c>
      <c r="Z109" s="25">
        <v>392</v>
      </c>
      <c r="AA109" s="25">
        <v>520</v>
      </c>
      <c r="AB109" s="25">
        <v>72</v>
      </c>
      <c r="AC109" s="23">
        <v>25174.73402777778</v>
      </c>
      <c r="AD109" s="26">
        <v>5.4444444444444446</v>
      </c>
      <c r="AE109" s="23">
        <v>77070</v>
      </c>
      <c r="AF109" s="23">
        <v>22171</v>
      </c>
      <c r="AG109" s="24">
        <v>5.4751212890724293E-2</v>
      </c>
      <c r="AH109" s="23">
        <v>26655.60073529412</v>
      </c>
      <c r="AI109" s="83">
        <v>243</v>
      </c>
      <c r="AJ109" s="83">
        <v>681</v>
      </c>
      <c r="AK109" s="83">
        <v>8744.49</v>
      </c>
      <c r="AL109" s="83">
        <v>123</v>
      </c>
      <c r="AM109" s="99"/>
      <c r="AN109" s="99"/>
      <c r="AO109" s="30">
        <v>81886.149999999907</v>
      </c>
    </row>
    <row r="110" spans="1:41" ht="15.6">
      <c r="A110" s="19" t="s">
        <v>154</v>
      </c>
      <c r="B110" s="19" t="s">
        <v>367</v>
      </c>
      <c r="C110" s="20" t="s">
        <v>234</v>
      </c>
      <c r="D110" s="21" t="s">
        <v>578</v>
      </c>
      <c r="E110" s="44">
        <v>45313</v>
      </c>
      <c r="F110" s="21" t="s">
        <v>577</v>
      </c>
      <c r="G110" s="23">
        <v>675146</v>
      </c>
      <c r="H110" s="23">
        <v>0</v>
      </c>
      <c r="I110" s="23">
        <v>0</v>
      </c>
      <c r="J110" s="23">
        <v>0</v>
      </c>
      <c r="K110" s="23">
        <v>0</v>
      </c>
      <c r="L110" s="24"/>
      <c r="M110" s="25">
        <v>40</v>
      </c>
      <c r="N110" s="25">
        <v>20</v>
      </c>
      <c r="O110" s="25">
        <v>1</v>
      </c>
      <c r="P110" s="25">
        <v>41</v>
      </c>
      <c r="Q110" s="25">
        <v>21</v>
      </c>
      <c r="R110" s="25">
        <v>0</v>
      </c>
      <c r="S110" s="25">
        <v>0</v>
      </c>
      <c r="T110" s="25">
        <v>0</v>
      </c>
      <c r="U110" s="25">
        <v>18</v>
      </c>
      <c r="V110" s="25">
        <v>21</v>
      </c>
      <c r="W110" s="25">
        <v>9</v>
      </c>
      <c r="X110" s="25">
        <v>0</v>
      </c>
      <c r="Y110" s="25">
        <v>0</v>
      </c>
      <c r="Z110" s="25">
        <v>34</v>
      </c>
      <c r="AA110" s="25">
        <v>64</v>
      </c>
      <c r="AB110" s="25">
        <v>16</v>
      </c>
      <c r="AC110" s="23">
        <v>0</v>
      </c>
      <c r="AD110" s="26">
        <v>2.125</v>
      </c>
      <c r="AE110" s="23">
        <v>17097.5</v>
      </c>
      <c r="AF110" s="23">
        <v>11425</v>
      </c>
      <c r="AG110" s="24"/>
      <c r="AH110" s="23"/>
      <c r="AI110" s="83">
        <v>0</v>
      </c>
      <c r="AJ110" s="83">
        <v>130</v>
      </c>
      <c r="AK110" s="83">
        <v>1233.1199999999999</v>
      </c>
      <c r="AL110" s="83">
        <v>62</v>
      </c>
      <c r="AM110" s="99">
        <v>45768</v>
      </c>
      <c r="AN110" s="99"/>
      <c r="AO110" s="30">
        <v>0</v>
      </c>
    </row>
    <row r="111" spans="1:41" ht="15.6">
      <c r="A111" s="19" t="s">
        <v>201</v>
      </c>
      <c r="B111" s="19" t="s">
        <v>431</v>
      </c>
      <c r="C111" s="20" t="s">
        <v>105</v>
      </c>
      <c r="D111" s="21" t="s">
        <v>541</v>
      </c>
      <c r="E111" s="44">
        <v>45323</v>
      </c>
      <c r="F111" s="21" t="s">
        <v>431</v>
      </c>
      <c r="G111" s="23">
        <v>13537922</v>
      </c>
      <c r="H111" s="23">
        <v>7500000</v>
      </c>
      <c r="I111" s="23">
        <v>4234978.18</v>
      </c>
      <c r="J111" s="23">
        <v>194495.19</v>
      </c>
      <c r="K111" s="23">
        <v>0</v>
      </c>
      <c r="L111" s="24">
        <v>0.59059644933333333</v>
      </c>
      <c r="M111" s="25">
        <v>115</v>
      </c>
      <c r="N111" s="25">
        <v>102</v>
      </c>
      <c r="O111" s="25">
        <v>5</v>
      </c>
      <c r="P111" s="25">
        <v>120</v>
      </c>
      <c r="Q111" s="25">
        <v>18</v>
      </c>
      <c r="R111" s="25">
        <v>63</v>
      </c>
      <c r="S111" s="25">
        <v>2</v>
      </c>
      <c r="T111" s="25">
        <v>3</v>
      </c>
      <c r="U111" s="25">
        <v>25</v>
      </c>
      <c r="V111" s="25">
        <v>39</v>
      </c>
      <c r="W111" s="25">
        <v>70</v>
      </c>
      <c r="X111" s="25">
        <v>3</v>
      </c>
      <c r="Y111" s="25">
        <v>0</v>
      </c>
      <c r="Z111" s="25">
        <v>334</v>
      </c>
      <c r="AA111" s="25">
        <v>446</v>
      </c>
      <c r="AB111" s="25">
        <v>76</v>
      </c>
      <c r="AC111" s="23">
        <v>58282.544342105262</v>
      </c>
      <c r="AD111" s="26">
        <v>4.3947368421052628</v>
      </c>
      <c r="AE111" s="23">
        <v>140010</v>
      </c>
      <c r="AF111" s="23">
        <v>28610</v>
      </c>
      <c r="AG111" s="24">
        <v>3.8067730837266549E-2</v>
      </c>
      <c r="AH111" s="23">
        <v>67221.875873015873</v>
      </c>
      <c r="AI111" s="83">
        <v>116</v>
      </c>
      <c r="AJ111" s="83">
        <v>605</v>
      </c>
      <c r="AK111" s="83">
        <v>4195.13</v>
      </c>
      <c r="AL111" s="83">
        <v>41</v>
      </c>
      <c r="AM111" s="99"/>
      <c r="AN111" s="99"/>
      <c r="AO111" s="30">
        <v>-4429473.37</v>
      </c>
    </row>
    <row r="112" spans="1:41" ht="15.6">
      <c r="A112" s="19" t="s">
        <v>118</v>
      </c>
      <c r="B112" s="19" t="s">
        <v>362</v>
      </c>
      <c r="C112" s="20" t="s">
        <v>235</v>
      </c>
      <c r="D112" s="21" t="s">
        <v>579</v>
      </c>
      <c r="E112" s="44">
        <v>45323</v>
      </c>
      <c r="F112" s="21" t="s">
        <v>419</v>
      </c>
      <c r="G112" s="23">
        <v>11715104</v>
      </c>
      <c r="H112" s="23">
        <v>6000000</v>
      </c>
      <c r="I112" s="23">
        <v>3635403.54</v>
      </c>
      <c r="J112" s="23">
        <v>0</v>
      </c>
      <c r="K112" s="23">
        <v>3645516</v>
      </c>
      <c r="L112" s="24">
        <v>0.60590058999999996</v>
      </c>
      <c r="M112" s="25">
        <v>58</v>
      </c>
      <c r="N112" s="25">
        <v>61</v>
      </c>
      <c r="O112" s="25">
        <v>6</v>
      </c>
      <c r="P112" s="25">
        <v>64</v>
      </c>
      <c r="Q112" s="25">
        <v>3</v>
      </c>
      <c r="R112" s="25">
        <v>37</v>
      </c>
      <c r="S112" s="25">
        <v>0</v>
      </c>
      <c r="T112" s="25">
        <v>6</v>
      </c>
      <c r="U112" s="25">
        <v>51</v>
      </c>
      <c r="V112" s="25">
        <v>68</v>
      </c>
      <c r="W112" s="25">
        <v>12</v>
      </c>
      <c r="X112" s="25">
        <v>0</v>
      </c>
      <c r="Y112" s="25">
        <v>0</v>
      </c>
      <c r="Z112" s="25">
        <v>295</v>
      </c>
      <c r="AA112" s="25">
        <v>375</v>
      </c>
      <c r="AB112" s="25">
        <v>74</v>
      </c>
      <c r="AC112" s="23">
        <v>49127.074864864866</v>
      </c>
      <c r="AD112" s="26">
        <v>3.9864864864864864</v>
      </c>
      <c r="AE112" s="23">
        <v>77100</v>
      </c>
      <c r="AF112" s="23">
        <v>29460</v>
      </c>
      <c r="AG112" s="24">
        <v>2.9311739075877117E-2</v>
      </c>
      <c r="AH112" s="23">
        <v>98254.149729729732</v>
      </c>
      <c r="AI112" s="83">
        <v>83</v>
      </c>
      <c r="AJ112" s="83">
        <v>899</v>
      </c>
      <c r="AK112" s="83">
        <v>5504.04</v>
      </c>
      <c r="AL112" s="83">
        <v>90</v>
      </c>
      <c r="AM112" s="99"/>
      <c r="AN112" s="99"/>
      <c r="AO112" s="30">
        <v>10112.459999999963</v>
      </c>
    </row>
    <row r="113" spans="1:41" ht="15.6">
      <c r="A113" s="19" t="s">
        <v>201</v>
      </c>
      <c r="B113" s="19" t="s">
        <v>443</v>
      </c>
      <c r="C113" s="20" t="s">
        <v>236</v>
      </c>
      <c r="D113" s="21" t="s">
        <v>563</v>
      </c>
      <c r="E113" s="44">
        <v>45331</v>
      </c>
      <c r="F113" s="21" t="s">
        <v>517</v>
      </c>
      <c r="G113" s="23">
        <v>4318430</v>
      </c>
      <c r="H113" s="23">
        <v>3450000</v>
      </c>
      <c r="I113" s="23">
        <v>1293121.3500000001</v>
      </c>
      <c r="J113" s="23">
        <v>0</v>
      </c>
      <c r="K113" s="23">
        <v>1141759</v>
      </c>
      <c r="L113" s="24">
        <v>0.37481778260869569</v>
      </c>
      <c r="M113" s="25">
        <v>30</v>
      </c>
      <c r="N113" s="25">
        <v>29</v>
      </c>
      <c r="O113" s="25">
        <v>0</v>
      </c>
      <c r="P113" s="25">
        <v>30</v>
      </c>
      <c r="Q113" s="25">
        <v>1</v>
      </c>
      <c r="R113" s="25">
        <v>20</v>
      </c>
      <c r="S113" s="25">
        <v>0</v>
      </c>
      <c r="T113" s="25">
        <v>0</v>
      </c>
      <c r="U113" s="25">
        <v>77</v>
      </c>
      <c r="V113" s="25">
        <v>155</v>
      </c>
      <c r="W113" s="25">
        <v>0</v>
      </c>
      <c r="X113" s="25">
        <v>0</v>
      </c>
      <c r="Y113" s="25">
        <v>0</v>
      </c>
      <c r="Z113" s="25">
        <v>192</v>
      </c>
      <c r="AA113" s="25">
        <v>347</v>
      </c>
      <c r="AB113" s="25">
        <v>72</v>
      </c>
      <c r="AC113" s="23">
        <v>17960.018750000003</v>
      </c>
      <c r="AD113" s="26">
        <v>2.6666666666666665</v>
      </c>
      <c r="AE113" s="23">
        <v>73275</v>
      </c>
      <c r="AF113" s="23">
        <v>17148</v>
      </c>
      <c r="AG113" s="24">
        <v>6.9926151942352507E-2</v>
      </c>
      <c r="AH113" s="23">
        <v>64656.067500000005</v>
      </c>
      <c r="AI113" s="83">
        <v>58</v>
      </c>
      <c r="AJ113" s="83">
        <v>834</v>
      </c>
      <c r="AK113" s="83">
        <v>4292.97</v>
      </c>
      <c r="AL113" s="83">
        <v>148</v>
      </c>
      <c r="AM113" s="99"/>
      <c r="AN113" s="99"/>
      <c r="AO113" s="30">
        <v>-151362.35000000009</v>
      </c>
    </row>
    <row r="114" spans="1:41" ht="15.6">
      <c r="A114" s="19" t="s">
        <v>120</v>
      </c>
      <c r="B114" s="19" t="s">
        <v>206</v>
      </c>
      <c r="C114" s="20" t="s">
        <v>238</v>
      </c>
      <c r="D114" s="21" t="s">
        <v>360</v>
      </c>
      <c r="E114" s="44">
        <v>45384</v>
      </c>
      <c r="F114" s="21" t="s">
        <v>206</v>
      </c>
      <c r="G114" s="23">
        <v>9014519</v>
      </c>
      <c r="H114" s="23">
        <v>4500000</v>
      </c>
      <c r="I114" s="23">
        <v>2390613.2000000002</v>
      </c>
      <c r="J114" s="23">
        <v>187206.82</v>
      </c>
      <c r="K114" s="23">
        <v>2276816</v>
      </c>
      <c r="L114" s="24">
        <v>0.57284889333333333</v>
      </c>
      <c r="M114" s="25">
        <v>52</v>
      </c>
      <c r="N114" s="25">
        <v>51</v>
      </c>
      <c r="O114" s="25">
        <v>6</v>
      </c>
      <c r="P114" s="25">
        <v>58</v>
      </c>
      <c r="Q114" s="25">
        <v>7</v>
      </c>
      <c r="R114" s="25">
        <v>36</v>
      </c>
      <c r="S114" s="25">
        <v>2</v>
      </c>
      <c r="T114" s="25">
        <v>6</v>
      </c>
      <c r="U114" s="25">
        <v>135</v>
      </c>
      <c r="V114" s="25">
        <v>216</v>
      </c>
      <c r="W114" s="25">
        <v>9</v>
      </c>
      <c r="X114" s="25">
        <v>11</v>
      </c>
      <c r="Y114" s="25">
        <v>0</v>
      </c>
      <c r="Z114" s="25">
        <v>124</v>
      </c>
      <c r="AA114" s="25">
        <v>360</v>
      </c>
      <c r="AB114" s="25">
        <v>79</v>
      </c>
      <c r="AC114" s="23">
        <v>32630.633164556963</v>
      </c>
      <c r="AD114" s="26">
        <v>1.5696202531645569</v>
      </c>
      <c r="AE114" s="23">
        <v>97500</v>
      </c>
      <c r="AF114" s="23">
        <v>27850</v>
      </c>
      <c r="AG114" s="24">
        <v>4.8626358328926311E-2</v>
      </c>
      <c r="AH114" s="23">
        <v>66405.922222222231</v>
      </c>
      <c r="AI114" s="83">
        <v>86</v>
      </c>
      <c r="AJ114" s="83">
        <v>824</v>
      </c>
      <c r="AK114" s="83">
        <v>5910.52</v>
      </c>
      <c r="AL114" s="83">
        <v>116</v>
      </c>
      <c r="AM114" s="99"/>
      <c r="AN114" s="99"/>
      <c r="AO114" s="30">
        <v>-301004.02</v>
      </c>
    </row>
    <row r="115" spans="1:41" ht="15.6">
      <c r="A115" s="19" t="s">
        <v>177</v>
      </c>
      <c r="B115" s="19" t="s">
        <v>364</v>
      </c>
      <c r="C115" s="20" t="s">
        <v>237</v>
      </c>
      <c r="D115" s="21" t="s">
        <v>365</v>
      </c>
      <c r="E115" s="44">
        <v>45393</v>
      </c>
      <c r="F115" s="21" t="s">
        <v>576</v>
      </c>
      <c r="G115" s="23">
        <v>2751805</v>
      </c>
      <c r="H115" s="23">
        <v>2250000</v>
      </c>
      <c r="I115" s="23">
        <v>1353345.69</v>
      </c>
      <c r="J115" s="23">
        <v>0</v>
      </c>
      <c r="K115" s="23">
        <v>1762358.5</v>
      </c>
      <c r="L115" s="24">
        <v>0.60148697333333334</v>
      </c>
      <c r="M115" s="25">
        <v>117</v>
      </c>
      <c r="N115" s="25">
        <v>97</v>
      </c>
      <c r="O115" s="25">
        <v>16</v>
      </c>
      <c r="P115" s="25">
        <v>133</v>
      </c>
      <c r="Q115" s="25">
        <v>36</v>
      </c>
      <c r="R115" s="25">
        <v>74</v>
      </c>
      <c r="S115" s="25">
        <v>0</v>
      </c>
      <c r="T115" s="25">
        <v>16</v>
      </c>
      <c r="U115" s="25">
        <v>45</v>
      </c>
      <c r="V115" s="25">
        <v>62</v>
      </c>
      <c r="W115" s="25">
        <v>24</v>
      </c>
      <c r="X115" s="25">
        <v>0</v>
      </c>
      <c r="Y115" s="25">
        <v>0</v>
      </c>
      <c r="Z115" s="25">
        <v>443</v>
      </c>
      <c r="AA115" s="25">
        <v>529</v>
      </c>
      <c r="AB115" s="25">
        <v>76</v>
      </c>
      <c r="AC115" s="23">
        <v>17807.180131578945</v>
      </c>
      <c r="AD115" s="26">
        <v>5.8289473684210522</v>
      </c>
      <c r="AE115" s="23">
        <v>72348</v>
      </c>
      <c r="AF115" s="23">
        <v>18023</v>
      </c>
      <c r="AG115" s="24">
        <v>6.6775991284237224E-2</v>
      </c>
      <c r="AH115" s="23">
        <v>18288.455270270271</v>
      </c>
      <c r="AI115" s="83">
        <v>145</v>
      </c>
      <c r="AJ115" s="83">
        <v>684</v>
      </c>
      <c r="AK115" s="83">
        <v>5068.21</v>
      </c>
      <c r="AL115" s="83">
        <v>52</v>
      </c>
      <c r="AM115" s="99"/>
      <c r="AN115" s="99"/>
      <c r="AO115" s="30">
        <v>409012.81000000006</v>
      </c>
    </row>
    <row r="116" spans="1:41" ht="15.6">
      <c r="A116" s="19" t="s">
        <v>177</v>
      </c>
      <c r="B116" s="19" t="s">
        <v>458</v>
      </c>
      <c r="C116" s="20" t="s">
        <v>239</v>
      </c>
      <c r="D116" s="21" t="s">
        <v>582</v>
      </c>
      <c r="E116" s="44">
        <v>45411</v>
      </c>
      <c r="F116" s="21" t="s">
        <v>581</v>
      </c>
      <c r="G116" s="23">
        <v>3448380.07</v>
      </c>
      <c r="H116" s="23">
        <v>1749999</v>
      </c>
      <c r="I116" s="23">
        <v>1049571.05</v>
      </c>
      <c r="J116" s="23">
        <v>0</v>
      </c>
      <c r="K116" s="23">
        <v>971833.61</v>
      </c>
      <c r="L116" s="24">
        <v>0.59975522843155915</v>
      </c>
      <c r="M116" s="25">
        <v>85</v>
      </c>
      <c r="N116" s="25">
        <v>76</v>
      </c>
      <c r="O116" s="25">
        <v>6</v>
      </c>
      <c r="P116" s="25">
        <v>91</v>
      </c>
      <c r="Q116" s="25">
        <v>15</v>
      </c>
      <c r="R116" s="25">
        <v>32</v>
      </c>
      <c r="S116" s="25">
        <v>0</v>
      </c>
      <c r="T116" s="25">
        <v>3</v>
      </c>
      <c r="U116" s="25">
        <v>148</v>
      </c>
      <c r="V116" s="25">
        <v>212</v>
      </c>
      <c r="W116" s="25">
        <v>7</v>
      </c>
      <c r="X116" s="25">
        <v>0</v>
      </c>
      <c r="Y116" s="25">
        <v>24</v>
      </c>
      <c r="Z116" s="25">
        <v>275</v>
      </c>
      <c r="AA116" s="25">
        <v>518</v>
      </c>
      <c r="AB116" s="25">
        <v>74</v>
      </c>
      <c r="AC116" s="23">
        <v>14183.392567567567</v>
      </c>
      <c r="AD116" s="26">
        <v>3.7162162162162162</v>
      </c>
      <c r="AE116" s="23">
        <v>77070</v>
      </c>
      <c r="AF116" s="23">
        <v>41544</v>
      </c>
      <c r="AG116" s="24">
        <v>0.11301188233040535</v>
      </c>
      <c r="AH116" s="23">
        <v>32799.095312500001</v>
      </c>
      <c r="AI116" s="83">
        <v>42</v>
      </c>
      <c r="AJ116" s="83">
        <v>825</v>
      </c>
      <c r="AK116" s="83">
        <v>5768.43</v>
      </c>
      <c r="AL116" s="83">
        <v>76</v>
      </c>
      <c r="AM116" s="99"/>
      <c r="AN116" s="99"/>
      <c r="AO116" s="30">
        <v>-77737.440000000061</v>
      </c>
    </row>
    <row r="117" spans="1:41" ht="15.6">
      <c r="A117" s="19" t="s">
        <v>154</v>
      </c>
      <c r="B117" s="19" t="s">
        <v>367</v>
      </c>
      <c r="C117" s="20" t="s">
        <v>185</v>
      </c>
      <c r="D117" s="21" t="s">
        <v>583</v>
      </c>
      <c r="E117" s="44">
        <v>45428</v>
      </c>
      <c r="F117" s="21" t="s">
        <v>577</v>
      </c>
      <c r="G117" s="23"/>
      <c r="H117" s="23">
        <v>0</v>
      </c>
      <c r="I117" s="23">
        <v>0</v>
      </c>
      <c r="J117" s="23">
        <v>0</v>
      </c>
      <c r="K117" s="23"/>
      <c r="L117" s="24"/>
      <c r="M117" s="25">
        <v>59</v>
      </c>
      <c r="N117" s="25">
        <v>33</v>
      </c>
      <c r="O117" s="25">
        <v>3</v>
      </c>
      <c r="P117" s="25">
        <v>62</v>
      </c>
      <c r="Q117" s="25">
        <v>29</v>
      </c>
      <c r="R117" s="25">
        <v>0</v>
      </c>
      <c r="S117" s="25">
        <v>0</v>
      </c>
      <c r="T117" s="25">
        <v>0</v>
      </c>
      <c r="U117" s="25">
        <v>83</v>
      </c>
      <c r="V117" s="25">
        <v>126</v>
      </c>
      <c r="W117" s="25">
        <v>46</v>
      </c>
      <c r="X117" s="25">
        <v>0</v>
      </c>
      <c r="Y117" s="25">
        <v>12</v>
      </c>
      <c r="Z117" s="25">
        <v>90</v>
      </c>
      <c r="AA117" s="25">
        <v>274</v>
      </c>
      <c r="AB117" s="25">
        <v>73</v>
      </c>
      <c r="AC117" s="23">
        <v>0</v>
      </c>
      <c r="AD117" s="26">
        <v>1.2328767123287672</v>
      </c>
      <c r="AE117" s="23">
        <v>89640</v>
      </c>
      <c r="AF117" s="23">
        <v>15314</v>
      </c>
      <c r="AG117" s="24"/>
      <c r="AH117" s="23"/>
      <c r="AI117" s="83">
        <v>0</v>
      </c>
      <c r="AJ117" s="83">
        <v>604</v>
      </c>
      <c r="AK117" s="83">
        <v>5031.62</v>
      </c>
      <c r="AL117" s="83">
        <v>152</v>
      </c>
      <c r="AM117" s="99"/>
      <c r="AN117" s="99"/>
      <c r="AO117" s="30">
        <v>0</v>
      </c>
    </row>
    <row r="118" spans="1:41" ht="15.6">
      <c r="A118" s="19" t="s">
        <v>154</v>
      </c>
      <c r="B118" s="19" t="s">
        <v>367</v>
      </c>
      <c r="C118" s="20" t="s">
        <v>194</v>
      </c>
      <c r="D118" s="21" t="s">
        <v>366</v>
      </c>
      <c r="E118" s="44">
        <v>45428</v>
      </c>
      <c r="F118" s="21" t="s">
        <v>577</v>
      </c>
      <c r="G118" s="23">
        <v>2995523</v>
      </c>
      <c r="H118" s="23">
        <v>3000000</v>
      </c>
      <c r="I118" s="23">
        <v>1323245.7</v>
      </c>
      <c r="J118" s="23">
        <v>0</v>
      </c>
      <c r="K118" s="23">
        <v>1349380</v>
      </c>
      <c r="L118" s="24">
        <v>0.44108189999999997</v>
      </c>
      <c r="M118" s="25">
        <v>80</v>
      </c>
      <c r="N118" s="25">
        <v>70</v>
      </c>
      <c r="O118" s="25">
        <v>7</v>
      </c>
      <c r="P118" s="25">
        <v>87</v>
      </c>
      <c r="Q118" s="25">
        <v>17</v>
      </c>
      <c r="R118" s="25">
        <v>30</v>
      </c>
      <c r="S118" s="25">
        <v>0</v>
      </c>
      <c r="T118" s="25">
        <v>1</v>
      </c>
      <c r="U118" s="25">
        <v>49</v>
      </c>
      <c r="V118" s="25">
        <v>78</v>
      </c>
      <c r="W118" s="25">
        <v>33</v>
      </c>
      <c r="X118" s="25">
        <v>0</v>
      </c>
      <c r="Y118" s="25">
        <v>0</v>
      </c>
      <c r="Z118" s="25">
        <v>312</v>
      </c>
      <c r="AA118" s="25">
        <v>423</v>
      </c>
      <c r="AB118" s="25">
        <v>65</v>
      </c>
      <c r="AC118" s="23">
        <v>20357.626153846155</v>
      </c>
      <c r="AD118" s="26">
        <v>4.8</v>
      </c>
      <c r="AE118" s="23">
        <v>72348</v>
      </c>
      <c r="AF118" s="23">
        <v>19944</v>
      </c>
      <c r="AG118" s="24">
        <v>6.9746684232565428E-2</v>
      </c>
      <c r="AH118" s="23">
        <v>44108.189999999995</v>
      </c>
      <c r="AI118" s="83">
        <v>47</v>
      </c>
      <c r="AJ118" s="83">
        <v>612</v>
      </c>
      <c r="AK118" s="83">
        <v>4459.38</v>
      </c>
      <c r="AL118" s="83">
        <v>64</v>
      </c>
      <c r="AM118" s="99"/>
      <c r="AN118" s="99"/>
      <c r="AO118" s="30">
        <v>26134.300000000047</v>
      </c>
    </row>
    <row r="119" spans="1:41" ht="15.6">
      <c r="A119" s="19" t="s">
        <v>118</v>
      </c>
      <c r="B119" s="19" t="s">
        <v>468</v>
      </c>
      <c r="C119" s="20" t="s">
        <v>240</v>
      </c>
      <c r="D119" s="21" t="s">
        <v>585</v>
      </c>
      <c r="E119" s="44">
        <v>45432</v>
      </c>
      <c r="F119" s="21" t="s">
        <v>509</v>
      </c>
      <c r="G119" s="23">
        <v>20489164</v>
      </c>
      <c r="H119" s="23">
        <v>7449999</v>
      </c>
      <c r="I119" s="23">
        <v>5549196.2300000004</v>
      </c>
      <c r="J119" s="23">
        <v>0</v>
      </c>
      <c r="K119" s="23">
        <v>4428148</v>
      </c>
      <c r="L119" s="24">
        <v>0.74485865434344356</v>
      </c>
      <c r="M119" s="25">
        <v>101</v>
      </c>
      <c r="N119" s="25">
        <v>91</v>
      </c>
      <c r="O119" s="25">
        <v>5</v>
      </c>
      <c r="P119" s="25">
        <v>106</v>
      </c>
      <c r="Q119" s="25">
        <v>15</v>
      </c>
      <c r="R119" s="25">
        <v>63</v>
      </c>
      <c r="S119" s="25">
        <v>0</v>
      </c>
      <c r="T119" s="25">
        <v>5</v>
      </c>
      <c r="U119" s="25">
        <v>57</v>
      </c>
      <c r="V119" s="25">
        <v>77</v>
      </c>
      <c r="W119" s="25">
        <v>44</v>
      </c>
      <c r="X119" s="25">
        <v>0</v>
      </c>
      <c r="Y119" s="25">
        <v>0</v>
      </c>
      <c r="Z119" s="25">
        <v>348</v>
      </c>
      <c r="AA119" s="25">
        <v>469</v>
      </c>
      <c r="AB119" s="25">
        <v>73</v>
      </c>
      <c r="AC119" s="23">
        <v>76016.386712328778</v>
      </c>
      <c r="AD119" s="26">
        <v>4.7671232876712333</v>
      </c>
      <c r="AE119" s="23">
        <v>124290</v>
      </c>
      <c r="AF119" s="23">
        <v>23995</v>
      </c>
      <c r="AG119" s="24">
        <v>2.6721887973314647E-2</v>
      </c>
      <c r="AH119" s="23">
        <v>88082.479841269844</v>
      </c>
      <c r="AI119" s="83">
        <v>153</v>
      </c>
      <c r="AJ119" s="83">
        <v>687</v>
      </c>
      <c r="AK119" s="83">
        <v>2359.0500000000002</v>
      </c>
      <c r="AL119" s="83">
        <v>26</v>
      </c>
      <c r="AM119" s="99"/>
      <c r="AN119" s="99"/>
      <c r="AO119" s="30">
        <v>-1121048.2300000004</v>
      </c>
    </row>
    <row r="120" spans="1:41" ht="15.6">
      <c r="A120" s="19" t="s">
        <v>118</v>
      </c>
      <c r="B120" s="19" t="s">
        <v>359</v>
      </c>
      <c r="C120" s="20" t="s">
        <v>241</v>
      </c>
      <c r="D120" s="21" t="s">
        <v>586</v>
      </c>
      <c r="E120" s="44">
        <v>45434</v>
      </c>
      <c r="F120" s="21" t="s">
        <v>442</v>
      </c>
      <c r="G120" s="23">
        <v>5834843.7800000003</v>
      </c>
      <c r="H120" s="23">
        <v>6000000</v>
      </c>
      <c r="I120" s="23">
        <v>2906350.64</v>
      </c>
      <c r="J120" s="23">
        <v>0</v>
      </c>
      <c r="K120" s="23">
        <v>3613624</v>
      </c>
      <c r="L120" s="24">
        <v>0.48439177333333333</v>
      </c>
      <c r="M120" s="25">
        <v>68</v>
      </c>
      <c r="N120" s="25">
        <v>50</v>
      </c>
      <c r="O120" s="25">
        <v>3</v>
      </c>
      <c r="P120" s="25">
        <v>71</v>
      </c>
      <c r="Q120" s="25">
        <v>21</v>
      </c>
      <c r="R120" s="25">
        <v>35</v>
      </c>
      <c r="S120" s="25">
        <v>0</v>
      </c>
      <c r="T120" s="25">
        <v>2</v>
      </c>
      <c r="U120" s="25">
        <v>9</v>
      </c>
      <c r="V120" s="25">
        <v>11</v>
      </c>
      <c r="W120" s="25">
        <v>30</v>
      </c>
      <c r="X120" s="25">
        <v>0</v>
      </c>
      <c r="Y120" s="25">
        <v>0</v>
      </c>
      <c r="Z120" s="25">
        <v>231</v>
      </c>
      <c r="AA120" s="25">
        <v>272</v>
      </c>
      <c r="AB120" s="25">
        <v>69</v>
      </c>
      <c r="AC120" s="23">
        <v>42121.023768115941</v>
      </c>
      <c r="AD120" s="26">
        <v>3.347826086956522</v>
      </c>
      <c r="AE120" s="23">
        <v>190605</v>
      </c>
      <c r="AF120" s="23"/>
      <c r="AG120" s="24">
        <v>6.558224509345506E-2</v>
      </c>
      <c r="AH120" s="23">
        <v>83038.589714285714</v>
      </c>
      <c r="AI120" s="83">
        <v>143</v>
      </c>
      <c r="AJ120" s="83">
        <v>763</v>
      </c>
      <c r="AK120" s="83">
        <v>4604.21</v>
      </c>
      <c r="AL120" s="83">
        <v>92</v>
      </c>
      <c r="AM120" s="99"/>
      <c r="AN120" s="99"/>
      <c r="AO120" s="30">
        <v>707273.35999999987</v>
      </c>
    </row>
    <row r="121" spans="1:41" ht="15.6">
      <c r="A121" s="19" t="s">
        <v>118</v>
      </c>
      <c r="B121" s="19" t="s">
        <v>375</v>
      </c>
      <c r="C121" s="20" t="s">
        <v>143</v>
      </c>
      <c r="D121" s="21" t="s">
        <v>587</v>
      </c>
      <c r="E121" s="44">
        <v>45444</v>
      </c>
      <c r="F121" s="21" t="s">
        <v>473</v>
      </c>
      <c r="G121" s="23">
        <v>1374117</v>
      </c>
      <c r="H121" s="23">
        <v>3000000</v>
      </c>
      <c r="I121" s="23">
        <v>560081.52</v>
      </c>
      <c r="J121" s="23">
        <v>0</v>
      </c>
      <c r="K121" s="23">
        <v>544771</v>
      </c>
      <c r="L121" s="24">
        <v>0.18669384</v>
      </c>
      <c r="M121" s="25">
        <v>27</v>
      </c>
      <c r="N121" s="25">
        <v>24</v>
      </c>
      <c r="O121" s="25">
        <v>0</v>
      </c>
      <c r="P121" s="25">
        <v>27</v>
      </c>
      <c r="Q121" s="25">
        <v>3</v>
      </c>
      <c r="R121" s="25">
        <v>11</v>
      </c>
      <c r="S121" s="25">
        <v>0</v>
      </c>
      <c r="T121" s="25">
        <v>0</v>
      </c>
      <c r="U121" s="25">
        <v>0</v>
      </c>
      <c r="V121" s="25">
        <v>0</v>
      </c>
      <c r="W121" s="25">
        <v>5</v>
      </c>
      <c r="X121" s="25">
        <v>0</v>
      </c>
      <c r="Y121" s="25">
        <v>1</v>
      </c>
      <c r="Z121" s="25">
        <v>74</v>
      </c>
      <c r="AA121" s="25">
        <v>80</v>
      </c>
      <c r="AB121" s="25">
        <v>71</v>
      </c>
      <c r="AC121" s="23">
        <v>7888.4721126760569</v>
      </c>
      <c r="AD121" s="26">
        <v>1.0422535211267605</v>
      </c>
      <c r="AE121" s="23">
        <v>81000</v>
      </c>
      <c r="AF121" s="23">
        <v>9780</v>
      </c>
      <c r="AG121" s="24">
        <v>0.1620835481234946</v>
      </c>
      <c r="AH121" s="23">
        <v>50916.501818181823</v>
      </c>
      <c r="AI121" s="83">
        <v>19</v>
      </c>
      <c r="AJ121" s="83">
        <v>668</v>
      </c>
      <c r="AK121" s="83">
        <v>4126.2</v>
      </c>
      <c r="AL121" s="83">
        <v>172</v>
      </c>
      <c r="AM121" s="99"/>
      <c r="AN121" s="99"/>
      <c r="AO121" s="30">
        <v>-15310.520000000019</v>
      </c>
    </row>
    <row r="122" spans="1:41" ht="15.6">
      <c r="A122" s="19" t="s">
        <v>124</v>
      </c>
      <c r="B122" s="19" t="s">
        <v>443</v>
      </c>
      <c r="C122" s="20" t="s">
        <v>242</v>
      </c>
      <c r="D122" s="21" t="s">
        <v>518</v>
      </c>
      <c r="E122" s="44">
        <v>45446</v>
      </c>
      <c r="F122" s="21" t="s">
        <v>517</v>
      </c>
      <c r="G122" s="23">
        <v>2169373</v>
      </c>
      <c r="H122" s="23">
        <v>3600000</v>
      </c>
      <c r="I122" s="23">
        <v>1470047.9</v>
      </c>
      <c r="J122" s="23">
        <v>0</v>
      </c>
      <c r="K122" s="23">
        <v>1470047</v>
      </c>
      <c r="L122" s="24">
        <v>0.40834663888888884</v>
      </c>
      <c r="M122" s="25">
        <v>28</v>
      </c>
      <c r="N122" s="25">
        <v>28</v>
      </c>
      <c r="O122" s="25">
        <v>9</v>
      </c>
      <c r="P122" s="25">
        <v>37</v>
      </c>
      <c r="Q122" s="25">
        <v>9</v>
      </c>
      <c r="R122" s="25">
        <v>21</v>
      </c>
      <c r="S122" s="25">
        <v>0</v>
      </c>
      <c r="T122" s="25">
        <v>9</v>
      </c>
      <c r="U122" s="25">
        <v>83</v>
      </c>
      <c r="V122" s="25">
        <v>124</v>
      </c>
      <c r="W122" s="25">
        <v>46</v>
      </c>
      <c r="X122" s="25">
        <v>0</v>
      </c>
      <c r="Y122" s="25">
        <v>0</v>
      </c>
      <c r="Z122" s="25">
        <v>104</v>
      </c>
      <c r="AA122" s="25">
        <v>274</v>
      </c>
      <c r="AB122" s="25">
        <v>75</v>
      </c>
      <c r="AC122" s="23">
        <v>19600.638666666666</v>
      </c>
      <c r="AD122" s="26">
        <v>1.3866666666666667</v>
      </c>
      <c r="AE122" s="23">
        <v>119520</v>
      </c>
      <c r="AF122" s="23">
        <v>17952</v>
      </c>
      <c r="AG122" s="24">
        <v>9.3515320147050995E-2</v>
      </c>
      <c r="AH122" s="23">
        <v>70002.280952380941</v>
      </c>
      <c r="AI122" s="83">
        <v>52</v>
      </c>
      <c r="AJ122" s="83">
        <v>752</v>
      </c>
      <c r="AK122" s="83">
        <v>3171.85</v>
      </c>
      <c r="AL122" s="83">
        <v>113</v>
      </c>
      <c r="AM122" s="99"/>
      <c r="AN122" s="99"/>
      <c r="AO122" s="30">
        <v>-0.89999999990686774</v>
      </c>
    </row>
    <row r="123" spans="1:41" ht="15.6">
      <c r="A123" s="19" t="s">
        <v>118</v>
      </c>
      <c r="B123" s="19" t="s">
        <v>649</v>
      </c>
      <c r="C123" s="20" t="s">
        <v>243</v>
      </c>
      <c r="D123" s="21" t="s">
        <v>512</v>
      </c>
      <c r="E123" s="44">
        <v>45453</v>
      </c>
      <c r="F123" s="21" t="s">
        <v>486</v>
      </c>
      <c r="G123" s="23">
        <v>6342486.8500000006</v>
      </c>
      <c r="H123" s="23">
        <v>3600000</v>
      </c>
      <c r="I123" s="23">
        <v>2947658.4</v>
      </c>
      <c r="J123" s="23">
        <v>0</v>
      </c>
      <c r="K123" s="23">
        <v>2333457.48</v>
      </c>
      <c r="L123" s="24">
        <v>0.81879400000000002</v>
      </c>
      <c r="M123" s="25">
        <v>112</v>
      </c>
      <c r="N123" s="25">
        <v>115</v>
      </c>
      <c r="O123" s="25">
        <v>11</v>
      </c>
      <c r="P123" s="25">
        <v>123</v>
      </c>
      <c r="Q123" s="25">
        <v>8</v>
      </c>
      <c r="R123" s="25">
        <v>71</v>
      </c>
      <c r="S123" s="25">
        <v>0</v>
      </c>
      <c r="T123" s="25">
        <v>11</v>
      </c>
      <c r="U123" s="25">
        <v>40</v>
      </c>
      <c r="V123" s="25">
        <v>63</v>
      </c>
      <c r="W123" s="25">
        <v>0</v>
      </c>
      <c r="X123" s="25">
        <v>0</v>
      </c>
      <c r="Y123" s="25">
        <v>0</v>
      </c>
      <c r="Z123" s="25">
        <v>336</v>
      </c>
      <c r="AA123" s="25">
        <v>399</v>
      </c>
      <c r="AB123" s="25">
        <v>57</v>
      </c>
      <c r="AC123" s="23">
        <v>51713.30526315789</v>
      </c>
      <c r="AD123" s="26">
        <v>5.8947368421052628</v>
      </c>
      <c r="AE123" s="23">
        <v>100710</v>
      </c>
      <c r="AF123" s="23">
        <v>45990</v>
      </c>
      <c r="AG123" s="24">
        <v>4.9768317794219308E-2</v>
      </c>
      <c r="AH123" s="23">
        <v>41516.315492957743</v>
      </c>
      <c r="AI123" s="83">
        <v>165</v>
      </c>
      <c r="AJ123" s="83">
        <v>674</v>
      </c>
      <c r="AK123" s="83">
        <v>13156.01</v>
      </c>
      <c r="AL123" s="83">
        <v>114</v>
      </c>
      <c r="AM123" s="99"/>
      <c r="AN123" s="99"/>
      <c r="AO123" s="30">
        <v>-614200.91999999993</v>
      </c>
    </row>
    <row r="124" spans="1:41" ht="15.6">
      <c r="A124" s="19" t="s">
        <v>118</v>
      </c>
      <c r="B124" s="19" t="s">
        <v>362</v>
      </c>
      <c r="C124" s="20" t="s">
        <v>245</v>
      </c>
      <c r="D124" s="21" t="s">
        <v>591</v>
      </c>
      <c r="E124" s="44">
        <v>45460</v>
      </c>
      <c r="F124" s="21" t="s">
        <v>419</v>
      </c>
      <c r="G124" s="23">
        <v>6346376</v>
      </c>
      <c r="H124" s="23">
        <v>4500000</v>
      </c>
      <c r="I124" s="23">
        <v>4364039.17</v>
      </c>
      <c r="J124" s="23">
        <v>0</v>
      </c>
      <c r="K124" s="23">
        <v>3896349</v>
      </c>
      <c r="L124" s="24">
        <v>0.96978648222222219</v>
      </c>
      <c r="M124" s="25">
        <v>62</v>
      </c>
      <c r="N124" s="25">
        <v>61</v>
      </c>
      <c r="O124" s="25">
        <v>7</v>
      </c>
      <c r="P124" s="25">
        <v>69</v>
      </c>
      <c r="Q124" s="25">
        <v>8</v>
      </c>
      <c r="R124" s="25">
        <v>34</v>
      </c>
      <c r="S124" s="25">
        <v>0</v>
      </c>
      <c r="T124" s="25">
        <v>7</v>
      </c>
      <c r="U124" s="25">
        <v>9</v>
      </c>
      <c r="V124" s="25">
        <v>13</v>
      </c>
      <c r="W124" s="25">
        <v>4</v>
      </c>
      <c r="X124" s="25">
        <v>0</v>
      </c>
      <c r="Y124" s="25">
        <v>0</v>
      </c>
      <c r="Z124" s="25">
        <v>291</v>
      </c>
      <c r="AA124" s="25">
        <v>308</v>
      </c>
      <c r="AB124" s="25">
        <v>78</v>
      </c>
      <c r="AC124" s="23">
        <v>55949.220128205125</v>
      </c>
      <c r="AD124" s="26">
        <v>3.7307692307692308</v>
      </c>
      <c r="AE124" s="23">
        <v>89700</v>
      </c>
      <c r="AF124" s="23">
        <v>13703</v>
      </c>
      <c r="AG124" s="24">
        <v>2.3694333614333714E-2</v>
      </c>
      <c r="AH124" s="23">
        <v>128354.09323529412</v>
      </c>
      <c r="AI124" s="83">
        <v>69</v>
      </c>
      <c r="AJ124" s="83">
        <v>888</v>
      </c>
      <c r="AK124" s="83">
        <v>4912.59</v>
      </c>
      <c r="AL124" s="83">
        <v>81</v>
      </c>
      <c r="AM124" s="99"/>
      <c r="AN124" s="99"/>
      <c r="AO124" s="30">
        <v>-467690.16999999993</v>
      </c>
    </row>
    <row r="125" spans="1:41" ht="15.6">
      <c r="A125" s="19" t="s">
        <v>118</v>
      </c>
      <c r="B125" s="19" t="s">
        <v>375</v>
      </c>
      <c r="C125" s="20" t="s">
        <v>246</v>
      </c>
      <c r="D125" s="21" t="s">
        <v>594</v>
      </c>
      <c r="E125" s="44">
        <v>45462</v>
      </c>
      <c r="F125" s="21" t="s">
        <v>473</v>
      </c>
      <c r="G125" s="23">
        <v>1888089.46</v>
      </c>
      <c r="H125" s="23">
        <v>3600000</v>
      </c>
      <c r="I125" s="23">
        <v>812156.53</v>
      </c>
      <c r="J125" s="23">
        <v>0</v>
      </c>
      <c r="K125" s="23">
        <v>207270</v>
      </c>
      <c r="L125" s="24">
        <v>0.22559903611111112</v>
      </c>
      <c r="M125" s="25">
        <v>48</v>
      </c>
      <c r="N125" s="25">
        <v>47</v>
      </c>
      <c r="O125" s="25">
        <v>0</v>
      </c>
      <c r="P125" s="25">
        <v>48</v>
      </c>
      <c r="Q125" s="25">
        <v>1</v>
      </c>
      <c r="R125" s="25">
        <v>20</v>
      </c>
      <c r="S125" s="25">
        <v>0</v>
      </c>
      <c r="T125" s="25">
        <v>0</v>
      </c>
      <c r="U125" s="25">
        <v>14</v>
      </c>
      <c r="V125" s="25">
        <v>24</v>
      </c>
      <c r="W125" s="25">
        <v>48</v>
      </c>
      <c r="X125" s="25">
        <v>0</v>
      </c>
      <c r="Y125" s="25">
        <v>0</v>
      </c>
      <c r="Z125" s="25">
        <v>228</v>
      </c>
      <c r="AA125" s="25">
        <v>300</v>
      </c>
      <c r="AB125" s="25">
        <v>61</v>
      </c>
      <c r="AC125" s="23">
        <v>13314.041475409836</v>
      </c>
      <c r="AD125" s="26">
        <v>3.737704918032787</v>
      </c>
      <c r="AE125" s="23">
        <v>72348</v>
      </c>
      <c r="AF125" s="23">
        <v>14780</v>
      </c>
      <c r="AG125" s="24">
        <v>0.10727981218103362</v>
      </c>
      <c r="AH125" s="23">
        <v>40607.826500000003</v>
      </c>
      <c r="AI125" s="83">
        <v>38</v>
      </c>
      <c r="AJ125" s="83">
        <v>493</v>
      </c>
      <c r="AK125" s="83">
        <v>4640.3</v>
      </c>
      <c r="AL125" s="83">
        <v>99</v>
      </c>
      <c r="AM125" s="99">
        <v>45838</v>
      </c>
      <c r="AN125" s="99"/>
      <c r="AO125" s="30">
        <v>-604886.53</v>
      </c>
    </row>
    <row r="126" spans="1:41" ht="15.6">
      <c r="A126" s="19" t="s">
        <v>154</v>
      </c>
      <c r="B126" s="19" t="s">
        <v>367</v>
      </c>
      <c r="C126" s="20" t="s">
        <v>247</v>
      </c>
      <c r="D126" s="21" t="s">
        <v>377</v>
      </c>
      <c r="E126" s="44">
        <v>45464</v>
      </c>
      <c r="F126" s="21" t="s">
        <v>577</v>
      </c>
      <c r="G126" s="23">
        <v>698221</v>
      </c>
      <c r="H126" s="23">
        <v>4500000</v>
      </c>
      <c r="I126" s="23">
        <v>462446.74</v>
      </c>
      <c r="J126" s="23">
        <v>0</v>
      </c>
      <c r="K126" s="23">
        <v>923900</v>
      </c>
      <c r="L126" s="24">
        <v>0.10276594222222223</v>
      </c>
      <c r="M126" s="25">
        <v>31</v>
      </c>
      <c r="N126" s="25">
        <v>24</v>
      </c>
      <c r="O126" s="25">
        <v>3</v>
      </c>
      <c r="P126" s="25">
        <v>34</v>
      </c>
      <c r="Q126" s="25">
        <v>10</v>
      </c>
      <c r="R126" s="25">
        <v>8</v>
      </c>
      <c r="S126" s="25">
        <v>0</v>
      </c>
      <c r="T126" s="25">
        <v>3</v>
      </c>
      <c r="U126" s="25">
        <v>94</v>
      </c>
      <c r="V126" s="25">
        <v>145</v>
      </c>
      <c r="W126" s="25">
        <v>23</v>
      </c>
      <c r="X126" s="25">
        <v>0</v>
      </c>
      <c r="Y126" s="25">
        <v>4</v>
      </c>
      <c r="Z126" s="25">
        <v>209</v>
      </c>
      <c r="AA126" s="25">
        <v>381</v>
      </c>
      <c r="AB126" s="25">
        <v>75</v>
      </c>
      <c r="AC126" s="23">
        <v>6165.956533333333</v>
      </c>
      <c r="AD126" s="26">
        <v>2.7866666666666666</v>
      </c>
      <c r="AE126" s="23">
        <v>114855</v>
      </c>
      <c r="AF126" s="23">
        <v>20210</v>
      </c>
      <c r="AG126" s="24">
        <v>0.29206606581333022</v>
      </c>
      <c r="AH126" s="23">
        <v>57805.842499999999</v>
      </c>
      <c r="AI126" s="83">
        <v>15</v>
      </c>
      <c r="AJ126" s="83">
        <v>784</v>
      </c>
      <c r="AK126" s="83">
        <v>2047.74</v>
      </c>
      <c r="AL126" s="83">
        <v>85</v>
      </c>
      <c r="AM126" s="99">
        <v>45838</v>
      </c>
      <c r="AN126" s="99"/>
      <c r="AO126" s="30">
        <v>461453.26</v>
      </c>
    </row>
    <row r="127" spans="1:41" ht="15.6">
      <c r="A127" s="19" t="s">
        <v>201</v>
      </c>
      <c r="B127" s="19" t="s">
        <v>438</v>
      </c>
      <c r="C127" s="20" t="s">
        <v>248</v>
      </c>
      <c r="D127" s="21" t="s">
        <v>604</v>
      </c>
      <c r="E127" s="44">
        <v>45467</v>
      </c>
      <c r="F127" s="21" t="s">
        <v>504</v>
      </c>
      <c r="G127" s="23">
        <v>5519917</v>
      </c>
      <c r="H127" s="23">
        <v>5000001</v>
      </c>
      <c r="I127" s="23">
        <v>1451314.07</v>
      </c>
      <c r="J127" s="23">
        <v>0</v>
      </c>
      <c r="K127" s="23">
        <v>698574</v>
      </c>
      <c r="L127" s="24">
        <v>0.29026275594744883</v>
      </c>
      <c r="M127" s="25">
        <v>45</v>
      </c>
      <c r="N127" s="25">
        <v>44</v>
      </c>
      <c r="O127" s="25">
        <v>1</v>
      </c>
      <c r="P127" s="25">
        <v>46</v>
      </c>
      <c r="Q127" s="25">
        <v>2</v>
      </c>
      <c r="R127" s="25">
        <v>29</v>
      </c>
      <c r="S127" s="25">
        <v>0</v>
      </c>
      <c r="T127" s="25">
        <v>1</v>
      </c>
      <c r="U127" s="25">
        <v>6</v>
      </c>
      <c r="V127" s="25">
        <v>9</v>
      </c>
      <c r="W127" s="25">
        <v>11</v>
      </c>
      <c r="X127" s="25">
        <v>0</v>
      </c>
      <c r="Y127" s="25">
        <v>0</v>
      </c>
      <c r="Z127" s="25">
        <v>216</v>
      </c>
      <c r="AA127" s="25">
        <v>236</v>
      </c>
      <c r="AB127" s="25">
        <v>71</v>
      </c>
      <c r="AC127" s="23">
        <v>20441.043239436622</v>
      </c>
      <c r="AD127" s="26">
        <v>3.0422535211267605</v>
      </c>
      <c r="AE127" s="23">
        <v>81780</v>
      </c>
      <c r="AF127" s="23">
        <v>22088</v>
      </c>
      <c r="AG127" s="24">
        <v>7.1568244356647076E-2</v>
      </c>
      <c r="AH127" s="23">
        <v>50045.31275862069</v>
      </c>
      <c r="AI127" s="83">
        <v>48</v>
      </c>
      <c r="AJ127" s="83">
        <v>621</v>
      </c>
      <c r="AK127" s="83">
        <v>3037.73</v>
      </c>
      <c r="AL127" s="83">
        <v>69</v>
      </c>
      <c r="AM127" s="99"/>
      <c r="AN127" s="99"/>
      <c r="AO127" s="30">
        <v>-752740.07000000007</v>
      </c>
    </row>
    <row r="128" spans="1:41" ht="15.6">
      <c r="A128" s="19" t="s">
        <v>108</v>
      </c>
      <c r="B128" s="19" t="s">
        <v>465</v>
      </c>
      <c r="C128" s="20" t="s">
        <v>126</v>
      </c>
      <c r="D128" s="21" t="s">
        <v>605</v>
      </c>
      <c r="E128" s="44">
        <v>45474</v>
      </c>
      <c r="F128" s="21" t="s">
        <v>506</v>
      </c>
      <c r="G128" s="23">
        <v>13868680.720000001</v>
      </c>
      <c r="H128" s="23">
        <v>3960000</v>
      </c>
      <c r="I128" s="23">
        <v>2243990.7999999998</v>
      </c>
      <c r="J128" s="23">
        <v>0</v>
      </c>
      <c r="K128" s="23">
        <v>0</v>
      </c>
      <c r="L128" s="24">
        <v>0.56666434343434335</v>
      </c>
      <c r="M128" s="25">
        <v>77</v>
      </c>
      <c r="N128" s="25">
        <v>54</v>
      </c>
      <c r="O128" s="25">
        <v>0</v>
      </c>
      <c r="P128" s="25">
        <v>77</v>
      </c>
      <c r="Q128" s="25">
        <v>23</v>
      </c>
      <c r="R128" s="25">
        <v>26</v>
      </c>
      <c r="S128" s="25">
        <v>0</v>
      </c>
      <c r="T128" s="25">
        <v>0</v>
      </c>
      <c r="U128" s="25">
        <v>0</v>
      </c>
      <c r="V128" s="25">
        <v>0</v>
      </c>
      <c r="W128" s="25">
        <v>7</v>
      </c>
      <c r="X128" s="25">
        <v>0</v>
      </c>
      <c r="Y128" s="25">
        <v>0</v>
      </c>
      <c r="Z128" s="25">
        <v>354</v>
      </c>
      <c r="AA128" s="25">
        <v>361</v>
      </c>
      <c r="AB128" s="25">
        <v>59</v>
      </c>
      <c r="AC128" s="23">
        <v>38033.742372881352</v>
      </c>
      <c r="AD128" s="26">
        <v>6</v>
      </c>
      <c r="AE128" s="23">
        <v>108000</v>
      </c>
      <c r="AF128" s="23">
        <v>0</v>
      </c>
      <c r="AG128" s="24">
        <v>4.8128539564422458E-2</v>
      </c>
      <c r="AH128" s="23">
        <v>86307.338461538457</v>
      </c>
      <c r="AI128" s="83">
        <v>56</v>
      </c>
      <c r="AJ128" s="83">
        <v>502</v>
      </c>
      <c r="AK128" s="83">
        <v>3527.88</v>
      </c>
      <c r="AL128" s="83">
        <v>65</v>
      </c>
      <c r="AM128" s="99"/>
      <c r="AN128" s="99"/>
      <c r="AO128" s="30">
        <v>-2243990.7999999998</v>
      </c>
    </row>
    <row r="129" spans="1:41" ht="15.6">
      <c r="A129" s="19" t="s">
        <v>118</v>
      </c>
      <c r="B129" s="19" t="s">
        <v>436</v>
      </c>
      <c r="C129" s="20" t="s">
        <v>249</v>
      </c>
      <c r="D129" s="21" t="s">
        <v>606</v>
      </c>
      <c r="E129" s="44">
        <v>45474</v>
      </c>
      <c r="F129" s="21" t="s">
        <v>499</v>
      </c>
      <c r="G129" s="23">
        <v>0</v>
      </c>
      <c r="H129" s="23">
        <v>3750000</v>
      </c>
      <c r="I129" s="23">
        <v>546972.11</v>
      </c>
      <c r="J129" s="23">
        <v>0</v>
      </c>
      <c r="K129" s="23">
        <v>561658</v>
      </c>
      <c r="L129" s="24">
        <v>0.14585922933333334</v>
      </c>
      <c r="M129" s="25">
        <v>20</v>
      </c>
      <c r="N129" s="25">
        <v>7</v>
      </c>
      <c r="O129" s="25">
        <v>1</v>
      </c>
      <c r="P129" s="25">
        <v>21</v>
      </c>
      <c r="Q129" s="25">
        <v>14</v>
      </c>
      <c r="R129" s="25">
        <v>1</v>
      </c>
      <c r="S129" s="25">
        <v>0</v>
      </c>
      <c r="T129" s="25">
        <v>1</v>
      </c>
      <c r="U129" s="25">
        <v>275</v>
      </c>
      <c r="V129" s="25">
        <v>369</v>
      </c>
      <c r="W129" s="25">
        <v>2</v>
      </c>
      <c r="X129" s="25">
        <v>1</v>
      </c>
      <c r="Y129" s="25">
        <v>1</v>
      </c>
      <c r="Z129" s="25">
        <v>11</v>
      </c>
      <c r="AA129" s="25">
        <v>384</v>
      </c>
      <c r="AB129" s="25">
        <v>67</v>
      </c>
      <c r="AC129" s="23">
        <v>8163.7628358208949</v>
      </c>
      <c r="AD129" s="26">
        <v>0.16417910447761194</v>
      </c>
      <c r="AE129" s="23">
        <v>106950</v>
      </c>
      <c r="AF129" s="23">
        <v>41029</v>
      </c>
      <c r="AG129" s="24">
        <v>0.2705421305667669</v>
      </c>
      <c r="AH129" s="23">
        <v>546972.11</v>
      </c>
      <c r="AI129" s="83">
        <v>4</v>
      </c>
      <c r="AJ129" s="83">
        <v>708</v>
      </c>
      <c r="AK129" s="83">
        <v>5609.04</v>
      </c>
      <c r="AL129" s="83">
        <v>801</v>
      </c>
      <c r="AM129" s="99"/>
      <c r="AN129" s="99"/>
      <c r="AO129" s="30">
        <v>14685.890000000014</v>
      </c>
    </row>
    <row r="130" spans="1:41" ht="15.6">
      <c r="A130" s="19" t="s">
        <v>201</v>
      </c>
      <c r="B130" s="19" t="s">
        <v>431</v>
      </c>
      <c r="C130" s="20" t="s">
        <v>250</v>
      </c>
      <c r="D130" s="21" t="s">
        <v>561</v>
      </c>
      <c r="E130" s="44">
        <v>45482</v>
      </c>
      <c r="F130" s="21" t="s">
        <v>431</v>
      </c>
      <c r="G130" s="23">
        <v>5199880</v>
      </c>
      <c r="H130" s="23">
        <v>4749999</v>
      </c>
      <c r="I130" s="23">
        <v>2700423.92</v>
      </c>
      <c r="J130" s="23">
        <v>0</v>
      </c>
      <c r="K130" s="23">
        <v>2700428</v>
      </c>
      <c r="L130" s="24">
        <v>0.56851041863377227</v>
      </c>
      <c r="M130" s="25">
        <v>55</v>
      </c>
      <c r="N130" s="25">
        <v>55</v>
      </c>
      <c r="O130" s="25">
        <v>7</v>
      </c>
      <c r="P130" s="25">
        <v>62</v>
      </c>
      <c r="Q130" s="25">
        <v>7</v>
      </c>
      <c r="R130" s="25">
        <v>37</v>
      </c>
      <c r="S130" s="25">
        <v>0</v>
      </c>
      <c r="T130" s="25">
        <v>7</v>
      </c>
      <c r="U130" s="25">
        <v>66</v>
      </c>
      <c r="V130" s="25">
        <v>90</v>
      </c>
      <c r="W130" s="25">
        <v>25</v>
      </c>
      <c r="X130" s="25">
        <v>0</v>
      </c>
      <c r="Y130" s="25">
        <v>0</v>
      </c>
      <c r="Z130" s="25">
        <v>256</v>
      </c>
      <c r="AA130" s="25">
        <v>371</v>
      </c>
      <c r="AB130" s="25">
        <v>72</v>
      </c>
      <c r="AC130" s="23">
        <v>37505.887777777774</v>
      </c>
      <c r="AD130" s="26">
        <v>3.5555555555555554</v>
      </c>
      <c r="AE130" s="23">
        <v>75495</v>
      </c>
      <c r="AF130" s="23">
        <v>21761</v>
      </c>
      <c r="AG130" s="24">
        <v>3.6015086105443773E-2</v>
      </c>
      <c r="AH130" s="23">
        <v>72984.43027027027</v>
      </c>
      <c r="AI130" s="83">
        <v>82</v>
      </c>
      <c r="AJ130" s="83">
        <v>570</v>
      </c>
      <c r="AK130" s="83">
        <v>3864.15</v>
      </c>
      <c r="AL130" s="83">
        <v>70</v>
      </c>
      <c r="AM130" s="99"/>
      <c r="AN130" s="99"/>
      <c r="AO130" s="30">
        <v>4.0800000000745058</v>
      </c>
    </row>
    <row r="131" spans="1:41" ht="15.6">
      <c r="A131" s="19" t="s">
        <v>124</v>
      </c>
      <c r="B131" s="19" t="s">
        <v>443</v>
      </c>
      <c r="C131" s="20" t="s">
        <v>251</v>
      </c>
      <c r="D131" s="21" t="s">
        <v>607</v>
      </c>
      <c r="E131" s="44">
        <v>45483</v>
      </c>
      <c r="F131" s="21" t="s">
        <v>517</v>
      </c>
      <c r="G131" s="23">
        <v>2646944</v>
      </c>
      <c r="H131" s="23">
        <v>3000000</v>
      </c>
      <c r="I131" s="23">
        <v>1022739.52</v>
      </c>
      <c r="J131" s="23">
        <v>0</v>
      </c>
      <c r="K131" s="23">
        <v>882987</v>
      </c>
      <c r="L131" s="24">
        <v>0.34091317333333332</v>
      </c>
      <c r="M131" s="25">
        <v>57</v>
      </c>
      <c r="N131" s="25">
        <v>55</v>
      </c>
      <c r="O131" s="25">
        <v>4</v>
      </c>
      <c r="P131" s="25">
        <v>61</v>
      </c>
      <c r="Q131" s="25">
        <v>6</v>
      </c>
      <c r="R131" s="25">
        <v>43</v>
      </c>
      <c r="S131" s="25">
        <v>0</v>
      </c>
      <c r="T131" s="25">
        <v>4</v>
      </c>
      <c r="U131" s="25">
        <v>60</v>
      </c>
      <c r="V131" s="25">
        <v>85</v>
      </c>
      <c r="W131" s="25">
        <v>35</v>
      </c>
      <c r="X131" s="25">
        <v>0</v>
      </c>
      <c r="Y131" s="25">
        <v>0</v>
      </c>
      <c r="Z131" s="25">
        <v>209</v>
      </c>
      <c r="AA131" s="25">
        <v>329</v>
      </c>
      <c r="AB131" s="25">
        <v>72</v>
      </c>
      <c r="AC131" s="23">
        <v>14204.715555555556</v>
      </c>
      <c r="AD131" s="26">
        <v>2.9027777777777777</v>
      </c>
      <c r="AE131" s="23">
        <v>127425</v>
      </c>
      <c r="AF131" s="23">
        <v>25450</v>
      </c>
      <c r="AG131" s="24">
        <v>0.1494759877862156</v>
      </c>
      <c r="AH131" s="23">
        <v>23784.639999999999</v>
      </c>
      <c r="AI131" s="83">
        <v>84</v>
      </c>
      <c r="AJ131" s="83">
        <v>659</v>
      </c>
      <c r="AK131" s="83">
        <v>5642.51</v>
      </c>
      <c r="AL131" s="83">
        <v>103</v>
      </c>
      <c r="AM131" s="99"/>
      <c r="AN131" s="99"/>
      <c r="AO131" s="30">
        <v>-139752.52000000002</v>
      </c>
    </row>
    <row r="132" spans="1:41" ht="15.6">
      <c r="A132" s="19" t="s">
        <v>154</v>
      </c>
      <c r="B132" s="19" t="s">
        <v>370</v>
      </c>
      <c r="C132" s="20" t="s">
        <v>168</v>
      </c>
      <c r="D132" s="21" t="s">
        <v>609</v>
      </c>
      <c r="E132" s="44">
        <v>45488</v>
      </c>
      <c r="F132" s="21" t="s">
        <v>608</v>
      </c>
      <c r="G132" s="23">
        <v>442567</v>
      </c>
      <c r="H132" s="23">
        <v>4500000</v>
      </c>
      <c r="I132" s="23">
        <v>477497.83</v>
      </c>
      <c r="J132" s="23">
        <v>0</v>
      </c>
      <c r="K132" s="23">
        <v>0</v>
      </c>
      <c r="L132" s="24">
        <v>0.10611062888888889</v>
      </c>
      <c r="M132" s="25">
        <v>91</v>
      </c>
      <c r="N132" s="25">
        <v>66</v>
      </c>
      <c r="O132" s="25">
        <v>7</v>
      </c>
      <c r="P132" s="25">
        <v>98</v>
      </c>
      <c r="Q132" s="25">
        <v>32</v>
      </c>
      <c r="R132" s="25">
        <v>22</v>
      </c>
      <c r="S132" s="25">
        <v>0</v>
      </c>
      <c r="T132" s="25">
        <v>5</v>
      </c>
      <c r="U132" s="25">
        <v>173</v>
      </c>
      <c r="V132" s="25">
        <v>244</v>
      </c>
      <c r="W132" s="25">
        <v>33</v>
      </c>
      <c r="X132" s="25">
        <v>0</v>
      </c>
      <c r="Y132" s="25">
        <v>27</v>
      </c>
      <c r="Z132" s="25">
        <v>159</v>
      </c>
      <c r="AA132" s="25">
        <v>463</v>
      </c>
      <c r="AB132" s="25">
        <v>75</v>
      </c>
      <c r="AC132" s="23">
        <v>6366.6377333333339</v>
      </c>
      <c r="AD132" s="26">
        <v>2.12</v>
      </c>
      <c r="AE132" s="23">
        <v>97500</v>
      </c>
      <c r="AF132" s="23">
        <v>17768</v>
      </c>
      <c r="AG132" s="24">
        <v>0.24140004992273995</v>
      </c>
      <c r="AH132" s="23">
        <v>21704.446818181819</v>
      </c>
      <c r="AI132" s="83">
        <v>36</v>
      </c>
      <c r="AJ132" s="83">
        <v>792</v>
      </c>
      <c r="AK132" s="83">
        <v>6496.32</v>
      </c>
      <c r="AL132" s="83">
        <v>98</v>
      </c>
      <c r="AM132" s="99"/>
      <c r="AN132" s="99"/>
      <c r="AO132" s="30">
        <v>-477497.83</v>
      </c>
    </row>
    <row r="133" spans="1:41" ht="15.6">
      <c r="A133" s="19" t="s">
        <v>108</v>
      </c>
      <c r="B133" s="19" t="s">
        <v>465</v>
      </c>
      <c r="C133" s="20" t="s">
        <v>253</v>
      </c>
      <c r="D133" s="21" t="s">
        <v>467</v>
      </c>
      <c r="E133" s="44">
        <v>45488</v>
      </c>
      <c r="F133" s="21" t="s">
        <v>506</v>
      </c>
      <c r="G133" s="23">
        <v>4785530</v>
      </c>
      <c r="H133" s="23">
        <v>3039600</v>
      </c>
      <c r="I133" s="23">
        <v>1889067</v>
      </c>
      <c r="J133" s="23">
        <v>0</v>
      </c>
      <c r="K133" s="23">
        <v>2264411</v>
      </c>
      <c r="L133" s="24">
        <v>0.62148539281484405</v>
      </c>
      <c r="M133" s="25">
        <v>101</v>
      </c>
      <c r="N133" s="25">
        <v>102</v>
      </c>
      <c r="O133" s="25">
        <v>6</v>
      </c>
      <c r="P133" s="25">
        <v>107</v>
      </c>
      <c r="Q133" s="25">
        <v>5</v>
      </c>
      <c r="R133" s="25">
        <v>60</v>
      </c>
      <c r="S133" s="25">
        <v>0</v>
      </c>
      <c r="T133" s="25">
        <v>6</v>
      </c>
      <c r="U133" s="25">
        <v>16</v>
      </c>
      <c r="V133" s="25">
        <v>32</v>
      </c>
      <c r="W133" s="25">
        <v>16</v>
      </c>
      <c r="X133" s="25">
        <v>0</v>
      </c>
      <c r="Y133" s="25">
        <v>0</v>
      </c>
      <c r="Z133" s="25">
        <v>480</v>
      </c>
      <c r="AA133" s="25">
        <v>528</v>
      </c>
      <c r="AB133" s="25">
        <v>70</v>
      </c>
      <c r="AC133" s="23">
        <v>26986.67142857143</v>
      </c>
      <c r="AD133" s="26">
        <v>6.8571428571428568</v>
      </c>
      <c r="AE133" s="23">
        <v>60000</v>
      </c>
      <c r="AF133" s="23">
        <v>19950</v>
      </c>
      <c r="AG133" s="24">
        <v>4.2322479827343343E-2</v>
      </c>
      <c r="AH133" s="23">
        <v>31484.45</v>
      </c>
      <c r="AI133" s="83">
        <v>156</v>
      </c>
      <c r="AJ133" s="83">
        <v>646</v>
      </c>
      <c r="AK133" s="83">
        <v>5138.71</v>
      </c>
      <c r="AL133" s="83">
        <v>50</v>
      </c>
      <c r="AM133" s="99"/>
      <c r="AN133" s="99"/>
      <c r="AO133" s="30">
        <v>375344</v>
      </c>
    </row>
    <row r="134" spans="1:41" ht="15.6">
      <c r="A134" s="19" t="s">
        <v>118</v>
      </c>
      <c r="B134" s="19" t="s">
        <v>372</v>
      </c>
      <c r="C134" s="20" t="s">
        <v>254</v>
      </c>
      <c r="D134" s="21" t="s">
        <v>610</v>
      </c>
      <c r="E134" s="44">
        <v>45488</v>
      </c>
      <c r="F134" s="21" t="s">
        <v>447</v>
      </c>
      <c r="G134" s="23">
        <v>5701215.5999999996</v>
      </c>
      <c r="H134" s="23">
        <v>4500000</v>
      </c>
      <c r="I134" s="23">
        <v>1211438.72</v>
      </c>
      <c r="J134" s="23">
        <v>0</v>
      </c>
      <c r="K134" s="23">
        <v>1324996.6200000001</v>
      </c>
      <c r="L134" s="24">
        <v>0.26920860444444444</v>
      </c>
      <c r="M134" s="25">
        <v>44</v>
      </c>
      <c r="N134" s="25">
        <v>49</v>
      </c>
      <c r="O134" s="25">
        <v>8</v>
      </c>
      <c r="P134" s="25">
        <v>52</v>
      </c>
      <c r="Q134" s="25">
        <v>3</v>
      </c>
      <c r="R134" s="25">
        <v>19</v>
      </c>
      <c r="S134" s="25">
        <v>0</v>
      </c>
      <c r="T134" s="25">
        <v>8</v>
      </c>
      <c r="U134" s="25">
        <v>7</v>
      </c>
      <c r="V134" s="25">
        <v>8</v>
      </c>
      <c r="W134" s="25">
        <v>35</v>
      </c>
      <c r="X134" s="25">
        <v>0</v>
      </c>
      <c r="Y134" s="25">
        <v>0</v>
      </c>
      <c r="Z134" s="25">
        <v>139</v>
      </c>
      <c r="AA134" s="25">
        <v>182</v>
      </c>
      <c r="AB134" s="25">
        <v>68</v>
      </c>
      <c r="AC134" s="23">
        <v>17815.275294117648</v>
      </c>
      <c r="AD134" s="26">
        <v>2.0441176470588234</v>
      </c>
      <c r="AE134" s="23">
        <v>92850</v>
      </c>
      <c r="AF134" s="23">
        <v>14578</v>
      </c>
      <c r="AG134" s="24">
        <v>8.8678030697252275E-2</v>
      </c>
      <c r="AH134" s="23">
        <v>63759.932631578944</v>
      </c>
      <c r="AI134" s="83">
        <v>22</v>
      </c>
      <c r="AJ134" s="83">
        <v>744</v>
      </c>
      <c r="AK134" s="83">
        <v>4662.22</v>
      </c>
      <c r="AL134" s="83">
        <v>95</v>
      </c>
      <c r="AM134" s="99"/>
      <c r="AN134" s="99"/>
      <c r="AO134" s="30">
        <v>113557.90000000014</v>
      </c>
    </row>
    <row r="135" spans="1:41" ht="15.6">
      <c r="A135" s="19" t="s">
        <v>154</v>
      </c>
      <c r="B135" s="19" t="s">
        <v>367</v>
      </c>
      <c r="C135" s="20" t="s">
        <v>257</v>
      </c>
      <c r="D135" s="21" t="s">
        <v>611</v>
      </c>
      <c r="E135" s="44">
        <v>45502</v>
      </c>
      <c r="F135" s="21" t="s">
        <v>577</v>
      </c>
      <c r="G135" s="23">
        <v>541267</v>
      </c>
      <c r="H135" s="23">
        <v>4500000</v>
      </c>
      <c r="I135" s="23">
        <v>316190.84000000003</v>
      </c>
      <c r="J135" s="23">
        <v>0</v>
      </c>
      <c r="K135" s="23">
        <v>316192</v>
      </c>
      <c r="L135" s="24">
        <v>7.0264631111111114E-2</v>
      </c>
      <c r="M135" s="25">
        <v>30</v>
      </c>
      <c r="N135" s="25">
        <v>25</v>
      </c>
      <c r="O135" s="25">
        <v>1</v>
      </c>
      <c r="P135" s="25">
        <v>31</v>
      </c>
      <c r="Q135" s="25">
        <v>6</v>
      </c>
      <c r="R135" s="25">
        <v>8</v>
      </c>
      <c r="S135" s="25">
        <v>0</v>
      </c>
      <c r="T135" s="25">
        <v>1</v>
      </c>
      <c r="U135" s="25">
        <v>18</v>
      </c>
      <c r="V135" s="25">
        <v>36</v>
      </c>
      <c r="W135" s="25">
        <v>25</v>
      </c>
      <c r="X135" s="25">
        <v>0</v>
      </c>
      <c r="Y135" s="25">
        <v>0</v>
      </c>
      <c r="Z135" s="25">
        <v>148</v>
      </c>
      <c r="AA135" s="25">
        <v>209</v>
      </c>
      <c r="AB135" s="25">
        <v>55</v>
      </c>
      <c r="AC135" s="23">
        <v>5748.9243636363644</v>
      </c>
      <c r="AD135" s="26">
        <v>2.6909090909090909</v>
      </c>
      <c r="AE135" s="23">
        <v>140010</v>
      </c>
      <c r="AF135" s="23">
        <v>24185</v>
      </c>
      <c r="AG135" s="24">
        <v>0.51929081816538392</v>
      </c>
      <c r="AH135" s="23">
        <v>39523.855000000003</v>
      </c>
      <c r="AI135" s="83">
        <v>15</v>
      </c>
      <c r="AJ135" s="83">
        <v>441</v>
      </c>
      <c r="AK135" s="83">
        <v>1210.48</v>
      </c>
      <c r="AL135" s="83">
        <v>48</v>
      </c>
      <c r="AM135" s="99"/>
      <c r="AN135" s="99"/>
      <c r="AO135" s="30">
        <v>1.1599999999743886</v>
      </c>
    </row>
    <row r="136" spans="1:41" ht="15.6">
      <c r="A136" s="19" t="s">
        <v>201</v>
      </c>
      <c r="B136" s="19" t="s">
        <v>431</v>
      </c>
      <c r="C136" s="20" t="s">
        <v>255</v>
      </c>
      <c r="D136" s="21" t="s">
        <v>612</v>
      </c>
      <c r="E136" s="44">
        <v>45506</v>
      </c>
      <c r="F136" s="21" t="s">
        <v>431</v>
      </c>
      <c r="G136" s="23">
        <v>985472.76</v>
      </c>
      <c r="H136" s="23">
        <v>3750000</v>
      </c>
      <c r="I136" s="23">
        <v>663566.80000000005</v>
      </c>
      <c r="J136" s="23">
        <v>502677.91</v>
      </c>
      <c r="K136" s="23">
        <v>467734</v>
      </c>
      <c r="L136" s="24">
        <v>0.3380419449275362</v>
      </c>
      <c r="M136" s="25">
        <v>32</v>
      </c>
      <c r="N136" s="25">
        <v>27</v>
      </c>
      <c r="O136" s="25">
        <v>4</v>
      </c>
      <c r="P136" s="25">
        <v>36</v>
      </c>
      <c r="Q136" s="25">
        <v>9</v>
      </c>
      <c r="R136" s="25">
        <v>18</v>
      </c>
      <c r="S136" s="25">
        <v>1</v>
      </c>
      <c r="T136" s="25">
        <v>3</v>
      </c>
      <c r="U136" s="25">
        <v>26</v>
      </c>
      <c r="V136" s="25">
        <v>61</v>
      </c>
      <c r="W136" s="25">
        <v>13</v>
      </c>
      <c r="X136" s="25">
        <v>40</v>
      </c>
      <c r="Y136" s="25">
        <v>3</v>
      </c>
      <c r="Z136" s="25">
        <v>131</v>
      </c>
      <c r="AA136" s="25">
        <v>248</v>
      </c>
      <c r="AB136" s="25">
        <v>71</v>
      </c>
      <c r="AC136" s="23">
        <v>16425.981830985915</v>
      </c>
      <c r="AD136" s="26">
        <v>1.8450704225352113</v>
      </c>
      <c r="AE136" s="23">
        <v>88080</v>
      </c>
      <c r="AF136" s="23">
        <v>6150</v>
      </c>
      <c r="AG136" s="24">
        <v>8.0797794143906559E-2</v>
      </c>
      <c r="AH136" s="23">
        <v>36864.822222222225</v>
      </c>
      <c r="AI136" s="83">
        <v>23</v>
      </c>
      <c r="AJ136" s="83">
        <v>740</v>
      </c>
      <c r="AK136" s="83">
        <v>1425.16</v>
      </c>
      <c r="AL136" s="83">
        <v>53</v>
      </c>
      <c r="AM136" s="99"/>
      <c r="AN136" s="99"/>
      <c r="AO136" s="30">
        <v>-698510.71</v>
      </c>
    </row>
    <row r="137" spans="1:41" ht="15.6">
      <c r="A137" s="19" t="s">
        <v>118</v>
      </c>
      <c r="B137" s="19" t="s">
        <v>359</v>
      </c>
      <c r="C137" s="20" t="s">
        <v>260</v>
      </c>
      <c r="D137" s="21" t="s">
        <v>613</v>
      </c>
      <c r="E137" s="44">
        <v>45516</v>
      </c>
      <c r="F137" s="21" t="s">
        <v>442</v>
      </c>
      <c r="G137" s="23">
        <v>0</v>
      </c>
      <c r="H137" s="23">
        <v>4500000</v>
      </c>
      <c r="I137" s="23">
        <v>0</v>
      </c>
      <c r="J137" s="23">
        <v>383734.19</v>
      </c>
      <c r="K137" s="23">
        <v>383564</v>
      </c>
      <c r="L137" s="24">
        <v>8.5274264444444442E-2</v>
      </c>
      <c r="M137" s="25">
        <v>13</v>
      </c>
      <c r="N137" s="25">
        <v>11</v>
      </c>
      <c r="O137" s="25">
        <v>0</v>
      </c>
      <c r="P137" s="25">
        <v>13</v>
      </c>
      <c r="Q137" s="25">
        <v>2</v>
      </c>
      <c r="R137" s="25">
        <v>0</v>
      </c>
      <c r="S137" s="25">
        <v>1</v>
      </c>
      <c r="T137" s="25">
        <v>0</v>
      </c>
      <c r="U137" s="25">
        <v>7</v>
      </c>
      <c r="V137" s="25">
        <v>10</v>
      </c>
      <c r="W137" s="25">
        <v>9</v>
      </c>
      <c r="X137" s="25">
        <v>17</v>
      </c>
      <c r="Y137" s="25">
        <v>0</v>
      </c>
      <c r="Z137" s="25">
        <v>124</v>
      </c>
      <c r="AA137" s="25">
        <v>160</v>
      </c>
      <c r="AB137" s="25">
        <v>57</v>
      </c>
      <c r="AC137" s="23">
        <v>6732.1787719298245</v>
      </c>
      <c r="AD137" s="26">
        <v>2.1754385964912282</v>
      </c>
      <c r="AE137" s="23">
        <v>77100</v>
      </c>
      <c r="AF137" s="23"/>
      <c r="AG137" s="24">
        <v>0.20092032977306504</v>
      </c>
      <c r="AH137" s="23"/>
      <c r="AI137" s="83">
        <v>0</v>
      </c>
      <c r="AJ137" s="83">
        <v>396</v>
      </c>
      <c r="AK137" s="83">
        <v>1299.1099999999999</v>
      </c>
      <c r="AL137" s="83">
        <v>118</v>
      </c>
      <c r="AM137" s="99"/>
      <c r="AN137" s="99"/>
      <c r="AO137" s="30">
        <v>-170.19000000000233</v>
      </c>
    </row>
    <row r="138" spans="1:41" ht="15.6">
      <c r="A138" s="19" t="s">
        <v>124</v>
      </c>
      <c r="B138" s="19" t="s">
        <v>443</v>
      </c>
      <c r="C138" s="20" t="s">
        <v>261</v>
      </c>
      <c r="D138" s="21" t="s">
        <v>614</v>
      </c>
      <c r="E138" s="44">
        <v>45516</v>
      </c>
      <c r="F138" s="21" t="s">
        <v>517</v>
      </c>
      <c r="G138" s="23">
        <v>2236625</v>
      </c>
      <c r="H138" s="23">
        <v>3000000</v>
      </c>
      <c r="I138" s="23">
        <v>1073586.45</v>
      </c>
      <c r="J138" s="23">
        <v>0</v>
      </c>
      <c r="K138" s="23">
        <v>1100671</v>
      </c>
      <c r="L138" s="24">
        <v>0.35786214999999999</v>
      </c>
      <c r="M138" s="25">
        <v>128</v>
      </c>
      <c r="N138" s="25">
        <v>94</v>
      </c>
      <c r="O138" s="25">
        <v>5</v>
      </c>
      <c r="P138" s="25">
        <v>133</v>
      </c>
      <c r="Q138" s="25">
        <v>39</v>
      </c>
      <c r="R138" s="25">
        <v>61</v>
      </c>
      <c r="S138" s="25">
        <v>0</v>
      </c>
      <c r="T138" s="25">
        <v>5</v>
      </c>
      <c r="U138" s="25">
        <v>134</v>
      </c>
      <c r="V138" s="25">
        <v>158</v>
      </c>
      <c r="W138" s="25">
        <v>11</v>
      </c>
      <c r="X138" s="25">
        <v>0</v>
      </c>
      <c r="Y138" s="25">
        <v>0</v>
      </c>
      <c r="Z138" s="25">
        <v>196</v>
      </c>
      <c r="AA138" s="25">
        <v>365</v>
      </c>
      <c r="AB138" s="25">
        <v>76</v>
      </c>
      <c r="AC138" s="23">
        <v>14126.137499999999</v>
      </c>
      <c r="AD138" s="26">
        <v>2.5789473684210527</v>
      </c>
      <c r="AE138" s="23">
        <v>81780</v>
      </c>
      <c r="AF138" s="23">
        <v>21144</v>
      </c>
      <c r="AG138" s="24">
        <v>9.5869317277616536E-2</v>
      </c>
      <c r="AH138" s="23">
        <v>17599.77786885246</v>
      </c>
      <c r="AI138" s="83">
        <v>112</v>
      </c>
      <c r="AJ138" s="83">
        <v>731</v>
      </c>
      <c r="AK138" s="83">
        <v>4751.72</v>
      </c>
      <c r="AL138" s="83">
        <v>51</v>
      </c>
      <c r="AM138" s="99"/>
      <c r="AN138" s="99"/>
      <c r="AO138" s="30">
        <v>27084.550000000047</v>
      </c>
    </row>
    <row r="139" spans="1:41" ht="15.6">
      <c r="A139" s="19" t="s">
        <v>154</v>
      </c>
      <c r="B139" s="19" t="s">
        <v>367</v>
      </c>
      <c r="C139" s="20" t="s">
        <v>263</v>
      </c>
      <c r="D139" s="21" t="s">
        <v>368</v>
      </c>
      <c r="E139" s="44">
        <v>45518</v>
      </c>
      <c r="F139" s="21" t="s">
        <v>577</v>
      </c>
      <c r="G139" s="23">
        <v>0</v>
      </c>
      <c r="H139" s="23">
        <v>2100000</v>
      </c>
      <c r="I139" s="23">
        <v>676892.04</v>
      </c>
      <c r="J139" s="23">
        <v>0</v>
      </c>
      <c r="K139" s="23">
        <v>175147</v>
      </c>
      <c r="L139" s="24">
        <v>0.32232954285714288</v>
      </c>
      <c r="M139" s="25">
        <v>67</v>
      </c>
      <c r="N139" s="25">
        <v>67</v>
      </c>
      <c r="O139" s="25">
        <v>5</v>
      </c>
      <c r="P139" s="25">
        <v>72</v>
      </c>
      <c r="Q139" s="25">
        <v>5</v>
      </c>
      <c r="R139" s="25">
        <v>33</v>
      </c>
      <c r="S139" s="25">
        <v>0</v>
      </c>
      <c r="T139" s="25">
        <v>5</v>
      </c>
      <c r="U139" s="25">
        <v>66</v>
      </c>
      <c r="V139" s="25">
        <v>100</v>
      </c>
      <c r="W139" s="25">
        <v>63</v>
      </c>
      <c r="X139" s="25">
        <v>0</v>
      </c>
      <c r="Y139" s="25">
        <v>0</v>
      </c>
      <c r="Z139" s="25">
        <v>361</v>
      </c>
      <c r="AA139" s="25">
        <v>524</v>
      </c>
      <c r="AB139" s="25">
        <v>71</v>
      </c>
      <c r="AC139" s="23">
        <v>9533.6907042253533</v>
      </c>
      <c r="AD139" s="26">
        <v>5.084507042253521</v>
      </c>
      <c r="AE139" s="23">
        <v>70710</v>
      </c>
      <c r="AF139" s="23">
        <v>35210</v>
      </c>
      <c r="AG139" s="24">
        <v>0.15647990187622829</v>
      </c>
      <c r="AH139" s="23">
        <v>20511.88</v>
      </c>
      <c r="AI139" s="83">
        <v>59</v>
      </c>
      <c r="AJ139" s="83">
        <v>757</v>
      </c>
      <c r="AK139" s="83">
        <v>6126.37</v>
      </c>
      <c r="AL139" s="83">
        <v>91</v>
      </c>
      <c r="AM139" s="99"/>
      <c r="AN139" s="99"/>
      <c r="AO139" s="30">
        <v>-501745.04000000004</v>
      </c>
    </row>
    <row r="140" spans="1:41" ht="15.6">
      <c r="A140" s="19" t="s">
        <v>118</v>
      </c>
      <c r="B140" s="19" t="s">
        <v>615</v>
      </c>
      <c r="C140" s="20" t="s">
        <v>262</v>
      </c>
      <c r="D140" s="21" t="s">
        <v>616</v>
      </c>
      <c r="E140" s="44">
        <v>45523</v>
      </c>
      <c r="F140" s="21" t="s">
        <v>615</v>
      </c>
      <c r="G140" s="23"/>
      <c r="H140" s="23">
        <v>0</v>
      </c>
      <c r="I140" s="23">
        <v>0</v>
      </c>
      <c r="J140" s="23">
        <v>0</v>
      </c>
      <c r="K140" s="23"/>
      <c r="L140" s="24"/>
      <c r="M140" s="25">
        <v>1</v>
      </c>
      <c r="N140" s="25">
        <v>1</v>
      </c>
      <c r="O140" s="25">
        <v>0</v>
      </c>
      <c r="P140" s="25">
        <v>1</v>
      </c>
      <c r="Q140" s="25">
        <v>0</v>
      </c>
      <c r="R140" s="25">
        <v>0</v>
      </c>
      <c r="S140" s="25">
        <v>0</v>
      </c>
      <c r="T140" s="25">
        <v>0</v>
      </c>
      <c r="U140" s="25">
        <v>35</v>
      </c>
      <c r="V140" s="25">
        <v>62</v>
      </c>
      <c r="W140" s="25">
        <v>8</v>
      </c>
      <c r="X140" s="25">
        <v>0</v>
      </c>
      <c r="Y140" s="25">
        <v>260</v>
      </c>
      <c r="Z140" s="25">
        <v>1</v>
      </c>
      <c r="AA140" s="25">
        <v>331</v>
      </c>
      <c r="AB140" s="25">
        <v>72</v>
      </c>
      <c r="AC140" s="23">
        <v>0</v>
      </c>
      <c r="AD140" s="26">
        <v>1.3888888888888888E-2</v>
      </c>
      <c r="AE140" s="23">
        <v>218910</v>
      </c>
      <c r="AF140" s="23">
        <v>93104</v>
      </c>
      <c r="AG140" s="24"/>
      <c r="AH140" s="23"/>
      <c r="AI140" s="83">
        <v>0</v>
      </c>
      <c r="AJ140" s="83">
        <v>762</v>
      </c>
      <c r="AK140" s="83">
        <v>9770.58</v>
      </c>
      <c r="AL140" s="83">
        <v>9771</v>
      </c>
      <c r="AM140" s="99"/>
      <c r="AN140" s="99"/>
      <c r="AO140" s="30">
        <v>0</v>
      </c>
    </row>
    <row r="141" spans="1:41" ht="15.6">
      <c r="A141" s="19" t="s">
        <v>120</v>
      </c>
      <c r="B141" s="19" t="s">
        <v>163</v>
      </c>
      <c r="C141" s="20" t="s">
        <v>207</v>
      </c>
      <c r="D141" s="21" t="s">
        <v>209</v>
      </c>
      <c r="E141" s="44">
        <v>45551</v>
      </c>
      <c r="F141" s="21" t="s">
        <v>617</v>
      </c>
      <c r="G141" s="23">
        <v>5386902.2699999996</v>
      </c>
      <c r="H141" s="23">
        <v>3900000</v>
      </c>
      <c r="I141" s="23">
        <v>2640913.0699999998</v>
      </c>
      <c r="J141" s="23">
        <v>0</v>
      </c>
      <c r="K141" s="23">
        <v>2622330.9999999995</v>
      </c>
      <c r="L141" s="24">
        <v>0.67715719743589742</v>
      </c>
      <c r="M141" s="25">
        <v>113</v>
      </c>
      <c r="N141" s="25">
        <v>93</v>
      </c>
      <c r="O141" s="25">
        <v>8</v>
      </c>
      <c r="P141" s="25">
        <v>121</v>
      </c>
      <c r="Q141" s="25">
        <v>28</v>
      </c>
      <c r="R141" s="25">
        <v>70</v>
      </c>
      <c r="S141" s="25">
        <v>0</v>
      </c>
      <c r="T141" s="25">
        <v>8</v>
      </c>
      <c r="U141" s="25">
        <v>55</v>
      </c>
      <c r="V141" s="25">
        <v>80</v>
      </c>
      <c r="W141" s="25">
        <v>40</v>
      </c>
      <c r="X141" s="25">
        <v>0</v>
      </c>
      <c r="Y141" s="25">
        <v>7</v>
      </c>
      <c r="Z141" s="25">
        <v>378</v>
      </c>
      <c r="AA141" s="25">
        <v>505</v>
      </c>
      <c r="AB141" s="25">
        <v>78</v>
      </c>
      <c r="AC141" s="23">
        <v>33857.85987179487</v>
      </c>
      <c r="AD141" s="26">
        <v>4.8461538461538458</v>
      </c>
      <c r="AE141" s="23">
        <v>84930</v>
      </c>
      <c r="AF141" s="23">
        <v>20670</v>
      </c>
      <c r="AG141" s="24">
        <v>3.9986170389167713E-2</v>
      </c>
      <c r="AH141" s="23">
        <v>37727.32957142857</v>
      </c>
      <c r="AI141" s="83">
        <v>145</v>
      </c>
      <c r="AJ141" s="83">
        <v>742</v>
      </c>
      <c r="AK141" s="83">
        <v>1714.38</v>
      </c>
      <c r="AL141" s="83">
        <v>18</v>
      </c>
      <c r="AM141" s="99"/>
      <c r="AN141" s="99"/>
      <c r="AO141" s="30">
        <v>-18582.070000000298</v>
      </c>
    </row>
    <row r="142" spans="1:41" ht="15.6">
      <c r="A142" s="19" t="s">
        <v>120</v>
      </c>
      <c r="B142" s="19" t="s">
        <v>206</v>
      </c>
      <c r="C142" s="20" t="s">
        <v>230</v>
      </c>
      <c r="D142" s="21" t="s">
        <v>233</v>
      </c>
      <c r="E142" s="44">
        <v>45568</v>
      </c>
      <c r="F142" s="21" t="s">
        <v>618</v>
      </c>
      <c r="G142" s="23">
        <v>5312043</v>
      </c>
      <c r="H142" s="23">
        <v>4200000</v>
      </c>
      <c r="I142" s="23">
        <v>2234727.0699999998</v>
      </c>
      <c r="J142" s="23">
        <v>345080.51</v>
      </c>
      <c r="K142" s="23">
        <v>2930350</v>
      </c>
      <c r="L142" s="24">
        <v>0.61423990000000006</v>
      </c>
      <c r="M142" s="25">
        <v>23</v>
      </c>
      <c r="N142" s="25">
        <v>24</v>
      </c>
      <c r="O142" s="25">
        <v>1</v>
      </c>
      <c r="P142" s="25">
        <v>24</v>
      </c>
      <c r="Q142" s="25">
        <v>0</v>
      </c>
      <c r="R142" s="25">
        <v>18</v>
      </c>
      <c r="S142" s="25">
        <v>4</v>
      </c>
      <c r="T142" s="25">
        <v>1</v>
      </c>
      <c r="U142" s="25">
        <v>42</v>
      </c>
      <c r="V142" s="25">
        <v>81</v>
      </c>
      <c r="W142" s="25">
        <v>26</v>
      </c>
      <c r="X142" s="25">
        <v>39</v>
      </c>
      <c r="Y142" s="25">
        <v>0</v>
      </c>
      <c r="Z142" s="25">
        <v>177</v>
      </c>
      <c r="AA142" s="25">
        <v>323</v>
      </c>
      <c r="AB142" s="25">
        <v>71</v>
      </c>
      <c r="AC142" s="23">
        <v>36335.318028169015</v>
      </c>
      <c r="AD142" s="26">
        <v>2.492957746478873</v>
      </c>
      <c r="AE142" s="23">
        <v>91215</v>
      </c>
      <c r="AF142" s="23">
        <v>10198</v>
      </c>
      <c r="AG142" s="24">
        <v>3.9310296157824297E-2</v>
      </c>
      <c r="AH142" s="23">
        <v>124151.50388888888</v>
      </c>
      <c r="AI142" s="83">
        <v>34</v>
      </c>
      <c r="AJ142" s="83">
        <v>558</v>
      </c>
      <c r="AK142" s="83">
        <v>3875.89</v>
      </c>
      <c r="AL142" s="83">
        <v>161</v>
      </c>
      <c r="AM142" s="99"/>
      <c r="AN142" s="99"/>
      <c r="AO142" s="30">
        <v>350542.41999999993</v>
      </c>
    </row>
    <row r="143" spans="1:41" ht="15.6">
      <c r="A143" s="19" t="s">
        <v>118</v>
      </c>
      <c r="B143" s="19" t="s">
        <v>615</v>
      </c>
      <c r="C143" s="20" t="s">
        <v>264</v>
      </c>
      <c r="D143" s="21" t="s">
        <v>619</v>
      </c>
      <c r="E143" s="44">
        <v>45569</v>
      </c>
      <c r="F143" s="21" t="s">
        <v>615</v>
      </c>
      <c r="G143" s="23"/>
      <c r="H143" s="23">
        <v>0</v>
      </c>
      <c r="I143" s="23">
        <v>0</v>
      </c>
      <c r="J143" s="23">
        <v>0</v>
      </c>
      <c r="K143" s="23"/>
      <c r="L143" s="24"/>
      <c r="M143" s="25">
        <v>5</v>
      </c>
      <c r="N143" s="25">
        <v>4</v>
      </c>
      <c r="O143" s="25">
        <v>0</v>
      </c>
      <c r="P143" s="25">
        <v>5</v>
      </c>
      <c r="Q143" s="25">
        <v>1</v>
      </c>
      <c r="R143" s="25">
        <v>0</v>
      </c>
      <c r="S143" s="25">
        <v>0</v>
      </c>
      <c r="T143" s="25">
        <v>0</v>
      </c>
      <c r="U143" s="25">
        <v>34</v>
      </c>
      <c r="V143" s="25">
        <v>69</v>
      </c>
      <c r="W143" s="25">
        <v>0</v>
      </c>
      <c r="X143" s="25">
        <v>0</v>
      </c>
      <c r="Y143" s="25">
        <v>240</v>
      </c>
      <c r="Z143" s="25">
        <v>20</v>
      </c>
      <c r="AA143" s="25">
        <v>329</v>
      </c>
      <c r="AB143" s="25">
        <v>75</v>
      </c>
      <c r="AC143" s="23">
        <v>0</v>
      </c>
      <c r="AD143" s="26">
        <v>0.26666666666666666</v>
      </c>
      <c r="AE143" s="23">
        <v>453000</v>
      </c>
      <c r="AF143" s="23">
        <v>54383</v>
      </c>
      <c r="AG143" s="24"/>
      <c r="AH143" s="23"/>
      <c r="AI143" s="83">
        <v>0</v>
      </c>
      <c r="AJ143" s="83">
        <v>790</v>
      </c>
      <c r="AK143" s="83">
        <v>5409.35</v>
      </c>
      <c r="AL143" s="83">
        <v>1352</v>
      </c>
      <c r="AM143" s="99"/>
      <c r="AN143" s="99"/>
      <c r="AO143" s="30">
        <v>0</v>
      </c>
    </row>
    <row r="144" spans="1:41" ht="15.6">
      <c r="A144" s="19" t="s">
        <v>118</v>
      </c>
      <c r="B144" s="19" t="s">
        <v>615</v>
      </c>
      <c r="C144" s="20" t="s">
        <v>265</v>
      </c>
      <c r="D144" s="21" t="s">
        <v>620</v>
      </c>
      <c r="E144" s="44">
        <v>45569</v>
      </c>
      <c r="F144" s="21" t="s">
        <v>615</v>
      </c>
      <c r="G144" s="23"/>
      <c r="H144" s="23">
        <v>0</v>
      </c>
      <c r="I144" s="23">
        <v>0</v>
      </c>
      <c r="J144" s="23">
        <v>0</v>
      </c>
      <c r="K144" s="23"/>
      <c r="L144" s="24"/>
      <c r="M144" s="25">
        <v>2</v>
      </c>
      <c r="N144" s="25">
        <v>1</v>
      </c>
      <c r="O144" s="25">
        <v>0</v>
      </c>
      <c r="P144" s="25">
        <v>2</v>
      </c>
      <c r="Q144" s="25">
        <v>1</v>
      </c>
      <c r="R144" s="25">
        <v>0</v>
      </c>
      <c r="S144" s="25">
        <v>0</v>
      </c>
      <c r="T144" s="25">
        <v>0</v>
      </c>
      <c r="U144" s="25">
        <v>26</v>
      </c>
      <c r="V144" s="25">
        <v>31</v>
      </c>
      <c r="W144" s="25">
        <v>0</v>
      </c>
      <c r="X144" s="25">
        <v>2</v>
      </c>
      <c r="Y144" s="25">
        <v>227</v>
      </c>
      <c r="Z144" s="25">
        <v>2</v>
      </c>
      <c r="AA144" s="25">
        <v>262</v>
      </c>
      <c r="AB144" s="25">
        <v>75</v>
      </c>
      <c r="AC144" s="23">
        <v>0</v>
      </c>
      <c r="AD144" s="26">
        <v>2.6666666666666668E-2</v>
      </c>
      <c r="AE144" s="23">
        <v>459330</v>
      </c>
      <c r="AF144" s="23">
        <v>107123</v>
      </c>
      <c r="AG144" s="24"/>
      <c r="AH144" s="23"/>
      <c r="AI144" s="83">
        <v>0</v>
      </c>
      <c r="AJ144" s="83">
        <v>819</v>
      </c>
      <c r="AK144" s="83">
        <v>10809.07</v>
      </c>
      <c r="AL144" s="83">
        <v>10809</v>
      </c>
      <c r="AM144" s="99"/>
      <c r="AN144" s="99"/>
      <c r="AO144" s="30">
        <v>0</v>
      </c>
    </row>
    <row r="145" spans="1:41" ht="15.6">
      <c r="A145" s="19" t="s">
        <v>108</v>
      </c>
      <c r="B145" s="19" t="s">
        <v>465</v>
      </c>
      <c r="C145" s="20" t="s">
        <v>252</v>
      </c>
      <c r="D145" s="21" t="s">
        <v>622</v>
      </c>
      <c r="E145" s="44">
        <v>45597</v>
      </c>
      <c r="F145" s="21" t="s">
        <v>621</v>
      </c>
      <c r="G145" s="23">
        <v>0</v>
      </c>
      <c r="H145" s="23">
        <v>3360000</v>
      </c>
      <c r="I145" s="23">
        <v>1629411.24</v>
      </c>
      <c r="J145" s="23">
        <v>0</v>
      </c>
      <c r="K145" s="23">
        <v>0</v>
      </c>
      <c r="L145" s="24">
        <v>0.48494382142857145</v>
      </c>
      <c r="M145" s="25">
        <v>90</v>
      </c>
      <c r="N145" s="25">
        <v>80</v>
      </c>
      <c r="O145" s="25">
        <v>5</v>
      </c>
      <c r="P145" s="25">
        <v>95</v>
      </c>
      <c r="Q145" s="25">
        <v>15</v>
      </c>
      <c r="R145" s="25">
        <v>35</v>
      </c>
      <c r="S145" s="25">
        <v>0</v>
      </c>
      <c r="T145" s="25">
        <v>2</v>
      </c>
      <c r="U145" s="25">
        <v>12</v>
      </c>
      <c r="V145" s="25">
        <v>22</v>
      </c>
      <c r="W145" s="25">
        <v>34</v>
      </c>
      <c r="X145" s="25">
        <v>0</v>
      </c>
      <c r="Y145" s="25">
        <v>0</v>
      </c>
      <c r="Z145" s="25">
        <v>399</v>
      </c>
      <c r="AA145" s="25">
        <v>455</v>
      </c>
      <c r="AB145" s="25">
        <v>69</v>
      </c>
      <c r="AC145" s="23">
        <v>23614.655652173911</v>
      </c>
      <c r="AD145" s="26">
        <v>5.7826086956521738</v>
      </c>
      <c r="AE145" s="23">
        <v>80400</v>
      </c>
      <c r="AF145" s="23">
        <v>30630</v>
      </c>
      <c r="AG145" s="24">
        <v>6.8141177177592077E-2</v>
      </c>
      <c r="AH145" s="23">
        <v>46554.606857142855</v>
      </c>
      <c r="AI145" s="83">
        <v>72</v>
      </c>
      <c r="AJ145" s="83">
        <v>689</v>
      </c>
      <c r="AK145" s="83">
        <v>4182</v>
      </c>
      <c r="AL145" s="83">
        <v>52</v>
      </c>
      <c r="AM145" s="99"/>
      <c r="AN145" s="99"/>
      <c r="AO145" s="30">
        <v>-1629411.24</v>
      </c>
    </row>
    <row r="146" spans="1:41" ht="15.6">
      <c r="A146" s="19" t="s">
        <v>201</v>
      </c>
      <c r="B146" s="19" t="s">
        <v>431</v>
      </c>
      <c r="C146" s="20" t="s">
        <v>266</v>
      </c>
      <c r="D146" s="21" t="s">
        <v>531</v>
      </c>
      <c r="E146" s="44">
        <v>45600</v>
      </c>
      <c r="F146" s="21" t="s">
        <v>431</v>
      </c>
      <c r="G146" s="23">
        <v>2120729</v>
      </c>
      <c r="H146" s="23">
        <v>6249999</v>
      </c>
      <c r="I146" s="23">
        <v>4656987.87</v>
      </c>
      <c r="J146" s="23">
        <v>0</v>
      </c>
      <c r="K146" s="23">
        <v>4669008</v>
      </c>
      <c r="L146" s="24">
        <v>0.74511817841890859</v>
      </c>
      <c r="M146" s="25">
        <v>99</v>
      </c>
      <c r="N146" s="25">
        <v>92</v>
      </c>
      <c r="O146" s="25">
        <v>11</v>
      </c>
      <c r="P146" s="25">
        <v>110</v>
      </c>
      <c r="Q146" s="25">
        <v>18</v>
      </c>
      <c r="R146" s="25">
        <v>57</v>
      </c>
      <c r="S146" s="25">
        <v>0</v>
      </c>
      <c r="T146" s="25">
        <v>9</v>
      </c>
      <c r="U146" s="25">
        <v>17</v>
      </c>
      <c r="V146" s="25">
        <v>25</v>
      </c>
      <c r="W146" s="25">
        <v>40</v>
      </c>
      <c r="X146" s="25">
        <v>0</v>
      </c>
      <c r="Y146" s="25">
        <v>0</v>
      </c>
      <c r="Z146" s="25">
        <v>288</v>
      </c>
      <c r="AA146" s="25">
        <v>353</v>
      </c>
      <c r="AB146" s="25">
        <v>75</v>
      </c>
      <c r="AC146" s="23">
        <v>62093.171600000001</v>
      </c>
      <c r="AD146" s="26">
        <v>3.84</v>
      </c>
      <c r="AE146" s="23">
        <v>155730</v>
      </c>
      <c r="AF146" s="23">
        <v>37895</v>
      </c>
      <c r="AG146" s="24">
        <v>4.157730391511627E-2</v>
      </c>
      <c r="AH146" s="23">
        <v>81701.541578947377</v>
      </c>
      <c r="AI146" s="83">
        <v>83</v>
      </c>
      <c r="AJ146" s="83">
        <v>608</v>
      </c>
      <c r="AK146" s="83">
        <v>5979.17</v>
      </c>
      <c r="AL146" s="83">
        <v>65</v>
      </c>
      <c r="AM146" s="99"/>
      <c r="AN146" s="99"/>
      <c r="AO146" s="30">
        <v>12020.129999999888</v>
      </c>
    </row>
    <row r="147" spans="1:41" ht="15.6">
      <c r="A147" s="19" t="s">
        <v>201</v>
      </c>
      <c r="B147" s="19" t="s">
        <v>431</v>
      </c>
      <c r="C147" s="20" t="s">
        <v>267</v>
      </c>
      <c r="D147" s="21" t="s">
        <v>531</v>
      </c>
      <c r="E147" s="44">
        <v>45607</v>
      </c>
      <c r="F147" s="21" t="s">
        <v>431</v>
      </c>
      <c r="G147" s="23">
        <v>2524674</v>
      </c>
      <c r="H147" s="23">
        <v>5499999</v>
      </c>
      <c r="I147" s="23">
        <v>1724454.46</v>
      </c>
      <c r="J147" s="23">
        <v>0</v>
      </c>
      <c r="K147" s="23">
        <v>1816265</v>
      </c>
      <c r="L147" s="24">
        <v>0.31353723155222391</v>
      </c>
      <c r="M147" s="25">
        <v>89</v>
      </c>
      <c r="N147" s="25">
        <v>88</v>
      </c>
      <c r="O147" s="25">
        <v>9</v>
      </c>
      <c r="P147" s="25">
        <v>98</v>
      </c>
      <c r="Q147" s="25">
        <v>10</v>
      </c>
      <c r="R147" s="25">
        <v>29</v>
      </c>
      <c r="S147" s="25">
        <v>0</v>
      </c>
      <c r="T147" s="25">
        <v>6</v>
      </c>
      <c r="U147" s="25">
        <v>54</v>
      </c>
      <c r="V147" s="25">
        <v>83</v>
      </c>
      <c r="W147" s="25">
        <v>56</v>
      </c>
      <c r="X147" s="25">
        <v>0</v>
      </c>
      <c r="Y147" s="25">
        <v>0</v>
      </c>
      <c r="Z147" s="25">
        <v>376</v>
      </c>
      <c r="AA147" s="25">
        <v>515</v>
      </c>
      <c r="AB147" s="25">
        <v>75</v>
      </c>
      <c r="AC147" s="23">
        <v>22992.726133333334</v>
      </c>
      <c r="AD147" s="26">
        <v>5.0133333333333336</v>
      </c>
      <c r="AE147" s="23">
        <v>99150</v>
      </c>
      <c r="AF147" s="23">
        <v>13660</v>
      </c>
      <c r="AG147" s="24">
        <v>6.5417790157241959E-2</v>
      </c>
      <c r="AH147" s="23">
        <v>59463.946896551723</v>
      </c>
      <c r="AI147" s="83">
        <v>61</v>
      </c>
      <c r="AJ147" s="83">
        <v>647</v>
      </c>
      <c r="AK147" s="83">
        <v>3231.46</v>
      </c>
      <c r="AL147" s="83">
        <v>37</v>
      </c>
      <c r="AM147" s="99"/>
      <c r="AN147" s="99"/>
      <c r="AO147" s="30">
        <v>91810.540000000037</v>
      </c>
    </row>
    <row r="148" spans="1:41" ht="15.6">
      <c r="A148" s="19" t="s">
        <v>118</v>
      </c>
      <c r="B148" s="19" t="s">
        <v>362</v>
      </c>
      <c r="C148" s="20" t="s">
        <v>268</v>
      </c>
      <c r="D148" s="21" t="s">
        <v>624</v>
      </c>
      <c r="E148" s="44">
        <v>45614</v>
      </c>
      <c r="F148" s="21" t="s">
        <v>623</v>
      </c>
      <c r="G148" s="23">
        <v>322722</v>
      </c>
      <c r="H148" s="23">
        <v>0</v>
      </c>
      <c r="I148" s="23">
        <v>869582.06</v>
      </c>
      <c r="J148" s="23">
        <v>0</v>
      </c>
      <c r="K148" s="23">
        <v>0</v>
      </c>
      <c r="L148" s="24"/>
      <c r="M148" s="25">
        <v>51</v>
      </c>
      <c r="N148" s="25">
        <v>54</v>
      </c>
      <c r="O148" s="25">
        <v>15</v>
      </c>
      <c r="P148" s="25">
        <v>66</v>
      </c>
      <c r="Q148" s="25">
        <v>12</v>
      </c>
      <c r="R148" s="25">
        <v>30</v>
      </c>
      <c r="S148" s="25">
        <v>0</v>
      </c>
      <c r="T148" s="25">
        <v>15</v>
      </c>
      <c r="U148" s="25">
        <v>62</v>
      </c>
      <c r="V148" s="25">
        <v>88</v>
      </c>
      <c r="W148" s="25">
        <v>54</v>
      </c>
      <c r="X148" s="25">
        <v>0</v>
      </c>
      <c r="Y148" s="25">
        <v>14</v>
      </c>
      <c r="Z148" s="25">
        <v>237</v>
      </c>
      <c r="AA148" s="25">
        <v>393</v>
      </c>
      <c r="AB148" s="25">
        <v>74</v>
      </c>
      <c r="AC148" s="23">
        <v>11751.108918918919</v>
      </c>
      <c r="AD148" s="26">
        <v>3.2027027027027026</v>
      </c>
      <c r="AE148" s="23">
        <v>140010</v>
      </c>
      <c r="AF148" s="23">
        <v>39287</v>
      </c>
      <c r="AG148" s="24">
        <v>0.20618755635322097</v>
      </c>
      <c r="AH148" s="23">
        <v>28986.06866666667</v>
      </c>
      <c r="AI148" s="83">
        <v>52</v>
      </c>
      <c r="AJ148" s="83">
        <v>747</v>
      </c>
      <c r="AK148" s="83">
        <v>3249.96</v>
      </c>
      <c r="AL148" s="83">
        <v>60</v>
      </c>
      <c r="AM148" s="99"/>
      <c r="AN148" s="99"/>
      <c r="AO148" s="30">
        <v>-869582.06</v>
      </c>
    </row>
    <row r="149" spans="1:41" ht="15.6">
      <c r="A149" s="19" t="s">
        <v>118</v>
      </c>
      <c r="B149" s="19" t="s">
        <v>372</v>
      </c>
      <c r="C149" s="20" t="s">
        <v>258</v>
      </c>
      <c r="D149" s="21" t="s">
        <v>625</v>
      </c>
      <c r="E149" s="44">
        <v>45628</v>
      </c>
      <c r="F149" s="21" t="s">
        <v>447</v>
      </c>
      <c r="G149" s="23">
        <v>3867360</v>
      </c>
      <c r="H149" s="23">
        <v>4500000</v>
      </c>
      <c r="I149" s="23">
        <v>2456024.5099999998</v>
      </c>
      <c r="J149" s="23">
        <v>0</v>
      </c>
      <c r="K149" s="23">
        <v>3299433</v>
      </c>
      <c r="L149" s="24">
        <v>0.54578322444444438</v>
      </c>
      <c r="M149" s="25">
        <v>68</v>
      </c>
      <c r="N149" s="25">
        <v>65</v>
      </c>
      <c r="O149" s="25">
        <v>5</v>
      </c>
      <c r="P149" s="25">
        <v>73</v>
      </c>
      <c r="Q149" s="25">
        <v>8</v>
      </c>
      <c r="R149" s="25">
        <v>32</v>
      </c>
      <c r="S149" s="25">
        <v>0</v>
      </c>
      <c r="T149" s="25">
        <v>5</v>
      </c>
      <c r="U149" s="25">
        <v>63</v>
      </c>
      <c r="V149" s="25">
        <v>97</v>
      </c>
      <c r="W149" s="25">
        <v>17</v>
      </c>
      <c r="X149" s="25">
        <v>0</v>
      </c>
      <c r="Y149" s="25">
        <v>0</v>
      </c>
      <c r="Z149" s="25">
        <v>294</v>
      </c>
      <c r="AA149" s="25">
        <v>408</v>
      </c>
      <c r="AB149" s="25">
        <v>71</v>
      </c>
      <c r="AC149" s="23">
        <v>34591.894507042249</v>
      </c>
      <c r="AD149" s="26">
        <v>4.140845070422535</v>
      </c>
      <c r="AE149" s="23">
        <v>80265</v>
      </c>
      <c r="AF149" s="23">
        <v>14693</v>
      </c>
      <c r="AG149" s="24">
        <v>3.8663294935928801E-2</v>
      </c>
      <c r="AH149" s="23">
        <v>76750.765937499993</v>
      </c>
      <c r="AI149" s="83">
        <v>48</v>
      </c>
      <c r="AJ149" s="83">
        <v>759</v>
      </c>
      <c r="AK149" s="83">
        <v>4034.15</v>
      </c>
      <c r="AL149" s="83">
        <v>62</v>
      </c>
      <c r="AM149" s="99"/>
      <c r="AN149" s="99"/>
      <c r="AO149" s="30">
        <v>843408.49000000022</v>
      </c>
    </row>
    <row r="150" spans="1:41" ht="15.6">
      <c r="A150" s="19" t="s">
        <v>118</v>
      </c>
      <c r="B150" s="19" t="s">
        <v>436</v>
      </c>
      <c r="C150" s="20" t="s">
        <v>270</v>
      </c>
      <c r="D150" s="21" t="s">
        <v>449</v>
      </c>
      <c r="E150" s="44">
        <v>45635</v>
      </c>
      <c r="F150" s="21" t="s">
        <v>499</v>
      </c>
      <c r="G150" s="23">
        <v>1158936.1400000001</v>
      </c>
      <c r="H150" s="23">
        <v>3750000</v>
      </c>
      <c r="I150" s="23">
        <v>1691427.55</v>
      </c>
      <c r="J150" s="23">
        <v>0</v>
      </c>
      <c r="K150" s="23">
        <v>1780818.6</v>
      </c>
      <c r="L150" s="24">
        <v>0.45104734666666668</v>
      </c>
      <c r="M150" s="25">
        <v>73</v>
      </c>
      <c r="N150" s="25">
        <v>75</v>
      </c>
      <c r="O150" s="25">
        <v>10</v>
      </c>
      <c r="P150" s="25">
        <v>83</v>
      </c>
      <c r="Q150" s="25">
        <v>8</v>
      </c>
      <c r="R150" s="25">
        <v>43</v>
      </c>
      <c r="S150" s="25">
        <v>0</v>
      </c>
      <c r="T150" s="25">
        <v>10</v>
      </c>
      <c r="U150" s="25">
        <v>28</v>
      </c>
      <c r="V150" s="25">
        <v>40</v>
      </c>
      <c r="W150" s="25">
        <v>33</v>
      </c>
      <c r="X150" s="25">
        <v>15</v>
      </c>
      <c r="Y150" s="25">
        <v>18</v>
      </c>
      <c r="Z150" s="25">
        <v>342</v>
      </c>
      <c r="AA150" s="25">
        <v>448</v>
      </c>
      <c r="AB150" s="25">
        <v>73</v>
      </c>
      <c r="AC150" s="23">
        <v>23170.240410958904</v>
      </c>
      <c r="AD150" s="26">
        <v>4.6849315068493151</v>
      </c>
      <c r="AE150" s="23">
        <v>108570</v>
      </c>
      <c r="AF150" s="23">
        <v>32261</v>
      </c>
      <c r="AG150" s="24">
        <v>8.3261621226401336E-2</v>
      </c>
      <c r="AH150" s="23">
        <v>39335.524418604655</v>
      </c>
      <c r="AI150" s="83">
        <v>92</v>
      </c>
      <c r="AJ150" s="83">
        <v>856</v>
      </c>
      <c r="AK150" s="83">
        <v>7554.07</v>
      </c>
      <c r="AL150" s="83">
        <v>101</v>
      </c>
      <c r="AM150" s="99"/>
      <c r="AN150" s="99"/>
      <c r="AO150" s="30">
        <v>89391.050000000047</v>
      </c>
    </row>
    <row r="151" spans="1:41" ht="15.6">
      <c r="A151" s="19" t="s">
        <v>118</v>
      </c>
      <c r="B151" s="19" t="s">
        <v>649</v>
      </c>
      <c r="C151" s="20" t="s">
        <v>269</v>
      </c>
      <c r="D151" s="21" t="s">
        <v>519</v>
      </c>
      <c r="E151" s="44">
        <v>45636</v>
      </c>
      <c r="F151" s="21" t="s">
        <v>486</v>
      </c>
      <c r="G151" s="23">
        <v>2196264</v>
      </c>
      <c r="H151" s="23">
        <v>6375000</v>
      </c>
      <c r="I151" s="23">
        <v>4106921.33</v>
      </c>
      <c r="J151" s="23">
        <v>0</v>
      </c>
      <c r="K151" s="23">
        <v>3151018</v>
      </c>
      <c r="L151" s="24">
        <v>0.64422295372549021</v>
      </c>
      <c r="M151" s="25">
        <v>92</v>
      </c>
      <c r="N151" s="25">
        <v>109</v>
      </c>
      <c r="O151" s="25">
        <v>35</v>
      </c>
      <c r="P151" s="25">
        <v>127</v>
      </c>
      <c r="Q151" s="25">
        <v>18</v>
      </c>
      <c r="R151" s="25">
        <v>82</v>
      </c>
      <c r="S151" s="25">
        <v>0</v>
      </c>
      <c r="T151" s="25">
        <v>35</v>
      </c>
      <c r="U151" s="25">
        <v>167</v>
      </c>
      <c r="V151" s="25">
        <v>313</v>
      </c>
      <c r="W151" s="25">
        <v>18</v>
      </c>
      <c r="X151" s="25">
        <v>0</v>
      </c>
      <c r="Y151" s="25">
        <v>12</v>
      </c>
      <c r="Z151" s="25">
        <v>294</v>
      </c>
      <c r="AA151" s="25">
        <v>637</v>
      </c>
      <c r="AB151" s="25">
        <v>74</v>
      </c>
      <c r="AC151" s="23">
        <v>55498.936891891892</v>
      </c>
      <c r="AD151" s="26">
        <v>3.9729729729729728</v>
      </c>
      <c r="AE151" s="23">
        <v>155700</v>
      </c>
      <c r="AF151" s="23">
        <v>28770</v>
      </c>
      <c r="AG151" s="24">
        <v>4.4916857465102697E-2</v>
      </c>
      <c r="AH151" s="23">
        <v>50084.406463414634</v>
      </c>
      <c r="AI151" s="83">
        <v>140</v>
      </c>
      <c r="AJ151" s="83">
        <v>908</v>
      </c>
      <c r="AK151" s="83">
        <v>5278.81</v>
      </c>
      <c r="AL151" s="83">
        <v>48</v>
      </c>
      <c r="AM151" s="99"/>
      <c r="AN151" s="99"/>
      <c r="AO151" s="30">
        <v>-955903.33000000007</v>
      </c>
    </row>
    <row r="152" spans="1:41" ht="15.6">
      <c r="A152" s="19" t="s">
        <v>118</v>
      </c>
      <c r="B152" s="19" t="s">
        <v>362</v>
      </c>
      <c r="C152" s="20" t="s">
        <v>272</v>
      </c>
      <c r="D152" s="21" t="s">
        <v>627</v>
      </c>
      <c r="E152" s="44">
        <v>45637</v>
      </c>
      <c r="F152" s="21" t="s">
        <v>419</v>
      </c>
      <c r="G152" s="23">
        <v>2407183</v>
      </c>
      <c r="H152" s="23">
        <v>12750000</v>
      </c>
      <c r="I152" s="23">
        <v>9444854.2400000002</v>
      </c>
      <c r="J152" s="23">
        <v>0</v>
      </c>
      <c r="K152" s="23">
        <v>8530725</v>
      </c>
      <c r="L152" s="24">
        <v>0.74077288156862742</v>
      </c>
      <c r="M152" s="25">
        <v>79</v>
      </c>
      <c r="N152" s="25">
        <v>82</v>
      </c>
      <c r="O152" s="25">
        <v>5</v>
      </c>
      <c r="P152" s="25">
        <v>84</v>
      </c>
      <c r="Q152" s="25">
        <v>2</v>
      </c>
      <c r="R152" s="25">
        <v>46</v>
      </c>
      <c r="S152" s="25">
        <v>0</v>
      </c>
      <c r="T152" s="25">
        <v>5</v>
      </c>
      <c r="U152" s="25">
        <v>19</v>
      </c>
      <c r="V152" s="25">
        <v>26</v>
      </c>
      <c r="W152" s="25">
        <v>9</v>
      </c>
      <c r="X152" s="25">
        <v>0</v>
      </c>
      <c r="Y152" s="25">
        <v>0</v>
      </c>
      <c r="Z152" s="25">
        <v>344</v>
      </c>
      <c r="AA152" s="25">
        <v>379</v>
      </c>
      <c r="AB152" s="25">
        <v>76</v>
      </c>
      <c r="AC152" s="23">
        <v>124274.39789473685</v>
      </c>
      <c r="AD152" s="26">
        <v>4.5263157894736841</v>
      </c>
      <c r="AE152" s="23">
        <v>102270</v>
      </c>
      <c r="AF152" s="23">
        <v>22238</v>
      </c>
      <c r="AG152" s="24">
        <v>1.3182628004219999E-2</v>
      </c>
      <c r="AH152" s="23">
        <v>205322.91826086957</v>
      </c>
      <c r="AI152" s="83">
        <v>84</v>
      </c>
      <c r="AJ152" s="83">
        <v>815</v>
      </c>
      <c r="AK152" s="83">
        <v>6651.47</v>
      </c>
      <c r="AL152" s="83">
        <v>81</v>
      </c>
      <c r="AM152" s="99"/>
      <c r="AN152" s="99"/>
      <c r="AO152" s="30">
        <v>-914129.24000000022</v>
      </c>
    </row>
    <row r="153" spans="1:41" ht="15.6">
      <c r="A153" s="19" t="s">
        <v>117</v>
      </c>
      <c r="B153" s="19" t="s">
        <v>450</v>
      </c>
      <c r="C153" s="20" t="s">
        <v>158</v>
      </c>
      <c r="D153" s="21" t="s">
        <v>628</v>
      </c>
      <c r="E153" s="44">
        <v>45638</v>
      </c>
      <c r="F153" s="21" t="s">
        <v>482</v>
      </c>
      <c r="G153" s="23">
        <v>0</v>
      </c>
      <c r="H153" s="23">
        <v>3125001</v>
      </c>
      <c r="I153" s="23">
        <v>1</v>
      </c>
      <c r="J153" s="23">
        <v>0</v>
      </c>
      <c r="K153" s="23">
        <v>0</v>
      </c>
      <c r="L153" s="24">
        <v>3.1999989760003274E-7</v>
      </c>
      <c r="M153" s="25">
        <v>97</v>
      </c>
      <c r="N153" s="25">
        <v>3</v>
      </c>
      <c r="O153" s="25">
        <v>0</v>
      </c>
      <c r="P153" s="25">
        <v>97</v>
      </c>
      <c r="Q153" s="25">
        <v>94</v>
      </c>
      <c r="R153" s="25">
        <v>0</v>
      </c>
      <c r="S153" s="25">
        <v>0</v>
      </c>
      <c r="T153" s="25">
        <v>0</v>
      </c>
      <c r="U153" s="25">
        <v>86</v>
      </c>
      <c r="V153" s="25">
        <v>161</v>
      </c>
      <c r="W153" s="25">
        <v>7</v>
      </c>
      <c r="X153" s="25">
        <v>0</v>
      </c>
      <c r="Y153" s="25">
        <v>0</v>
      </c>
      <c r="Z153" s="25">
        <v>6</v>
      </c>
      <c r="AA153" s="25">
        <v>174</v>
      </c>
      <c r="AB153" s="25">
        <v>74</v>
      </c>
      <c r="AC153" s="23">
        <v>1.3513513513513514E-2</v>
      </c>
      <c r="AD153" s="26">
        <v>8.1081081081081086E-2</v>
      </c>
      <c r="AE153" s="23">
        <v>143160</v>
      </c>
      <c r="AF153" s="23">
        <v>24562</v>
      </c>
      <c r="AG153" s="24">
        <v>167722</v>
      </c>
      <c r="AH153" s="23"/>
      <c r="AI153" s="83">
        <v>0</v>
      </c>
      <c r="AJ153" s="83">
        <v>869</v>
      </c>
      <c r="AK153" s="83">
        <v>3558.91</v>
      </c>
      <c r="AL153" s="83">
        <v>1186</v>
      </c>
      <c r="AM153" s="99"/>
      <c r="AN153" s="99"/>
      <c r="AO153" s="30">
        <v>-1</v>
      </c>
    </row>
    <row r="154" spans="1:41" ht="15.6">
      <c r="A154" s="19" t="s">
        <v>201</v>
      </c>
      <c r="B154" s="19" t="s">
        <v>431</v>
      </c>
      <c r="C154" s="20" t="s">
        <v>271</v>
      </c>
      <c r="D154" s="21" t="s">
        <v>433</v>
      </c>
      <c r="E154" s="44">
        <v>45639</v>
      </c>
      <c r="F154" s="21" t="s">
        <v>431</v>
      </c>
      <c r="G154" s="23">
        <v>2332678</v>
      </c>
      <c r="H154" s="23">
        <v>5375001</v>
      </c>
      <c r="I154" s="23">
        <v>2405011.39</v>
      </c>
      <c r="J154" s="23">
        <v>0</v>
      </c>
      <c r="K154" s="23">
        <v>2316202</v>
      </c>
      <c r="L154" s="24">
        <v>0.4474438962895077</v>
      </c>
      <c r="M154" s="25">
        <v>40</v>
      </c>
      <c r="N154" s="25">
        <v>43</v>
      </c>
      <c r="O154" s="25">
        <v>11</v>
      </c>
      <c r="P154" s="25">
        <v>51</v>
      </c>
      <c r="Q154" s="25">
        <v>8</v>
      </c>
      <c r="R154" s="25">
        <v>36</v>
      </c>
      <c r="S154" s="25">
        <v>0</v>
      </c>
      <c r="T154" s="25">
        <v>10</v>
      </c>
      <c r="U154" s="25">
        <v>67</v>
      </c>
      <c r="V154" s="25">
        <v>109</v>
      </c>
      <c r="W154" s="25">
        <v>52</v>
      </c>
      <c r="X154" s="25">
        <v>0</v>
      </c>
      <c r="Y154" s="25">
        <v>0</v>
      </c>
      <c r="Z154" s="25">
        <v>229</v>
      </c>
      <c r="AA154" s="25">
        <v>390</v>
      </c>
      <c r="AB154" s="25">
        <v>70</v>
      </c>
      <c r="AC154" s="23">
        <v>34357.305571428573</v>
      </c>
      <c r="AD154" s="26">
        <v>3.2714285714285714</v>
      </c>
      <c r="AE154" s="23">
        <v>105420</v>
      </c>
      <c r="AF154" s="23">
        <v>14765</v>
      </c>
      <c r="AG154" s="24">
        <v>4.9972736303756128E-2</v>
      </c>
      <c r="AH154" s="23">
        <v>66805.871944444443</v>
      </c>
      <c r="AI154" s="83">
        <v>61</v>
      </c>
      <c r="AJ154" s="83">
        <v>581</v>
      </c>
      <c r="AK154" s="83">
        <v>2027.14</v>
      </c>
      <c r="AL154" s="83">
        <v>47</v>
      </c>
      <c r="AM154" s="99"/>
      <c r="AN154" s="99"/>
      <c r="AO154" s="30">
        <v>-88809.39000000013</v>
      </c>
    </row>
    <row r="155" spans="1:41" ht="15.6">
      <c r="A155" s="19" t="s">
        <v>118</v>
      </c>
      <c r="B155" s="19" t="s">
        <v>468</v>
      </c>
      <c r="C155" s="20" t="s">
        <v>273</v>
      </c>
      <c r="D155" s="21" t="s">
        <v>555</v>
      </c>
      <c r="E155" s="44">
        <v>45639</v>
      </c>
      <c r="F155" s="21" t="s">
        <v>509</v>
      </c>
      <c r="G155" s="23">
        <v>0</v>
      </c>
      <c r="H155" s="23">
        <v>6000000</v>
      </c>
      <c r="I155" s="23">
        <v>3695240.07</v>
      </c>
      <c r="J155" s="23">
        <v>0</v>
      </c>
      <c r="K155" s="23">
        <v>4518520</v>
      </c>
      <c r="L155" s="24">
        <v>0.61587334500000002</v>
      </c>
      <c r="M155" s="25">
        <v>77</v>
      </c>
      <c r="N155" s="25">
        <v>70</v>
      </c>
      <c r="O155" s="25">
        <v>8</v>
      </c>
      <c r="P155" s="25">
        <v>85</v>
      </c>
      <c r="Q155" s="25">
        <v>15</v>
      </c>
      <c r="R155" s="25">
        <v>32</v>
      </c>
      <c r="S155" s="25">
        <v>0</v>
      </c>
      <c r="T155" s="25">
        <v>8</v>
      </c>
      <c r="U155" s="25">
        <v>80</v>
      </c>
      <c r="V155" s="25">
        <v>119</v>
      </c>
      <c r="W155" s="25">
        <v>20</v>
      </c>
      <c r="X155" s="25">
        <v>0</v>
      </c>
      <c r="Y155" s="25">
        <v>0</v>
      </c>
      <c r="Z155" s="25">
        <v>220</v>
      </c>
      <c r="AA155" s="25">
        <v>359</v>
      </c>
      <c r="AB155" s="25">
        <v>73</v>
      </c>
      <c r="AC155" s="23">
        <v>50619.726986301364</v>
      </c>
      <c r="AD155" s="26">
        <v>3.0136986301369864</v>
      </c>
      <c r="AE155" s="23">
        <v>100710</v>
      </c>
      <c r="AF155" s="23">
        <v>21475</v>
      </c>
      <c r="AG155" s="24">
        <v>3.3065510680067939E-2</v>
      </c>
      <c r="AH155" s="23">
        <v>115476.25218749999</v>
      </c>
      <c r="AI155" s="83">
        <v>50</v>
      </c>
      <c r="AJ155" s="83">
        <v>685</v>
      </c>
      <c r="AK155" s="83">
        <v>3394.98</v>
      </c>
      <c r="AL155" s="83">
        <v>48</v>
      </c>
      <c r="AM155" s="99"/>
      <c r="AN155" s="99"/>
      <c r="AO155" s="30">
        <v>823279.93000000017</v>
      </c>
    </row>
    <row r="156" spans="1:41" ht="15.6">
      <c r="A156" s="19" t="s">
        <v>118</v>
      </c>
      <c r="B156" s="19" t="s">
        <v>372</v>
      </c>
      <c r="C156" s="20" t="s">
        <v>274</v>
      </c>
      <c r="D156" s="21" t="s">
        <v>629</v>
      </c>
      <c r="E156" s="44">
        <v>45640</v>
      </c>
      <c r="F156" s="21" t="s">
        <v>447</v>
      </c>
      <c r="G156" s="23">
        <v>3804407.77</v>
      </c>
      <c r="H156" s="23">
        <v>6000000</v>
      </c>
      <c r="I156" s="23">
        <v>3448292.3</v>
      </c>
      <c r="J156" s="23">
        <v>0</v>
      </c>
      <c r="K156" s="23">
        <v>3483062.66</v>
      </c>
      <c r="L156" s="24">
        <v>0.76628717777777777</v>
      </c>
      <c r="M156" s="25">
        <v>15</v>
      </c>
      <c r="N156" s="25">
        <v>20</v>
      </c>
      <c r="O156" s="25">
        <v>5</v>
      </c>
      <c r="P156" s="25">
        <v>20</v>
      </c>
      <c r="Q156" s="25">
        <v>0</v>
      </c>
      <c r="R156" s="25">
        <v>19</v>
      </c>
      <c r="S156" s="25">
        <v>0</v>
      </c>
      <c r="T156" s="25">
        <v>5</v>
      </c>
      <c r="U156" s="25">
        <v>71</v>
      </c>
      <c r="V156" s="25">
        <v>140</v>
      </c>
      <c r="W156" s="25">
        <v>7</v>
      </c>
      <c r="X156" s="25">
        <v>0</v>
      </c>
      <c r="Y156" s="25">
        <v>0</v>
      </c>
      <c r="Z156" s="25">
        <v>149</v>
      </c>
      <c r="AA156" s="25">
        <v>296</v>
      </c>
      <c r="AB156" s="25">
        <v>66</v>
      </c>
      <c r="AC156" s="23">
        <v>52246.853030303027</v>
      </c>
      <c r="AD156" s="26">
        <v>2.2575757575757578</v>
      </c>
      <c r="AE156" s="23">
        <v>86550</v>
      </c>
      <c r="AF156" s="23">
        <v>8612</v>
      </c>
      <c r="AG156" s="24">
        <v>2.7596848445823462E-2</v>
      </c>
      <c r="AH156" s="23">
        <v>181489.06842105262</v>
      </c>
      <c r="AI156" s="83">
        <v>47</v>
      </c>
      <c r="AJ156" s="83">
        <v>723</v>
      </c>
      <c r="AK156" s="83">
        <v>3466.55</v>
      </c>
      <c r="AL156" s="83">
        <v>173</v>
      </c>
      <c r="AM156" s="99"/>
      <c r="AN156" s="99"/>
      <c r="AO156" s="30">
        <v>34770.360000000335</v>
      </c>
    </row>
    <row r="157" spans="1:41" ht="15.6">
      <c r="A157" s="19" t="s">
        <v>118</v>
      </c>
      <c r="B157" s="19" t="s">
        <v>436</v>
      </c>
      <c r="C157" s="20" t="s">
        <v>275</v>
      </c>
      <c r="D157" s="21" t="s">
        <v>630</v>
      </c>
      <c r="E157" s="44">
        <v>45646</v>
      </c>
      <c r="F157" s="21" t="s">
        <v>499</v>
      </c>
      <c r="G157" s="23">
        <v>386440.49000000005</v>
      </c>
      <c r="H157" s="23">
        <v>0</v>
      </c>
      <c r="I157" s="23">
        <v>47630</v>
      </c>
      <c r="J157" s="23">
        <v>0</v>
      </c>
      <c r="K157" s="23">
        <v>0</v>
      </c>
      <c r="L157" s="24"/>
      <c r="M157" s="25">
        <v>30</v>
      </c>
      <c r="N157" s="25">
        <v>12</v>
      </c>
      <c r="O157" s="25">
        <v>0</v>
      </c>
      <c r="P157" s="25">
        <v>30</v>
      </c>
      <c r="Q157" s="25">
        <v>18</v>
      </c>
      <c r="R157" s="25">
        <v>8</v>
      </c>
      <c r="S157" s="25">
        <v>0</v>
      </c>
      <c r="T157" s="25">
        <v>0</v>
      </c>
      <c r="U157" s="25">
        <v>19</v>
      </c>
      <c r="V157" s="25">
        <v>20</v>
      </c>
      <c r="W157" s="25">
        <v>2</v>
      </c>
      <c r="X157" s="25">
        <v>0</v>
      </c>
      <c r="Y157" s="25">
        <v>0</v>
      </c>
      <c r="Z157" s="25">
        <v>17</v>
      </c>
      <c r="AA157" s="25">
        <v>39</v>
      </c>
      <c r="AB157" s="25">
        <v>11</v>
      </c>
      <c r="AC157" s="23">
        <v>4330</v>
      </c>
      <c r="AD157" s="26">
        <v>1.5454545454545454</v>
      </c>
      <c r="AE157" s="23">
        <v>16785</v>
      </c>
      <c r="AF157" s="23">
        <v>5260</v>
      </c>
      <c r="AG157" s="24">
        <v>0.46283854713415912</v>
      </c>
      <c r="AH157" s="23">
        <v>5953.75</v>
      </c>
      <c r="AI157" s="83">
        <v>9</v>
      </c>
      <c r="AJ157" s="83">
        <v>107</v>
      </c>
      <c r="AK157" s="83">
        <v>1075.74</v>
      </c>
      <c r="AL157" s="83">
        <v>90</v>
      </c>
      <c r="AM157" s="99">
        <v>45762</v>
      </c>
      <c r="AN157" s="99"/>
      <c r="AO157" s="30">
        <v>-47630</v>
      </c>
    </row>
    <row r="158" spans="1:41" ht="15.6">
      <c r="A158" s="19" t="s">
        <v>124</v>
      </c>
      <c r="B158" s="19" t="s">
        <v>443</v>
      </c>
      <c r="C158" s="20" t="s">
        <v>276</v>
      </c>
      <c r="D158" s="21" t="s">
        <v>524</v>
      </c>
      <c r="E158" s="44">
        <v>45651</v>
      </c>
      <c r="F158" s="21" t="s">
        <v>517</v>
      </c>
      <c r="G158" s="23">
        <v>2501918</v>
      </c>
      <c r="H158" s="23">
        <v>3000000</v>
      </c>
      <c r="I158" s="23">
        <v>1464739.43</v>
      </c>
      <c r="J158" s="23">
        <v>0</v>
      </c>
      <c r="K158" s="23">
        <v>2065468</v>
      </c>
      <c r="L158" s="24">
        <v>0.48824647666666665</v>
      </c>
      <c r="M158" s="25">
        <v>66</v>
      </c>
      <c r="N158" s="25">
        <v>59</v>
      </c>
      <c r="O158" s="25">
        <v>5</v>
      </c>
      <c r="P158" s="25">
        <v>71</v>
      </c>
      <c r="Q158" s="25">
        <v>12</v>
      </c>
      <c r="R158" s="25">
        <v>24</v>
      </c>
      <c r="S158" s="25">
        <v>0</v>
      </c>
      <c r="T158" s="25">
        <v>5</v>
      </c>
      <c r="U158" s="25">
        <v>47</v>
      </c>
      <c r="V158" s="25">
        <v>74</v>
      </c>
      <c r="W158" s="25">
        <v>30</v>
      </c>
      <c r="X158" s="25">
        <v>0</v>
      </c>
      <c r="Y158" s="25">
        <v>0</v>
      </c>
      <c r="Z158" s="25">
        <v>175</v>
      </c>
      <c r="AA158" s="25">
        <v>279</v>
      </c>
      <c r="AB158" s="25">
        <v>68</v>
      </c>
      <c r="AC158" s="23">
        <v>21540.285735294117</v>
      </c>
      <c r="AD158" s="26">
        <v>2.5735294117647061</v>
      </c>
      <c r="AE158" s="23">
        <v>75495</v>
      </c>
      <c r="AF158" s="23">
        <v>11056</v>
      </c>
      <c r="AG158" s="24">
        <v>5.9089690785479848E-2</v>
      </c>
      <c r="AH158" s="23">
        <v>61030.809583333328</v>
      </c>
      <c r="AI158" s="83">
        <v>53</v>
      </c>
      <c r="AJ158" s="83">
        <v>680</v>
      </c>
      <c r="AK158" s="83">
        <v>4418.25</v>
      </c>
      <c r="AL158" s="83">
        <v>75</v>
      </c>
      <c r="AM158" s="99"/>
      <c r="AN158" s="99"/>
      <c r="AO158" s="30">
        <v>600728.57000000007</v>
      </c>
    </row>
    <row r="159" spans="1:41" ht="15.6">
      <c r="A159" s="19" t="s">
        <v>120</v>
      </c>
      <c r="B159" s="19" t="s">
        <v>286</v>
      </c>
      <c r="C159" s="20" t="s">
        <v>256</v>
      </c>
      <c r="D159" s="21" t="s">
        <v>259</v>
      </c>
      <c r="E159" s="44">
        <v>45658</v>
      </c>
      <c r="F159" s="21" t="s">
        <v>631</v>
      </c>
      <c r="G159" s="23">
        <v>0</v>
      </c>
      <c r="H159" s="23">
        <v>3600000</v>
      </c>
      <c r="I159" s="23">
        <v>579076.68000000005</v>
      </c>
      <c r="J159" s="23">
        <v>0</v>
      </c>
      <c r="K159" s="23">
        <v>738778</v>
      </c>
      <c r="L159" s="24">
        <v>0.16085463333333336</v>
      </c>
      <c r="M159" s="25">
        <v>11</v>
      </c>
      <c r="N159" s="25">
        <v>28</v>
      </c>
      <c r="O159" s="25">
        <v>18</v>
      </c>
      <c r="P159" s="25">
        <v>29</v>
      </c>
      <c r="Q159" s="25">
        <v>1</v>
      </c>
      <c r="R159" s="25">
        <v>22</v>
      </c>
      <c r="S159" s="25">
        <v>0</v>
      </c>
      <c r="T159" s="25">
        <v>18</v>
      </c>
      <c r="U159" s="25">
        <v>139</v>
      </c>
      <c r="V159" s="25">
        <v>233</v>
      </c>
      <c r="W159" s="25">
        <v>26</v>
      </c>
      <c r="X159" s="25">
        <v>8</v>
      </c>
      <c r="Y159" s="25">
        <v>144</v>
      </c>
      <c r="Z159" s="25">
        <v>78</v>
      </c>
      <c r="AA159" s="25">
        <v>489</v>
      </c>
      <c r="AB159" s="25">
        <v>77</v>
      </c>
      <c r="AC159" s="23">
        <v>7520.4763636363641</v>
      </c>
      <c r="AD159" s="26">
        <v>1.0129870129870129</v>
      </c>
      <c r="AE159" s="23">
        <v>94365</v>
      </c>
      <c r="AF159" s="23">
        <v>12404</v>
      </c>
      <c r="AG159" s="24">
        <v>0.18437799981860778</v>
      </c>
      <c r="AH159" s="23">
        <v>26321.667272727274</v>
      </c>
      <c r="AI159" s="83">
        <v>40</v>
      </c>
      <c r="AJ159" s="83">
        <v>744</v>
      </c>
      <c r="AK159" s="83">
        <v>6325.46</v>
      </c>
      <c r="AL159" s="83">
        <v>226</v>
      </c>
      <c r="AM159" s="99"/>
      <c r="AN159" s="99"/>
      <c r="AO159" s="30">
        <v>159701.31999999995</v>
      </c>
    </row>
    <row r="160" spans="1:41" ht="15.6">
      <c r="A160" s="19" t="s">
        <v>201</v>
      </c>
      <c r="B160" s="19" t="s">
        <v>469</v>
      </c>
      <c r="C160" s="20" t="s">
        <v>277</v>
      </c>
      <c r="D160" s="21" t="s">
        <v>491</v>
      </c>
      <c r="E160" s="44">
        <v>45658</v>
      </c>
      <c r="F160" s="21" t="s">
        <v>470</v>
      </c>
      <c r="G160" s="23">
        <v>336189</v>
      </c>
      <c r="H160" s="23">
        <v>3500001</v>
      </c>
      <c r="I160" s="23">
        <v>1388846.49</v>
      </c>
      <c r="J160" s="23">
        <v>0</v>
      </c>
      <c r="K160" s="23">
        <v>468597</v>
      </c>
      <c r="L160" s="24">
        <v>0.59521694820097326</v>
      </c>
      <c r="M160" s="25">
        <v>20</v>
      </c>
      <c r="N160" s="25">
        <v>35</v>
      </c>
      <c r="O160" s="25">
        <v>18</v>
      </c>
      <c r="P160" s="25">
        <v>38</v>
      </c>
      <c r="Q160" s="25">
        <v>3</v>
      </c>
      <c r="R160" s="25">
        <v>28</v>
      </c>
      <c r="S160" s="25">
        <v>0</v>
      </c>
      <c r="T160" s="25">
        <v>18</v>
      </c>
      <c r="U160" s="25">
        <v>127</v>
      </c>
      <c r="V160" s="25">
        <v>204</v>
      </c>
      <c r="W160" s="25">
        <v>4</v>
      </c>
      <c r="X160" s="25">
        <v>0</v>
      </c>
      <c r="Y160" s="25">
        <v>0</v>
      </c>
      <c r="Z160" s="25">
        <v>200</v>
      </c>
      <c r="AA160" s="25">
        <v>408</v>
      </c>
      <c r="AB160" s="25">
        <v>71</v>
      </c>
      <c r="AC160" s="23">
        <v>19561.218169014086</v>
      </c>
      <c r="AD160" s="26">
        <v>2.816901408450704</v>
      </c>
      <c r="AE160" s="23">
        <v>108570</v>
      </c>
      <c r="AF160" s="23">
        <v>6230</v>
      </c>
      <c r="AG160" s="24">
        <v>8.2658523333273504E-2</v>
      </c>
      <c r="AH160" s="23">
        <v>49601.660357142857</v>
      </c>
      <c r="AI160" s="83">
        <v>64</v>
      </c>
      <c r="AJ160" s="83">
        <v>580</v>
      </c>
      <c r="AK160" s="83">
        <v>3306.81</v>
      </c>
      <c r="AL160" s="83">
        <v>94</v>
      </c>
      <c r="AM160" s="99"/>
      <c r="AN160" s="99"/>
      <c r="AO160" s="30">
        <v>-920249.49</v>
      </c>
    </row>
    <row r="161" spans="1:41" ht="15.6">
      <c r="A161" s="19" t="s">
        <v>118</v>
      </c>
      <c r="B161" s="19" t="s">
        <v>436</v>
      </c>
      <c r="C161" s="20" t="s">
        <v>278</v>
      </c>
      <c r="D161" s="21" t="s">
        <v>632</v>
      </c>
      <c r="E161" s="44">
        <v>45660</v>
      </c>
      <c r="F161" s="21" t="s">
        <v>499</v>
      </c>
      <c r="G161" s="23">
        <v>1730514</v>
      </c>
      <c r="H161" s="23">
        <v>0</v>
      </c>
      <c r="I161" s="23">
        <v>818223.7</v>
      </c>
      <c r="J161" s="23">
        <v>0</v>
      </c>
      <c r="K161" s="23">
        <v>1187403</v>
      </c>
      <c r="L161" s="24"/>
      <c r="M161" s="25">
        <v>67</v>
      </c>
      <c r="N161" s="25">
        <v>59</v>
      </c>
      <c r="O161" s="25">
        <v>6</v>
      </c>
      <c r="P161" s="25">
        <v>73</v>
      </c>
      <c r="Q161" s="25">
        <v>14</v>
      </c>
      <c r="R161" s="25">
        <v>40</v>
      </c>
      <c r="S161" s="25">
        <v>0</v>
      </c>
      <c r="T161" s="25">
        <v>6</v>
      </c>
      <c r="U161" s="25">
        <v>58</v>
      </c>
      <c r="V161" s="25">
        <v>92</v>
      </c>
      <c r="W161" s="25">
        <v>21</v>
      </c>
      <c r="X161" s="25">
        <v>0</v>
      </c>
      <c r="Y161" s="25">
        <v>0</v>
      </c>
      <c r="Z161" s="25">
        <v>258</v>
      </c>
      <c r="AA161" s="25">
        <v>371</v>
      </c>
      <c r="AB161" s="25">
        <v>50</v>
      </c>
      <c r="AC161" s="23">
        <v>16364.473999999998</v>
      </c>
      <c r="AD161" s="26">
        <v>5.16</v>
      </c>
      <c r="AE161" s="23">
        <v>80307.45</v>
      </c>
      <c r="AF161" s="23">
        <v>17378</v>
      </c>
      <c r="AG161" s="24">
        <v>0.1193872164788187</v>
      </c>
      <c r="AH161" s="23">
        <v>20455.592499999999</v>
      </c>
      <c r="AI161" s="83">
        <v>94</v>
      </c>
      <c r="AJ161" s="83">
        <v>392</v>
      </c>
      <c r="AK161" s="83">
        <v>2496.35</v>
      </c>
      <c r="AL161" s="83">
        <v>42</v>
      </c>
      <c r="AM161" s="99">
        <v>45819</v>
      </c>
      <c r="AN161" s="99"/>
      <c r="AO161" s="30">
        <v>369179.30000000005</v>
      </c>
    </row>
    <row r="162" spans="1:41" ht="15.6">
      <c r="A162" s="19" t="s">
        <v>177</v>
      </c>
      <c r="B162" s="19" t="s">
        <v>458</v>
      </c>
      <c r="C162" s="20" t="s">
        <v>279</v>
      </c>
      <c r="D162" s="21" t="s">
        <v>633</v>
      </c>
      <c r="E162" s="44">
        <v>45663</v>
      </c>
      <c r="F162" s="21" t="s">
        <v>581</v>
      </c>
      <c r="G162" s="23"/>
      <c r="H162" s="23">
        <v>0</v>
      </c>
      <c r="I162" s="23">
        <v>0</v>
      </c>
      <c r="J162" s="23">
        <v>0</v>
      </c>
      <c r="K162" s="23"/>
      <c r="L162" s="24"/>
      <c r="M162" s="25">
        <v>16</v>
      </c>
      <c r="N162" s="25">
        <v>17</v>
      </c>
      <c r="O162" s="25">
        <v>5</v>
      </c>
      <c r="P162" s="25">
        <v>21</v>
      </c>
      <c r="Q162" s="25">
        <v>4</v>
      </c>
      <c r="R162" s="25">
        <v>0</v>
      </c>
      <c r="S162" s="25">
        <v>0</v>
      </c>
      <c r="T162" s="25">
        <v>0</v>
      </c>
      <c r="U162" s="25">
        <v>73</v>
      </c>
      <c r="V162" s="25">
        <v>115</v>
      </c>
      <c r="W162" s="25">
        <v>34</v>
      </c>
      <c r="X162" s="25">
        <v>0</v>
      </c>
      <c r="Y162" s="25">
        <v>186</v>
      </c>
      <c r="Z162" s="25">
        <v>29</v>
      </c>
      <c r="AA162" s="25">
        <v>364</v>
      </c>
      <c r="AB162" s="25">
        <v>74</v>
      </c>
      <c r="AC162" s="23">
        <v>0</v>
      </c>
      <c r="AD162" s="26">
        <v>0.39189189189189189</v>
      </c>
      <c r="AE162" s="23">
        <v>200001</v>
      </c>
      <c r="AF162" s="23">
        <v>83954</v>
      </c>
      <c r="AG162" s="24"/>
      <c r="AH162" s="23"/>
      <c r="AI162" s="83">
        <v>0</v>
      </c>
      <c r="AJ162" s="83">
        <v>797</v>
      </c>
      <c r="AK162" s="83">
        <v>5579.77</v>
      </c>
      <c r="AL162" s="83">
        <v>328</v>
      </c>
      <c r="AM162" s="99"/>
      <c r="AN162" s="99"/>
      <c r="AO162" s="30">
        <v>0</v>
      </c>
    </row>
    <row r="163" spans="1:41" ht="15.6">
      <c r="A163" s="19" t="s">
        <v>177</v>
      </c>
      <c r="B163" s="19" t="s">
        <v>458</v>
      </c>
      <c r="C163" s="20" t="s">
        <v>280</v>
      </c>
      <c r="D163" s="21" t="s">
        <v>634</v>
      </c>
      <c r="E163" s="44">
        <v>45663</v>
      </c>
      <c r="F163" s="21" t="s">
        <v>581</v>
      </c>
      <c r="G163" s="23"/>
      <c r="H163" s="23">
        <v>0</v>
      </c>
      <c r="I163" s="23">
        <v>0</v>
      </c>
      <c r="J163" s="23">
        <v>0</v>
      </c>
      <c r="K163" s="23"/>
      <c r="L163" s="24"/>
      <c r="M163" s="25">
        <v>4</v>
      </c>
      <c r="N163" s="25">
        <v>0</v>
      </c>
      <c r="O163" s="25">
        <v>0</v>
      </c>
      <c r="P163" s="25">
        <v>4</v>
      </c>
      <c r="Q163" s="25">
        <v>4</v>
      </c>
      <c r="R163" s="25">
        <v>0</v>
      </c>
      <c r="S163" s="25">
        <v>0</v>
      </c>
      <c r="T163" s="25">
        <v>0</v>
      </c>
      <c r="U163" s="25">
        <v>46</v>
      </c>
      <c r="V163" s="25">
        <v>67</v>
      </c>
      <c r="W163" s="25">
        <v>25</v>
      </c>
      <c r="X163" s="25">
        <v>0</v>
      </c>
      <c r="Y163" s="25">
        <v>171</v>
      </c>
      <c r="Z163" s="25">
        <v>0</v>
      </c>
      <c r="AA163" s="25">
        <v>263</v>
      </c>
      <c r="AB163" s="25">
        <v>75</v>
      </c>
      <c r="AC163" s="23">
        <v>0</v>
      </c>
      <c r="AD163" s="26">
        <v>0</v>
      </c>
      <c r="AE163" s="23">
        <v>187500</v>
      </c>
      <c r="AF163" s="23">
        <v>57700</v>
      </c>
      <c r="AG163" s="24"/>
      <c r="AH163" s="23"/>
      <c r="AI163" s="83">
        <v>0</v>
      </c>
      <c r="AJ163" s="83">
        <v>767</v>
      </c>
      <c r="AK163" s="83">
        <v>3735.68</v>
      </c>
      <c r="AL163" s="83">
        <v>0</v>
      </c>
      <c r="AM163" s="99"/>
      <c r="AN163" s="99"/>
      <c r="AO163" s="30">
        <v>0</v>
      </c>
    </row>
    <row r="164" spans="1:41" ht="15.6">
      <c r="A164" s="19" t="s">
        <v>118</v>
      </c>
      <c r="B164" s="19" t="s">
        <v>362</v>
      </c>
      <c r="C164" s="20" t="s">
        <v>281</v>
      </c>
      <c r="D164" s="21" t="s">
        <v>635</v>
      </c>
      <c r="E164" s="44">
        <v>45670</v>
      </c>
      <c r="F164" s="21" t="s">
        <v>419</v>
      </c>
      <c r="G164" s="23">
        <v>1327099.74</v>
      </c>
      <c r="H164" s="23">
        <v>4500000</v>
      </c>
      <c r="I164" s="23">
        <v>2688890.89</v>
      </c>
      <c r="J164" s="23">
        <v>0</v>
      </c>
      <c r="K164" s="23">
        <v>2688891.7800000003</v>
      </c>
      <c r="L164" s="24">
        <v>0.59753130888888895</v>
      </c>
      <c r="M164" s="25">
        <v>10</v>
      </c>
      <c r="N164" s="25">
        <v>28</v>
      </c>
      <c r="O164" s="25">
        <v>18</v>
      </c>
      <c r="P164" s="25">
        <v>28</v>
      </c>
      <c r="Q164" s="25">
        <v>0</v>
      </c>
      <c r="R164" s="25">
        <v>25</v>
      </c>
      <c r="S164" s="25">
        <v>0</v>
      </c>
      <c r="T164" s="25">
        <v>18</v>
      </c>
      <c r="U164" s="25">
        <v>57</v>
      </c>
      <c r="V164" s="25">
        <v>83</v>
      </c>
      <c r="W164" s="25">
        <v>22</v>
      </c>
      <c r="X164" s="25">
        <v>0</v>
      </c>
      <c r="Y164" s="25">
        <v>0</v>
      </c>
      <c r="Z164" s="25">
        <v>88</v>
      </c>
      <c r="AA164" s="25">
        <v>193</v>
      </c>
      <c r="AB164" s="25">
        <v>65</v>
      </c>
      <c r="AC164" s="23">
        <v>41367.552153846154</v>
      </c>
      <c r="AD164" s="26">
        <v>1.3538461538461539</v>
      </c>
      <c r="AE164" s="23">
        <v>88125</v>
      </c>
      <c r="AF164" s="23">
        <v>14574</v>
      </c>
      <c r="AG164" s="24">
        <v>3.8193814550801647E-2</v>
      </c>
      <c r="AH164" s="23">
        <v>107555.63560000001</v>
      </c>
      <c r="AI164" s="83">
        <v>40</v>
      </c>
      <c r="AJ164" s="83">
        <v>711</v>
      </c>
      <c r="AK164" s="83">
        <v>1960.4</v>
      </c>
      <c r="AL164" s="83">
        <v>70</v>
      </c>
      <c r="AM164" s="99"/>
      <c r="AN164" s="99"/>
      <c r="AO164" s="30">
        <v>0.89000000013038516</v>
      </c>
    </row>
    <row r="165" spans="1:41" ht="15.6">
      <c r="A165" s="19" t="s">
        <v>108</v>
      </c>
      <c r="B165" s="19" t="s">
        <v>465</v>
      </c>
      <c r="C165" s="20" t="s">
        <v>282</v>
      </c>
      <c r="D165" s="21" t="s">
        <v>475</v>
      </c>
      <c r="E165" s="44">
        <v>45694</v>
      </c>
      <c r="F165" s="21" t="s">
        <v>506</v>
      </c>
      <c r="G165" s="23">
        <v>0</v>
      </c>
      <c r="H165" s="23">
        <v>3840000</v>
      </c>
      <c r="I165" s="23">
        <v>2905682.71</v>
      </c>
      <c r="J165" s="23">
        <v>0</v>
      </c>
      <c r="K165" s="23">
        <v>2843665.6799999997</v>
      </c>
      <c r="L165" s="24">
        <v>0.75668820572916662</v>
      </c>
      <c r="M165" s="25">
        <v>61</v>
      </c>
      <c r="N165" s="25">
        <v>61</v>
      </c>
      <c r="O165" s="25">
        <v>9</v>
      </c>
      <c r="P165" s="25">
        <v>70</v>
      </c>
      <c r="Q165" s="25">
        <v>9</v>
      </c>
      <c r="R165" s="25">
        <v>45</v>
      </c>
      <c r="S165" s="25">
        <v>0</v>
      </c>
      <c r="T165" s="25">
        <v>9</v>
      </c>
      <c r="U165" s="25">
        <v>8</v>
      </c>
      <c r="V165" s="25">
        <v>27</v>
      </c>
      <c r="W165" s="25">
        <v>36</v>
      </c>
      <c r="X165" s="25">
        <v>0</v>
      </c>
      <c r="Y165" s="25">
        <v>0</v>
      </c>
      <c r="Z165" s="25">
        <v>385</v>
      </c>
      <c r="AA165" s="25">
        <v>448</v>
      </c>
      <c r="AB165" s="25">
        <v>73</v>
      </c>
      <c r="AC165" s="23">
        <v>39803.87273972603</v>
      </c>
      <c r="AD165" s="26">
        <v>5.2739726027397262</v>
      </c>
      <c r="AE165" s="23">
        <v>69000</v>
      </c>
      <c r="AF165" s="23">
        <v>20360</v>
      </c>
      <c r="AG165" s="24">
        <v>3.0753529864931468E-2</v>
      </c>
      <c r="AH165" s="23">
        <v>64570.726888888887</v>
      </c>
      <c r="AI165" s="83">
        <v>197</v>
      </c>
      <c r="AJ165" s="83">
        <v>693</v>
      </c>
      <c r="AK165" s="83">
        <v>13470.11</v>
      </c>
      <c r="AL165" s="83">
        <v>221</v>
      </c>
      <c r="AM165" s="99"/>
      <c r="AN165" s="99"/>
      <c r="AO165" s="30">
        <v>-62017.030000000261</v>
      </c>
    </row>
    <row r="166" spans="1:41" ht="15.6">
      <c r="A166" s="19" t="s">
        <v>108</v>
      </c>
      <c r="B166" s="19" t="s">
        <v>465</v>
      </c>
      <c r="C166" s="20" t="s">
        <v>283</v>
      </c>
      <c r="D166" s="21" t="s">
        <v>475</v>
      </c>
      <c r="E166" s="44">
        <v>45719</v>
      </c>
      <c r="F166" s="21" t="s">
        <v>506</v>
      </c>
      <c r="G166" s="23">
        <v>0</v>
      </c>
      <c r="H166" s="23">
        <v>3840000</v>
      </c>
      <c r="I166" s="23">
        <v>3847290.41</v>
      </c>
      <c r="J166" s="23">
        <v>0</v>
      </c>
      <c r="K166" s="23">
        <v>1600372.03</v>
      </c>
      <c r="L166" s="24">
        <v>1.0018985442708335</v>
      </c>
      <c r="M166" s="25">
        <v>93</v>
      </c>
      <c r="N166" s="25">
        <v>53</v>
      </c>
      <c r="O166" s="25">
        <v>10</v>
      </c>
      <c r="P166" s="25">
        <v>103</v>
      </c>
      <c r="Q166" s="25">
        <v>50</v>
      </c>
      <c r="R166" s="25">
        <v>41</v>
      </c>
      <c r="S166" s="25">
        <v>0</v>
      </c>
      <c r="T166" s="25">
        <v>9</v>
      </c>
      <c r="U166" s="25">
        <v>5</v>
      </c>
      <c r="V166" s="25">
        <v>14</v>
      </c>
      <c r="W166" s="25">
        <v>7</v>
      </c>
      <c r="X166" s="25">
        <v>0</v>
      </c>
      <c r="Y166" s="25">
        <v>0</v>
      </c>
      <c r="Z166" s="25">
        <v>416</v>
      </c>
      <c r="AA166" s="25">
        <v>437</v>
      </c>
      <c r="AB166" s="25">
        <v>73</v>
      </c>
      <c r="AC166" s="23">
        <v>52702.608356164383</v>
      </c>
      <c r="AD166" s="26">
        <v>5.6986301369863011</v>
      </c>
      <c r="AE166" s="23">
        <v>69000</v>
      </c>
      <c r="AF166" s="23">
        <v>25176</v>
      </c>
      <c r="AG166" s="24">
        <v>2.4478526433880512E-2</v>
      </c>
      <c r="AH166" s="23">
        <v>93836.351463414641</v>
      </c>
      <c r="AI166" s="83">
        <v>111</v>
      </c>
      <c r="AJ166" s="83">
        <v>709</v>
      </c>
      <c r="AK166" s="83">
        <v>4626.3900000000003</v>
      </c>
      <c r="AL166" s="83">
        <v>87</v>
      </c>
      <c r="AM166" s="99"/>
      <c r="AN166" s="99"/>
      <c r="AO166" s="30">
        <v>-2246918.38</v>
      </c>
    </row>
    <row r="167" spans="1:41" ht="15.6">
      <c r="A167" s="19" t="s">
        <v>120</v>
      </c>
      <c r="B167" s="19" t="s">
        <v>206</v>
      </c>
      <c r="C167" s="20" t="s">
        <v>284</v>
      </c>
      <c r="D167" s="21" t="s">
        <v>358</v>
      </c>
      <c r="E167" s="44">
        <v>45722</v>
      </c>
      <c r="F167" s="21" t="s">
        <v>206</v>
      </c>
      <c r="G167" s="23">
        <v>327344</v>
      </c>
      <c r="H167" s="23">
        <v>3600000</v>
      </c>
      <c r="I167" s="23">
        <v>1816001.73</v>
      </c>
      <c r="J167" s="23">
        <v>0</v>
      </c>
      <c r="K167" s="23">
        <v>1867588</v>
      </c>
      <c r="L167" s="24">
        <v>0.50444492500000004</v>
      </c>
      <c r="M167" s="25">
        <v>53</v>
      </c>
      <c r="N167" s="25">
        <v>56</v>
      </c>
      <c r="O167" s="25">
        <v>7</v>
      </c>
      <c r="P167" s="25">
        <v>60</v>
      </c>
      <c r="Q167" s="25">
        <v>4</v>
      </c>
      <c r="R167" s="25">
        <v>33</v>
      </c>
      <c r="S167" s="25">
        <v>0</v>
      </c>
      <c r="T167" s="25">
        <v>7</v>
      </c>
      <c r="U167" s="25">
        <v>173</v>
      </c>
      <c r="V167" s="25">
        <v>342</v>
      </c>
      <c r="W167" s="25">
        <v>39</v>
      </c>
      <c r="X167" s="25">
        <v>0</v>
      </c>
      <c r="Y167" s="25">
        <v>0</v>
      </c>
      <c r="Z167" s="25">
        <v>233</v>
      </c>
      <c r="AA167" s="25">
        <v>614</v>
      </c>
      <c r="AB167" s="25">
        <v>75</v>
      </c>
      <c r="AC167" s="23">
        <v>24213.356400000001</v>
      </c>
      <c r="AD167" s="26">
        <v>3.1066666666666665</v>
      </c>
      <c r="AE167" s="23">
        <v>81780</v>
      </c>
      <c r="AF167" s="23">
        <v>26037</v>
      </c>
      <c r="AG167" s="24">
        <v>5.9370538154718606E-2</v>
      </c>
      <c r="AH167" s="23">
        <v>55030.355454545454</v>
      </c>
      <c r="AI167" s="83">
        <v>90</v>
      </c>
      <c r="AJ167" s="83">
        <v>731</v>
      </c>
      <c r="AK167" s="83">
        <v>5317.32</v>
      </c>
      <c r="AL167" s="83">
        <v>95</v>
      </c>
      <c r="AM167" s="99"/>
      <c r="AN167" s="99"/>
      <c r="AO167" s="30">
        <v>51586.270000000019</v>
      </c>
    </row>
    <row r="168" spans="1:41" ht="15.6">
      <c r="A168" s="19" t="s">
        <v>154</v>
      </c>
      <c r="B168" s="19" t="s">
        <v>367</v>
      </c>
      <c r="C168" s="20" t="s">
        <v>287</v>
      </c>
      <c r="D168" s="21" t="s">
        <v>371</v>
      </c>
      <c r="E168" s="44">
        <v>45733</v>
      </c>
      <c r="F168" s="21" t="s">
        <v>577</v>
      </c>
      <c r="G168" s="23"/>
      <c r="H168" s="23">
        <v>4500000</v>
      </c>
      <c r="I168" s="23">
        <v>3051986.59</v>
      </c>
      <c r="J168" s="23">
        <v>0</v>
      </c>
      <c r="K168" s="23">
        <v>1453506</v>
      </c>
      <c r="L168" s="24">
        <v>0.67821924222222219</v>
      </c>
      <c r="M168" s="25">
        <v>40</v>
      </c>
      <c r="N168" s="25">
        <v>67</v>
      </c>
      <c r="O168" s="25">
        <v>28</v>
      </c>
      <c r="P168" s="25">
        <v>68</v>
      </c>
      <c r="Q168" s="25">
        <v>1</v>
      </c>
      <c r="R168" s="25">
        <v>45</v>
      </c>
      <c r="S168" s="25">
        <v>0</v>
      </c>
      <c r="T168" s="25">
        <v>28</v>
      </c>
      <c r="U168" s="25">
        <v>134</v>
      </c>
      <c r="V168" s="25">
        <v>272</v>
      </c>
      <c r="W168" s="25">
        <v>34</v>
      </c>
      <c r="X168" s="25">
        <v>1</v>
      </c>
      <c r="Y168" s="25">
        <v>17</v>
      </c>
      <c r="Z168" s="25">
        <v>253</v>
      </c>
      <c r="AA168" s="25">
        <v>577</v>
      </c>
      <c r="AB168" s="25">
        <v>77</v>
      </c>
      <c r="AC168" s="23">
        <v>39636.189480519475</v>
      </c>
      <c r="AD168" s="26">
        <v>3.2857142857142856</v>
      </c>
      <c r="AE168" s="23">
        <v>100650</v>
      </c>
      <c r="AF168" s="23">
        <v>32306</v>
      </c>
      <c r="AG168" s="24">
        <v>4.3563756287670979E-2</v>
      </c>
      <c r="AH168" s="23">
        <v>67821.924222222224</v>
      </c>
      <c r="AI168" s="83">
        <v>91</v>
      </c>
      <c r="AJ168" s="83">
        <v>736</v>
      </c>
      <c r="AK168" s="83">
        <v>7411.25</v>
      </c>
      <c r="AL168" s="83">
        <v>111</v>
      </c>
      <c r="AM168" s="99"/>
      <c r="AN168" s="99"/>
      <c r="AO168" s="30">
        <v>-1598480.5899999999</v>
      </c>
    </row>
    <row r="169" spans="1:41" ht="15.6">
      <c r="A169" s="19" t="s">
        <v>154</v>
      </c>
      <c r="B169" s="19" t="s">
        <v>367</v>
      </c>
      <c r="C169" s="20" t="s">
        <v>172</v>
      </c>
      <c r="D169" s="21" t="s">
        <v>636</v>
      </c>
      <c r="E169" s="44">
        <v>45735</v>
      </c>
      <c r="F169" s="21" t="s">
        <v>577</v>
      </c>
      <c r="G169" s="23"/>
      <c r="H169" s="23">
        <v>2100000</v>
      </c>
      <c r="I169" s="23">
        <v>19908</v>
      </c>
      <c r="J169" s="23">
        <v>0</v>
      </c>
      <c r="K169" s="23">
        <v>0</v>
      </c>
      <c r="L169" s="24">
        <v>9.4800000000000006E-3</v>
      </c>
      <c r="M169" s="25">
        <v>32</v>
      </c>
      <c r="N169" s="25">
        <v>25</v>
      </c>
      <c r="O169" s="25">
        <v>0</v>
      </c>
      <c r="P169" s="25">
        <v>32</v>
      </c>
      <c r="Q169" s="25">
        <v>7</v>
      </c>
      <c r="R169" s="25">
        <v>1</v>
      </c>
      <c r="S169" s="25">
        <v>0</v>
      </c>
      <c r="T169" s="25">
        <v>0</v>
      </c>
      <c r="U169" s="25">
        <v>147</v>
      </c>
      <c r="V169" s="25">
        <v>334</v>
      </c>
      <c r="W169" s="25">
        <v>2</v>
      </c>
      <c r="X169" s="25">
        <v>0</v>
      </c>
      <c r="Y169" s="25">
        <v>7</v>
      </c>
      <c r="Z169" s="25">
        <v>81</v>
      </c>
      <c r="AA169" s="25">
        <v>424</v>
      </c>
      <c r="AB169" s="25">
        <v>73</v>
      </c>
      <c r="AC169" s="23">
        <v>272.71232876712327</v>
      </c>
      <c r="AD169" s="26">
        <v>1.1095890410958904</v>
      </c>
      <c r="AE169" s="23">
        <v>75495</v>
      </c>
      <c r="AF169" s="23">
        <v>12462</v>
      </c>
      <c r="AG169" s="24">
        <v>4.418173598553345</v>
      </c>
      <c r="AH169" s="23">
        <v>19908</v>
      </c>
      <c r="AI169" s="83">
        <v>1</v>
      </c>
      <c r="AJ169" s="83">
        <v>598</v>
      </c>
      <c r="AK169" s="83">
        <v>3877.86</v>
      </c>
      <c r="AL169" s="83">
        <v>155</v>
      </c>
      <c r="AM169" s="99"/>
      <c r="AN169" s="99"/>
      <c r="AO169" s="30">
        <v>-19908</v>
      </c>
    </row>
    <row r="170" spans="1:41" ht="15.6">
      <c r="A170" s="19" t="s">
        <v>154</v>
      </c>
      <c r="B170" s="19" t="s">
        <v>367</v>
      </c>
      <c r="C170" s="20" t="s">
        <v>288</v>
      </c>
      <c r="D170" s="21" t="s">
        <v>637</v>
      </c>
      <c r="E170" s="44">
        <v>45735</v>
      </c>
      <c r="F170" s="21" t="s">
        <v>577</v>
      </c>
      <c r="G170" s="23"/>
      <c r="H170" s="23">
        <v>2100000</v>
      </c>
      <c r="I170" s="23">
        <v>365057.57</v>
      </c>
      <c r="J170" s="23">
        <v>0</v>
      </c>
      <c r="K170" s="23">
        <v>0</v>
      </c>
      <c r="L170" s="24">
        <v>0.17383693809523809</v>
      </c>
      <c r="M170" s="25">
        <v>44</v>
      </c>
      <c r="N170" s="25">
        <v>57</v>
      </c>
      <c r="O170" s="25">
        <v>17</v>
      </c>
      <c r="P170" s="25">
        <v>61</v>
      </c>
      <c r="Q170" s="25">
        <v>4</v>
      </c>
      <c r="R170" s="25">
        <v>20</v>
      </c>
      <c r="S170" s="25">
        <v>0</v>
      </c>
      <c r="T170" s="25">
        <v>17</v>
      </c>
      <c r="U170" s="25">
        <v>180</v>
      </c>
      <c r="V170" s="25">
        <v>362</v>
      </c>
      <c r="W170" s="25">
        <v>23</v>
      </c>
      <c r="X170" s="25">
        <v>0</v>
      </c>
      <c r="Y170" s="25">
        <v>25</v>
      </c>
      <c r="Z170" s="25">
        <v>153</v>
      </c>
      <c r="AA170" s="25">
        <v>563</v>
      </c>
      <c r="AB170" s="25">
        <v>75</v>
      </c>
      <c r="AC170" s="23">
        <v>4867.4342666666671</v>
      </c>
      <c r="AD170" s="26">
        <v>2.04</v>
      </c>
      <c r="AE170" s="23">
        <v>75495</v>
      </c>
      <c r="AF170" s="23">
        <v>31623</v>
      </c>
      <c r="AG170" s="24">
        <v>0.29342769141864389</v>
      </c>
      <c r="AH170" s="23">
        <v>18252.878499999999</v>
      </c>
      <c r="AI170" s="83">
        <v>25</v>
      </c>
      <c r="AJ170" s="83">
        <v>893</v>
      </c>
      <c r="AK170" s="83">
        <v>7010.08</v>
      </c>
      <c r="AL170" s="83">
        <v>123</v>
      </c>
      <c r="AM170" s="99"/>
      <c r="AN170" s="99"/>
      <c r="AO170" s="30">
        <v>-365057.57</v>
      </c>
    </row>
    <row r="171" spans="1:41" ht="15.6">
      <c r="A171" s="19" t="s">
        <v>120</v>
      </c>
      <c r="B171" s="19" t="s">
        <v>356</v>
      </c>
      <c r="C171" s="20" t="s">
        <v>285</v>
      </c>
      <c r="D171" s="21" t="s">
        <v>291</v>
      </c>
      <c r="E171" s="44">
        <v>45736</v>
      </c>
      <c r="F171" s="21" t="s">
        <v>356</v>
      </c>
      <c r="G171" s="23">
        <v>0</v>
      </c>
      <c r="H171" s="23">
        <v>3750000</v>
      </c>
      <c r="I171" s="23">
        <v>834332.4</v>
      </c>
      <c r="J171" s="23">
        <v>95525.91</v>
      </c>
      <c r="K171" s="23">
        <v>0</v>
      </c>
      <c r="L171" s="24">
        <v>0.25829397500000001</v>
      </c>
      <c r="M171" s="25">
        <v>15</v>
      </c>
      <c r="N171" s="25">
        <v>23</v>
      </c>
      <c r="O171" s="25">
        <v>8</v>
      </c>
      <c r="P171" s="25">
        <v>23</v>
      </c>
      <c r="Q171" s="25">
        <v>0</v>
      </c>
      <c r="R171" s="25">
        <v>12</v>
      </c>
      <c r="S171" s="25">
        <v>1</v>
      </c>
      <c r="T171" s="25">
        <v>8</v>
      </c>
      <c r="U171" s="25">
        <v>141</v>
      </c>
      <c r="V171" s="25">
        <v>321</v>
      </c>
      <c r="W171" s="25">
        <v>11</v>
      </c>
      <c r="X171" s="25">
        <v>12</v>
      </c>
      <c r="Y171" s="25">
        <v>12</v>
      </c>
      <c r="Z171" s="25">
        <v>117</v>
      </c>
      <c r="AA171" s="25">
        <v>473</v>
      </c>
      <c r="AB171" s="25">
        <v>71</v>
      </c>
      <c r="AC171" s="23">
        <v>13096.595915492959</v>
      </c>
      <c r="AD171" s="26">
        <v>1.647887323943662</v>
      </c>
      <c r="AE171" s="23">
        <v>81780</v>
      </c>
      <c r="AF171" s="23">
        <v>19259</v>
      </c>
      <c r="AG171" s="24">
        <v>0.10866064099593839</v>
      </c>
      <c r="AH171" s="23">
        <v>69527.7</v>
      </c>
      <c r="AI171" s="83">
        <v>26</v>
      </c>
      <c r="AJ171" s="83">
        <v>623</v>
      </c>
      <c r="AK171" s="83">
        <v>2386.9499999999998</v>
      </c>
      <c r="AL171" s="83">
        <v>104</v>
      </c>
      <c r="AM171" s="99"/>
      <c r="AN171" s="99"/>
      <c r="AO171" s="30">
        <v>-929858.31</v>
      </c>
    </row>
    <row r="172" spans="1:41" ht="15.6">
      <c r="A172" s="19" t="s">
        <v>154</v>
      </c>
      <c r="B172" s="19" t="s">
        <v>367</v>
      </c>
      <c r="C172" s="20" t="s">
        <v>289</v>
      </c>
      <c r="D172" s="21" t="s">
        <v>578</v>
      </c>
      <c r="E172" s="44">
        <v>45736</v>
      </c>
      <c r="F172" s="21" t="s">
        <v>638</v>
      </c>
      <c r="G172" s="23"/>
      <c r="H172" s="23">
        <v>0</v>
      </c>
      <c r="I172" s="23">
        <v>0</v>
      </c>
      <c r="J172" s="23">
        <v>0</v>
      </c>
      <c r="K172" s="23"/>
      <c r="L172" s="24"/>
      <c r="M172" s="25">
        <v>24</v>
      </c>
      <c r="N172" s="25">
        <v>29</v>
      </c>
      <c r="O172" s="25">
        <v>6</v>
      </c>
      <c r="P172" s="25">
        <v>30</v>
      </c>
      <c r="Q172" s="25">
        <v>1</v>
      </c>
      <c r="R172" s="25">
        <v>0</v>
      </c>
      <c r="S172" s="25">
        <v>0</v>
      </c>
      <c r="T172" s="25">
        <v>0</v>
      </c>
      <c r="U172" s="25">
        <v>102</v>
      </c>
      <c r="V172" s="25">
        <v>232</v>
      </c>
      <c r="W172" s="25">
        <v>14</v>
      </c>
      <c r="X172" s="25">
        <v>0</v>
      </c>
      <c r="Y172" s="25">
        <v>35</v>
      </c>
      <c r="Z172" s="25">
        <v>56</v>
      </c>
      <c r="AA172" s="25">
        <v>337</v>
      </c>
      <c r="AB172" s="25">
        <v>73</v>
      </c>
      <c r="AC172" s="23">
        <v>0</v>
      </c>
      <c r="AD172" s="26">
        <v>0.76712328767123283</v>
      </c>
      <c r="AE172" s="23">
        <v>113220</v>
      </c>
      <c r="AF172" s="23">
        <v>11785</v>
      </c>
      <c r="AG172" s="24"/>
      <c r="AH172" s="23"/>
      <c r="AI172" s="83">
        <v>0</v>
      </c>
      <c r="AJ172" s="83">
        <v>728</v>
      </c>
      <c r="AK172" s="83">
        <v>9472.49</v>
      </c>
      <c r="AL172" s="83">
        <v>327</v>
      </c>
      <c r="AM172" s="99"/>
      <c r="AN172" s="99"/>
      <c r="AO172" s="30">
        <v>0</v>
      </c>
    </row>
    <row r="173" spans="1:41" ht="15.6">
      <c r="A173" s="19" t="s">
        <v>108</v>
      </c>
      <c r="B173" s="19" t="s">
        <v>465</v>
      </c>
      <c r="C173" s="20" t="s">
        <v>290</v>
      </c>
      <c r="D173" s="21" t="s">
        <v>639</v>
      </c>
      <c r="E173" s="44">
        <v>45751</v>
      </c>
      <c r="F173" s="21" t="s">
        <v>506</v>
      </c>
      <c r="G173" s="23"/>
      <c r="H173" s="23">
        <v>5418000</v>
      </c>
      <c r="I173" s="23">
        <v>2226653.71</v>
      </c>
      <c r="J173" s="23">
        <v>0</v>
      </c>
      <c r="K173" s="23">
        <v>0</v>
      </c>
      <c r="L173" s="24">
        <v>0.41097336840162418</v>
      </c>
      <c r="M173" s="25">
        <v>203</v>
      </c>
      <c r="N173" s="25">
        <v>89</v>
      </c>
      <c r="O173" s="25">
        <v>23</v>
      </c>
      <c r="P173" s="25">
        <v>226</v>
      </c>
      <c r="Q173" s="25">
        <v>137</v>
      </c>
      <c r="R173" s="25">
        <v>51</v>
      </c>
      <c r="S173" s="25">
        <v>0</v>
      </c>
      <c r="T173" s="25">
        <v>23</v>
      </c>
      <c r="U173" s="25">
        <v>60</v>
      </c>
      <c r="V173" s="25">
        <v>130</v>
      </c>
      <c r="W173" s="25">
        <v>43</v>
      </c>
      <c r="X173" s="25">
        <v>0</v>
      </c>
      <c r="Y173" s="25">
        <v>0</v>
      </c>
      <c r="Z173" s="25">
        <v>343</v>
      </c>
      <c r="AA173" s="25">
        <v>516</v>
      </c>
      <c r="AB173" s="25">
        <v>62</v>
      </c>
      <c r="AC173" s="23">
        <v>35913.769516129032</v>
      </c>
      <c r="AD173" s="26">
        <v>5.532258064516129</v>
      </c>
      <c r="AE173" s="23">
        <v>113280</v>
      </c>
      <c r="AF173" s="23">
        <v>26742</v>
      </c>
      <c r="AG173" s="24">
        <v>6.2884497652758053E-2</v>
      </c>
      <c r="AH173" s="23">
        <v>43659.876666666663</v>
      </c>
      <c r="AI173" s="83">
        <v>111</v>
      </c>
      <c r="AJ173" s="83">
        <v>614</v>
      </c>
      <c r="AK173" s="83">
        <v>4462.6400000000003</v>
      </c>
      <c r="AL173" s="83">
        <v>50</v>
      </c>
      <c r="AM173" s="99"/>
      <c r="AN173" s="99"/>
      <c r="AO173" s="30">
        <v>-2226653.71</v>
      </c>
    </row>
    <row r="174" spans="1:41" ht="15.6">
      <c r="A174" s="19" t="s">
        <v>154</v>
      </c>
      <c r="B174" s="19" t="s">
        <v>367</v>
      </c>
      <c r="C174" s="20" t="s">
        <v>292</v>
      </c>
      <c r="D174" s="21" t="s">
        <v>377</v>
      </c>
      <c r="E174" s="44">
        <v>45761</v>
      </c>
      <c r="F174" s="21" t="s">
        <v>577</v>
      </c>
      <c r="G174" s="23"/>
      <c r="H174" s="23">
        <v>0</v>
      </c>
      <c r="I174" s="23">
        <v>0</v>
      </c>
      <c r="J174" s="23">
        <v>0</v>
      </c>
      <c r="K174" s="23"/>
      <c r="L174" s="24"/>
      <c r="M174" s="25">
        <v>7</v>
      </c>
      <c r="N174" s="25">
        <v>8</v>
      </c>
      <c r="O174" s="25">
        <v>1</v>
      </c>
      <c r="P174" s="25">
        <v>8</v>
      </c>
      <c r="Q174" s="25">
        <v>0</v>
      </c>
      <c r="R174" s="25">
        <v>0</v>
      </c>
      <c r="S174" s="25">
        <v>0</v>
      </c>
      <c r="T174" s="25">
        <v>0</v>
      </c>
      <c r="U174" s="25">
        <v>9</v>
      </c>
      <c r="V174" s="25">
        <v>11</v>
      </c>
      <c r="W174" s="25">
        <v>3</v>
      </c>
      <c r="X174" s="25">
        <v>0</v>
      </c>
      <c r="Y174" s="25">
        <v>6</v>
      </c>
      <c r="Z174" s="25">
        <v>9</v>
      </c>
      <c r="AA174" s="25">
        <v>29</v>
      </c>
      <c r="AB174" s="25">
        <v>9</v>
      </c>
      <c r="AC174" s="23">
        <v>0</v>
      </c>
      <c r="AD174" s="26">
        <v>1</v>
      </c>
      <c r="AE174" s="23">
        <v>21450</v>
      </c>
      <c r="AF174" s="23">
        <v>2872</v>
      </c>
      <c r="AG174" s="24"/>
      <c r="AH174" s="23"/>
      <c r="AI174" s="83">
        <v>0</v>
      </c>
      <c r="AJ174" s="83">
        <v>89</v>
      </c>
      <c r="AK174" s="83">
        <v>247.98</v>
      </c>
      <c r="AL174" s="83">
        <v>31</v>
      </c>
      <c r="AM174" s="99">
        <v>45771</v>
      </c>
      <c r="AN174" s="99"/>
      <c r="AO174" s="30">
        <v>0</v>
      </c>
    </row>
    <row r="175" spans="1:41" ht="15.6">
      <c r="A175" s="19" t="s">
        <v>177</v>
      </c>
      <c r="B175" s="19" t="s">
        <v>458</v>
      </c>
      <c r="C175" s="20" t="s">
        <v>293</v>
      </c>
      <c r="D175" s="21" t="s">
        <v>582</v>
      </c>
      <c r="E175" s="44">
        <v>45761</v>
      </c>
      <c r="F175" s="21" t="s">
        <v>581</v>
      </c>
      <c r="G175" s="23"/>
      <c r="H175" s="23">
        <v>1333334</v>
      </c>
      <c r="I175" s="23">
        <v>459344.65</v>
      </c>
      <c r="J175" s="23">
        <v>0</v>
      </c>
      <c r="K175" s="23">
        <v>575894.9</v>
      </c>
      <c r="L175" s="24">
        <v>0.26809985622244548</v>
      </c>
      <c r="M175" s="25">
        <v>13</v>
      </c>
      <c r="N175" s="25">
        <v>27</v>
      </c>
      <c r="O175" s="25">
        <v>15</v>
      </c>
      <c r="P175" s="25">
        <v>28</v>
      </c>
      <c r="Q175" s="25">
        <v>1</v>
      </c>
      <c r="R175" s="25">
        <v>16</v>
      </c>
      <c r="S175" s="25">
        <v>0</v>
      </c>
      <c r="T175" s="25">
        <v>14</v>
      </c>
      <c r="U175" s="25">
        <v>207</v>
      </c>
      <c r="V175" s="25">
        <v>381</v>
      </c>
      <c r="W175" s="25">
        <v>36</v>
      </c>
      <c r="X175" s="25">
        <v>0</v>
      </c>
      <c r="Y175" s="25">
        <v>20</v>
      </c>
      <c r="Z175" s="25">
        <v>53</v>
      </c>
      <c r="AA175" s="25">
        <v>490</v>
      </c>
      <c r="AB175" s="25">
        <v>60</v>
      </c>
      <c r="AC175" s="23">
        <v>7655.7441666666673</v>
      </c>
      <c r="AD175" s="26">
        <v>0.8833333333333333</v>
      </c>
      <c r="AE175" s="23">
        <v>61988.399999999994</v>
      </c>
      <c r="AF175" s="23">
        <v>14954</v>
      </c>
      <c r="AG175" s="24">
        <v>0.16750472657077858</v>
      </c>
      <c r="AH175" s="23">
        <v>28709.040625000001</v>
      </c>
      <c r="AI175" s="83">
        <v>19</v>
      </c>
      <c r="AJ175" s="83">
        <v>590</v>
      </c>
      <c r="AK175" s="83">
        <v>2467.9</v>
      </c>
      <c r="AL175" s="83">
        <v>91</v>
      </c>
      <c r="AM175" s="99"/>
      <c r="AN175" s="99"/>
      <c r="AO175" s="30">
        <v>116550.25</v>
      </c>
    </row>
    <row r="176" spans="1:41" ht="15.6">
      <c r="A176" s="19" t="s">
        <v>136</v>
      </c>
      <c r="B176" s="19" t="s">
        <v>653</v>
      </c>
      <c r="C176" s="20" t="s">
        <v>294</v>
      </c>
      <c r="D176" s="21" t="s">
        <v>427</v>
      </c>
      <c r="E176" s="44">
        <v>45765</v>
      </c>
      <c r="F176" s="21" t="s">
        <v>421</v>
      </c>
      <c r="G176" s="23"/>
      <c r="H176" s="23">
        <v>2800000.8</v>
      </c>
      <c r="I176" s="23">
        <v>213424.4</v>
      </c>
      <c r="J176" s="23">
        <v>0</v>
      </c>
      <c r="K176" s="23">
        <v>415320</v>
      </c>
      <c r="L176" s="24">
        <v>7.622297822200623E-2</v>
      </c>
      <c r="M176" s="25">
        <v>9</v>
      </c>
      <c r="N176" s="25">
        <v>11</v>
      </c>
      <c r="O176" s="25">
        <v>2</v>
      </c>
      <c r="P176" s="25">
        <v>11</v>
      </c>
      <c r="Q176" s="25">
        <v>0</v>
      </c>
      <c r="R176" s="25">
        <v>6</v>
      </c>
      <c r="S176" s="25">
        <v>0</v>
      </c>
      <c r="T176" s="25">
        <v>2</v>
      </c>
      <c r="U176" s="25">
        <v>84</v>
      </c>
      <c r="V176" s="25">
        <v>155</v>
      </c>
      <c r="W176" s="25">
        <v>63</v>
      </c>
      <c r="X176" s="25">
        <v>5</v>
      </c>
      <c r="Y176" s="25">
        <v>12</v>
      </c>
      <c r="Z176" s="25">
        <v>31</v>
      </c>
      <c r="AA176" s="25">
        <v>266</v>
      </c>
      <c r="AB176" s="25">
        <v>57</v>
      </c>
      <c r="AC176" s="23">
        <v>3744.2877192982455</v>
      </c>
      <c r="AD176" s="26">
        <v>0.54385964912280704</v>
      </c>
      <c r="AE176" s="23">
        <v>61680</v>
      </c>
      <c r="AF176" s="23">
        <v>2200</v>
      </c>
      <c r="AG176" s="24">
        <v>0.29930973215808504</v>
      </c>
      <c r="AH176" s="23">
        <v>35570.73333333333</v>
      </c>
      <c r="AI176" s="83">
        <v>10</v>
      </c>
      <c r="AJ176" s="83">
        <v>478</v>
      </c>
      <c r="AK176" s="83">
        <v>3187.2</v>
      </c>
      <c r="AL176" s="83">
        <v>290</v>
      </c>
      <c r="AM176" s="99"/>
      <c r="AN176" s="99"/>
      <c r="AO176" s="30">
        <v>201895.6</v>
      </c>
    </row>
    <row r="177" spans="1:41" ht="15.6">
      <c r="A177" s="19" t="s">
        <v>124</v>
      </c>
      <c r="B177" s="19" t="s">
        <v>443</v>
      </c>
      <c r="C177" s="20" t="s">
        <v>148</v>
      </c>
      <c r="D177" s="21" t="s">
        <v>537</v>
      </c>
      <c r="E177" s="44">
        <v>45778</v>
      </c>
      <c r="F177" s="21" t="s">
        <v>517</v>
      </c>
      <c r="G177" s="23"/>
      <c r="H177" s="23">
        <v>2400000</v>
      </c>
      <c r="I177" s="23">
        <v>922461.99</v>
      </c>
      <c r="J177" s="23">
        <v>0</v>
      </c>
      <c r="K177" s="23"/>
      <c r="L177" s="24">
        <v>0.38435916250000002</v>
      </c>
      <c r="M177" s="25">
        <v>65</v>
      </c>
      <c r="N177" s="25">
        <v>40</v>
      </c>
      <c r="O177" s="25">
        <v>9</v>
      </c>
      <c r="P177" s="25">
        <v>74</v>
      </c>
      <c r="Q177" s="25">
        <v>34</v>
      </c>
      <c r="R177" s="25">
        <v>10</v>
      </c>
      <c r="S177" s="25">
        <v>0</v>
      </c>
      <c r="T177" s="25">
        <v>9</v>
      </c>
      <c r="U177" s="25">
        <v>19</v>
      </c>
      <c r="V177" s="25">
        <v>31</v>
      </c>
      <c r="W177" s="25">
        <v>9</v>
      </c>
      <c r="X177" s="25">
        <v>4</v>
      </c>
      <c r="Y177" s="25">
        <v>0</v>
      </c>
      <c r="Z177" s="25">
        <v>74</v>
      </c>
      <c r="AA177" s="25">
        <v>118</v>
      </c>
      <c r="AB177" s="25">
        <v>42</v>
      </c>
      <c r="AC177" s="23">
        <v>21963.380714285715</v>
      </c>
      <c r="AD177" s="26">
        <v>1.7619047619047619</v>
      </c>
      <c r="AE177" s="23">
        <v>93780</v>
      </c>
      <c r="AF177" s="23">
        <v>5250</v>
      </c>
      <c r="AG177" s="24">
        <v>0.10735401683054713</v>
      </c>
      <c r="AH177" s="23">
        <v>92246.198999999993</v>
      </c>
      <c r="AI177" s="83">
        <v>20</v>
      </c>
      <c r="AJ177" s="83">
        <v>345</v>
      </c>
      <c r="AK177" s="83">
        <v>1483.89</v>
      </c>
      <c r="AL177" s="83">
        <v>37</v>
      </c>
      <c r="AM177" s="99"/>
      <c r="AN177" s="99"/>
      <c r="AO177" s="30">
        <v>-922461.99</v>
      </c>
    </row>
    <row r="178" spans="1:41" ht="15.6">
      <c r="A178" s="19" t="s">
        <v>154</v>
      </c>
      <c r="B178" s="19" t="s">
        <v>370</v>
      </c>
      <c r="C178" s="20" t="s">
        <v>151</v>
      </c>
      <c r="D178" s="21" t="s">
        <v>640</v>
      </c>
      <c r="E178" s="44">
        <v>45778</v>
      </c>
      <c r="F178" s="21" t="s">
        <v>542</v>
      </c>
      <c r="G178" s="23"/>
      <c r="H178" s="23">
        <v>0</v>
      </c>
      <c r="I178" s="23">
        <v>0</v>
      </c>
      <c r="J178" s="23">
        <v>0</v>
      </c>
      <c r="K178" s="23"/>
      <c r="L178" s="24"/>
      <c r="M178" s="25">
        <v>57</v>
      </c>
      <c r="N178" s="25">
        <v>10</v>
      </c>
      <c r="O178" s="25">
        <v>0</v>
      </c>
      <c r="P178" s="25">
        <v>57</v>
      </c>
      <c r="Q178" s="25">
        <v>47</v>
      </c>
      <c r="R178" s="25">
        <v>0</v>
      </c>
      <c r="S178" s="25">
        <v>0</v>
      </c>
      <c r="T178" s="25">
        <v>0</v>
      </c>
      <c r="U178" s="25">
        <v>14</v>
      </c>
      <c r="V178" s="25">
        <v>25</v>
      </c>
      <c r="W178" s="25">
        <v>30</v>
      </c>
      <c r="X178" s="25">
        <v>0</v>
      </c>
      <c r="Y178" s="25">
        <v>15</v>
      </c>
      <c r="Z178" s="25">
        <v>28</v>
      </c>
      <c r="AA178" s="25">
        <v>98</v>
      </c>
      <c r="AB178" s="25">
        <v>46</v>
      </c>
      <c r="AC178" s="23">
        <v>0</v>
      </c>
      <c r="AD178" s="26">
        <v>0.60869565217391308</v>
      </c>
      <c r="AE178" s="23">
        <v>101720</v>
      </c>
      <c r="AF178" s="23">
        <v>0</v>
      </c>
      <c r="AG178" s="24"/>
      <c r="AH178" s="23"/>
      <c r="AI178" s="83">
        <v>0</v>
      </c>
      <c r="AJ178" s="83">
        <v>484</v>
      </c>
      <c r="AK178" s="83">
        <v>7158.71</v>
      </c>
      <c r="AL178" s="83">
        <v>716</v>
      </c>
      <c r="AM178" s="99"/>
      <c r="AN178" s="99"/>
      <c r="AO178" s="30">
        <v>0</v>
      </c>
    </row>
    <row r="179" spans="1:41" ht="15.6">
      <c r="A179" s="19" t="s">
        <v>177</v>
      </c>
      <c r="B179" s="19" t="s">
        <v>364</v>
      </c>
      <c r="C179" s="20" t="s">
        <v>296</v>
      </c>
      <c r="D179" s="21" t="s">
        <v>641</v>
      </c>
      <c r="E179" s="44">
        <v>45782</v>
      </c>
      <c r="F179" s="21" t="s">
        <v>576</v>
      </c>
      <c r="G179" s="23"/>
      <c r="H179" s="23">
        <v>0</v>
      </c>
      <c r="I179" s="23">
        <v>0</v>
      </c>
      <c r="J179" s="23">
        <v>0</v>
      </c>
      <c r="K179" s="23"/>
      <c r="L179" s="24"/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  <c r="U179" s="25">
        <v>10</v>
      </c>
      <c r="V179" s="25">
        <v>16</v>
      </c>
      <c r="W179" s="25">
        <v>9</v>
      </c>
      <c r="X179" s="25">
        <v>0</v>
      </c>
      <c r="Y179" s="25">
        <v>237</v>
      </c>
      <c r="Z179" s="25">
        <v>0</v>
      </c>
      <c r="AA179" s="25">
        <v>262</v>
      </c>
      <c r="AB179" s="25">
        <v>44</v>
      </c>
      <c r="AC179" s="23">
        <v>0</v>
      </c>
      <c r="AD179" s="26">
        <v>0</v>
      </c>
      <c r="AE179" s="23">
        <v>129170</v>
      </c>
      <c r="AF179" s="23">
        <v>43728</v>
      </c>
      <c r="AG179" s="24"/>
      <c r="AH179" s="23"/>
      <c r="AI179" s="83">
        <v>0</v>
      </c>
      <c r="AJ179" s="83">
        <v>511</v>
      </c>
      <c r="AK179" s="83">
        <v>5645.74</v>
      </c>
      <c r="AL179" s="83">
        <v>0</v>
      </c>
      <c r="AM179" s="99"/>
      <c r="AN179" s="99"/>
      <c r="AO179" s="30">
        <v>0</v>
      </c>
    </row>
    <row r="180" spans="1:41" ht="15.6">
      <c r="A180" s="19" t="s">
        <v>118</v>
      </c>
      <c r="B180" s="19" t="s">
        <v>362</v>
      </c>
      <c r="C180" s="20" t="s">
        <v>295</v>
      </c>
      <c r="D180" s="21" t="s">
        <v>643</v>
      </c>
      <c r="E180" s="44">
        <v>45784</v>
      </c>
      <c r="F180" s="21" t="s">
        <v>419</v>
      </c>
      <c r="G180" s="23"/>
      <c r="H180" s="23">
        <v>5000000</v>
      </c>
      <c r="I180" s="23">
        <v>2067540.64</v>
      </c>
      <c r="J180" s="23">
        <v>0</v>
      </c>
      <c r="K180" s="23">
        <v>1924436.9</v>
      </c>
      <c r="L180" s="24">
        <v>0.41350812799999997</v>
      </c>
      <c r="M180" s="25">
        <v>29</v>
      </c>
      <c r="N180" s="25">
        <v>38</v>
      </c>
      <c r="O180" s="25">
        <v>11</v>
      </c>
      <c r="P180" s="25">
        <v>40</v>
      </c>
      <c r="Q180" s="25">
        <v>2</v>
      </c>
      <c r="R180" s="25">
        <v>25</v>
      </c>
      <c r="S180" s="25">
        <v>0</v>
      </c>
      <c r="T180" s="25">
        <v>11</v>
      </c>
      <c r="U180" s="25">
        <v>19</v>
      </c>
      <c r="V180" s="25">
        <v>55</v>
      </c>
      <c r="W180" s="25">
        <v>2</v>
      </c>
      <c r="X180" s="25">
        <v>0</v>
      </c>
      <c r="Y180" s="25">
        <v>0</v>
      </c>
      <c r="Z180" s="25">
        <v>208</v>
      </c>
      <c r="AA180" s="25">
        <v>265</v>
      </c>
      <c r="AB180" s="25">
        <v>43</v>
      </c>
      <c r="AC180" s="23">
        <v>48082.340465116278</v>
      </c>
      <c r="AD180" s="26">
        <v>4.8372093023255811</v>
      </c>
      <c r="AE180" s="23">
        <v>51400</v>
      </c>
      <c r="AF180" s="23">
        <v>6990</v>
      </c>
      <c r="AG180" s="24">
        <v>2.8241282841240792E-2</v>
      </c>
      <c r="AH180" s="23">
        <v>82701.625599999999</v>
      </c>
      <c r="AI180" s="83">
        <v>54</v>
      </c>
      <c r="AJ180" s="83">
        <v>451</v>
      </c>
      <c r="AK180" s="83">
        <v>3508.67</v>
      </c>
      <c r="AL180" s="83">
        <v>92</v>
      </c>
      <c r="AM180" s="99"/>
      <c r="AN180" s="99"/>
      <c r="AO180" s="30">
        <v>-143103.74</v>
      </c>
    </row>
    <row r="181" spans="1:41" ht="15.6">
      <c r="A181" s="19" t="s">
        <v>154</v>
      </c>
      <c r="B181" s="19" t="s">
        <v>370</v>
      </c>
      <c r="C181" s="20" t="s">
        <v>169</v>
      </c>
      <c r="D181" s="21" t="s">
        <v>644</v>
      </c>
      <c r="E181" s="44">
        <v>45789</v>
      </c>
      <c r="F181" s="21" t="s">
        <v>542</v>
      </c>
      <c r="G181" s="23">
        <v>1273352</v>
      </c>
      <c r="H181" s="23">
        <v>1000000</v>
      </c>
      <c r="I181" s="23">
        <v>408270.54</v>
      </c>
      <c r="J181" s="23">
        <v>0</v>
      </c>
      <c r="K181" s="23">
        <v>333568</v>
      </c>
      <c r="L181" s="24">
        <v>0.50716837267080739</v>
      </c>
      <c r="M181" s="25">
        <v>84</v>
      </c>
      <c r="N181" s="25">
        <v>58</v>
      </c>
      <c r="O181" s="25">
        <v>5</v>
      </c>
      <c r="P181" s="25">
        <v>89</v>
      </c>
      <c r="Q181" s="25">
        <v>31</v>
      </c>
      <c r="R181" s="25">
        <v>10</v>
      </c>
      <c r="S181" s="25">
        <v>0</v>
      </c>
      <c r="T181" s="25">
        <v>2</v>
      </c>
      <c r="U181" s="25">
        <v>44</v>
      </c>
      <c r="V181" s="25">
        <v>65</v>
      </c>
      <c r="W181" s="25">
        <v>9</v>
      </c>
      <c r="X181" s="25">
        <v>0</v>
      </c>
      <c r="Y181" s="25">
        <v>6</v>
      </c>
      <c r="Z181" s="25">
        <v>127</v>
      </c>
      <c r="AA181" s="25">
        <v>207</v>
      </c>
      <c r="AB181" s="25">
        <v>39</v>
      </c>
      <c r="AC181" s="23">
        <v>10468.475384615384</v>
      </c>
      <c r="AD181" s="26">
        <v>3.2564102564102564</v>
      </c>
      <c r="AE181" s="23">
        <v>48944</v>
      </c>
      <c r="AF181" s="23">
        <v>0</v>
      </c>
      <c r="AG181" s="24">
        <v>0.11988129243907729</v>
      </c>
      <c r="AH181" s="23">
        <v>40827.053999999996</v>
      </c>
      <c r="AI181" s="83">
        <v>14</v>
      </c>
      <c r="AJ181" s="83">
        <v>388</v>
      </c>
      <c r="AK181" s="83">
        <v>2839.01</v>
      </c>
      <c r="AL181" s="83">
        <v>49</v>
      </c>
      <c r="AM181" s="99"/>
      <c r="AN181" s="99"/>
      <c r="AO181" s="30">
        <v>-74702.539999999979</v>
      </c>
    </row>
    <row r="182" spans="1:41" ht="15.6">
      <c r="A182" s="19" t="s">
        <v>108</v>
      </c>
      <c r="B182" s="19" t="s">
        <v>465</v>
      </c>
      <c r="C182" s="20" t="s">
        <v>297</v>
      </c>
      <c r="D182" s="21" t="s">
        <v>478</v>
      </c>
      <c r="E182" s="44">
        <v>45793</v>
      </c>
      <c r="F182" s="21" t="s">
        <v>506</v>
      </c>
      <c r="G182" s="23"/>
      <c r="H182" s="23">
        <v>2304000</v>
      </c>
      <c r="I182" s="23">
        <v>1024185</v>
      </c>
      <c r="J182" s="23">
        <v>0</v>
      </c>
      <c r="K182" s="23">
        <v>0</v>
      </c>
      <c r="L182" s="24">
        <v>0.33339355468749998</v>
      </c>
      <c r="M182" s="25">
        <v>32</v>
      </c>
      <c r="N182" s="25">
        <v>39</v>
      </c>
      <c r="O182" s="25">
        <v>19</v>
      </c>
      <c r="P182" s="25">
        <v>51</v>
      </c>
      <c r="Q182" s="25">
        <v>12</v>
      </c>
      <c r="R182" s="25">
        <v>33</v>
      </c>
      <c r="S182" s="25">
        <v>0</v>
      </c>
      <c r="T182" s="25">
        <v>19</v>
      </c>
      <c r="U182" s="25">
        <v>3</v>
      </c>
      <c r="V182" s="25">
        <v>7</v>
      </c>
      <c r="W182" s="25">
        <v>3</v>
      </c>
      <c r="X182" s="25">
        <v>0</v>
      </c>
      <c r="Y182" s="25">
        <v>0</v>
      </c>
      <c r="Z182" s="25">
        <v>93</v>
      </c>
      <c r="AA182" s="25">
        <v>103</v>
      </c>
      <c r="AB182" s="25">
        <v>36</v>
      </c>
      <c r="AC182" s="23">
        <v>28449.583333333332</v>
      </c>
      <c r="AD182" s="26">
        <v>2.5833333333333335</v>
      </c>
      <c r="AE182" s="23">
        <v>39960</v>
      </c>
      <c r="AF182" s="23">
        <v>6244</v>
      </c>
      <c r="AG182" s="24">
        <v>4.5112943462362755E-2</v>
      </c>
      <c r="AH182" s="23">
        <v>31035.909090909092</v>
      </c>
      <c r="AI182" s="83">
        <v>51</v>
      </c>
      <c r="AJ182" s="83">
        <v>346</v>
      </c>
      <c r="AK182" s="83">
        <v>2046.4</v>
      </c>
      <c r="AL182" s="83">
        <v>52</v>
      </c>
      <c r="AM182" s="99"/>
      <c r="AN182" s="99"/>
      <c r="AO182" s="30">
        <v>-1024185</v>
      </c>
    </row>
    <row r="183" spans="1:41" ht="15.6">
      <c r="A183" s="19" t="s">
        <v>118</v>
      </c>
      <c r="B183" s="19" t="s">
        <v>362</v>
      </c>
      <c r="C183" s="20" t="s">
        <v>299</v>
      </c>
      <c r="D183" s="21" t="s">
        <v>645</v>
      </c>
      <c r="E183" s="44">
        <v>45796</v>
      </c>
      <c r="F183" s="21" t="s">
        <v>419</v>
      </c>
      <c r="G183" s="23"/>
      <c r="H183" s="23">
        <v>0</v>
      </c>
      <c r="I183" s="23">
        <v>0</v>
      </c>
      <c r="J183" s="23">
        <v>0</v>
      </c>
      <c r="K183" s="23"/>
      <c r="L183" s="24"/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  <c r="X183" s="25">
        <v>0</v>
      </c>
      <c r="Y183" s="25">
        <v>1</v>
      </c>
      <c r="Z183" s="25">
        <v>0</v>
      </c>
      <c r="AA183" s="25">
        <v>1</v>
      </c>
      <c r="AB183" s="25">
        <v>1</v>
      </c>
      <c r="AC183" s="23">
        <v>0</v>
      </c>
      <c r="AD183" s="26">
        <v>0</v>
      </c>
      <c r="AE183" s="23">
        <v>5720</v>
      </c>
      <c r="AF183" s="23"/>
      <c r="AG183" s="24"/>
      <c r="AH183" s="23"/>
      <c r="AI183" s="83">
        <v>0</v>
      </c>
      <c r="AJ183" s="83">
        <v>18</v>
      </c>
      <c r="AK183" s="83">
        <v>19.72</v>
      </c>
      <c r="AL183" s="83">
        <v>0</v>
      </c>
      <c r="AM183" s="99">
        <v>45804</v>
      </c>
      <c r="AN183" s="99"/>
      <c r="AO183" s="30">
        <v>0</v>
      </c>
    </row>
    <row r="184" spans="1:41" ht="15.6">
      <c r="A184" s="19" t="s">
        <v>118</v>
      </c>
      <c r="B184" s="19" t="s">
        <v>372</v>
      </c>
      <c r="C184" s="20" t="s">
        <v>216</v>
      </c>
      <c r="D184" s="21" t="s">
        <v>514</v>
      </c>
      <c r="E184" s="44">
        <v>45797</v>
      </c>
      <c r="F184" s="21" t="s">
        <v>447</v>
      </c>
      <c r="G184" s="23">
        <v>0</v>
      </c>
      <c r="H184" s="23">
        <v>0</v>
      </c>
      <c r="I184" s="23">
        <v>0</v>
      </c>
      <c r="J184" s="23">
        <v>0</v>
      </c>
      <c r="K184" s="23"/>
      <c r="L184" s="24"/>
      <c r="M184" s="25">
        <v>46</v>
      </c>
      <c r="N184" s="25">
        <v>0</v>
      </c>
      <c r="O184" s="25">
        <v>1</v>
      </c>
      <c r="P184" s="25">
        <v>47</v>
      </c>
      <c r="Q184" s="25">
        <v>47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X184" s="25">
        <v>0</v>
      </c>
      <c r="Y184" s="25">
        <v>0</v>
      </c>
      <c r="Z184" s="25">
        <v>0</v>
      </c>
      <c r="AA184" s="25">
        <v>0</v>
      </c>
      <c r="AB184" s="25">
        <v>0</v>
      </c>
      <c r="AC184" s="23"/>
      <c r="AD184" s="26"/>
      <c r="AE184" s="23">
        <v>161055</v>
      </c>
      <c r="AF184" s="23"/>
      <c r="AG184" s="24"/>
      <c r="AH184" s="23"/>
      <c r="AI184" s="83">
        <v>0</v>
      </c>
      <c r="AJ184" s="83">
        <v>0</v>
      </c>
      <c r="AK184" s="83">
        <v>0</v>
      </c>
      <c r="AL184" s="83">
        <v>0</v>
      </c>
      <c r="AM184" s="99"/>
      <c r="AN184" s="99"/>
      <c r="AO184" s="30">
        <v>0</v>
      </c>
    </row>
    <row r="185" spans="1:41" ht="15.6">
      <c r="A185" s="19" t="s">
        <v>201</v>
      </c>
      <c r="B185" s="19" t="s">
        <v>431</v>
      </c>
      <c r="C185" s="20" t="s">
        <v>300</v>
      </c>
      <c r="D185" s="21" t="s">
        <v>646</v>
      </c>
      <c r="E185" s="44">
        <v>45797</v>
      </c>
      <c r="F185" s="21" t="s">
        <v>431</v>
      </c>
      <c r="G185" s="23"/>
      <c r="H185" s="23">
        <v>1200000</v>
      </c>
      <c r="I185" s="23">
        <v>344499.98</v>
      </c>
      <c r="J185" s="23">
        <v>0</v>
      </c>
      <c r="K185" s="23">
        <v>344140</v>
      </c>
      <c r="L185" s="24">
        <v>0.21265430864197529</v>
      </c>
      <c r="M185" s="25">
        <v>18</v>
      </c>
      <c r="N185" s="25">
        <v>20</v>
      </c>
      <c r="O185" s="25">
        <v>5</v>
      </c>
      <c r="P185" s="25">
        <v>23</v>
      </c>
      <c r="Q185" s="25">
        <v>3</v>
      </c>
      <c r="R185" s="25">
        <v>6</v>
      </c>
      <c r="S185" s="25">
        <v>0</v>
      </c>
      <c r="T185" s="25">
        <v>5</v>
      </c>
      <c r="U185" s="25">
        <v>93</v>
      </c>
      <c r="V185" s="25">
        <v>191</v>
      </c>
      <c r="W185" s="25">
        <v>6</v>
      </c>
      <c r="X185" s="25">
        <v>0</v>
      </c>
      <c r="Y185" s="25">
        <v>0</v>
      </c>
      <c r="Z185" s="25">
        <v>45</v>
      </c>
      <c r="AA185" s="25">
        <v>242</v>
      </c>
      <c r="AB185" s="25">
        <v>33</v>
      </c>
      <c r="AC185" s="23">
        <v>10439.393333333333</v>
      </c>
      <c r="AD185" s="26">
        <v>1.3636363636363635</v>
      </c>
      <c r="AE185" s="23">
        <v>44617.5</v>
      </c>
      <c r="AF185" s="23">
        <v>5166</v>
      </c>
      <c r="AG185" s="24">
        <v>0.14450944235178187</v>
      </c>
      <c r="AH185" s="23">
        <v>57416.66333333333</v>
      </c>
      <c r="AI185" s="83">
        <v>6</v>
      </c>
      <c r="AJ185" s="83">
        <v>314</v>
      </c>
      <c r="AK185" s="83">
        <v>2024.24</v>
      </c>
      <c r="AL185" s="83">
        <v>101</v>
      </c>
      <c r="AM185" s="99"/>
      <c r="AN185" s="99"/>
      <c r="AO185" s="30">
        <v>-359.97999999998137</v>
      </c>
    </row>
    <row r="186" spans="1:41" ht="15.6">
      <c r="A186" s="19" t="s">
        <v>117</v>
      </c>
      <c r="B186" s="19" t="s">
        <v>450</v>
      </c>
      <c r="C186" s="20" t="s">
        <v>303</v>
      </c>
      <c r="D186" s="21" t="s">
        <v>647</v>
      </c>
      <c r="E186" s="44">
        <v>45810</v>
      </c>
      <c r="F186" s="21" t="s">
        <v>482</v>
      </c>
      <c r="G186" s="23"/>
      <c r="H186" s="23">
        <v>800000</v>
      </c>
      <c r="I186" s="23">
        <v>47444.28</v>
      </c>
      <c r="J186" s="23">
        <v>0</v>
      </c>
      <c r="K186" s="23"/>
      <c r="L186" s="24">
        <v>5.930535E-2</v>
      </c>
      <c r="M186" s="25">
        <v>10</v>
      </c>
      <c r="N186" s="25">
        <v>9</v>
      </c>
      <c r="O186" s="25">
        <v>1</v>
      </c>
      <c r="P186" s="25">
        <v>11</v>
      </c>
      <c r="Q186" s="25">
        <v>2</v>
      </c>
      <c r="R186" s="25">
        <v>3</v>
      </c>
      <c r="S186" s="25">
        <v>0</v>
      </c>
      <c r="T186" s="25">
        <v>1</v>
      </c>
      <c r="U186" s="25">
        <v>39</v>
      </c>
      <c r="V186" s="25">
        <v>46</v>
      </c>
      <c r="W186" s="25">
        <v>2</v>
      </c>
      <c r="X186" s="25">
        <v>0</v>
      </c>
      <c r="Y186" s="25">
        <v>1</v>
      </c>
      <c r="Z186" s="25">
        <v>19</v>
      </c>
      <c r="AA186" s="25">
        <v>68</v>
      </c>
      <c r="AB186" s="25">
        <v>14</v>
      </c>
      <c r="AC186" s="23">
        <v>3388.8771428571426</v>
      </c>
      <c r="AD186" s="26">
        <v>1.3571428571428572</v>
      </c>
      <c r="AE186" s="23">
        <v>38285</v>
      </c>
      <c r="AF186" s="23"/>
      <c r="AG186" s="24">
        <v>0.80694659082190734</v>
      </c>
      <c r="AH186" s="23">
        <v>15814.76</v>
      </c>
      <c r="AI186" s="83">
        <v>4</v>
      </c>
      <c r="AJ186" s="83">
        <v>144</v>
      </c>
      <c r="AK186" s="83">
        <v>432.92</v>
      </c>
      <c r="AL186" s="83">
        <v>48</v>
      </c>
      <c r="AM186" s="99"/>
      <c r="AN186" s="99"/>
      <c r="AO186" s="30">
        <v>-47444.28</v>
      </c>
    </row>
    <row r="187" spans="1:41" ht="15.6">
      <c r="A187" s="19" t="s">
        <v>154</v>
      </c>
      <c r="B187" s="19" t="s">
        <v>367</v>
      </c>
      <c r="C187" s="20" t="s">
        <v>302</v>
      </c>
      <c r="D187" s="21" t="s">
        <v>377</v>
      </c>
      <c r="E187" s="44">
        <v>45812</v>
      </c>
      <c r="F187" s="21" t="s">
        <v>577</v>
      </c>
      <c r="G187" s="23"/>
      <c r="H187" s="23">
        <v>500000</v>
      </c>
      <c r="I187" s="23">
        <v>39699.199999999997</v>
      </c>
      <c r="J187" s="23">
        <v>0</v>
      </c>
      <c r="K187" s="23"/>
      <c r="L187" s="24">
        <v>7.9398399999999994E-2</v>
      </c>
      <c r="M187" s="25">
        <v>10</v>
      </c>
      <c r="N187" s="25">
        <v>9</v>
      </c>
      <c r="O187" s="25">
        <v>2</v>
      </c>
      <c r="P187" s="25">
        <v>12</v>
      </c>
      <c r="Q187" s="25">
        <v>3</v>
      </c>
      <c r="R187" s="25">
        <v>3</v>
      </c>
      <c r="S187" s="25">
        <v>0</v>
      </c>
      <c r="T187" s="25">
        <v>1</v>
      </c>
      <c r="U187" s="25">
        <v>61</v>
      </c>
      <c r="V187" s="25">
        <v>76</v>
      </c>
      <c r="W187" s="25">
        <v>2</v>
      </c>
      <c r="X187" s="25">
        <v>0</v>
      </c>
      <c r="Y187" s="25">
        <v>1</v>
      </c>
      <c r="Z187" s="25">
        <v>14</v>
      </c>
      <c r="AA187" s="25">
        <v>93</v>
      </c>
      <c r="AB187" s="25">
        <v>16</v>
      </c>
      <c r="AC187" s="23">
        <v>2481.1999999999998</v>
      </c>
      <c r="AD187" s="26">
        <v>0.875</v>
      </c>
      <c r="AE187" s="23">
        <v>24120</v>
      </c>
      <c r="AF187" s="23"/>
      <c r="AG187" s="24">
        <v>0.60756891826535553</v>
      </c>
      <c r="AH187" s="23">
        <v>13233.066666666666</v>
      </c>
      <c r="AI187" s="83">
        <v>3</v>
      </c>
      <c r="AJ187" s="83">
        <v>153</v>
      </c>
      <c r="AK187" s="83">
        <v>1366.91</v>
      </c>
      <c r="AL187" s="83">
        <v>152</v>
      </c>
      <c r="AM187" s="99"/>
      <c r="AN187" s="99"/>
      <c r="AO187" s="30">
        <v>-39699.199999999997</v>
      </c>
    </row>
    <row r="188" spans="1:41" ht="15.6">
      <c r="A188" s="19" t="s">
        <v>118</v>
      </c>
      <c r="B188" s="19" t="s">
        <v>436</v>
      </c>
      <c r="C188" s="20" t="s">
        <v>301</v>
      </c>
      <c r="D188" s="21" t="s">
        <v>648</v>
      </c>
      <c r="E188" s="44">
        <v>45817</v>
      </c>
      <c r="F188" s="21" t="s">
        <v>499</v>
      </c>
      <c r="G188" s="23"/>
      <c r="H188" s="23">
        <v>1500000</v>
      </c>
      <c r="I188" s="23">
        <v>0</v>
      </c>
      <c r="J188" s="23">
        <v>0</v>
      </c>
      <c r="K188" s="23"/>
      <c r="L188" s="24">
        <v>0</v>
      </c>
      <c r="M188" s="25">
        <v>3</v>
      </c>
      <c r="N188" s="25">
        <v>3</v>
      </c>
      <c r="O188" s="25">
        <v>0</v>
      </c>
      <c r="P188" s="25">
        <v>3</v>
      </c>
      <c r="Q188" s="25">
        <v>0</v>
      </c>
      <c r="R188" s="25">
        <v>0</v>
      </c>
      <c r="S188" s="25">
        <v>0</v>
      </c>
      <c r="T188" s="25">
        <v>0</v>
      </c>
      <c r="U188" s="25">
        <v>6</v>
      </c>
      <c r="V188" s="25">
        <v>11</v>
      </c>
      <c r="W188" s="25">
        <v>1</v>
      </c>
      <c r="X188" s="25">
        <v>0</v>
      </c>
      <c r="Y188" s="25">
        <v>0</v>
      </c>
      <c r="Z188" s="25">
        <v>5</v>
      </c>
      <c r="AA188" s="25">
        <v>17</v>
      </c>
      <c r="AB188" s="25">
        <v>14</v>
      </c>
      <c r="AC188" s="23">
        <v>0</v>
      </c>
      <c r="AD188" s="26">
        <v>0.35714285714285715</v>
      </c>
      <c r="AE188" s="23">
        <v>24120</v>
      </c>
      <c r="AF188" s="23">
        <v>0</v>
      </c>
      <c r="AG188" s="24"/>
      <c r="AH188" s="23"/>
      <c r="AI188" s="83">
        <v>0</v>
      </c>
      <c r="AJ188" s="83">
        <v>154</v>
      </c>
      <c r="AK188" s="83">
        <v>1191.42</v>
      </c>
      <c r="AL188" s="83">
        <v>397</v>
      </c>
      <c r="AM188" s="99"/>
      <c r="AN188" s="99"/>
      <c r="AO188" s="30">
        <v>0</v>
      </c>
    </row>
    <row r="189" spans="1:41" ht="15.6">
      <c r="A189" s="19" t="s">
        <v>118</v>
      </c>
      <c r="B189" s="19" t="s">
        <v>362</v>
      </c>
      <c r="C189" s="20" t="s">
        <v>304</v>
      </c>
      <c r="D189" s="21" t="s">
        <v>539</v>
      </c>
      <c r="E189" s="44">
        <v>45817</v>
      </c>
      <c r="F189" s="21" t="s">
        <v>419</v>
      </c>
      <c r="G189" s="23"/>
      <c r="H189" s="23">
        <v>1500000</v>
      </c>
      <c r="I189" s="23">
        <v>56499.05</v>
      </c>
      <c r="J189" s="23">
        <v>0</v>
      </c>
      <c r="K189" s="23"/>
      <c r="L189" s="24">
        <v>3.7666033333333335E-2</v>
      </c>
      <c r="M189" s="25">
        <v>23</v>
      </c>
      <c r="N189" s="25">
        <v>21</v>
      </c>
      <c r="O189" s="25">
        <v>2</v>
      </c>
      <c r="P189" s="25">
        <v>25</v>
      </c>
      <c r="Q189" s="25">
        <v>4</v>
      </c>
      <c r="R189" s="25">
        <v>3</v>
      </c>
      <c r="S189" s="25">
        <v>0</v>
      </c>
      <c r="T189" s="25">
        <v>2</v>
      </c>
      <c r="U189" s="25">
        <v>94</v>
      </c>
      <c r="V189" s="25">
        <v>99</v>
      </c>
      <c r="W189" s="25">
        <v>1</v>
      </c>
      <c r="X189" s="25">
        <v>0</v>
      </c>
      <c r="Y189" s="25">
        <v>0</v>
      </c>
      <c r="Z189" s="25">
        <v>23</v>
      </c>
      <c r="AA189" s="25">
        <v>123</v>
      </c>
      <c r="AB189" s="25">
        <v>18</v>
      </c>
      <c r="AC189" s="23">
        <v>3138.8361111111112</v>
      </c>
      <c r="AD189" s="26">
        <v>1.2777777777777777</v>
      </c>
      <c r="AE189" s="23">
        <v>32500</v>
      </c>
      <c r="AF189" s="23"/>
      <c r="AG189" s="24">
        <v>0.57523091096221968</v>
      </c>
      <c r="AH189" s="23">
        <v>18833.016666666666</v>
      </c>
      <c r="AI189" s="83">
        <v>3</v>
      </c>
      <c r="AJ189" s="83">
        <v>182</v>
      </c>
      <c r="AK189" s="83">
        <v>860.49</v>
      </c>
      <c r="AL189" s="83">
        <v>41</v>
      </c>
      <c r="AM189" s="99"/>
      <c r="AN189" s="99"/>
      <c r="AO189" s="30">
        <v>-56499.05</v>
      </c>
    </row>
    <row r="190" spans="1:41" ht="13.2">
      <c r="A190" s="19" t="s">
        <v>118</v>
      </c>
      <c r="B190" s="19" t="s">
        <v>362</v>
      </c>
      <c r="C190" s="19" t="s">
        <v>305</v>
      </c>
      <c r="D190" s="21" t="s">
        <v>650</v>
      </c>
      <c r="E190" s="44">
        <v>45824</v>
      </c>
      <c r="F190" s="21" t="s">
        <v>419</v>
      </c>
      <c r="G190" s="28"/>
      <c r="H190" s="23">
        <v>0</v>
      </c>
      <c r="I190" s="28">
        <v>1319427.69</v>
      </c>
      <c r="J190" s="21">
        <v>0</v>
      </c>
      <c r="K190" s="21"/>
      <c r="L190" s="116"/>
      <c r="M190" s="21">
        <v>12</v>
      </c>
      <c r="N190" s="21">
        <v>10</v>
      </c>
      <c r="O190" s="21">
        <v>0</v>
      </c>
      <c r="P190" s="21">
        <v>12</v>
      </c>
      <c r="Q190" s="21">
        <v>2</v>
      </c>
      <c r="R190" s="21">
        <v>7</v>
      </c>
      <c r="S190" s="21">
        <v>0</v>
      </c>
      <c r="T190" s="21">
        <v>0</v>
      </c>
      <c r="U190" s="21">
        <v>2</v>
      </c>
      <c r="V190" s="21">
        <v>2</v>
      </c>
      <c r="W190" s="21">
        <v>0</v>
      </c>
      <c r="X190" s="21">
        <v>0</v>
      </c>
      <c r="Y190" s="21">
        <v>0</v>
      </c>
      <c r="Z190" s="21">
        <v>11</v>
      </c>
      <c r="AA190" s="21">
        <v>13</v>
      </c>
      <c r="AB190" s="21">
        <v>9</v>
      </c>
      <c r="AC190" s="28">
        <v>146603.07666666666</v>
      </c>
      <c r="AD190" s="28">
        <v>1.2222222222222223</v>
      </c>
      <c r="AE190" s="21">
        <v>13559.5</v>
      </c>
      <c r="AF190" s="21"/>
      <c r="AG190" s="116">
        <v>1.0276804180151776E-2</v>
      </c>
      <c r="AH190" s="28">
        <v>188489.66999999998</v>
      </c>
      <c r="AI190" s="27">
        <v>10</v>
      </c>
      <c r="AJ190" s="27">
        <v>81</v>
      </c>
      <c r="AK190" s="27">
        <v>331.22</v>
      </c>
      <c r="AL190" s="27">
        <v>33</v>
      </c>
      <c r="AM190" s="29"/>
      <c r="AN190" s="21"/>
      <c r="AO190" s="28">
        <v>-1319427.69</v>
      </c>
    </row>
    <row r="191" spans="1:41" ht="15.6">
      <c r="A191" s="19" t="s">
        <v>118</v>
      </c>
      <c r="B191" s="19" t="s">
        <v>436</v>
      </c>
      <c r="C191" s="20" t="s">
        <v>306</v>
      </c>
      <c r="D191" s="21" t="s">
        <v>651</v>
      </c>
      <c r="E191" s="44">
        <v>45824</v>
      </c>
      <c r="F191" s="21" t="s">
        <v>499</v>
      </c>
      <c r="G191" s="28"/>
      <c r="H191" s="23"/>
      <c r="I191" s="28">
        <v>0</v>
      </c>
      <c r="J191" s="21">
        <v>0</v>
      </c>
      <c r="K191" s="21"/>
      <c r="L191" s="116">
        <v>0</v>
      </c>
      <c r="M191" s="21">
        <v>1</v>
      </c>
      <c r="N191" s="21">
        <v>1</v>
      </c>
      <c r="O191" s="21">
        <v>0</v>
      </c>
      <c r="P191" s="21">
        <v>1</v>
      </c>
      <c r="Q191" s="21">
        <v>0</v>
      </c>
      <c r="R191" s="21">
        <v>0</v>
      </c>
      <c r="S191" s="21">
        <v>0</v>
      </c>
      <c r="T191" s="21">
        <v>0</v>
      </c>
      <c r="U191" s="21">
        <v>2</v>
      </c>
      <c r="V191" s="21">
        <v>2</v>
      </c>
      <c r="W191" s="21">
        <v>0</v>
      </c>
      <c r="X191" s="21">
        <v>0</v>
      </c>
      <c r="Y191" s="21">
        <v>0</v>
      </c>
      <c r="Z191" s="21">
        <v>1</v>
      </c>
      <c r="AA191" s="21">
        <v>3</v>
      </c>
      <c r="AB191" s="21">
        <v>4</v>
      </c>
      <c r="AC191" s="28">
        <v>0</v>
      </c>
      <c r="AD191" s="28">
        <v>0.25</v>
      </c>
      <c r="AE191" s="21">
        <v>15275</v>
      </c>
      <c r="AF191" s="21"/>
      <c r="AG191" s="116"/>
      <c r="AH191" s="28"/>
      <c r="AI191" s="27">
        <v>0</v>
      </c>
      <c r="AJ191" s="27">
        <v>35</v>
      </c>
      <c r="AK191" s="27">
        <v>102.68</v>
      </c>
      <c r="AL191" s="27">
        <v>103</v>
      </c>
      <c r="AM191" s="29"/>
      <c r="AN191" s="21"/>
      <c r="AO191" s="28">
        <v>0</v>
      </c>
    </row>
    <row r="192" spans="1:41" ht="15.6">
      <c r="A192" s="19" t="s">
        <v>120</v>
      </c>
      <c r="B192" s="19" t="s">
        <v>631</v>
      </c>
      <c r="C192" s="117" t="s">
        <v>307</v>
      </c>
      <c r="D192" s="21" t="s">
        <v>357</v>
      </c>
      <c r="E192" s="44">
        <v>45828</v>
      </c>
      <c r="F192" s="21" t="s">
        <v>631</v>
      </c>
      <c r="G192" s="28"/>
      <c r="H192" s="23">
        <v>0</v>
      </c>
      <c r="I192" s="28">
        <v>0</v>
      </c>
      <c r="J192" s="21">
        <v>0</v>
      </c>
      <c r="K192" s="21"/>
      <c r="L192" s="116"/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1</v>
      </c>
      <c r="V192" s="21">
        <v>1</v>
      </c>
      <c r="W192" s="21">
        <v>0</v>
      </c>
      <c r="X192" s="21">
        <v>0</v>
      </c>
      <c r="Y192" s="21">
        <v>0</v>
      </c>
      <c r="Z192" s="21">
        <v>0</v>
      </c>
      <c r="AA192" s="21">
        <v>1</v>
      </c>
      <c r="AB192" s="21">
        <v>1</v>
      </c>
      <c r="AC192" s="28">
        <v>0</v>
      </c>
      <c r="AD192" s="28">
        <v>0</v>
      </c>
      <c r="AE192" s="21">
        <v>0</v>
      </c>
      <c r="AF192" s="21"/>
      <c r="AG192" s="116"/>
      <c r="AH192" s="28"/>
      <c r="AI192" s="27">
        <v>0</v>
      </c>
      <c r="AJ192" s="27">
        <v>4</v>
      </c>
      <c r="AK192" s="27">
        <v>25.92</v>
      </c>
      <c r="AL192" s="27">
        <v>0</v>
      </c>
      <c r="AM192" s="29">
        <v>45831</v>
      </c>
      <c r="AN192" s="21"/>
      <c r="AO192" s="28">
        <v>0</v>
      </c>
    </row>
    <row r="193" spans="1:41" ht="15.6">
      <c r="A193" s="19" t="s">
        <v>120</v>
      </c>
      <c r="B193" s="19" t="s">
        <v>163</v>
      </c>
      <c r="C193" s="20" t="s">
        <v>308</v>
      </c>
      <c r="D193" s="21" t="s">
        <v>652</v>
      </c>
      <c r="E193" s="44">
        <v>45831</v>
      </c>
      <c r="F193" s="21" t="s">
        <v>534</v>
      </c>
      <c r="G193" s="28"/>
      <c r="H193" s="23"/>
      <c r="I193" s="28">
        <v>0</v>
      </c>
      <c r="J193" s="21">
        <v>0</v>
      </c>
      <c r="K193" s="21"/>
      <c r="L193" s="116">
        <v>0</v>
      </c>
      <c r="M193" s="21">
        <v>5</v>
      </c>
      <c r="N193" s="21">
        <v>2</v>
      </c>
      <c r="O193" s="21">
        <v>0</v>
      </c>
      <c r="P193" s="21">
        <v>5</v>
      </c>
      <c r="Q193" s="21">
        <v>3</v>
      </c>
      <c r="R193" s="21">
        <v>0</v>
      </c>
      <c r="S193" s="21">
        <v>0</v>
      </c>
      <c r="T193" s="21">
        <v>0</v>
      </c>
      <c r="U193" s="21">
        <v>36</v>
      </c>
      <c r="V193" s="21">
        <v>36</v>
      </c>
      <c r="W193" s="21">
        <v>2</v>
      </c>
      <c r="X193" s="21">
        <v>0</v>
      </c>
      <c r="Y193" s="21">
        <v>6</v>
      </c>
      <c r="Z193" s="21">
        <v>2</v>
      </c>
      <c r="AA193" s="21">
        <v>46</v>
      </c>
      <c r="AB193" s="21">
        <v>7</v>
      </c>
      <c r="AC193" s="28">
        <v>0</v>
      </c>
      <c r="AD193" s="28">
        <v>0.2857142857142857</v>
      </c>
      <c r="AE193" s="21">
        <v>5547.6</v>
      </c>
      <c r="AF193" s="21"/>
      <c r="AG193" s="116"/>
      <c r="AH193" s="28"/>
      <c r="AI193" s="27">
        <v>0</v>
      </c>
      <c r="AJ193" s="27">
        <v>53</v>
      </c>
      <c r="AK193" s="27">
        <v>141.27000000000001</v>
      </c>
      <c r="AL193" s="27">
        <v>71</v>
      </c>
      <c r="AM193" s="29"/>
      <c r="AN193" s="21"/>
      <c r="AO193" s="28">
        <v>0</v>
      </c>
    </row>
    <row r="194" spans="1:41" ht="15.6">
      <c r="A194" s="19" t="s">
        <v>118</v>
      </c>
      <c r="B194" s="19" t="s">
        <v>436</v>
      </c>
      <c r="C194" s="20" t="s">
        <v>309</v>
      </c>
      <c r="D194" s="21" t="s">
        <v>437</v>
      </c>
      <c r="E194" s="44">
        <v>45831</v>
      </c>
      <c r="F194" s="21" t="s">
        <v>499</v>
      </c>
      <c r="G194" s="28"/>
      <c r="H194" s="23"/>
      <c r="I194" s="28">
        <v>0</v>
      </c>
      <c r="J194" s="21">
        <v>0</v>
      </c>
      <c r="K194" s="21"/>
      <c r="L194" s="116">
        <v>0</v>
      </c>
      <c r="M194" s="21">
        <v>12</v>
      </c>
      <c r="N194" s="21">
        <v>9</v>
      </c>
      <c r="O194" s="21">
        <v>1</v>
      </c>
      <c r="P194" s="21">
        <v>13</v>
      </c>
      <c r="Q194" s="21">
        <v>4</v>
      </c>
      <c r="R194" s="21">
        <v>0</v>
      </c>
      <c r="S194" s="21">
        <v>0</v>
      </c>
      <c r="T194" s="21">
        <v>0</v>
      </c>
      <c r="U194" s="21">
        <v>29</v>
      </c>
      <c r="V194" s="21">
        <v>29</v>
      </c>
      <c r="W194" s="21">
        <v>0</v>
      </c>
      <c r="X194" s="21">
        <v>0</v>
      </c>
      <c r="Y194" s="21">
        <v>0</v>
      </c>
      <c r="Z194" s="21">
        <v>9</v>
      </c>
      <c r="AA194" s="21">
        <v>38</v>
      </c>
      <c r="AB194" s="21">
        <v>5</v>
      </c>
      <c r="AC194" s="28">
        <v>0</v>
      </c>
      <c r="AD194" s="28">
        <v>1.8</v>
      </c>
      <c r="AE194" s="21">
        <v>6390.55</v>
      </c>
      <c r="AF194" s="21"/>
      <c r="AG194" s="116"/>
      <c r="AH194" s="28"/>
      <c r="AI194" s="27">
        <v>0</v>
      </c>
      <c r="AJ194" s="27">
        <v>47</v>
      </c>
      <c r="AK194" s="27">
        <v>286.02</v>
      </c>
      <c r="AL194" s="27">
        <v>32</v>
      </c>
      <c r="AM194" s="29"/>
      <c r="AN194" s="21"/>
      <c r="AO194" s="28">
        <v>0</v>
      </c>
    </row>
    <row r="195" spans="1:41" ht="15.6">
      <c r="A195" s="19" t="s">
        <v>201</v>
      </c>
      <c r="B195" s="19" t="s">
        <v>431</v>
      </c>
      <c r="C195" s="20" t="s">
        <v>310</v>
      </c>
      <c r="D195" s="21" t="s">
        <v>531</v>
      </c>
      <c r="E195" s="44">
        <v>45839</v>
      </c>
      <c r="F195" s="21" t="s">
        <v>431</v>
      </c>
      <c r="G195" s="28"/>
      <c r="H195" s="23">
        <v>0</v>
      </c>
      <c r="I195" s="28">
        <v>0</v>
      </c>
      <c r="J195" s="21">
        <v>0</v>
      </c>
      <c r="K195" s="21"/>
      <c r="L195" s="116"/>
      <c r="M195" s="21">
        <v>4</v>
      </c>
      <c r="N195" s="21">
        <v>0</v>
      </c>
      <c r="O195" s="21">
        <v>0</v>
      </c>
      <c r="P195" s="21">
        <v>4</v>
      </c>
      <c r="Q195" s="21">
        <v>4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0</v>
      </c>
      <c r="AC195" s="28"/>
      <c r="AD195" s="28"/>
      <c r="AE195" s="21">
        <v>0</v>
      </c>
      <c r="AF195" s="21"/>
      <c r="AG195" s="116"/>
      <c r="AH195" s="28"/>
      <c r="AI195" s="27">
        <v>0</v>
      </c>
      <c r="AJ195" s="27">
        <v>0</v>
      </c>
      <c r="AK195" s="27">
        <v>0</v>
      </c>
      <c r="AL195" s="27">
        <v>0</v>
      </c>
      <c r="AM195" s="29"/>
      <c r="AN195" s="21"/>
      <c r="AO195" s="28">
        <v>0</v>
      </c>
    </row>
    <row r="196" spans="1:41" ht="13.2">
      <c r="A196" s="19" t="s">
        <v>201</v>
      </c>
      <c r="B196" s="19" t="s">
        <v>438</v>
      </c>
      <c r="C196" s="19" t="s">
        <v>311</v>
      </c>
      <c r="D196" s="21" t="s">
        <v>505</v>
      </c>
      <c r="E196" s="44">
        <v>45839</v>
      </c>
      <c r="F196" s="21" t="s">
        <v>504</v>
      </c>
      <c r="G196" s="28"/>
      <c r="H196" s="23">
        <v>0</v>
      </c>
      <c r="I196" s="28">
        <v>0</v>
      </c>
      <c r="J196" s="21">
        <v>0</v>
      </c>
      <c r="K196" s="21"/>
      <c r="L196" s="116"/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>
        <v>0</v>
      </c>
      <c r="AA196" s="21">
        <v>0</v>
      </c>
      <c r="AB196" s="21">
        <v>0</v>
      </c>
      <c r="AC196" s="28"/>
      <c r="AD196" s="28"/>
      <c r="AE196" s="21">
        <v>0</v>
      </c>
      <c r="AF196" s="21"/>
      <c r="AG196" s="116"/>
      <c r="AH196" s="28"/>
      <c r="AI196" s="27">
        <v>0</v>
      </c>
      <c r="AJ196" s="27">
        <v>0</v>
      </c>
      <c r="AK196" s="27">
        <v>0</v>
      </c>
      <c r="AL196" s="27">
        <v>0</v>
      </c>
      <c r="AM196" s="29"/>
      <c r="AN196" s="21"/>
      <c r="AO196" s="28">
        <v>0</v>
      </c>
    </row>
  </sheetData>
  <conditionalFormatting sqref="C3:C196">
    <cfRule type="expression" dxfId="9" priority="2">
      <formula>AM3:AM196</formula>
    </cfRule>
  </conditionalFormatting>
  <conditionalFormatting sqref="L1:L196">
    <cfRule type="cellIs" dxfId="8" priority="3" operator="lessThan">
      <formula>"50%"</formula>
    </cfRule>
  </conditionalFormatting>
  <conditionalFormatting sqref="AN1 AM1:AM196 AR3 AN3:AN196">
    <cfRule type="notContainsBlanks" dxfId="7" priority="1">
      <formula>LEN(TRIM(AM1))&gt;0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Y243"/>
  <sheetViews>
    <sheetView workbookViewId="0"/>
  </sheetViews>
  <sheetFormatPr defaultColWidth="12.6640625" defaultRowHeight="15.75" customHeight="1"/>
  <sheetData>
    <row r="1" spans="1:51">
      <c r="A1" s="11"/>
      <c r="B1" s="11"/>
      <c r="C1" s="11"/>
      <c r="D1" s="11"/>
      <c r="E1" s="11"/>
      <c r="F1" s="11"/>
      <c r="G1" s="11"/>
      <c r="J1" s="11">
        <f t="shared" ref="J1:K1" si="0">SUM(J3:J243)</f>
        <v>657276772.92999995</v>
      </c>
      <c r="K1" s="11">
        <f t="shared" si="0"/>
        <v>8935628.1499999985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>
      <c r="A2" s="11" t="s">
        <v>681</v>
      </c>
      <c r="B2" s="149" t="s">
        <v>31</v>
      </c>
      <c r="C2" s="11" t="s">
        <v>6</v>
      </c>
      <c r="D2" s="11" t="s">
        <v>35</v>
      </c>
      <c r="E2" s="11" t="s">
        <v>32</v>
      </c>
      <c r="F2" s="11" t="s">
        <v>34</v>
      </c>
      <c r="G2" s="11" t="s">
        <v>682</v>
      </c>
      <c r="H2" s="11" t="s">
        <v>382</v>
      </c>
      <c r="I2" s="11" t="s">
        <v>131</v>
      </c>
      <c r="J2" s="11" t="s">
        <v>383</v>
      </c>
      <c r="K2" s="11" t="s">
        <v>384</v>
      </c>
      <c r="L2" s="11" t="s">
        <v>47</v>
      </c>
      <c r="M2" s="11" t="s">
        <v>385</v>
      </c>
      <c r="N2" s="11" t="s">
        <v>49</v>
      </c>
      <c r="O2" s="11" t="s">
        <v>52</v>
      </c>
      <c r="P2" s="11" t="s">
        <v>53</v>
      </c>
      <c r="Q2" s="11" t="s">
        <v>54</v>
      </c>
      <c r="R2" s="11" t="s">
        <v>55</v>
      </c>
      <c r="S2" s="11" t="s">
        <v>386</v>
      </c>
      <c r="T2" s="11" t="s">
        <v>387</v>
      </c>
      <c r="U2" s="11" t="s">
        <v>58</v>
      </c>
      <c r="V2" s="11" t="s">
        <v>59</v>
      </c>
      <c r="W2" s="11" t="s">
        <v>60</v>
      </c>
      <c r="X2" s="11" t="s">
        <v>61</v>
      </c>
      <c r="Y2" s="11" t="s">
        <v>62</v>
      </c>
      <c r="Z2" s="11" t="s">
        <v>63</v>
      </c>
      <c r="AA2" s="11" t="s">
        <v>64</v>
      </c>
      <c r="AB2" s="11" t="s">
        <v>65</v>
      </c>
      <c r="AC2" s="11" t="s">
        <v>66</v>
      </c>
      <c r="AD2" s="11" t="s">
        <v>68</v>
      </c>
      <c r="AE2" s="11" t="s">
        <v>69</v>
      </c>
      <c r="AF2" s="11" t="s">
        <v>70</v>
      </c>
      <c r="AG2" s="11" t="s">
        <v>71</v>
      </c>
      <c r="AH2" s="11" t="s">
        <v>72</v>
      </c>
      <c r="AI2" s="11" t="s">
        <v>388</v>
      </c>
      <c r="AJ2" s="11" t="s">
        <v>74</v>
      </c>
      <c r="AK2" s="11" t="s">
        <v>75</v>
      </c>
      <c r="AL2" s="11" t="s">
        <v>76</v>
      </c>
      <c r="AM2" s="11" t="s">
        <v>77</v>
      </c>
      <c r="AN2" s="11" t="s">
        <v>78</v>
      </c>
      <c r="AO2" s="11" t="s">
        <v>43</v>
      </c>
      <c r="AP2" s="11" t="s">
        <v>44</v>
      </c>
      <c r="AQ2" s="11" t="s">
        <v>79</v>
      </c>
      <c r="AR2" s="11" t="s">
        <v>80</v>
      </c>
      <c r="AS2" s="11" t="s">
        <v>82</v>
      </c>
      <c r="AT2" s="11" t="s">
        <v>389</v>
      </c>
      <c r="AU2" s="11" t="s">
        <v>83</v>
      </c>
      <c r="AV2" s="11" t="s">
        <v>84</v>
      </c>
      <c r="AW2" s="11" t="s">
        <v>86</v>
      </c>
      <c r="AX2" s="11" t="s">
        <v>87</v>
      </c>
      <c r="AY2" s="11" t="s">
        <v>88</v>
      </c>
    </row>
    <row r="3" spans="1:51">
      <c r="A3" s="11" t="s">
        <v>118</v>
      </c>
      <c r="B3" s="11" t="s">
        <v>359</v>
      </c>
      <c r="C3" s="11" t="s">
        <v>26</v>
      </c>
      <c r="D3" s="11" t="s">
        <v>442</v>
      </c>
      <c r="E3" s="11" t="s">
        <v>477</v>
      </c>
      <c r="F3" s="150">
        <v>42739</v>
      </c>
      <c r="G3" s="11" t="s">
        <v>118</v>
      </c>
      <c r="H3" s="11">
        <v>0</v>
      </c>
      <c r="I3" s="11">
        <v>6000000</v>
      </c>
      <c r="J3" s="11">
        <v>166424.79999999999</v>
      </c>
      <c r="K3" s="11">
        <v>0</v>
      </c>
      <c r="L3" s="11">
        <v>94</v>
      </c>
      <c r="M3" s="11">
        <v>36</v>
      </c>
      <c r="N3" s="11">
        <v>0</v>
      </c>
      <c r="O3" s="11">
        <v>94</v>
      </c>
      <c r="P3" s="11">
        <v>58</v>
      </c>
      <c r="Q3" s="11">
        <v>166424.79999999999</v>
      </c>
      <c r="R3" s="11">
        <v>0</v>
      </c>
      <c r="S3" s="11">
        <v>9</v>
      </c>
      <c r="T3" s="11">
        <v>0</v>
      </c>
      <c r="U3" s="11">
        <v>9</v>
      </c>
      <c r="V3" s="11">
        <v>0</v>
      </c>
      <c r="W3" s="11">
        <v>0</v>
      </c>
      <c r="X3" s="11">
        <v>0</v>
      </c>
      <c r="Y3" s="11">
        <v>11</v>
      </c>
      <c r="Z3" s="11">
        <v>1</v>
      </c>
      <c r="AA3" s="11">
        <v>13</v>
      </c>
      <c r="AB3" s="11">
        <v>0</v>
      </c>
      <c r="AC3" s="11">
        <v>0</v>
      </c>
      <c r="AD3" s="11">
        <v>0</v>
      </c>
      <c r="AE3" s="11">
        <v>0</v>
      </c>
      <c r="AF3" s="11">
        <v>91</v>
      </c>
      <c r="AG3" s="11">
        <v>104</v>
      </c>
      <c r="AH3" s="11">
        <v>23</v>
      </c>
      <c r="AI3" s="11">
        <v>7236</v>
      </c>
      <c r="AJ3" s="11">
        <v>5</v>
      </c>
      <c r="AK3" s="11">
        <v>76300</v>
      </c>
      <c r="AL3" s="11">
        <v>0</v>
      </c>
      <c r="AM3" s="11">
        <v>0.45850000000000002</v>
      </c>
      <c r="AN3" s="11">
        <v>18492</v>
      </c>
      <c r="AO3" s="11">
        <v>0.03</v>
      </c>
      <c r="AP3" s="11">
        <v>0</v>
      </c>
      <c r="AQ3" s="11">
        <v>12</v>
      </c>
      <c r="AR3" s="11">
        <v>195</v>
      </c>
      <c r="AS3" s="11">
        <v>0</v>
      </c>
      <c r="AT3" s="11">
        <v>0</v>
      </c>
      <c r="AU3" s="11">
        <v>0</v>
      </c>
      <c r="AV3" s="11">
        <v>9</v>
      </c>
      <c r="AW3" s="11">
        <v>28</v>
      </c>
      <c r="AX3" s="11">
        <v>57</v>
      </c>
      <c r="AY3" s="11" t="s">
        <v>683</v>
      </c>
    </row>
    <row r="4" spans="1:51">
      <c r="A4" s="11" t="s">
        <v>118</v>
      </c>
      <c r="B4" s="11" t="s">
        <v>362</v>
      </c>
      <c r="C4" s="11" t="s">
        <v>27</v>
      </c>
      <c r="D4" s="11" t="s">
        <v>419</v>
      </c>
      <c r="E4" s="11" t="s">
        <v>452</v>
      </c>
      <c r="F4" s="150">
        <v>41645</v>
      </c>
      <c r="G4" s="11" t="s">
        <v>118</v>
      </c>
      <c r="H4" s="11">
        <v>0</v>
      </c>
      <c r="I4" s="11">
        <v>37500000</v>
      </c>
      <c r="J4" s="11">
        <v>22626927.309999999</v>
      </c>
      <c r="K4" s="11">
        <v>0</v>
      </c>
      <c r="L4" s="11">
        <v>102</v>
      </c>
      <c r="M4" s="11">
        <v>73</v>
      </c>
      <c r="N4" s="11">
        <v>0</v>
      </c>
      <c r="O4" s="11">
        <v>102</v>
      </c>
      <c r="P4" s="11">
        <v>29</v>
      </c>
      <c r="Q4" s="11">
        <v>22626927.309999999</v>
      </c>
      <c r="R4" s="11">
        <v>0</v>
      </c>
      <c r="S4" s="11">
        <v>52</v>
      </c>
      <c r="T4" s="11">
        <v>0</v>
      </c>
      <c r="U4" s="11">
        <v>52</v>
      </c>
      <c r="V4" s="11">
        <v>0</v>
      </c>
      <c r="W4" s="11">
        <v>1</v>
      </c>
      <c r="X4" s="11">
        <v>1</v>
      </c>
      <c r="Y4" s="11">
        <v>30</v>
      </c>
      <c r="Z4" s="11">
        <v>3</v>
      </c>
      <c r="AA4" s="11">
        <v>30</v>
      </c>
      <c r="AB4" s="11">
        <v>0</v>
      </c>
      <c r="AC4" s="11">
        <v>0</v>
      </c>
      <c r="AD4" s="11">
        <v>0</v>
      </c>
      <c r="AE4" s="11">
        <v>0</v>
      </c>
      <c r="AF4" s="11">
        <v>207</v>
      </c>
      <c r="AG4" s="11">
        <v>238</v>
      </c>
      <c r="AH4" s="11">
        <v>53</v>
      </c>
      <c r="AI4" s="11">
        <v>426923</v>
      </c>
      <c r="AJ4" s="11">
        <v>4</v>
      </c>
      <c r="AK4" s="11">
        <v>87460</v>
      </c>
      <c r="AL4" s="11">
        <v>0</v>
      </c>
      <c r="AM4" s="11">
        <v>3.8999999999999998E-3</v>
      </c>
      <c r="AN4" s="11">
        <v>435133</v>
      </c>
      <c r="AO4" s="11">
        <v>0.6</v>
      </c>
      <c r="AP4" s="11">
        <v>0</v>
      </c>
      <c r="AQ4" s="11">
        <v>151</v>
      </c>
      <c r="AR4" s="11">
        <v>636</v>
      </c>
      <c r="AS4" s="11">
        <v>2691.5</v>
      </c>
      <c r="AT4" s="11">
        <v>0</v>
      </c>
      <c r="AU4" s="11">
        <v>37</v>
      </c>
      <c r="AV4" s="11">
        <v>52</v>
      </c>
      <c r="AW4" s="11">
        <v>21</v>
      </c>
      <c r="AX4" s="11">
        <v>29</v>
      </c>
      <c r="AY4" s="11" t="s">
        <v>684</v>
      </c>
    </row>
    <row r="5" spans="1:51">
      <c r="A5" s="11" t="s">
        <v>118</v>
      </c>
      <c r="B5" s="11" t="s">
        <v>359</v>
      </c>
      <c r="C5" s="11" t="s">
        <v>28</v>
      </c>
      <c r="D5" s="11" t="s">
        <v>442</v>
      </c>
      <c r="E5" s="11" t="s">
        <v>444</v>
      </c>
      <c r="F5" s="11" t="s">
        <v>685</v>
      </c>
      <c r="G5" s="11" t="s">
        <v>38</v>
      </c>
      <c r="H5" s="11">
        <v>0</v>
      </c>
      <c r="I5" s="11">
        <v>6300000</v>
      </c>
      <c r="J5" s="11">
        <v>7407189.5099999998</v>
      </c>
      <c r="K5" s="11">
        <v>0</v>
      </c>
      <c r="L5" s="11">
        <v>40</v>
      </c>
      <c r="M5" s="11">
        <v>37</v>
      </c>
      <c r="N5" s="11">
        <v>0</v>
      </c>
      <c r="O5" s="11">
        <v>40</v>
      </c>
      <c r="P5" s="11">
        <v>3</v>
      </c>
      <c r="Q5" s="11">
        <v>7407189.5099999998</v>
      </c>
      <c r="R5" s="11">
        <v>0</v>
      </c>
      <c r="S5" s="11">
        <v>22</v>
      </c>
      <c r="T5" s="11">
        <v>0</v>
      </c>
      <c r="U5" s="11">
        <v>22</v>
      </c>
      <c r="V5" s="11">
        <v>0</v>
      </c>
      <c r="W5" s="11">
        <v>2</v>
      </c>
      <c r="X5" s="11">
        <v>4</v>
      </c>
      <c r="Y5" s="11">
        <v>31</v>
      </c>
      <c r="Z5" s="11">
        <v>1</v>
      </c>
      <c r="AA5" s="11">
        <v>5</v>
      </c>
      <c r="AB5" s="11">
        <v>0</v>
      </c>
      <c r="AC5" s="11">
        <v>0</v>
      </c>
      <c r="AD5" s="11">
        <v>0</v>
      </c>
      <c r="AE5" s="11">
        <v>0</v>
      </c>
      <c r="AF5" s="11">
        <v>199</v>
      </c>
      <c r="AG5" s="11">
        <v>208</v>
      </c>
      <c r="AH5" s="11">
        <v>72</v>
      </c>
      <c r="AI5" s="11">
        <v>102878</v>
      </c>
      <c r="AJ5" s="11">
        <v>3</v>
      </c>
      <c r="AK5" s="11">
        <v>48500</v>
      </c>
      <c r="AL5" s="11">
        <v>0</v>
      </c>
      <c r="AM5" s="11">
        <v>6.4999999999999997E-3</v>
      </c>
      <c r="AN5" s="11">
        <v>336690</v>
      </c>
      <c r="AO5" s="11">
        <v>1.18</v>
      </c>
      <c r="AP5" s="11">
        <v>0</v>
      </c>
      <c r="AQ5" s="11">
        <v>78</v>
      </c>
      <c r="AR5" s="11">
        <v>853</v>
      </c>
      <c r="AS5" s="11">
        <v>3895.5</v>
      </c>
      <c r="AT5" s="11">
        <v>0</v>
      </c>
      <c r="AU5" s="11">
        <v>105</v>
      </c>
      <c r="AV5" s="11">
        <v>22</v>
      </c>
      <c r="AW5" s="11">
        <v>15</v>
      </c>
      <c r="AX5" s="11">
        <v>3</v>
      </c>
      <c r="AY5" s="11" t="s">
        <v>684</v>
      </c>
    </row>
    <row r="6" spans="1:51">
      <c r="A6" s="11" t="s">
        <v>118</v>
      </c>
      <c r="B6" s="11" t="s">
        <v>362</v>
      </c>
      <c r="C6" s="11" t="s">
        <v>29</v>
      </c>
      <c r="D6" s="11" t="s">
        <v>419</v>
      </c>
      <c r="E6" s="11" t="s">
        <v>420</v>
      </c>
      <c r="F6" s="11" t="s">
        <v>686</v>
      </c>
      <c r="G6" s="11" t="s">
        <v>118</v>
      </c>
      <c r="H6" s="11">
        <v>0</v>
      </c>
      <c r="I6" s="11">
        <v>0</v>
      </c>
      <c r="J6" s="11">
        <v>0</v>
      </c>
      <c r="K6" s="11">
        <v>0</v>
      </c>
      <c r="L6" s="11">
        <v>205</v>
      </c>
      <c r="M6" s="11">
        <v>94</v>
      </c>
      <c r="N6" s="11">
        <v>0</v>
      </c>
      <c r="O6" s="11">
        <v>205</v>
      </c>
      <c r="P6" s="11">
        <v>111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5</v>
      </c>
      <c r="X6" s="11">
        <v>5</v>
      </c>
      <c r="Y6" s="11">
        <v>83</v>
      </c>
      <c r="Z6" s="11">
        <v>9</v>
      </c>
      <c r="AA6" s="11">
        <v>59</v>
      </c>
      <c r="AB6" s="11">
        <v>1</v>
      </c>
      <c r="AC6" s="11">
        <v>10</v>
      </c>
      <c r="AD6" s="11">
        <v>1</v>
      </c>
      <c r="AE6" s="11">
        <v>5</v>
      </c>
      <c r="AF6" s="11">
        <v>220</v>
      </c>
      <c r="AG6" s="11">
        <v>299</v>
      </c>
      <c r="AH6" s="11">
        <v>75</v>
      </c>
      <c r="AI6" s="11">
        <v>0</v>
      </c>
      <c r="AJ6" s="11">
        <v>4</v>
      </c>
      <c r="AK6" s="11">
        <v>70400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884</v>
      </c>
      <c r="AS6" s="11">
        <v>4573.5600000000004</v>
      </c>
      <c r="AT6" s="11">
        <v>0</v>
      </c>
      <c r="AU6" s="11">
        <v>49</v>
      </c>
      <c r="AV6" s="11">
        <v>0</v>
      </c>
      <c r="AW6" s="11">
        <v>94</v>
      </c>
      <c r="AX6" s="11">
        <v>111</v>
      </c>
      <c r="AY6" s="11" t="s">
        <v>684</v>
      </c>
    </row>
    <row r="7" spans="1:51">
      <c r="A7" s="11" t="s">
        <v>118</v>
      </c>
      <c r="B7" s="11" t="s">
        <v>359</v>
      </c>
      <c r="C7" s="11" t="s">
        <v>33</v>
      </c>
      <c r="D7" s="11" t="s">
        <v>442</v>
      </c>
      <c r="E7" s="11" t="s">
        <v>496</v>
      </c>
      <c r="F7" s="150">
        <v>43505</v>
      </c>
      <c r="G7" s="11" t="s">
        <v>38</v>
      </c>
      <c r="H7" s="11">
        <v>0</v>
      </c>
      <c r="I7" s="11">
        <v>6000000</v>
      </c>
      <c r="J7" s="11">
        <v>5013154.67</v>
      </c>
      <c r="K7" s="11">
        <v>250378.14</v>
      </c>
      <c r="L7" s="11">
        <v>54</v>
      </c>
      <c r="M7" s="11">
        <v>49</v>
      </c>
      <c r="N7" s="11">
        <v>0</v>
      </c>
      <c r="O7" s="11">
        <v>54</v>
      </c>
      <c r="P7" s="11">
        <v>5</v>
      </c>
      <c r="Q7" s="11">
        <v>5013154.67</v>
      </c>
      <c r="R7" s="11">
        <v>0</v>
      </c>
      <c r="S7" s="11">
        <v>43</v>
      </c>
      <c r="T7" s="11">
        <v>0</v>
      </c>
      <c r="U7" s="11">
        <v>43</v>
      </c>
      <c r="V7" s="11">
        <v>2</v>
      </c>
      <c r="W7" s="11">
        <v>0</v>
      </c>
      <c r="X7" s="11">
        <v>0</v>
      </c>
      <c r="Y7" s="11">
        <v>38</v>
      </c>
      <c r="Z7" s="11">
        <v>2</v>
      </c>
      <c r="AA7" s="11">
        <v>2</v>
      </c>
      <c r="AB7" s="11">
        <v>2</v>
      </c>
      <c r="AC7" s="11">
        <v>30</v>
      </c>
      <c r="AD7" s="11">
        <v>0</v>
      </c>
      <c r="AE7" s="11">
        <v>0</v>
      </c>
      <c r="AF7" s="11">
        <v>280</v>
      </c>
      <c r="AG7" s="11">
        <v>312</v>
      </c>
      <c r="AH7" s="11">
        <v>72</v>
      </c>
      <c r="AI7" s="11">
        <v>69627</v>
      </c>
      <c r="AJ7" s="11">
        <v>4</v>
      </c>
      <c r="AK7" s="11">
        <v>50950</v>
      </c>
      <c r="AL7" s="11">
        <v>0</v>
      </c>
      <c r="AM7" s="11">
        <v>1.0200000000000001E-2</v>
      </c>
      <c r="AN7" s="11">
        <v>116585</v>
      </c>
      <c r="AO7" s="11">
        <v>0.84</v>
      </c>
      <c r="AP7" s="11">
        <v>0</v>
      </c>
      <c r="AQ7" s="11">
        <v>150</v>
      </c>
      <c r="AR7" s="11">
        <v>780</v>
      </c>
      <c r="AS7" s="11">
        <v>5370.53</v>
      </c>
      <c r="AT7" s="11">
        <v>0</v>
      </c>
      <c r="AU7" s="11">
        <v>110</v>
      </c>
      <c r="AV7" s="11">
        <v>43</v>
      </c>
      <c r="AW7" s="11">
        <v>6</v>
      </c>
      <c r="AX7" s="11">
        <v>5</v>
      </c>
      <c r="AY7" s="11" t="s">
        <v>684</v>
      </c>
    </row>
    <row r="8" spans="1:51">
      <c r="A8" s="11" t="s">
        <v>118</v>
      </c>
      <c r="B8" s="11" t="s">
        <v>359</v>
      </c>
      <c r="C8" s="11" t="s">
        <v>38</v>
      </c>
      <c r="D8" s="11" t="s">
        <v>442</v>
      </c>
      <c r="E8" s="11" t="s">
        <v>455</v>
      </c>
      <c r="F8" s="150">
        <v>42009</v>
      </c>
      <c r="G8" s="11" t="s">
        <v>118</v>
      </c>
      <c r="H8" s="11">
        <v>0</v>
      </c>
      <c r="I8" s="11">
        <v>19674000</v>
      </c>
      <c r="J8" s="11">
        <v>19147537.989999998</v>
      </c>
      <c r="K8" s="11">
        <v>0</v>
      </c>
      <c r="L8" s="11">
        <v>135</v>
      </c>
      <c r="M8" s="11">
        <v>98</v>
      </c>
      <c r="N8" s="11">
        <v>2</v>
      </c>
      <c r="O8" s="11">
        <v>137</v>
      </c>
      <c r="P8" s="11">
        <v>39</v>
      </c>
      <c r="Q8" s="11">
        <v>18833067.710000001</v>
      </c>
      <c r="R8" s="11">
        <v>314470.28000000003</v>
      </c>
      <c r="S8" s="11">
        <v>73</v>
      </c>
      <c r="T8" s="11">
        <v>1</v>
      </c>
      <c r="U8" s="11">
        <v>74</v>
      </c>
      <c r="V8" s="11">
        <v>0</v>
      </c>
      <c r="W8" s="11">
        <v>1</v>
      </c>
      <c r="X8" s="11">
        <v>1</v>
      </c>
      <c r="Y8" s="11">
        <v>3</v>
      </c>
      <c r="Z8" s="11">
        <v>5</v>
      </c>
      <c r="AA8" s="11">
        <v>55</v>
      </c>
      <c r="AB8" s="11">
        <v>0</v>
      </c>
      <c r="AC8" s="11">
        <v>0</v>
      </c>
      <c r="AD8" s="11">
        <v>0</v>
      </c>
      <c r="AE8" s="11">
        <v>0</v>
      </c>
      <c r="AF8" s="11">
        <v>206</v>
      </c>
      <c r="AG8" s="11">
        <v>262</v>
      </c>
      <c r="AH8" s="11">
        <v>74</v>
      </c>
      <c r="AI8" s="11">
        <v>258751</v>
      </c>
      <c r="AJ8" s="11">
        <v>4</v>
      </c>
      <c r="AK8" s="11">
        <v>79340</v>
      </c>
      <c r="AL8" s="11">
        <v>0</v>
      </c>
      <c r="AM8" s="11">
        <v>4.1000000000000003E-3</v>
      </c>
      <c r="AN8" s="11">
        <v>258751</v>
      </c>
      <c r="AO8" s="11">
        <v>0.97</v>
      </c>
      <c r="AP8" s="11">
        <v>0</v>
      </c>
      <c r="AQ8" s="11">
        <v>387</v>
      </c>
      <c r="AR8" s="11">
        <v>839</v>
      </c>
      <c r="AS8" s="11">
        <v>2880.47</v>
      </c>
      <c r="AT8" s="11">
        <v>1</v>
      </c>
      <c r="AU8" s="11">
        <v>29</v>
      </c>
      <c r="AV8" s="11">
        <v>74</v>
      </c>
      <c r="AW8" s="11">
        <v>56</v>
      </c>
      <c r="AX8" s="11">
        <v>7</v>
      </c>
      <c r="AY8" s="11" t="s">
        <v>684</v>
      </c>
    </row>
    <row r="9" spans="1:51">
      <c r="A9" s="11" t="s">
        <v>118</v>
      </c>
      <c r="B9" s="11" t="s">
        <v>362</v>
      </c>
      <c r="C9" s="11" t="s">
        <v>45</v>
      </c>
      <c r="D9" s="11" t="s">
        <v>419</v>
      </c>
      <c r="E9" s="11" t="s">
        <v>464</v>
      </c>
      <c r="F9" s="11" t="s">
        <v>687</v>
      </c>
      <c r="G9" s="11" t="s">
        <v>118</v>
      </c>
      <c r="H9" s="11">
        <v>0</v>
      </c>
      <c r="I9" s="11">
        <v>10149999</v>
      </c>
      <c r="J9" s="11">
        <v>7975568.3300000001</v>
      </c>
      <c r="K9" s="11">
        <v>0</v>
      </c>
      <c r="L9" s="11">
        <v>62</v>
      </c>
      <c r="M9" s="11">
        <v>40</v>
      </c>
      <c r="N9" s="11">
        <v>0</v>
      </c>
      <c r="O9" s="11">
        <v>62</v>
      </c>
      <c r="P9" s="11">
        <v>22</v>
      </c>
      <c r="Q9" s="11">
        <v>7975568.3300000001</v>
      </c>
      <c r="R9" s="11">
        <v>0</v>
      </c>
      <c r="S9" s="11">
        <v>30</v>
      </c>
      <c r="T9" s="11">
        <v>0</v>
      </c>
      <c r="U9" s="11">
        <v>30</v>
      </c>
      <c r="V9" s="11">
        <v>0</v>
      </c>
      <c r="W9" s="11">
        <v>1</v>
      </c>
      <c r="X9" s="11">
        <v>3</v>
      </c>
      <c r="Y9" s="11">
        <v>6</v>
      </c>
      <c r="Z9" s="11">
        <v>2</v>
      </c>
      <c r="AA9" s="11">
        <v>59</v>
      </c>
      <c r="AB9" s="11">
        <v>0</v>
      </c>
      <c r="AC9" s="11">
        <v>0</v>
      </c>
      <c r="AD9" s="11">
        <v>0</v>
      </c>
      <c r="AE9" s="11">
        <v>0</v>
      </c>
      <c r="AF9" s="11">
        <v>182</v>
      </c>
      <c r="AG9" s="11">
        <v>244</v>
      </c>
      <c r="AH9" s="11">
        <v>68</v>
      </c>
      <c r="AI9" s="11">
        <v>117288</v>
      </c>
      <c r="AJ9" s="11">
        <v>4</v>
      </c>
      <c r="AK9" s="11">
        <v>48608</v>
      </c>
      <c r="AL9" s="11">
        <v>0</v>
      </c>
      <c r="AM9" s="11">
        <v>6.1000000000000004E-3</v>
      </c>
      <c r="AN9" s="11">
        <v>265852</v>
      </c>
      <c r="AO9" s="11">
        <v>0.79</v>
      </c>
      <c r="AP9" s="11">
        <v>0</v>
      </c>
      <c r="AQ9" s="11">
        <v>89</v>
      </c>
      <c r="AR9" s="11">
        <v>751</v>
      </c>
      <c r="AS9" s="11">
        <v>1927.17</v>
      </c>
      <c r="AT9" s="11">
        <v>0</v>
      </c>
      <c r="AU9" s="11">
        <v>48</v>
      </c>
      <c r="AV9" s="11">
        <v>30</v>
      </c>
      <c r="AW9" s="11">
        <v>13</v>
      </c>
      <c r="AX9" s="11">
        <v>19</v>
      </c>
      <c r="AY9" s="11" t="s">
        <v>684</v>
      </c>
    </row>
    <row r="10" spans="1:51">
      <c r="A10" s="11" t="s">
        <v>118</v>
      </c>
      <c r="B10" s="11" t="s">
        <v>362</v>
      </c>
      <c r="C10" s="11" t="s">
        <v>51</v>
      </c>
      <c r="D10" s="11" t="s">
        <v>419</v>
      </c>
      <c r="E10" s="11" t="s">
        <v>439</v>
      </c>
      <c r="F10" s="150">
        <v>42739</v>
      </c>
      <c r="G10" s="11" t="s">
        <v>118</v>
      </c>
      <c r="H10" s="11">
        <v>0</v>
      </c>
      <c r="I10" s="11">
        <v>11400000</v>
      </c>
      <c r="J10" s="11">
        <v>10361272</v>
      </c>
      <c r="K10" s="11">
        <v>0</v>
      </c>
      <c r="L10" s="11">
        <v>136</v>
      </c>
      <c r="M10" s="11">
        <v>59</v>
      </c>
      <c r="N10" s="11">
        <v>2</v>
      </c>
      <c r="O10" s="11">
        <v>138</v>
      </c>
      <c r="P10" s="11">
        <v>79</v>
      </c>
      <c r="Q10" s="11">
        <v>10361272</v>
      </c>
      <c r="R10" s="11">
        <v>0</v>
      </c>
      <c r="S10" s="11">
        <v>10</v>
      </c>
      <c r="T10" s="11">
        <v>0</v>
      </c>
      <c r="U10" s="11">
        <v>10</v>
      </c>
      <c r="V10" s="11">
        <v>0</v>
      </c>
      <c r="W10" s="11">
        <v>3</v>
      </c>
      <c r="X10" s="11">
        <v>3</v>
      </c>
      <c r="Y10" s="11">
        <v>38</v>
      </c>
      <c r="Z10" s="11">
        <v>3</v>
      </c>
      <c r="AA10" s="11">
        <v>21</v>
      </c>
      <c r="AB10" s="11">
        <v>0</v>
      </c>
      <c r="AC10" s="11">
        <v>0</v>
      </c>
      <c r="AD10" s="11">
        <v>0</v>
      </c>
      <c r="AE10" s="11">
        <v>0</v>
      </c>
      <c r="AF10" s="11">
        <v>230</v>
      </c>
      <c r="AG10" s="11">
        <v>254</v>
      </c>
      <c r="AH10" s="11">
        <v>76</v>
      </c>
      <c r="AI10" s="11">
        <v>136333</v>
      </c>
      <c r="AJ10" s="11">
        <v>3</v>
      </c>
      <c r="AK10" s="11">
        <v>63250</v>
      </c>
      <c r="AL10" s="11">
        <v>0</v>
      </c>
      <c r="AM10" s="11">
        <v>6.1000000000000004E-3</v>
      </c>
      <c r="AN10" s="11">
        <v>1036127</v>
      </c>
      <c r="AO10" s="11">
        <v>0.91</v>
      </c>
      <c r="AP10" s="11">
        <v>0</v>
      </c>
      <c r="AQ10" s="11">
        <v>27</v>
      </c>
      <c r="AR10" s="11">
        <v>899</v>
      </c>
      <c r="AS10" s="11">
        <v>1702.39</v>
      </c>
      <c r="AT10" s="11">
        <v>0</v>
      </c>
      <c r="AU10" s="11">
        <v>29</v>
      </c>
      <c r="AV10" s="11">
        <v>10</v>
      </c>
      <c r="AW10" s="11">
        <v>49</v>
      </c>
      <c r="AX10" s="11">
        <v>79</v>
      </c>
      <c r="AY10" s="11" t="s">
        <v>684</v>
      </c>
    </row>
    <row r="11" spans="1:51">
      <c r="A11" s="11" t="s">
        <v>118</v>
      </c>
      <c r="B11" s="11" t="s">
        <v>362</v>
      </c>
      <c r="C11" s="11" t="s">
        <v>67</v>
      </c>
      <c r="D11" s="11" t="s">
        <v>419</v>
      </c>
      <c r="E11" s="11" t="s">
        <v>485</v>
      </c>
      <c r="F11" s="150">
        <v>42745</v>
      </c>
      <c r="G11" s="11" t="s">
        <v>118</v>
      </c>
      <c r="H11" s="11">
        <v>0</v>
      </c>
      <c r="I11" s="11">
        <v>0</v>
      </c>
      <c r="J11" s="11">
        <v>0</v>
      </c>
      <c r="K11" s="11">
        <v>0</v>
      </c>
      <c r="L11" s="11">
        <v>225</v>
      </c>
      <c r="M11" s="11">
        <v>98</v>
      </c>
      <c r="N11" s="11">
        <v>1</v>
      </c>
      <c r="O11" s="11">
        <v>226</v>
      </c>
      <c r="P11" s="11">
        <v>128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1</v>
      </c>
      <c r="X11" s="11">
        <v>1</v>
      </c>
      <c r="Y11" s="11">
        <v>37</v>
      </c>
      <c r="Z11" s="11">
        <v>3</v>
      </c>
      <c r="AA11" s="11">
        <v>40</v>
      </c>
      <c r="AB11" s="11">
        <v>0</v>
      </c>
      <c r="AC11" s="11">
        <v>0</v>
      </c>
      <c r="AD11" s="11">
        <v>0</v>
      </c>
      <c r="AE11" s="11">
        <v>0</v>
      </c>
      <c r="AF11" s="11">
        <v>198</v>
      </c>
      <c r="AG11" s="11">
        <v>239</v>
      </c>
      <c r="AH11" s="11">
        <v>74</v>
      </c>
      <c r="AI11" s="11">
        <v>0</v>
      </c>
      <c r="AJ11" s="11">
        <v>3</v>
      </c>
      <c r="AK11" s="11">
        <v>54455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760</v>
      </c>
      <c r="AS11" s="11">
        <v>3220.77</v>
      </c>
      <c r="AT11" s="11">
        <v>0</v>
      </c>
      <c r="AU11" s="11">
        <v>33</v>
      </c>
      <c r="AV11" s="11">
        <v>0</v>
      </c>
      <c r="AW11" s="11">
        <v>98</v>
      </c>
      <c r="AX11" s="11">
        <v>128</v>
      </c>
      <c r="AY11" s="11" t="s">
        <v>684</v>
      </c>
    </row>
    <row r="12" spans="1:51">
      <c r="A12" s="11" t="s">
        <v>118</v>
      </c>
      <c r="B12" s="11" t="s">
        <v>362</v>
      </c>
      <c r="C12" s="11" t="s">
        <v>81</v>
      </c>
      <c r="D12" s="11" t="s">
        <v>419</v>
      </c>
      <c r="E12" s="11" t="s">
        <v>439</v>
      </c>
      <c r="F12" s="11" t="s">
        <v>688</v>
      </c>
      <c r="G12" s="11" t="s">
        <v>118</v>
      </c>
      <c r="H12" s="11">
        <v>0</v>
      </c>
      <c r="I12" s="11">
        <v>11499999</v>
      </c>
      <c r="J12" s="11">
        <v>153170</v>
      </c>
      <c r="K12" s="11">
        <v>0</v>
      </c>
      <c r="L12" s="11">
        <v>65</v>
      </c>
      <c r="M12" s="11">
        <v>26</v>
      </c>
      <c r="N12" s="11">
        <v>3</v>
      </c>
      <c r="O12" s="11">
        <v>68</v>
      </c>
      <c r="P12" s="11">
        <v>42</v>
      </c>
      <c r="Q12" s="11">
        <v>153170</v>
      </c>
      <c r="R12" s="11">
        <v>0</v>
      </c>
      <c r="S12" s="11">
        <v>1</v>
      </c>
      <c r="T12" s="11">
        <v>0</v>
      </c>
      <c r="U12" s="11">
        <v>1</v>
      </c>
      <c r="V12" s="11">
        <v>0</v>
      </c>
      <c r="W12" s="11">
        <v>2</v>
      </c>
      <c r="X12" s="11">
        <v>7</v>
      </c>
      <c r="Y12" s="11">
        <v>75</v>
      </c>
      <c r="Z12" s="11">
        <v>3</v>
      </c>
      <c r="AA12" s="11">
        <v>48</v>
      </c>
      <c r="AB12" s="11">
        <v>0</v>
      </c>
      <c r="AC12" s="11">
        <v>0</v>
      </c>
      <c r="AD12" s="11">
        <v>0</v>
      </c>
      <c r="AE12" s="11">
        <v>0</v>
      </c>
      <c r="AF12" s="11">
        <v>58</v>
      </c>
      <c r="AG12" s="11">
        <v>113</v>
      </c>
      <c r="AH12" s="11">
        <v>70</v>
      </c>
      <c r="AI12" s="11">
        <v>2188</v>
      </c>
      <c r="AJ12" s="11">
        <v>2</v>
      </c>
      <c r="AK12" s="11">
        <v>56700</v>
      </c>
      <c r="AL12" s="11">
        <v>0</v>
      </c>
      <c r="AM12" s="11">
        <v>0.37019999999999997</v>
      </c>
      <c r="AN12" s="11">
        <v>153170</v>
      </c>
      <c r="AO12" s="11">
        <v>0.01</v>
      </c>
      <c r="AP12" s="11">
        <v>0</v>
      </c>
      <c r="AQ12" s="11">
        <v>1</v>
      </c>
      <c r="AR12" s="11">
        <v>615</v>
      </c>
      <c r="AS12" s="11">
        <v>2468.5700000000002</v>
      </c>
      <c r="AT12" s="11">
        <v>0</v>
      </c>
      <c r="AU12" s="11">
        <v>95</v>
      </c>
      <c r="AV12" s="11">
        <v>1</v>
      </c>
      <c r="AW12" s="11">
        <v>25</v>
      </c>
      <c r="AX12" s="11">
        <v>42</v>
      </c>
      <c r="AY12" s="11" t="s">
        <v>684</v>
      </c>
    </row>
    <row r="13" spans="1:51">
      <c r="A13" s="11" t="s">
        <v>118</v>
      </c>
      <c r="B13" s="11" t="s">
        <v>362</v>
      </c>
      <c r="C13" s="11" t="s">
        <v>85</v>
      </c>
      <c r="D13" s="11" t="s">
        <v>419</v>
      </c>
      <c r="E13" s="11" t="s">
        <v>420</v>
      </c>
      <c r="F13" s="11" t="s">
        <v>686</v>
      </c>
      <c r="G13" s="11" t="s">
        <v>118</v>
      </c>
      <c r="H13" s="11">
        <v>0</v>
      </c>
      <c r="I13" s="11">
        <v>15150000</v>
      </c>
      <c r="J13" s="11">
        <v>13112702.34</v>
      </c>
      <c r="K13" s="11">
        <v>0</v>
      </c>
      <c r="L13" s="11">
        <v>120</v>
      </c>
      <c r="M13" s="11">
        <v>78</v>
      </c>
      <c r="N13" s="11">
        <v>4</v>
      </c>
      <c r="O13" s="11">
        <v>124</v>
      </c>
      <c r="P13" s="11">
        <v>46</v>
      </c>
      <c r="Q13" s="11">
        <v>12577160.74</v>
      </c>
      <c r="R13" s="11">
        <v>535541.6</v>
      </c>
      <c r="S13" s="11">
        <v>42</v>
      </c>
      <c r="T13" s="11">
        <v>3</v>
      </c>
      <c r="U13" s="11">
        <v>45</v>
      </c>
      <c r="V13" s="11">
        <v>0</v>
      </c>
      <c r="W13" s="11">
        <v>2</v>
      </c>
      <c r="X13" s="11">
        <v>2</v>
      </c>
      <c r="Y13" s="11">
        <v>86</v>
      </c>
      <c r="Z13" s="11">
        <v>7</v>
      </c>
      <c r="AA13" s="11">
        <v>18</v>
      </c>
      <c r="AB13" s="11">
        <v>0</v>
      </c>
      <c r="AC13" s="11">
        <v>0</v>
      </c>
      <c r="AD13" s="11">
        <v>0</v>
      </c>
      <c r="AE13" s="11">
        <v>0</v>
      </c>
      <c r="AF13" s="11">
        <v>275</v>
      </c>
      <c r="AG13" s="11">
        <v>295</v>
      </c>
      <c r="AH13" s="11">
        <v>74</v>
      </c>
      <c r="AI13" s="11">
        <v>177199</v>
      </c>
      <c r="AJ13" s="11">
        <v>4</v>
      </c>
      <c r="AK13" s="11">
        <v>60500</v>
      </c>
      <c r="AL13" s="11">
        <v>0</v>
      </c>
      <c r="AM13" s="11">
        <v>4.5999999999999999E-3</v>
      </c>
      <c r="AN13" s="11">
        <v>291393</v>
      </c>
      <c r="AO13" s="11">
        <v>0.87</v>
      </c>
      <c r="AP13" s="11">
        <v>0</v>
      </c>
      <c r="AQ13" s="11">
        <v>124</v>
      </c>
      <c r="AR13" s="11">
        <v>811</v>
      </c>
      <c r="AS13" s="11">
        <v>4088.66</v>
      </c>
      <c r="AT13" s="11">
        <v>3</v>
      </c>
      <c r="AU13" s="11">
        <v>52</v>
      </c>
      <c r="AV13" s="11">
        <v>45</v>
      </c>
      <c r="AW13" s="11">
        <v>36</v>
      </c>
      <c r="AX13" s="11">
        <v>43</v>
      </c>
      <c r="AY13" s="11" t="s">
        <v>684</v>
      </c>
    </row>
    <row r="14" spans="1:51">
      <c r="A14" s="11" t="s">
        <v>118</v>
      </c>
      <c r="B14" s="11" t="s">
        <v>362</v>
      </c>
      <c r="C14" s="11" t="s">
        <v>91</v>
      </c>
      <c r="D14" s="11" t="s">
        <v>419</v>
      </c>
      <c r="E14" s="11" t="s">
        <v>439</v>
      </c>
      <c r="F14" s="150">
        <v>41099</v>
      </c>
      <c r="G14" s="11" t="s">
        <v>118</v>
      </c>
      <c r="H14" s="11">
        <v>0</v>
      </c>
      <c r="I14" s="11">
        <v>20499999</v>
      </c>
      <c r="J14" s="11">
        <v>5841410.1699999999</v>
      </c>
      <c r="K14" s="11">
        <v>0</v>
      </c>
      <c r="L14" s="11">
        <v>153</v>
      </c>
      <c r="M14" s="11">
        <v>112</v>
      </c>
      <c r="N14" s="11">
        <v>0</v>
      </c>
      <c r="O14" s="11">
        <v>153</v>
      </c>
      <c r="P14" s="11">
        <v>41</v>
      </c>
      <c r="Q14" s="11">
        <v>5841410.1699999999</v>
      </c>
      <c r="R14" s="11">
        <v>0</v>
      </c>
      <c r="S14" s="11">
        <v>28</v>
      </c>
      <c r="T14" s="11">
        <v>0</v>
      </c>
      <c r="U14" s="11">
        <v>28</v>
      </c>
      <c r="V14" s="11">
        <v>0</v>
      </c>
      <c r="W14" s="11">
        <v>34</v>
      </c>
      <c r="X14" s="11">
        <v>46</v>
      </c>
      <c r="Y14" s="11">
        <v>39</v>
      </c>
      <c r="Z14" s="11">
        <v>2</v>
      </c>
      <c r="AA14" s="11">
        <v>12</v>
      </c>
      <c r="AB14" s="11">
        <v>0</v>
      </c>
      <c r="AC14" s="11">
        <v>0</v>
      </c>
      <c r="AD14" s="11">
        <v>0</v>
      </c>
      <c r="AE14" s="11">
        <v>0</v>
      </c>
      <c r="AF14" s="11">
        <v>349</v>
      </c>
      <c r="AG14" s="11">
        <v>407</v>
      </c>
      <c r="AH14" s="11">
        <v>75</v>
      </c>
      <c r="AI14" s="11">
        <v>77885</v>
      </c>
      <c r="AJ14" s="11">
        <v>5</v>
      </c>
      <c r="AK14" s="11">
        <v>78125</v>
      </c>
      <c r="AL14" s="11">
        <v>0</v>
      </c>
      <c r="AM14" s="11">
        <v>1.34E-2</v>
      </c>
      <c r="AN14" s="11">
        <v>208622</v>
      </c>
      <c r="AO14" s="11">
        <v>0.28000000000000003</v>
      </c>
      <c r="AP14" s="11">
        <v>0</v>
      </c>
      <c r="AQ14" s="11">
        <v>36</v>
      </c>
      <c r="AR14" s="11">
        <v>849</v>
      </c>
      <c r="AS14" s="11">
        <v>1481.26</v>
      </c>
      <c r="AT14" s="11">
        <v>0</v>
      </c>
      <c r="AU14" s="11">
        <v>13</v>
      </c>
      <c r="AV14" s="11">
        <v>28</v>
      </c>
      <c r="AW14" s="11">
        <v>84</v>
      </c>
      <c r="AX14" s="11">
        <v>41</v>
      </c>
      <c r="AY14" s="11" t="s">
        <v>684</v>
      </c>
    </row>
    <row r="15" spans="1:51">
      <c r="A15" s="11" t="s">
        <v>118</v>
      </c>
      <c r="B15" s="11" t="s">
        <v>362</v>
      </c>
      <c r="C15" s="11" t="s">
        <v>92</v>
      </c>
      <c r="D15" s="11" t="s">
        <v>419</v>
      </c>
      <c r="E15" s="11" t="s">
        <v>420</v>
      </c>
      <c r="F15" s="150">
        <v>41430</v>
      </c>
      <c r="G15" s="11" t="s">
        <v>118</v>
      </c>
      <c r="H15" s="11">
        <v>0</v>
      </c>
      <c r="I15" s="11">
        <v>25500000</v>
      </c>
      <c r="J15" s="11">
        <v>18657717.149999999</v>
      </c>
      <c r="K15" s="11">
        <v>0</v>
      </c>
      <c r="L15" s="11">
        <v>57</v>
      </c>
      <c r="M15" s="11">
        <v>44</v>
      </c>
      <c r="N15" s="11">
        <v>1</v>
      </c>
      <c r="O15" s="11">
        <v>58</v>
      </c>
      <c r="P15" s="11">
        <v>14</v>
      </c>
      <c r="Q15" s="11">
        <v>18628633.149999999</v>
      </c>
      <c r="R15" s="11">
        <v>29084</v>
      </c>
      <c r="S15" s="11">
        <v>37</v>
      </c>
      <c r="T15" s="11">
        <v>1</v>
      </c>
      <c r="U15" s="11">
        <v>38</v>
      </c>
      <c r="V15" s="11">
        <v>0</v>
      </c>
      <c r="W15" s="11">
        <v>0</v>
      </c>
      <c r="X15" s="11">
        <v>0</v>
      </c>
      <c r="Y15" s="11">
        <v>19</v>
      </c>
      <c r="Z15" s="11">
        <v>2</v>
      </c>
      <c r="AA15" s="11">
        <v>43</v>
      </c>
      <c r="AB15" s="11">
        <v>0</v>
      </c>
      <c r="AC15" s="11">
        <v>0</v>
      </c>
      <c r="AD15" s="11">
        <v>0</v>
      </c>
      <c r="AE15" s="11">
        <v>0</v>
      </c>
      <c r="AF15" s="11">
        <v>474</v>
      </c>
      <c r="AG15" s="11">
        <v>517</v>
      </c>
      <c r="AH15" s="11">
        <v>65</v>
      </c>
      <c r="AI15" s="11">
        <v>287042</v>
      </c>
      <c r="AJ15" s="11">
        <v>8</v>
      </c>
      <c r="AK15" s="11">
        <v>83075</v>
      </c>
      <c r="AL15" s="11">
        <v>0</v>
      </c>
      <c r="AM15" s="11">
        <v>4.4999999999999997E-3</v>
      </c>
      <c r="AN15" s="11">
        <v>490993</v>
      </c>
      <c r="AO15" s="11">
        <v>0.73</v>
      </c>
      <c r="AP15" s="11">
        <v>0</v>
      </c>
      <c r="AQ15" s="11">
        <v>260</v>
      </c>
      <c r="AR15" s="11">
        <v>620</v>
      </c>
      <c r="AS15" s="11">
        <v>807.74</v>
      </c>
      <c r="AT15" s="11">
        <v>1</v>
      </c>
      <c r="AU15" s="11">
        <v>18</v>
      </c>
      <c r="AV15" s="11">
        <v>38</v>
      </c>
      <c r="AW15" s="11">
        <v>10</v>
      </c>
      <c r="AX15" s="11">
        <v>10</v>
      </c>
      <c r="AY15" s="11" t="s">
        <v>684</v>
      </c>
    </row>
    <row r="16" spans="1:51">
      <c r="A16" s="11" t="s">
        <v>118</v>
      </c>
      <c r="B16" s="11" t="s">
        <v>372</v>
      </c>
      <c r="C16" s="11" t="s">
        <v>93</v>
      </c>
      <c r="D16" s="11" t="s">
        <v>447</v>
      </c>
      <c r="E16" s="11" t="s">
        <v>448</v>
      </c>
      <c r="F16" s="11" t="s">
        <v>689</v>
      </c>
      <c r="G16" s="11" t="s">
        <v>118</v>
      </c>
      <c r="H16" s="11">
        <v>0</v>
      </c>
      <c r="I16" s="11">
        <v>0</v>
      </c>
      <c r="J16" s="11">
        <v>0</v>
      </c>
      <c r="K16" s="11">
        <v>0</v>
      </c>
      <c r="L16" s="11">
        <v>181</v>
      </c>
      <c r="M16" s="11">
        <v>24</v>
      </c>
      <c r="N16" s="11">
        <v>3</v>
      </c>
      <c r="O16" s="11">
        <v>184</v>
      </c>
      <c r="P16" s="11">
        <v>160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16</v>
      </c>
      <c r="X16" s="11">
        <v>20</v>
      </c>
      <c r="Y16" s="11">
        <v>266</v>
      </c>
      <c r="Z16" s="11">
        <v>14</v>
      </c>
      <c r="AA16" s="11">
        <v>67</v>
      </c>
      <c r="AB16" s="11">
        <v>3</v>
      </c>
      <c r="AC16" s="11">
        <v>15</v>
      </c>
      <c r="AD16" s="11">
        <v>3</v>
      </c>
      <c r="AE16" s="11">
        <v>4</v>
      </c>
      <c r="AF16" s="11">
        <v>32</v>
      </c>
      <c r="AG16" s="11">
        <v>138</v>
      </c>
      <c r="AH16" s="11">
        <v>70</v>
      </c>
      <c r="AI16" s="11">
        <v>0</v>
      </c>
      <c r="AJ16" s="11">
        <v>2</v>
      </c>
      <c r="AK16" s="11">
        <v>88170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694</v>
      </c>
      <c r="AS16" s="11">
        <v>1334.02</v>
      </c>
      <c r="AT16" s="11">
        <v>0</v>
      </c>
      <c r="AU16" s="11">
        <v>56</v>
      </c>
      <c r="AV16" s="11">
        <v>0</v>
      </c>
      <c r="AW16" s="11">
        <v>24</v>
      </c>
      <c r="AX16" s="11">
        <v>160</v>
      </c>
      <c r="AY16" s="11" t="s">
        <v>684</v>
      </c>
    </row>
    <row r="17" spans="1:51">
      <c r="A17" s="11" t="s">
        <v>118</v>
      </c>
      <c r="B17" s="11" t="s">
        <v>375</v>
      </c>
      <c r="C17" s="11" t="s">
        <v>95</v>
      </c>
      <c r="D17" s="11" t="s">
        <v>473</v>
      </c>
      <c r="E17" s="11" t="s">
        <v>474</v>
      </c>
      <c r="F17" s="150">
        <v>42796</v>
      </c>
      <c r="H17" s="11">
        <v>0</v>
      </c>
      <c r="I17" s="11">
        <v>0</v>
      </c>
      <c r="J17" s="11">
        <v>0</v>
      </c>
      <c r="K17" s="11">
        <v>0</v>
      </c>
      <c r="L17" s="11">
        <v>44</v>
      </c>
      <c r="M17" s="11">
        <v>0</v>
      </c>
      <c r="N17" s="11">
        <v>0</v>
      </c>
      <c r="O17" s="11">
        <v>44</v>
      </c>
      <c r="P17" s="11">
        <v>44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78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28672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44</v>
      </c>
      <c r="AY17" s="11" t="s">
        <v>690</v>
      </c>
    </row>
    <row r="18" spans="1:51">
      <c r="A18" s="11" t="s">
        <v>118</v>
      </c>
      <c r="B18" s="11" t="s">
        <v>649</v>
      </c>
      <c r="C18" s="11" t="s">
        <v>96</v>
      </c>
      <c r="D18" s="11" t="s">
        <v>486</v>
      </c>
      <c r="E18" s="11" t="s">
        <v>487</v>
      </c>
      <c r="F18" s="11" t="s">
        <v>691</v>
      </c>
      <c r="H18" s="11">
        <v>1250001</v>
      </c>
      <c r="I18" s="11">
        <v>4200000</v>
      </c>
      <c r="J18" s="11">
        <v>1359137.9</v>
      </c>
      <c r="K18" s="11">
        <v>0</v>
      </c>
      <c r="L18" s="11">
        <v>110</v>
      </c>
      <c r="M18" s="11">
        <v>94</v>
      </c>
      <c r="N18" s="11">
        <v>2</v>
      </c>
      <c r="O18" s="11">
        <v>112</v>
      </c>
      <c r="P18" s="11">
        <v>18</v>
      </c>
      <c r="Q18" s="11">
        <v>1245851.26</v>
      </c>
      <c r="R18" s="11">
        <v>113286.64</v>
      </c>
      <c r="S18" s="11">
        <v>30</v>
      </c>
      <c r="T18" s="11">
        <v>2</v>
      </c>
      <c r="U18" s="11">
        <v>32</v>
      </c>
      <c r="V18" s="11">
        <v>0</v>
      </c>
      <c r="W18" s="11">
        <v>8</v>
      </c>
      <c r="X18" s="11">
        <v>18</v>
      </c>
      <c r="Y18" s="11">
        <v>102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310</v>
      </c>
      <c r="AG18" s="11">
        <v>328</v>
      </c>
      <c r="AH18" s="11">
        <v>57</v>
      </c>
      <c r="AI18" s="11">
        <v>23845</v>
      </c>
      <c r="AJ18" s="11">
        <v>6</v>
      </c>
      <c r="AK18" s="11">
        <v>30085</v>
      </c>
      <c r="AL18" s="11">
        <v>0</v>
      </c>
      <c r="AM18" s="11">
        <v>2.2100000000000002E-2</v>
      </c>
      <c r="AN18" s="11">
        <v>42473</v>
      </c>
      <c r="AO18" s="11">
        <v>0.32</v>
      </c>
      <c r="AP18" s="11">
        <v>0</v>
      </c>
      <c r="AQ18" s="11">
        <v>51</v>
      </c>
      <c r="AR18" s="11">
        <v>572</v>
      </c>
      <c r="AS18" s="11">
        <v>2370.92</v>
      </c>
      <c r="AT18" s="11">
        <v>2</v>
      </c>
      <c r="AU18" s="11">
        <v>25</v>
      </c>
      <c r="AV18" s="11">
        <v>32</v>
      </c>
      <c r="AW18" s="11">
        <v>63</v>
      </c>
      <c r="AX18" s="11">
        <v>17</v>
      </c>
      <c r="AY18" s="11" t="s">
        <v>684</v>
      </c>
    </row>
    <row r="19" spans="1:51">
      <c r="A19" s="11" t="s">
        <v>118</v>
      </c>
      <c r="B19" s="11" t="s">
        <v>375</v>
      </c>
      <c r="C19" s="11" t="s">
        <v>97</v>
      </c>
      <c r="D19" s="11" t="s">
        <v>473</v>
      </c>
      <c r="E19" s="11" t="s">
        <v>492</v>
      </c>
      <c r="F19" s="11" t="s">
        <v>692</v>
      </c>
      <c r="H19" s="11">
        <v>2499999</v>
      </c>
      <c r="I19" s="11">
        <v>6300000</v>
      </c>
      <c r="J19" s="11">
        <v>3780878.94</v>
      </c>
      <c r="K19" s="11">
        <v>0</v>
      </c>
      <c r="L19" s="11">
        <v>130</v>
      </c>
      <c r="M19" s="11">
        <v>58</v>
      </c>
      <c r="N19" s="11">
        <v>4</v>
      </c>
      <c r="O19" s="11">
        <v>134</v>
      </c>
      <c r="P19" s="11">
        <v>76</v>
      </c>
      <c r="Q19" s="11">
        <v>3280268.96</v>
      </c>
      <c r="R19" s="11">
        <v>500609.98</v>
      </c>
      <c r="S19" s="11">
        <v>65</v>
      </c>
      <c r="T19" s="11">
        <v>4</v>
      </c>
      <c r="U19" s="11">
        <v>69</v>
      </c>
      <c r="V19" s="11">
        <v>0</v>
      </c>
      <c r="W19" s="11">
        <v>0</v>
      </c>
      <c r="X19" s="11">
        <v>0</v>
      </c>
      <c r="Y19" s="11">
        <v>19</v>
      </c>
      <c r="Z19" s="11">
        <v>6</v>
      </c>
      <c r="AA19" s="11">
        <v>40</v>
      </c>
      <c r="AB19" s="11">
        <v>2</v>
      </c>
      <c r="AC19" s="11">
        <v>8</v>
      </c>
      <c r="AD19" s="11">
        <v>0</v>
      </c>
      <c r="AE19" s="11">
        <v>0</v>
      </c>
      <c r="AF19" s="11">
        <v>256</v>
      </c>
      <c r="AG19" s="11">
        <v>304</v>
      </c>
      <c r="AH19" s="11">
        <v>71</v>
      </c>
      <c r="AI19" s="11">
        <v>53252</v>
      </c>
      <c r="AJ19" s="11">
        <v>4</v>
      </c>
      <c r="AK19" s="11">
        <v>28985</v>
      </c>
      <c r="AL19" s="11">
        <v>0</v>
      </c>
      <c r="AM19" s="11">
        <v>7.7000000000000002E-3</v>
      </c>
      <c r="AN19" s="11">
        <v>54795</v>
      </c>
      <c r="AO19" s="11">
        <v>0.6</v>
      </c>
      <c r="AP19" s="11">
        <v>0</v>
      </c>
      <c r="AQ19" s="11">
        <v>158</v>
      </c>
      <c r="AR19" s="11">
        <v>616</v>
      </c>
      <c r="AS19" s="11">
        <v>2131.73</v>
      </c>
      <c r="AT19" s="11">
        <v>4</v>
      </c>
      <c r="AU19" s="11">
        <v>37</v>
      </c>
      <c r="AV19" s="11">
        <v>69</v>
      </c>
      <c r="AW19" s="11">
        <v>24</v>
      </c>
      <c r="AX19" s="11">
        <v>41</v>
      </c>
      <c r="AY19" s="11" t="s">
        <v>684</v>
      </c>
    </row>
    <row r="20" spans="1:51">
      <c r="A20" s="11" t="s">
        <v>124</v>
      </c>
      <c r="B20" s="11" t="s">
        <v>443</v>
      </c>
      <c r="C20" s="11" t="s">
        <v>98</v>
      </c>
      <c r="D20" s="11" t="s">
        <v>693</v>
      </c>
      <c r="E20" s="11" t="s">
        <v>480</v>
      </c>
      <c r="F20" s="150">
        <v>43015</v>
      </c>
      <c r="G20" s="11" t="s">
        <v>124</v>
      </c>
      <c r="H20" s="11">
        <v>0</v>
      </c>
      <c r="I20" s="11">
        <v>6000000</v>
      </c>
      <c r="J20" s="11">
        <v>5310087.12</v>
      </c>
      <c r="K20" s="11">
        <v>0</v>
      </c>
      <c r="L20" s="11">
        <v>170</v>
      </c>
      <c r="M20" s="11">
        <v>90</v>
      </c>
      <c r="N20" s="11">
        <v>2</v>
      </c>
      <c r="O20" s="11">
        <v>172</v>
      </c>
      <c r="P20" s="11">
        <v>82</v>
      </c>
      <c r="Q20" s="11">
        <v>5298706.08</v>
      </c>
      <c r="R20" s="11">
        <v>11381.04</v>
      </c>
      <c r="S20" s="11">
        <v>56</v>
      </c>
      <c r="T20" s="11">
        <v>1</v>
      </c>
      <c r="U20" s="11">
        <v>57</v>
      </c>
      <c r="V20" s="11">
        <v>0</v>
      </c>
      <c r="W20" s="11">
        <v>2</v>
      </c>
      <c r="X20" s="11">
        <v>2</v>
      </c>
      <c r="Y20" s="11">
        <v>57</v>
      </c>
      <c r="Z20" s="11">
        <v>2</v>
      </c>
      <c r="AA20" s="11">
        <v>26</v>
      </c>
      <c r="AB20" s="11">
        <v>0</v>
      </c>
      <c r="AC20" s="11">
        <v>0</v>
      </c>
      <c r="AD20" s="11">
        <v>0</v>
      </c>
      <c r="AE20" s="11">
        <v>0</v>
      </c>
      <c r="AF20" s="11">
        <v>206</v>
      </c>
      <c r="AG20" s="11">
        <v>234</v>
      </c>
      <c r="AH20" s="11">
        <v>72</v>
      </c>
      <c r="AI20" s="11">
        <v>73751</v>
      </c>
      <c r="AJ20" s="11">
        <v>3</v>
      </c>
      <c r="AK20" s="11">
        <v>44575</v>
      </c>
      <c r="AL20" s="11">
        <v>0</v>
      </c>
      <c r="AM20" s="11">
        <v>8.3999999999999995E-3</v>
      </c>
      <c r="AN20" s="11">
        <v>93159</v>
      </c>
      <c r="AO20" s="11">
        <v>0.89</v>
      </c>
      <c r="AP20" s="11">
        <v>0</v>
      </c>
      <c r="AQ20" s="11">
        <v>153</v>
      </c>
      <c r="AR20" s="11">
        <v>553</v>
      </c>
      <c r="AS20" s="11">
        <v>4875.51</v>
      </c>
      <c r="AT20" s="11">
        <v>1</v>
      </c>
      <c r="AU20" s="11">
        <v>54</v>
      </c>
      <c r="AV20" s="11">
        <v>57</v>
      </c>
      <c r="AW20" s="11">
        <v>41</v>
      </c>
      <c r="AX20" s="11">
        <v>74</v>
      </c>
      <c r="AY20" s="11" t="s">
        <v>684</v>
      </c>
    </row>
    <row r="21" spans="1:51">
      <c r="A21" s="11" t="s">
        <v>117</v>
      </c>
      <c r="B21" s="11" t="s">
        <v>450</v>
      </c>
      <c r="C21" s="11" t="s">
        <v>99</v>
      </c>
      <c r="D21" s="11" t="s">
        <v>482</v>
      </c>
      <c r="E21" s="11" t="s">
        <v>483</v>
      </c>
      <c r="F21" s="11" t="s">
        <v>694</v>
      </c>
      <c r="G21" s="11" t="s">
        <v>117</v>
      </c>
      <c r="H21" s="11">
        <v>0</v>
      </c>
      <c r="I21" s="11">
        <v>3750000</v>
      </c>
      <c r="J21" s="11">
        <v>2541942.2000000002</v>
      </c>
      <c r="K21" s="11">
        <v>0</v>
      </c>
      <c r="L21" s="11">
        <v>142</v>
      </c>
      <c r="M21" s="11">
        <v>97</v>
      </c>
      <c r="N21" s="11">
        <v>1</v>
      </c>
      <c r="O21" s="11">
        <v>143</v>
      </c>
      <c r="P21" s="11">
        <v>46</v>
      </c>
      <c r="Q21" s="11">
        <v>2518700.6</v>
      </c>
      <c r="R21" s="11">
        <v>23241.599999999999</v>
      </c>
      <c r="S21" s="11">
        <v>83</v>
      </c>
      <c r="T21" s="11">
        <v>1</v>
      </c>
      <c r="U21" s="11">
        <v>84</v>
      </c>
      <c r="V21" s="11">
        <v>0</v>
      </c>
      <c r="W21" s="11">
        <v>101</v>
      </c>
      <c r="X21" s="11">
        <v>111</v>
      </c>
      <c r="Y21" s="11">
        <v>635</v>
      </c>
      <c r="Z21" s="11">
        <v>8</v>
      </c>
      <c r="AA21" s="11">
        <v>101</v>
      </c>
      <c r="AB21" s="11">
        <v>0</v>
      </c>
      <c r="AC21" s="11">
        <v>0</v>
      </c>
      <c r="AD21" s="11">
        <v>1</v>
      </c>
      <c r="AE21" s="11">
        <v>1</v>
      </c>
      <c r="AF21" s="11">
        <v>184</v>
      </c>
      <c r="AG21" s="11">
        <v>397</v>
      </c>
      <c r="AH21" s="11">
        <v>73</v>
      </c>
      <c r="AI21" s="11">
        <v>34821</v>
      </c>
      <c r="AJ21" s="11">
        <v>5</v>
      </c>
      <c r="AK21" s="11">
        <v>51335</v>
      </c>
      <c r="AL21" s="11">
        <v>0</v>
      </c>
      <c r="AM21" s="11">
        <v>2.0199999999999999E-2</v>
      </c>
      <c r="AN21" s="11">
        <v>30261</v>
      </c>
      <c r="AO21" s="11">
        <v>0.68</v>
      </c>
      <c r="AP21" s="11">
        <v>0</v>
      </c>
      <c r="AQ21" s="11">
        <v>155</v>
      </c>
      <c r="AR21" s="11">
        <v>709</v>
      </c>
      <c r="AS21" s="11">
        <v>3497.37</v>
      </c>
      <c r="AT21" s="11">
        <v>1</v>
      </c>
      <c r="AU21" s="11">
        <v>36</v>
      </c>
      <c r="AV21" s="11">
        <v>84</v>
      </c>
      <c r="AW21" s="11">
        <v>25</v>
      </c>
      <c r="AX21" s="11">
        <v>34</v>
      </c>
      <c r="AY21" s="11" t="s">
        <v>684</v>
      </c>
    </row>
    <row r="22" spans="1:51">
      <c r="A22" s="11" t="s">
        <v>118</v>
      </c>
      <c r="B22" s="11" t="s">
        <v>362</v>
      </c>
      <c r="C22" s="11" t="s">
        <v>103</v>
      </c>
      <c r="D22" s="11" t="s">
        <v>559</v>
      </c>
      <c r="E22" s="11" t="s">
        <v>490</v>
      </c>
      <c r="F22" s="150">
        <v>43196</v>
      </c>
      <c r="G22" s="11" t="s">
        <v>118</v>
      </c>
      <c r="H22" s="11">
        <v>0</v>
      </c>
      <c r="I22" s="11">
        <v>15999999</v>
      </c>
      <c r="J22" s="11">
        <v>8249583.6900000004</v>
      </c>
      <c r="K22" s="11">
        <v>0</v>
      </c>
      <c r="L22" s="11">
        <v>148</v>
      </c>
      <c r="M22" s="11">
        <v>105</v>
      </c>
      <c r="N22" s="11">
        <v>3</v>
      </c>
      <c r="O22" s="11">
        <v>151</v>
      </c>
      <c r="P22" s="11">
        <v>46</v>
      </c>
      <c r="Q22" s="11">
        <v>8011311.5899999999</v>
      </c>
      <c r="R22" s="11">
        <v>238272.1</v>
      </c>
      <c r="S22" s="11">
        <v>27</v>
      </c>
      <c r="T22" s="11">
        <v>3</v>
      </c>
      <c r="U22" s="11">
        <v>30</v>
      </c>
      <c r="V22" s="11">
        <v>0</v>
      </c>
      <c r="W22" s="11">
        <v>6</v>
      </c>
      <c r="X22" s="11">
        <v>8</v>
      </c>
      <c r="Y22" s="11">
        <v>44</v>
      </c>
      <c r="Z22" s="11">
        <v>2</v>
      </c>
      <c r="AA22" s="11">
        <v>19</v>
      </c>
      <c r="AB22" s="11">
        <v>0</v>
      </c>
      <c r="AC22" s="11">
        <v>0</v>
      </c>
      <c r="AD22" s="11">
        <v>0</v>
      </c>
      <c r="AE22" s="11">
        <v>0</v>
      </c>
      <c r="AF22" s="11">
        <v>306</v>
      </c>
      <c r="AG22" s="11">
        <v>333</v>
      </c>
      <c r="AH22" s="11">
        <v>75</v>
      </c>
      <c r="AI22" s="11">
        <v>109994</v>
      </c>
      <c r="AJ22" s="11">
        <v>4</v>
      </c>
      <c r="AK22" s="11">
        <v>46670</v>
      </c>
      <c r="AL22" s="11">
        <v>0</v>
      </c>
      <c r="AM22" s="11">
        <v>5.7000000000000002E-3</v>
      </c>
      <c r="AN22" s="11">
        <v>274986</v>
      </c>
      <c r="AO22" s="11">
        <v>0.52</v>
      </c>
      <c r="AP22" s="11">
        <v>0</v>
      </c>
      <c r="AQ22" s="11">
        <v>58</v>
      </c>
      <c r="AR22" s="11">
        <v>772</v>
      </c>
      <c r="AS22" s="11">
        <v>1060.31</v>
      </c>
      <c r="AT22" s="11">
        <v>3</v>
      </c>
      <c r="AU22" s="11">
        <v>10</v>
      </c>
      <c r="AV22" s="11">
        <v>30</v>
      </c>
      <c r="AW22" s="11">
        <v>75</v>
      </c>
      <c r="AX22" s="11">
        <v>46</v>
      </c>
      <c r="AY22" s="11" t="s">
        <v>684</v>
      </c>
    </row>
    <row r="23" spans="1:51">
      <c r="A23" s="11" t="s">
        <v>201</v>
      </c>
      <c r="B23" s="11" t="s">
        <v>431</v>
      </c>
      <c r="C23" s="11" t="s">
        <v>104</v>
      </c>
      <c r="D23" s="11" t="s">
        <v>432</v>
      </c>
      <c r="E23" s="11" t="s">
        <v>433</v>
      </c>
      <c r="F23" s="150">
        <v>41033</v>
      </c>
      <c r="G23" s="11" t="s">
        <v>121</v>
      </c>
      <c r="H23" s="11">
        <v>900000</v>
      </c>
      <c r="I23" s="11">
        <v>11600001</v>
      </c>
      <c r="J23" s="11">
        <v>11532491.01</v>
      </c>
      <c r="K23" s="11">
        <v>1333774.92</v>
      </c>
      <c r="L23" s="11">
        <v>70</v>
      </c>
      <c r="M23" s="11">
        <v>53</v>
      </c>
      <c r="N23" s="11">
        <v>3</v>
      </c>
      <c r="O23" s="11">
        <v>73</v>
      </c>
      <c r="P23" s="11">
        <v>20</v>
      </c>
      <c r="Q23" s="11">
        <v>11511698.310000001</v>
      </c>
      <c r="R23" s="11">
        <v>20792.7</v>
      </c>
      <c r="S23" s="11">
        <v>45</v>
      </c>
      <c r="T23" s="11">
        <v>1</v>
      </c>
      <c r="U23" s="11">
        <v>46</v>
      </c>
      <c r="V23" s="11">
        <v>7</v>
      </c>
      <c r="W23" s="11">
        <v>1</v>
      </c>
      <c r="X23" s="11">
        <v>1</v>
      </c>
      <c r="Y23" s="11">
        <v>32</v>
      </c>
      <c r="Z23" s="11">
        <v>10</v>
      </c>
      <c r="AA23" s="11">
        <v>83</v>
      </c>
      <c r="AB23" s="11">
        <v>7</v>
      </c>
      <c r="AC23" s="11">
        <v>33</v>
      </c>
      <c r="AD23" s="11">
        <v>1</v>
      </c>
      <c r="AE23" s="11">
        <v>1</v>
      </c>
      <c r="AF23" s="11">
        <v>145</v>
      </c>
      <c r="AG23" s="11">
        <v>263</v>
      </c>
      <c r="AH23" s="11">
        <v>56</v>
      </c>
      <c r="AI23" s="11">
        <v>205937</v>
      </c>
      <c r="AJ23" s="11">
        <v>5</v>
      </c>
      <c r="AK23" s="11">
        <v>30096</v>
      </c>
      <c r="AL23" s="11">
        <v>0</v>
      </c>
      <c r="AM23" s="11">
        <v>2.5999999999999999E-3</v>
      </c>
      <c r="AN23" s="11">
        <v>250706</v>
      </c>
      <c r="AO23" s="11">
        <v>0.99</v>
      </c>
      <c r="AP23" s="11">
        <v>1.48</v>
      </c>
      <c r="AQ23" s="11">
        <v>171</v>
      </c>
      <c r="AR23" s="11">
        <v>447</v>
      </c>
      <c r="AS23" s="11">
        <v>2254.73</v>
      </c>
      <c r="AT23" s="11">
        <v>1</v>
      </c>
      <c r="AU23" s="11">
        <v>43</v>
      </c>
      <c r="AV23" s="11">
        <v>46</v>
      </c>
      <c r="AW23" s="11">
        <v>9</v>
      </c>
      <c r="AX23" s="11">
        <v>18</v>
      </c>
      <c r="AY23" s="11" t="s">
        <v>684</v>
      </c>
    </row>
    <row r="24" spans="1:51">
      <c r="A24" s="11" t="s">
        <v>201</v>
      </c>
      <c r="B24" s="11" t="s">
        <v>431</v>
      </c>
      <c r="C24" s="11" t="s">
        <v>105</v>
      </c>
      <c r="D24" s="11" t="s">
        <v>431</v>
      </c>
      <c r="E24" s="11" t="s">
        <v>541</v>
      </c>
      <c r="F24" s="150">
        <v>45293</v>
      </c>
      <c r="G24" s="11" t="s">
        <v>121</v>
      </c>
      <c r="H24" s="11">
        <v>1200000</v>
      </c>
      <c r="I24" s="11">
        <v>6300000</v>
      </c>
      <c r="J24" s="11">
        <v>5181585.33</v>
      </c>
      <c r="K24" s="11">
        <v>163632.54</v>
      </c>
      <c r="L24" s="11">
        <v>142</v>
      </c>
      <c r="M24" s="11">
        <v>111</v>
      </c>
      <c r="N24" s="11">
        <v>1</v>
      </c>
      <c r="O24" s="11">
        <v>143</v>
      </c>
      <c r="P24" s="11">
        <v>32</v>
      </c>
      <c r="Q24" s="11">
        <v>5150898.8099999996</v>
      </c>
      <c r="R24" s="11">
        <v>30686.52</v>
      </c>
      <c r="S24" s="11">
        <v>68</v>
      </c>
      <c r="T24" s="11">
        <v>1</v>
      </c>
      <c r="U24" s="11">
        <v>69</v>
      </c>
      <c r="V24" s="11">
        <v>2</v>
      </c>
      <c r="W24" s="11">
        <v>31</v>
      </c>
      <c r="X24" s="11">
        <v>34</v>
      </c>
      <c r="Y24" s="11">
        <v>138</v>
      </c>
      <c r="Z24" s="11">
        <v>6</v>
      </c>
      <c r="AA24" s="11">
        <v>66</v>
      </c>
      <c r="AB24" s="11">
        <v>6</v>
      </c>
      <c r="AC24" s="11">
        <v>9</v>
      </c>
      <c r="AD24" s="11">
        <v>0</v>
      </c>
      <c r="AE24" s="11">
        <v>0</v>
      </c>
      <c r="AF24" s="11">
        <v>345</v>
      </c>
      <c r="AG24" s="11">
        <v>454</v>
      </c>
      <c r="AH24" s="11">
        <v>74</v>
      </c>
      <c r="AI24" s="11">
        <v>70021</v>
      </c>
      <c r="AJ24" s="11">
        <v>6</v>
      </c>
      <c r="AK24" s="11">
        <v>30646</v>
      </c>
      <c r="AL24" s="11">
        <v>0</v>
      </c>
      <c r="AM24" s="11">
        <v>5.8999999999999999E-3</v>
      </c>
      <c r="AN24" s="11">
        <v>75095</v>
      </c>
      <c r="AO24" s="11">
        <v>0.82</v>
      </c>
      <c r="AP24" s="11">
        <v>0.14000000000000001</v>
      </c>
      <c r="AQ24" s="11">
        <v>137</v>
      </c>
      <c r="AR24" s="11">
        <v>715</v>
      </c>
      <c r="AS24" s="11">
        <v>2829.07</v>
      </c>
      <c r="AT24" s="11">
        <v>1</v>
      </c>
      <c r="AU24" s="11">
        <v>25</v>
      </c>
      <c r="AV24" s="11">
        <v>69</v>
      </c>
      <c r="AW24" s="11">
        <v>48</v>
      </c>
      <c r="AX24" s="11">
        <v>26</v>
      </c>
      <c r="AY24" s="11" t="s">
        <v>684</v>
      </c>
    </row>
    <row r="25" spans="1:51">
      <c r="A25" s="11" t="s">
        <v>201</v>
      </c>
      <c r="B25" s="11" t="s">
        <v>431</v>
      </c>
      <c r="C25" s="11" t="s">
        <v>106</v>
      </c>
      <c r="D25" s="11" t="s">
        <v>431</v>
      </c>
      <c r="E25" s="11" t="s">
        <v>459</v>
      </c>
      <c r="F25" s="150">
        <v>42619</v>
      </c>
      <c r="G25" s="11" t="s">
        <v>121</v>
      </c>
      <c r="H25" s="11">
        <v>1500000</v>
      </c>
      <c r="I25" s="11">
        <v>7875000</v>
      </c>
      <c r="J25" s="11">
        <v>5376442.9000000004</v>
      </c>
      <c r="K25" s="11">
        <v>0</v>
      </c>
      <c r="L25" s="11">
        <v>101</v>
      </c>
      <c r="M25" s="11">
        <v>60</v>
      </c>
      <c r="N25" s="11">
        <v>0</v>
      </c>
      <c r="O25" s="11">
        <v>101</v>
      </c>
      <c r="P25" s="11">
        <v>41</v>
      </c>
      <c r="Q25" s="11">
        <v>5376442.9000000004</v>
      </c>
      <c r="R25" s="11">
        <v>0</v>
      </c>
      <c r="S25" s="11">
        <v>25</v>
      </c>
      <c r="T25" s="11">
        <v>0</v>
      </c>
      <c r="U25" s="11">
        <v>25</v>
      </c>
      <c r="V25" s="11">
        <v>0</v>
      </c>
      <c r="W25" s="11">
        <v>27</v>
      </c>
      <c r="X25" s="11">
        <v>35</v>
      </c>
      <c r="Y25" s="11">
        <v>172</v>
      </c>
      <c r="Z25" s="11">
        <v>6</v>
      </c>
      <c r="AA25" s="11">
        <v>41</v>
      </c>
      <c r="AB25" s="11">
        <v>0</v>
      </c>
      <c r="AC25" s="11">
        <v>0</v>
      </c>
      <c r="AD25" s="11">
        <v>0</v>
      </c>
      <c r="AE25" s="11">
        <v>0</v>
      </c>
      <c r="AF25" s="11">
        <v>162</v>
      </c>
      <c r="AG25" s="11">
        <v>238</v>
      </c>
      <c r="AH25" s="11">
        <v>70</v>
      </c>
      <c r="AI25" s="11">
        <v>76806</v>
      </c>
      <c r="AJ25" s="11">
        <v>3</v>
      </c>
      <c r="AK25" s="11">
        <v>33802</v>
      </c>
      <c r="AL25" s="11">
        <v>0</v>
      </c>
      <c r="AM25" s="11">
        <v>6.3E-3</v>
      </c>
      <c r="AN25" s="11">
        <v>215058</v>
      </c>
      <c r="AO25" s="11">
        <v>0.68</v>
      </c>
      <c r="AP25" s="11">
        <v>0</v>
      </c>
      <c r="AQ25" s="11">
        <v>51</v>
      </c>
      <c r="AR25" s="11">
        <v>616</v>
      </c>
      <c r="AS25" s="11">
        <v>2080.46</v>
      </c>
      <c r="AT25" s="11">
        <v>0</v>
      </c>
      <c r="AU25" s="11">
        <v>35</v>
      </c>
      <c r="AV25" s="11">
        <v>25</v>
      </c>
      <c r="AW25" s="11">
        <v>37</v>
      </c>
      <c r="AX25" s="11">
        <v>39</v>
      </c>
      <c r="AY25" s="11" t="s">
        <v>684</v>
      </c>
    </row>
    <row r="26" spans="1:51">
      <c r="A26" s="11" t="s">
        <v>201</v>
      </c>
      <c r="B26" s="11" t="s">
        <v>469</v>
      </c>
      <c r="C26" s="11" t="s">
        <v>107</v>
      </c>
      <c r="D26" s="11" t="s">
        <v>470</v>
      </c>
      <c r="E26" s="11" t="s">
        <v>471</v>
      </c>
      <c r="F26" s="11" t="s">
        <v>695</v>
      </c>
      <c r="G26" s="11" t="s">
        <v>121</v>
      </c>
      <c r="H26" s="11">
        <v>1257000</v>
      </c>
      <c r="I26" s="11">
        <v>8118000</v>
      </c>
      <c r="J26" s="11">
        <v>7998419.5499999998</v>
      </c>
      <c r="K26" s="11">
        <v>628371.67000000004</v>
      </c>
      <c r="L26" s="11">
        <v>88</v>
      </c>
      <c r="M26" s="11">
        <v>63</v>
      </c>
      <c r="N26" s="11">
        <v>10</v>
      </c>
      <c r="O26" s="11">
        <v>98</v>
      </c>
      <c r="P26" s="11">
        <v>35</v>
      </c>
      <c r="Q26" s="11">
        <v>7264677.5</v>
      </c>
      <c r="R26" s="11">
        <v>733742.05</v>
      </c>
      <c r="S26" s="11">
        <v>51</v>
      </c>
      <c r="T26" s="11">
        <v>4</v>
      </c>
      <c r="U26" s="11">
        <v>55</v>
      </c>
      <c r="V26" s="11">
        <v>3</v>
      </c>
      <c r="W26" s="11">
        <v>21</v>
      </c>
      <c r="X26" s="11">
        <v>26</v>
      </c>
      <c r="Y26" s="11">
        <v>176</v>
      </c>
      <c r="Z26" s="11">
        <v>3</v>
      </c>
      <c r="AA26" s="11">
        <v>24</v>
      </c>
      <c r="AB26" s="11">
        <v>4</v>
      </c>
      <c r="AC26" s="11">
        <v>13</v>
      </c>
      <c r="AD26" s="11">
        <v>1</v>
      </c>
      <c r="AE26" s="11">
        <v>12</v>
      </c>
      <c r="AF26" s="11">
        <v>219</v>
      </c>
      <c r="AG26" s="11">
        <v>294</v>
      </c>
      <c r="AH26" s="11">
        <v>72</v>
      </c>
      <c r="AI26" s="11">
        <v>111089</v>
      </c>
      <c r="AJ26" s="11">
        <v>4</v>
      </c>
      <c r="AK26" s="11">
        <v>31584</v>
      </c>
      <c r="AL26" s="11">
        <v>0</v>
      </c>
      <c r="AM26" s="11">
        <v>3.8999999999999998E-3</v>
      </c>
      <c r="AN26" s="11">
        <v>145426</v>
      </c>
      <c r="AO26" s="11">
        <v>0.99</v>
      </c>
      <c r="AP26" s="11">
        <v>0.5</v>
      </c>
      <c r="AQ26" s="11">
        <v>194</v>
      </c>
      <c r="AR26" s="11">
        <v>533</v>
      </c>
      <c r="AS26" s="11">
        <v>3658.44</v>
      </c>
      <c r="AT26" s="11">
        <v>4</v>
      </c>
      <c r="AU26" s="11">
        <v>58</v>
      </c>
      <c r="AV26" s="11">
        <v>55</v>
      </c>
      <c r="AW26" s="11">
        <v>19</v>
      </c>
      <c r="AX26" s="11">
        <v>24</v>
      </c>
      <c r="AY26" s="11" t="s">
        <v>684</v>
      </c>
    </row>
    <row r="27" spans="1:51">
      <c r="A27" s="11" t="s">
        <v>201</v>
      </c>
      <c r="B27" s="11" t="s">
        <v>469</v>
      </c>
      <c r="C27" s="11" t="s">
        <v>110</v>
      </c>
      <c r="D27" s="11" t="s">
        <v>470</v>
      </c>
      <c r="E27" s="11" t="s">
        <v>491</v>
      </c>
      <c r="F27" s="150">
        <v>43167</v>
      </c>
      <c r="G27" s="11" t="s">
        <v>121</v>
      </c>
      <c r="H27" s="11">
        <v>900000</v>
      </c>
      <c r="I27" s="11">
        <v>11600001</v>
      </c>
      <c r="J27" s="11">
        <v>14535831.34</v>
      </c>
      <c r="K27" s="11">
        <v>79843.839999999997</v>
      </c>
      <c r="L27" s="11">
        <v>119</v>
      </c>
      <c r="M27" s="11">
        <v>102</v>
      </c>
      <c r="N27" s="11">
        <v>6</v>
      </c>
      <c r="O27" s="11">
        <v>125</v>
      </c>
      <c r="P27" s="11">
        <v>23</v>
      </c>
      <c r="Q27" s="11">
        <v>14463757.619999999</v>
      </c>
      <c r="R27" s="11">
        <v>72073.72</v>
      </c>
      <c r="S27" s="11">
        <v>80</v>
      </c>
      <c r="T27" s="11">
        <v>2</v>
      </c>
      <c r="U27" s="11">
        <v>82</v>
      </c>
      <c r="V27" s="11">
        <v>1</v>
      </c>
      <c r="W27" s="11">
        <v>8</v>
      </c>
      <c r="X27" s="11">
        <v>12</v>
      </c>
      <c r="Y27" s="11">
        <v>17</v>
      </c>
      <c r="Z27" s="11">
        <v>7</v>
      </c>
      <c r="AA27" s="11">
        <v>17</v>
      </c>
      <c r="AB27" s="11">
        <v>1</v>
      </c>
      <c r="AC27" s="11">
        <v>1</v>
      </c>
      <c r="AD27" s="11">
        <v>1</v>
      </c>
      <c r="AE27" s="11">
        <v>1</v>
      </c>
      <c r="AF27" s="11">
        <v>254</v>
      </c>
      <c r="AG27" s="11">
        <v>285</v>
      </c>
      <c r="AH27" s="11">
        <v>68</v>
      </c>
      <c r="AI27" s="11">
        <v>213762</v>
      </c>
      <c r="AJ27" s="11">
        <v>4</v>
      </c>
      <c r="AK27" s="11">
        <v>29362</v>
      </c>
      <c r="AL27" s="11">
        <v>0</v>
      </c>
      <c r="AM27" s="11">
        <v>2E-3</v>
      </c>
      <c r="AN27" s="11">
        <v>177266</v>
      </c>
      <c r="AO27" s="11">
        <v>1.25</v>
      </c>
      <c r="AP27" s="11">
        <v>0.09</v>
      </c>
      <c r="AQ27" s="11">
        <v>385</v>
      </c>
      <c r="AR27" s="11">
        <v>526</v>
      </c>
      <c r="AS27" s="11">
        <v>1239.02</v>
      </c>
      <c r="AT27" s="11">
        <v>2</v>
      </c>
      <c r="AU27" s="11">
        <v>12</v>
      </c>
      <c r="AV27" s="11">
        <v>82</v>
      </c>
      <c r="AW27" s="11">
        <v>26</v>
      </c>
      <c r="AX27" s="11">
        <v>17</v>
      </c>
      <c r="AY27" s="11" t="s">
        <v>684</v>
      </c>
    </row>
    <row r="28" spans="1:51">
      <c r="A28" s="11" t="s">
        <v>118</v>
      </c>
      <c r="B28" s="11" t="s">
        <v>436</v>
      </c>
      <c r="C28" s="11" t="s">
        <v>111</v>
      </c>
      <c r="D28" s="11" t="s">
        <v>494</v>
      </c>
      <c r="E28" s="11" t="s">
        <v>437</v>
      </c>
      <c r="F28" s="150">
        <v>43500</v>
      </c>
      <c r="H28" s="11">
        <v>0</v>
      </c>
      <c r="I28" s="11">
        <v>5000001</v>
      </c>
      <c r="J28" s="11">
        <v>3503045.06</v>
      </c>
      <c r="K28" s="11">
        <v>0</v>
      </c>
      <c r="L28" s="11">
        <v>169</v>
      </c>
      <c r="M28" s="11">
        <v>124</v>
      </c>
      <c r="N28" s="11">
        <v>3</v>
      </c>
      <c r="O28" s="11">
        <v>172</v>
      </c>
      <c r="P28" s="11">
        <v>48</v>
      </c>
      <c r="Q28" s="11">
        <v>3160707.36</v>
      </c>
      <c r="R28" s="11">
        <v>342337.7</v>
      </c>
      <c r="S28" s="11">
        <v>44</v>
      </c>
      <c r="T28" s="11">
        <v>3</v>
      </c>
      <c r="U28" s="11">
        <v>47</v>
      </c>
      <c r="V28" s="11">
        <v>0</v>
      </c>
      <c r="W28" s="11">
        <v>26</v>
      </c>
      <c r="X28" s="11">
        <v>40</v>
      </c>
      <c r="Y28" s="11">
        <v>44</v>
      </c>
      <c r="Z28" s="11">
        <v>2</v>
      </c>
      <c r="AA28" s="11">
        <v>5</v>
      </c>
      <c r="AB28" s="11">
        <v>0</v>
      </c>
      <c r="AC28" s="11">
        <v>0</v>
      </c>
      <c r="AD28" s="11">
        <v>0</v>
      </c>
      <c r="AE28" s="11">
        <v>0</v>
      </c>
      <c r="AF28" s="11">
        <v>402</v>
      </c>
      <c r="AG28" s="11">
        <v>447</v>
      </c>
      <c r="AH28" s="11">
        <v>70</v>
      </c>
      <c r="AI28" s="11">
        <v>50044</v>
      </c>
      <c r="AJ28" s="11">
        <v>6</v>
      </c>
      <c r="AK28" s="11">
        <v>27164</v>
      </c>
      <c r="AL28" s="11">
        <v>0</v>
      </c>
      <c r="AM28" s="11">
        <v>7.7999999999999996E-3</v>
      </c>
      <c r="AN28" s="11">
        <v>74533</v>
      </c>
      <c r="AO28" s="11">
        <v>0.7</v>
      </c>
      <c r="AP28" s="11">
        <v>0</v>
      </c>
      <c r="AQ28" s="11">
        <v>126</v>
      </c>
      <c r="AR28" s="11">
        <v>793</v>
      </c>
      <c r="AS28" s="11">
        <v>3857.52</v>
      </c>
      <c r="AT28" s="11">
        <v>3</v>
      </c>
      <c r="AU28" s="11">
        <v>31</v>
      </c>
      <c r="AV28" s="11">
        <v>47</v>
      </c>
      <c r="AW28" s="11">
        <v>82</v>
      </c>
      <c r="AX28" s="11">
        <v>43</v>
      </c>
      <c r="AY28" s="11" t="s">
        <v>684</v>
      </c>
    </row>
    <row r="29" spans="1:51">
      <c r="A29" s="11" t="s">
        <v>118</v>
      </c>
      <c r="B29" s="11" t="s">
        <v>359</v>
      </c>
      <c r="C29" s="11" t="s">
        <v>112</v>
      </c>
      <c r="D29" s="11" t="s">
        <v>442</v>
      </c>
      <c r="E29" s="11" t="s">
        <v>493</v>
      </c>
      <c r="F29" s="150">
        <v>43469</v>
      </c>
      <c r="G29" s="11" t="s">
        <v>38</v>
      </c>
      <c r="H29" s="11">
        <v>0</v>
      </c>
      <c r="I29" s="11">
        <v>6000000</v>
      </c>
      <c r="J29" s="11">
        <v>5380624.8200000003</v>
      </c>
      <c r="K29" s="11">
        <v>0</v>
      </c>
      <c r="L29" s="11">
        <v>75</v>
      </c>
      <c r="M29" s="11">
        <v>66</v>
      </c>
      <c r="N29" s="11">
        <v>1</v>
      </c>
      <c r="O29" s="11">
        <v>76</v>
      </c>
      <c r="P29" s="11">
        <v>10</v>
      </c>
      <c r="Q29" s="11">
        <v>5334358.82</v>
      </c>
      <c r="R29" s="11">
        <v>46266</v>
      </c>
      <c r="S29" s="11">
        <v>32</v>
      </c>
      <c r="T29" s="11">
        <v>1</v>
      </c>
      <c r="U29" s="11">
        <v>33</v>
      </c>
      <c r="V29" s="11">
        <v>0</v>
      </c>
      <c r="W29" s="11">
        <v>0</v>
      </c>
      <c r="X29" s="11">
        <v>0</v>
      </c>
      <c r="Y29" s="11">
        <v>0</v>
      </c>
      <c r="Z29" s="11">
        <v>2</v>
      </c>
      <c r="AA29" s="11">
        <v>44</v>
      </c>
      <c r="AB29" s="11">
        <v>0</v>
      </c>
      <c r="AC29" s="11">
        <v>0</v>
      </c>
      <c r="AD29" s="11">
        <v>0</v>
      </c>
      <c r="AE29" s="11">
        <v>0</v>
      </c>
      <c r="AF29" s="11">
        <v>305</v>
      </c>
      <c r="AG29" s="11">
        <v>349</v>
      </c>
      <c r="AH29" s="11">
        <v>73</v>
      </c>
      <c r="AI29" s="11">
        <v>73707</v>
      </c>
      <c r="AJ29" s="11">
        <v>5</v>
      </c>
      <c r="AK29" s="11">
        <v>39070</v>
      </c>
      <c r="AL29" s="11">
        <v>0</v>
      </c>
      <c r="AM29" s="11">
        <v>7.3000000000000001E-3</v>
      </c>
      <c r="AN29" s="11">
        <v>163049</v>
      </c>
      <c r="AO29" s="11">
        <v>0.9</v>
      </c>
      <c r="AP29" s="11">
        <v>0</v>
      </c>
      <c r="AQ29" s="11">
        <v>76</v>
      </c>
      <c r="AR29" s="11">
        <v>710</v>
      </c>
      <c r="AS29" s="11">
        <v>1571.7</v>
      </c>
      <c r="AT29" s="11">
        <v>1</v>
      </c>
      <c r="AU29" s="11">
        <v>24</v>
      </c>
      <c r="AV29" s="11">
        <v>33</v>
      </c>
      <c r="AW29" s="11">
        <v>35</v>
      </c>
      <c r="AX29" s="11">
        <v>8</v>
      </c>
      <c r="AY29" s="11" t="s">
        <v>684</v>
      </c>
    </row>
    <row r="30" spans="1:51">
      <c r="A30" s="11" t="s">
        <v>118</v>
      </c>
      <c r="B30" s="11" t="s">
        <v>372</v>
      </c>
      <c r="C30" s="11" t="s">
        <v>113</v>
      </c>
      <c r="D30" s="11" t="s">
        <v>447</v>
      </c>
      <c r="E30" s="11" t="s">
        <v>495</v>
      </c>
      <c r="F30" s="150">
        <v>43472</v>
      </c>
      <c r="G30" s="11" t="s">
        <v>93</v>
      </c>
      <c r="H30" s="11">
        <v>0</v>
      </c>
      <c r="I30" s="11">
        <v>18750000</v>
      </c>
      <c r="J30" s="11">
        <v>22195048.82</v>
      </c>
      <c r="K30" s="11">
        <v>0</v>
      </c>
      <c r="L30" s="11">
        <v>105</v>
      </c>
      <c r="M30" s="11">
        <v>88</v>
      </c>
      <c r="N30" s="11">
        <v>2</v>
      </c>
      <c r="O30" s="11">
        <v>107</v>
      </c>
      <c r="P30" s="11">
        <v>19</v>
      </c>
      <c r="Q30" s="11">
        <v>20491226.210000001</v>
      </c>
      <c r="R30" s="11">
        <v>1703822.61</v>
      </c>
      <c r="S30" s="11">
        <v>57</v>
      </c>
      <c r="T30" s="11">
        <v>2</v>
      </c>
      <c r="U30" s="11">
        <v>59</v>
      </c>
      <c r="V30" s="11">
        <v>0</v>
      </c>
      <c r="W30" s="11">
        <v>10</v>
      </c>
      <c r="X30" s="11">
        <v>16</v>
      </c>
      <c r="Y30" s="11">
        <v>42</v>
      </c>
      <c r="Z30" s="11">
        <v>1</v>
      </c>
      <c r="AA30" s="11">
        <v>18</v>
      </c>
      <c r="AB30" s="11">
        <v>0</v>
      </c>
      <c r="AC30" s="11">
        <v>0</v>
      </c>
      <c r="AD30" s="11">
        <v>0</v>
      </c>
      <c r="AE30" s="11">
        <v>0</v>
      </c>
      <c r="AF30" s="11">
        <v>329</v>
      </c>
      <c r="AG30" s="11">
        <v>363</v>
      </c>
      <c r="AH30" s="11">
        <v>73</v>
      </c>
      <c r="AI30" s="11">
        <v>304042</v>
      </c>
      <c r="AJ30" s="11">
        <v>5</v>
      </c>
      <c r="AK30" s="11">
        <v>32605</v>
      </c>
      <c r="AL30" s="11">
        <v>0</v>
      </c>
      <c r="AM30" s="11">
        <v>1.5E-3</v>
      </c>
      <c r="AN30" s="11">
        <v>376187</v>
      </c>
      <c r="AO30" s="11">
        <v>1.18</v>
      </c>
      <c r="AP30" s="11">
        <v>0</v>
      </c>
      <c r="AQ30" s="11">
        <v>203</v>
      </c>
      <c r="AR30" s="11">
        <v>767</v>
      </c>
      <c r="AS30" s="11">
        <v>3757.43</v>
      </c>
      <c r="AT30" s="11">
        <v>2</v>
      </c>
      <c r="AU30" s="11">
        <v>43</v>
      </c>
      <c r="AV30" s="11">
        <v>59</v>
      </c>
      <c r="AW30" s="11">
        <v>29</v>
      </c>
      <c r="AX30" s="11">
        <v>19</v>
      </c>
      <c r="AY30" s="11" t="s">
        <v>684</v>
      </c>
    </row>
    <row r="31" spans="1:51">
      <c r="A31" s="11" t="s">
        <v>118</v>
      </c>
      <c r="B31" s="11" t="s">
        <v>484</v>
      </c>
      <c r="C31" s="11" t="s">
        <v>114</v>
      </c>
      <c r="D31" s="11" t="s">
        <v>497</v>
      </c>
      <c r="E31" s="11" t="s">
        <v>498</v>
      </c>
      <c r="F31" s="150">
        <v>43505</v>
      </c>
      <c r="G31" s="11" t="s">
        <v>118</v>
      </c>
      <c r="H31" s="11">
        <v>0</v>
      </c>
      <c r="I31" s="11">
        <v>4500000</v>
      </c>
      <c r="J31" s="11">
        <v>2971678.04</v>
      </c>
      <c r="K31" s="11">
        <v>0</v>
      </c>
      <c r="L31" s="11">
        <v>84</v>
      </c>
      <c r="M31" s="11">
        <v>63</v>
      </c>
      <c r="N31" s="11">
        <v>4</v>
      </c>
      <c r="O31" s="11">
        <v>88</v>
      </c>
      <c r="P31" s="11">
        <v>25</v>
      </c>
      <c r="Q31" s="11">
        <v>2683506.0699999998</v>
      </c>
      <c r="R31" s="11">
        <v>288171.96999999997</v>
      </c>
      <c r="S31" s="11">
        <v>32</v>
      </c>
      <c r="T31" s="11">
        <v>4</v>
      </c>
      <c r="U31" s="11">
        <v>36</v>
      </c>
      <c r="V31" s="11">
        <v>0</v>
      </c>
      <c r="W31" s="11">
        <v>7</v>
      </c>
      <c r="X31" s="11">
        <v>15</v>
      </c>
      <c r="Y31" s="11">
        <v>70</v>
      </c>
      <c r="Z31" s="11">
        <v>2</v>
      </c>
      <c r="AA31" s="11">
        <v>33</v>
      </c>
      <c r="AB31" s="11">
        <v>0</v>
      </c>
      <c r="AC31" s="11">
        <v>0</v>
      </c>
      <c r="AD31" s="11">
        <v>0</v>
      </c>
      <c r="AE31" s="11">
        <v>0</v>
      </c>
      <c r="AF31" s="11">
        <v>241</v>
      </c>
      <c r="AG31" s="11">
        <v>289</v>
      </c>
      <c r="AH31" s="11">
        <v>74</v>
      </c>
      <c r="AI31" s="11">
        <v>40158</v>
      </c>
      <c r="AJ31" s="11">
        <v>4</v>
      </c>
      <c r="AK31" s="11">
        <v>28050</v>
      </c>
      <c r="AL31" s="11">
        <v>0</v>
      </c>
      <c r="AM31" s="11">
        <v>9.4000000000000004E-3</v>
      </c>
      <c r="AN31" s="11">
        <v>82547</v>
      </c>
      <c r="AO31" s="11">
        <v>0.66</v>
      </c>
      <c r="AP31" s="11">
        <v>0</v>
      </c>
      <c r="AQ31" s="11">
        <v>81</v>
      </c>
      <c r="AR31" s="11">
        <v>728</v>
      </c>
      <c r="AS31" s="11">
        <v>2247.5500000000002</v>
      </c>
      <c r="AT31" s="11">
        <v>4</v>
      </c>
      <c r="AU31" s="11">
        <v>36</v>
      </c>
      <c r="AV31" s="11">
        <v>36</v>
      </c>
      <c r="AW31" s="11">
        <v>28</v>
      </c>
      <c r="AX31" s="11">
        <v>24</v>
      </c>
      <c r="AY31" s="11" t="s">
        <v>684</v>
      </c>
    </row>
    <row r="32" spans="1:51">
      <c r="A32" s="11" t="s">
        <v>118</v>
      </c>
      <c r="B32" s="11" t="s">
        <v>436</v>
      </c>
      <c r="C32" s="11" t="s">
        <v>116</v>
      </c>
      <c r="D32" s="11" t="s">
        <v>499</v>
      </c>
      <c r="E32" s="11" t="s">
        <v>500</v>
      </c>
      <c r="F32" s="150">
        <v>43898</v>
      </c>
      <c r="H32" s="11">
        <v>0</v>
      </c>
      <c r="I32" s="11">
        <v>5874999</v>
      </c>
      <c r="J32" s="11">
        <v>4546957.8</v>
      </c>
      <c r="K32" s="11">
        <v>0</v>
      </c>
      <c r="L32" s="11">
        <v>112</v>
      </c>
      <c r="M32" s="11">
        <v>113</v>
      </c>
      <c r="N32" s="11">
        <v>3</v>
      </c>
      <c r="O32" s="11">
        <v>115</v>
      </c>
      <c r="P32" s="11">
        <v>2</v>
      </c>
      <c r="Q32" s="11">
        <v>4386257.7</v>
      </c>
      <c r="R32" s="11">
        <v>160700.1</v>
      </c>
      <c r="S32" s="11">
        <v>62</v>
      </c>
      <c r="T32" s="11">
        <v>3</v>
      </c>
      <c r="U32" s="11">
        <v>65</v>
      </c>
      <c r="V32" s="11">
        <v>0</v>
      </c>
      <c r="W32" s="11">
        <v>1</v>
      </c>
      <c r="X32" s="11">
        <v>1</v>
      </c>
      <c r="Y32" s="11">
        <v>3</v>
      </c>
      <c r="Z32" s="11">
        <v>1</v>
      </c>
      <c r="AA32" s="11">
        <v>2</v>
      </c>
      <c r="AB32" s="11">
        <v>0</v>
      </c>
      <c r="AC32" s="11">
        <v>0</v>
      </c>
      <c r="AD32" s="11">
        <v>0</v>
      </c>
      <c r="AE32" s="11">
        <v>0</v>
      </c>
      <c r="AF32" s="11">
        <v>532</v>
      </c>
      <c r="AG32" s="11">
        <v>535</v>
      </c>
      <c r="AH32" s="11">
        <v>69</v>
      </c>
      <c r="AI32" s="11">
        <v>65898</v>
      </c>
      <c r="AJ32" s="11">
        <v>8</v>
      </c>
      <c r="AK32" s="11">
        <v>32483</v>
      </c>
      <c r="AL32" s="11">
        <v>0</v>
      </c>
      <c r="AM32" s="11">
        <v>7.1000000000000004E-3</v>
      </c>
      <c r="AN32" s="11">
        <v>69953</v>
      </c>
      <c r="AO32" s="11">
        <v>0.77</v>
      </c>
      <c r="AP32" s="11">
        <v>0</v>
      </c>
      <c r="AQ32" s="11">
        <v>179</v>
      </c>
      <c r="AR32" s="11">
        <v>796</v>
      </c>
      <c r="AS32" s="11">
        <v>5215.62</v>
      </c>
      <c r="AT32" s="11">
        <v>3</v>
      </c>
      <c r="AU32" s="11">
        <v>46</v>
      </c>
      <c r="AV32" s="11">
        <v>65</v>
      </c>
      <c r="AW32" s="11">
        <v>48</v>
      </c>
      <c r="AX32" s="11">
        <v>2</v>
      </c>
      <c r="AY32" s="11" t="s">
        <v>684</v>
      </c>
    </row>
    <row r="33" spans="1:51">
      <c r="A33" s="11" t="s">
        <v>118</v>
      </c>
      <c r="B33" s="11" t="s">
        <v>649</v>
      </c>
      <c r="C33" s="11" t="s">
        <v>119</v>
      </c>
      <c r="D33" s="11" t="s">
        <v>567</v>
      </c>
      <c r="E33" s="11" t="s">
        <v>519</v>
      </c>
      <c r="F33" s="150">
        <v>45028</v>
      </c>
      <c r="G33" s="11" t="s">
        <v>118</v>
      </c>
      <c r="H33" s="11">
        <v>0</v>
      </c>
      <c r="I33" s="11">
        <v>0</v>
      </c>
      <c r="J33" s="11">
        <v>0</v>
      </c>
      <c r="K33" s="11">
        <v>0</v>
      </c>
      <c r="L33" s="11">
        <v>340</v>
      </c>
      <c r="M33" s="11">
        <v>56</v>
      </c>
      <c r="N33" s="11">
        <v>7</v>
      </c>
      <c r="O33" s="11">
        <v>347</v>
      </c>
      <c r="P33" s="11">
        <v>291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16</v>
      </c>
      <c r="X33" s="11">
        <v>23</v>
      </c>
      <c r="Y33" s="11">
        <v>180</v>
      </c>
      <c r="Z33" s="11">
        <v>2</v>
      </c>
      <c r="AA33" s="11">
        <v>10</v>
      </c>
      <c r="AB33" s="11">
        <v>0</v>
      </c>
      <c r="AC33" s="11">
        <v>0</v>
      </c>
      <c r="AD33" s="11">
        <v>0</v>
      </c>
      <c r="AE33" s="11">
        <v>0</v>
      </c>
      <c r="AF33" s="11">
        <v>88</v>
      </c>
      <c r="AG33" s="11">
        <v>121</v>
      </c>
      <c r="AH33" s="11">
        <v>49</v>
      </c>
      <c r="AI33" s="11">
        <v>0</v>
      </c>
      <c r="AJ33" s="11">
        <v>2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559</v>
      </c>
      <c r="AS33" s="11">
        <v>1592.09</v>
      </c>
      <c r="AT33" s="11">
        <v>0</v>
      </c>
      <c r="AU33" s="11">
        <v>28</v>
      </c>
      <c r="AV33" s="11">
        <v>0</v>
      </c>
      <c r="AW33" s="11">
        <v>56</v>
      </c>
      <c r="AX33" s="11">
        <v>291</v>
      </c>
      <c r="AY33" s="150">
        <v>46298</v>
      </c>
    </row>
    <row r="34" spans="1:51">
      <c r="A34" s="11" t="s">
        <v>118</v>
      </c>
      <c r="B34" s="11" t="s">
        <v>372</v>
      </c>
      <c r="C34" s="11" t="s">
        <v>122</v>
      </c>
      <c r="D34" s="11" t="s">
        <v>447</v>
      </c>
      <c r="E34" s="11" t="s">
        <v>503</v>
      </c>
      <c r="F34" s="150">
        <v>43842</v>
      </c>
      <c r="G34" s="11" t="s">
        <v>138</v>
      </c>
      <c r="H34" s="11">
        <v>0</v>
      </c>
      <c r="I34" s="11">
        <v>4500000</v>
      </c>
      <c r="J34" s="11">
        <v>2058715.45</v>
      </c>
      <c r="K34" s="11">
        <v>0</v>
      </c>
      <c r="L34" s="11">
        <v>46</v>
      </c>
      <c r="M34" s="11">
        <v>47</v>
      </c>
      <c r="N34" s="11">
        <v>1</v>
      </c>
      <c r="O34" s="11">
        <v>47</v>
      </c>
      <c r="P34" s="11">
        <v>0</v>
      </c>
      <c r="Q34" s="11">
        <v>1915135.86</v>
      </c>
      <c r="R34" s="11">
        <v>143579.59</v>
      </c>
      <c r="S34" s="11">
        <v>14</v>
      </c>
      <c r="T34" s="11">
        <v>1</v>
      </c>
      <c r="U34" s="11">
        <v>15</v>
      </c>
      <c r="V34" s="11">
        <v>0</v>
      </c>
      <c r="W34" s="11">
        <v>3</v>
      </c>
      <c r="X34" s="11">
        <v>4</v>
      </c>
      <c r="Y34" s="11">
        <v>31</v>
      </c>
      <c r="Z34" s="11">
        <v>2</v>
      </c>
      <c r="AA34" s="11">
        <v>13</v>
      </c>
      <c r="AB34" s="11">
        <v>0</v>
      </c>
      <c r="AC34" s="11">
        <v>0</v>
      </c>
      <c r="AD34" s="11">
        <v>0</v>
      </c>
      <c r="AE34" s="11">
        <v>0</v>
      </c>
      <c r="AF34" s="11">
        <v>219</v>
      </c>
      <c r="AG34" s="11">
        <v>236</v>
      </c>
      <c r="AH34" s="11">
        <v>76</v>
      </c>
      <c r="AI34" s="11">
        <v>27088</v>
      </c>
      <c r="AJ34" s="11">
        <v>3</v>
      </c>
      <c r="AK34" s="11">
        <v>27200</v>
      </c>
      <c r="AL34" s="11">
        <v>0</v>
      </c>
      <c r="AM34" s="11">
        <v>1.32E-2</v>
      </c>
      <c r="AN34" s="11">
        <v>137248</v>
      </c>
      <c r="AO34" s="11">
        <v>0.46</v>
      </c>
      <c r="AP34" s="11">
        <v>0</v>
      </c>
      <c r="AQ34" s="11">
        <v>18</v>
      </c>
      <c r="AR34" s="11">
        <v>604</v>
      </c>
      <c r="AS34" s="11">
        <v>1598.05</v>
      </c>
      <c r="AT34" s="11">
        <v>1</v>
      </c>
      <c r="AU34" s="11">
        <v>34</v>
      </c>
      <c r="AV34" s="11">
        <v>15</v>
      </c>
      <c r="AW34" s="11">
        <v>32</v>
      </c>
      <c r="AX34" s="11">
        <v>0</v>
      </c>
      <c r="AY34" s="11" t="s">
        <v>684</v>
      </c>
    </row>
    <row r="35" spans="1:51">
      <c r="A35" s="11" t="s">
        <v>201</v>
      </c>
      <c r="B35" s="11" t="s">
        <v>438</v>
      </c>
      <c r="C35" s="11" t="s">
        <v>123</v>
      </c>
      <c r="D35" s="11" t="s">
        <v>504</v>
      </c>
      <c r="E35" s="11" t="s">
        <v>505</v>
      </c>
      <c r="F35" s="150">
        <v>44501</v>
      </c>
      <c r="G35" s="11" t="s">
        <v>121</v>
      </c>
      <c r="H35" s="11">
        <v>0</v>
      </c>
      <c r="I35" s="11">
        <v>0</v>
      </c>
      <c r="J35" s="11">
        <v>0</v>
      </c>
      <c r="K35" s="11">
        <v>0</v>
      </c>
      <c r="L35" s="11">
        <v>70</v>
      </c>
      <c r="M35" s="11">
        <v>0</v>
      </c>
      <c r="N35" s="11">
        <v>2</v>
      </c>
      <c r="O35" s="11">
        <v>72</v>
      </c>
      <c r="P35" s="11">
        <v>72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72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33839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72</v>
      </c>
      <c r="AY35" s="11" t="s">
        <v>696</v>
      </c>
    </row>
    <row r="36" spans="1:51">
      <c r="A36" s="11" t="s">
        <v>108</v>
      </c>
      <c r="B36" s="11" t="s">
        <v>465</v>
      </c>
      <c r="C36" s="11" t="s">
        <v>126</v>
      </c>
      <c r="D36" s="11" t="s">
        <v>506</v>
      </c>
      <c r="E36" s="11" t="s">
        <v>605</v>
      </c>
      <c r="F36" s="150">
        <v>45298</v>
      </c>
      <c r="G36" s="11" t="s">
        <v>108</v>
      </c>
      <c r="H36" s="11">
        <v>0</v>
      </c>
      <c r="I36" s="11">
        <v>4785000</v>
      </c>
      <c r="J36" s="11">
        <v>2011821</v>
      </c>
      <c r="K36" s="11">
        <v>0</v>
      </c>
      <c r="L36" s="11">
        <v>82</v>
      </c>
      <c r="M36" s="11">
        <v>38</v>
      </c>
      <c r="N36" s="11">
        <v>0</v>
      </c>
      <c r="O36" s="11">
        <v>82</v>
      </c>
      <c r="P36" s="11">
        <v>44</v>
      </c>
      <c r="Q36" s="11">
        <v>2011821</v>
      </c>
      <c r="R36" s="11">
        <v>0</v>
      </c>
      <c r="S36" s="11">
        <v>21</v>
      </c>
      <c r="T36" s="11">
        <v>0</v>
      </c>
      <c r="U36" s="11">
        <v>21</v>
      </c>
      <c r="V36" s="11">
        <v>0</v>
      </c>
      <c r="W36" s="11">
        <v>0</v>
      </c>
      <c r="X36" s="11">
        <v>0</v>
      </c>
      <c r="Y36" s="11">
        <v>24</v>
      </c>
      <c r="Z36" s="11">
        <v>2</v>
      </c>
      <c r="AA36" s="11">
        <v>2</v>
      </c>
      <c r="AB36" s="11">
        <v>0</v>
      </c>
      <c r="AC36" s="11">
        <v>0</v>
      </c>
      <c r="AD36" s="11">
        <v>1</v>
      </c>
      <c r="AE36" s="11">
        <v>1</v>
      </c>
      <c r="AF36" s="11">
        <v>276</v>
      </c>
      <c r="AG36" s="11">
        <v>279</v>
      </c>
      <c r="AH36" s="11">
        <v>51</v>
      </c>
      <c r="AI36" s="11">
        <v>39447</v>
      </c>
      <c r="AJ36" s="11">
        <v>5</v>
      </c>
      <c r="AL36" s="11">
        <v>0</v>
      </c>
      <c r="AM36" s="11">
        <v>0</v>
      </c>
      <c r="AN36" s="11">
        <v>95801</v>
      </c>
      <c r="AO36" s="11">
        <v>0.42</v>
      </c>
      <c r="AP36" s="11">
        <v>0</v>
      </c>
      <c r="AQ36" s="11">
        <v>40</v>
      </c>
      <c r="AR36" s="11">
        <v>393</v>
      </c>
      <c r="AS36" s="11">
        <v>1612.89</v>
      </c>
      <c r="AT36" s="11">
        <v>0</v>
      </c>
      <c r="AU36" s="11">
        <v>42</v>
      </c>
      <c r="AV36" s="11">
        <v>21</v>
      </c>
      <c r="AW36" s="11">
        <v>17</v>
      </c>
      <c r="AX36" s="11">
        <v>44</v>
      </c>
      <c r="AY36" s="11" t="s">
        <v>697</v>
      </c>
    </row>
    <row r="37" spans="1:51">
      <c r="A37" s="11" t="s">
        <v>108</v>
      </c>
      <c r="B37" s="11" t="s">
        <v>465</v>
      </c>
      <c r="C37" s="11" t="s">
        <v>128</v>
      </c>
      <c r="D37" s="11" t="s">
        <v>506</v>
      </c>
      <c r="E37" s="11" t="s">
        <v>507</v>
      </c>
      <c r="F37" s="11" t="s">
        <v>698</v>
      </c>
      <c r="G37" s="11" t="s">
        <v>108</v>
      </c>
      <c r="H37" s="11">
        <v>0</v>
      </c>
      <c r="I37" s="11">
        <v>0</v>
      </c>
      <c r="J37" s="11">
        <v>0</v>
      </c>
      <c r="K37" s="11">
        <v>0</v>
      </c>
      <c r="L37" s="11">
        <v>146</v>
      </c>
      <c r="M37" s="11">
        <v>0</v>
      </c>
      <c r="N37" s="11">
        <v>0</v>
      </c>
      <c r="O37" s="11">
        <v>146</v>
      </c>
      <c r="P37" s="11">
        <v>146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44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35543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146</v>
      </c>
      <c r="AY37" s="11" t="s">
        <v>699</v>
      </c>
    </row>
    <row r="38" spans="1:51">
      <c r="A38" s="11" t="s">
        <v>118</v>
      </c>
      <c r="B38" s="11" t="s">
        <v>468</v>
      </c>
      <c r="C38" s="11" t="s">
        <v>132</v>
      </c>
      <c r="D38" s="11" t="s">
        <v>509</v>
      </c>
      <c r="E38" s="11" t="s">
        <v>510</v>
      </c>
      <c r="F38" s="150">
        <v>44198</v>
      </c>
      <c r="G38" s="11" t="s">
        <v>118</v>
      </c>
      <c r="H38" s="11">
        <v>0</v>
      </c>
      <c r="I38" s="11">
        <v>10500000</v>
      </c>
      <c r="J38" s="11">
        <v>4112678.54</v>
      </c>
      <c r="K38" s="11">
        <v>0</v>
      </c>
      <c r="L38" s="11">
        <v>81</v>
      </c>
      <c r="M38" s="11">
        <v>59</v>
      </c>
      <c r="N38" s="11">
        <v>0</v>
      </c>
      <c r="O38" s="11">
        <v>81</v>
      </c>
      <c r="P38" s="11">
        <v>22</v>
      </c>
      <c r="Q38" s="11">
        <v>4112678.54</v>
      </c>
      <c r="R38" s="11">
        <v>0</v>
      </c>
      <c r="S38" s="11">
        <v>38</v>
      </c>
      <c r="T38" s="11">
        <v>0</v>
      </c>
      <c r="U38" s="11">
        <v>38</v>
      </c>
      <c r="V38" s="11">
        <v>0</v>
      </c>
      <c r="W38" s="11">
        <v>21</v>
      </c>
      <c r="X38" s="11">
        <v>25</v>
      </c>
      <c r="Y38" s="11">
        <v>129</v>
      </c>
      <c r="Z38" s="11">
        <v>1</v>
      </c>
      <c r="AA38" s="11">
        <v>59</v>
      </c>
      <c r="AB38" s="11">
        <v>0</v>
      </c>
      <c r="AC38" s="11">
        <v>0</v>
      </c>
      <c r="AD38" s="11">
        <v>0</v>
      </c>
      <c r="AE38" s="11">
        <v>0</v>
      </c>
      <c r="AF38" s="11">
        <v>157</v>
      </c>
      <c r="AG38" s="11">
        <v>241</v>
      </c>
      <c r="AH38" s="11">
        <v>74</v>
      </c>
      <c r="AI38" s="11">
        <v>55577</v>
      </c>
      <c r="AJ38" s="11">
        <v>3</v>
      </c>
      <c r="AK38" s="11">
        <v>40500</v>
      </c>
      <c r="AL38" s="11">
        <v>0</v>
      </c>
      <c r="AM38" s="11">
        <v>9.7999999999999997E-3</v>
      </c>
      <c r="AN38" s="11">
        <v>108228</v>
      </c>
      <c r="AO38" s="11">
        <v>0.39</v>
      </c>
      <c r="AP38" s="11">
        <v>0</v>
      </c>
      <c r="AQ38" s="11">
        <v>63</v>
      </c>
      <c r="AR38" s="11">
        <v>742</v>
      </c>
      <c r="AS38" s="11">
        <v>1823.62</v>
      </c>
      <c r="AT38" s="11">
        <v>0</v>
      </c>
      <c r="AU38" s="11">
        <v>31</v>
      </c>
      <c r="AV38" s="11">
        <v>38</v>
      </c>
      <c r="AW38" s="11">
        <v>26</v>
      </c>
      <c r="AX38" s="11">
        <v>17</v>
      </c>
      <c r="AY38" s="11" t="s">
        <v>684</v>
      </c>
    </row>
    <row r="39" spans="1:51">
      <c r="A39" s="11" t="s">
        <v>118</v>
      </c>
      <c r="B39" s="11" t="s">
        <v>484</v>
      </c>
      <c r="C39" s="11" t="s">
        <v>133</v>
      </c>
      <c r="D39" s="11" t="s">
        <v>497</v>
      </c>
      <c r="E39" s="11" t="s">
        <v>530</v>
      </c>
      <c r="F39" s="150">
        <v>44631</v>
      </c>
      <c r="G39" s="11" t="s">
        <v>118</v>
      </c>
      <c r="H39" s="11">
        <v>0</v>
      </c>
      <c r="I39" s="11">
        <v>4500000</v>
      </c>
      <c r="J39" s="11">
        <v>2381588.5099999998</v>
      </c>
      <c r="K39" s="11">
        <v>0</v>
      </c>
      <c r="L39" s="11">
        <v>75</v>
      </c>
      <c r="M39" s="11">
        <v>53</v>
      </c>
      <c r="N39" s="11">
        <v>4</v>
      </c>
      <c r="O39" s="11">
        <v>79</v>
      </c>
      <c r="P39" s="11">
        <v>26</v>
      </c>
      <c r="Q39" s="11">
        <v>2171646.5099999998</v>
      </c>
      <c r="R39" s="11">
        <v>209942</v>
      </c>
      <c r="S39" s="11">
        <v>25</v>
      </c>
      <c r="T39" s="11">
        <v>4</v>
      </c>
      <c r="U39" s="11">
        <v>29</v>
      </c>
      <c r="V39" s="11">
        <v>0</v>
      </c>
      <c r="W39" s="11">
        <v>12</v>
      </c>
      <c r="X39" s="11">
        <v>16</v>
      </c>
      <c r="Y39" s="11">
        <v>40</v>
      </c>
      <c r="Z39" s="11">
        <v>1</v>
      </c>
      <c r="AA39" s="11">
        <v>14</v>
      </c>
      <c r="AB39" s="11">
        <v>0</v>
      </c>
      <c r="AC39" s="11">
        <v>0</v>
      </c>
      <c r="AD39" s="11">
        <v>0</v>
      </c>
      <c r="AE39" s="11">
        <v>0</v>
      </c>
      <c r="AF39" s="11">
        <v>201</v>
      </c>
      <c r="AG39" s="11">
        <v>231</v>
      </c>
      <c r="AH39" s="11">
        <v>71</v>
      </c>
      <c r="AI39" s="11">
        <v>33544</v>
      </c>
      <c r="AJ39" s="11">
        <v>3</v>
      </c>
      <c r="AK39" s="11">
        <v>31625</v>
      </c>
      <c r="AL39" s="11">
        <v>0</v>
      </c>
      <c r="AM39" s="11">
        <v>1.3299999999999999E-2</v>
      </c>
      <c r="AN39" s="11">
        <v>82124</v>
      </c>
      <c r="AO39" s="11">
        <v>0.53</v>
      </c>
      <c r="AP39" s="11">
        <v>0</v>
      </c>
      <c r="AQ39" s="11">
        <v>45</v>
      </c>
      <c r="AR39" s="11">
        <v>615</v>
      </c>
      <c r="AS39" s="11">
        <v>1005.82</v>
      </c>
      <c r="AT39" s="11">
        <v>4</v>
      </c>
      <c r="AU39" s="11">
        <v>19</v>
      </c>
      <c r="AV39" s="11">
        <v>29</v>
      </c>
      <c r="AW39" s="11">
        <v>29</v>
      </c>
      <c r="AX39" s="11">
        <v>21</v>
      </c>
      <c r="AY39" s="11" t="s">
        <v>684</v>
      </c>
    </row>
    <row r="40" spans="1:51">
      <c r="A40" s="11" t="s">
        <v>201</v>
      </c>
      <c r="B40" s="11" t="s">
        <v>438</v>
      </c>
      <c r="C40" s="11" t="s">
        <v>134</v>
      </c>
      <c r="D40" s="11" t="s">
        <v>504</v>
      </c>
      <c r="E40" s="11" t="s">
        <v>511</v>
      </c>
      <c r="F40" s="11" t="s">
        <v>700</v>
      </c>
      <c r="G40" s="11" t="s">
        <v>121</v>
      </c>
      <c r="H40" s="11">
        <v>0</v>
      </c>
      <c r="I40" s="11">
        <v>6999999</v>
      </c>
      <c r="J40" s="11">
        <v>4113672.93</v>
      </c>
      <c r="K40" s="11">
        <v>0</v>
      </c>
      <c r="L40" s="11">
        <v>118</v>
      </c>
      <c r="M40" s="11">
        <v>99</v>
      </c>
      <c r="N40" s="11">
        <v>9</v>
      </c>
      <c r="O40" s="11">
        <v>127</v>
      </c>
      <c r="P40" s="11">
        <v>28</v>
      </c>
      <c r="Q40" s="11">
        <v>3702784.7</v>
      </c>
      <c r="R40" s="11">
        <v>410888.23</v>
      </c>
      <c r="S40" s="11">
        <v>39</v>
      </c>
      <c r="T40" s="11">
        <v>9</v>
      </c>
      <c r="U40" s="11">
        <v>48</v>
      </c>
      <c r="V40" s="11">
        <v>0</v>
      </c>
      <c r="W40" s="11">
        <v>8</v>
      </c>
      <c r="X40" s="11">
        <v>11</v>
      </c>
      <c r="Y40" s="11">
        <v>132</v>
      </c>
      <c r="Z40" s="11">
        <v>1</v>
      </c>
      <c r="AA40" s="11">
        <v>6</v>
      </c>
      <c r="AB40" s="11">
        <v>0</v>
      </c>
      <c r="AC40" s="11">
        <v>0</v>
      </c>
      <c r="AD40" s="11">
        <v>0</v>
      </c>
      <c r="AE40" s="11">
        <v>0</v>
      </c>
      <c r="AF40" s="11">
        <v>285</v>
      </c>
      <c r="AG40" s="11">
        <v>302</v>
      </c>
      <c r="AH40" s="11">
        <v>74</v>
      </c>
      <c r="AI40" s="11">
        <v>55590</v>
      </c>
      <c r="AJ40" s="11">
        <v>4</v>
      </c>
      <c r="AK40" s="11">
        <v>31852</v>
      </c>
      <c r="AL40" s="11">
        <v>0</v>
      </c>
      <c r="AM40" s="11">
        <v>7.7000000000000002E-3</v>
      </c>
      <c r="AN40" s="11">
        <v>85702</v>
      </c>
      <c r="AO40" s="11">
        <v>0.59</v>
      </c>
      <c r="AP40" s="11">
        <v>0</v>
      </c>
      <c r="AQ40" s="11">
        <v>102</v>
      </c>
      <c r="AR40" s="11">
        <v>727</v>
      </c>
      <c r="AS40" s="11">
        <v>3976.47</v>
      </c>
      <c r="AT40" s="11">
        <v>9</v>
      </c>
      <c r="AU40" s="11">
        <v>40</v>
      </c>
      <c r="AV40" s="11">
        <v>48</v>
      </c>
      <c r="AW40" s="11">
        <v>54</v>
      </c>
      <c r="AX40" s="11">
        <v>25</v>
      </c>
      <c r="AY40" s="11" t="s">
        <v>684</v>
      </c>
    </row>
    <row r="41" spans="1:51">
      <c r="A41" s="11" t="s">
        <v>201</v>
      </c>
      <c r="B41" s="11" t="s">
        <v>431</v>
      </c>
      <c r="C41" s="11" t="s">
        <v>135</v>
      </c>
      <c r="D41" s="11" t="s">
        <v>431</v>
      </c>
      <c r="E41" s="11" t="s">
        <v>513</v>
      </c>
      <c r="F41" s="11" t="s">
        <v>701</v>
      </c>
      <c r="G41" s="11" t="s">
        <v>121</v>
      </c>
      <c r="H41" s="11">
        <v>0</v>
      </c>
      <c r="I41" s="11">
        <v>9999999</v>
      </c>
      <c r="J41" s="11">
        <v>7231214.0499999998</v>
      </c>
      <c r="K41" s="11">
        <v>0</v>
      </c>
      <c r="L41" s="11">
        <v>122</v>
      </c>
      <c r="M41" s="11">
        <v>56</v>
      </c>
      <c r="N41" s="11">
        <v>2</v>
      </c>
      <c r="O41" s="11">
        <v>124</v>
      </c>
      <c r="P41" s="11">
        <v>68</v>
      </c>
      <c r="Q41" s="11">
        <v>7140792.2599999998</v>
      </c>
      <c r="R41" s="11">
        <v>90421.79</v>
      </c>
      <c r="S41" s="11">
        <v>52</v>
      </c>
      <c r="T41" s="11">
        <v>2</v>
      </c>
      <c r="U41" s="11">
        <v>54</v>
      </c>
      <c r="V41" s="11">
        <v>0</v>
      </c>
      <c r="W41" s="11">
        <v>0</v>
      </c>
      <c r="X41" s="11">
        <v>0</v>
      </c>
      <c r="Y41" s="11">
        <v>46</v>
      </c>
      <c r="Z41" s="11">
        <v>3</v>
      </c>
      <c r="AA41" s="11">
        <v>60</v>
      </c>
      <c r="AB41" s="11">
        <v>0</v>
      </c>
      <c r="AC41" s="11">
        <v>0</v>
      </c>
      <c r="AD41" s="11">
        <v>1</v>
      </c>
      <c r="AE41" s="11">
        <v>2</v>
      </c>
      <c r="AF41" s="11">
        <v>227</v>
      </c>
      <c r="AG41" s="11">
        <v>289</v>
      </c>
      <c r="AH41" s="11">
        <v>69</v>
      </c>
      <c r="AI41" s="11">
        <v>104800</v>
      </c>
      <c r="AJ41" s="11">
        <v>4</v>
      </c>
      <c r="AK41" s="11">
        <v>37917</v>
      </c>
      <c r="AL41" s="11">
        <v>0</v>
      </c>
      <c r="AM41" s="11">
        <v>5.1999999999999998E-3</v>
      </c>
      <c r="AN41" s="11">
        <v>133911</v>
      </c>
      <c r="AO41" s="11">
        <v>0.72</v>
      </c>
      <c r="AP41" s="11">
        <v>0</v>
      </c>
      <c r="AQ41" s="11">
        <v>224</v>
      </c>
      <c r="AR41" s="11">
        <v>723</v>
      </c>
      <c r="AS41" s="11">
        <v>2401.63</v>
      </c>
      <c r="AT41" s="11">
        <v>2</v>
      </c>
      <c r="AU41" s="11">
        <v>43</v>
      </c>
      <c r="AV41" s="11">
        <v>54</v>
      </c>
      <c r="AW41" s="11">
        <v>19</v>
      </c>
      <c r="AX41" s="11">
        <v>51</v>
      </c>
      <c r="AY41" s="11" t="s">
        <v>684</v>
      </c>
    </row>
    <row r="42" spans="1:51">
      <c r="A42" s="11" t="s">
        <v>118</v>
      </c>
      <c r="B42" s="11" t="s">
        <v>372</v>
      </c>
      <c r="C42" s="11" t="s">
        <v>138</v>
      </c>
      <c r="D42" s="11" t="s">
        <v>447</v>
      </c>
      <c r="E42" s="11" t="s">
        <v>514</v>
      </c>
      <c r="F42" s="11" t="s">
        <v>702</v>
      </c>
      <c r="G42" s="11" t="s">
        <v>118</v>
      </c>
      <c r="H42" s="11">
        <v>0</v>
      </c>
      <c r="I42" s="11">
        <v>7500000</v>
      </c>
      <c r="J42" s="11">
        <v>10634561.4</v>
      </c>
      <c r="K42" s="11">
        <v>0</v>
      </c>
      <c r="L42" s="11">
        <v>267</v>
      </c>
      <c r="M42" s="11">
        <v>123</v>
      </c>
      <c r="N42" s="11">
        <v>1</v>
      </c>
      <c r="O42" s="11">
        <v>268</v>
      </c>
      <c r="P42" s="11">
        <v>145</v>
      </c>
      <c r="Q42" s="11">
        <v>10567703.130000001</v>
      </c>
      <c r="R42" s="11">
        <v>66858.27</v>
      </c>
      <c r="S42" s="11">
        <v>73</v>
      </c>
      <c r="T42" s="11">
        <v>1</v>
      </c>
      <c r="U42" s="11">
        <v>74</v>
      </c>
      <c r="V42" s="11">
        <v>0</v>
      </c>
      <c r="W42" s="11">
        <v>26</v>
      </c>
      <c r="X42" s="11">
        <v>28</v>
      </c>
      <c r="Y42" s="11">
        <v>512</v>
      </c>
      <c r="Z42" s="11">
        <v>3</v>
      </c>
      <c r="AA42" s="11">
        <v>27</v>
      </c>
      <c r="AB42" s="11">
        <v>0</v>
      </c>
      <c r="AC42" s="11">
        <v>0</v>
      </c>
      <c r="AD42" s="11">
        <v>0</v>
      </c>
      <c r="AE42" s="11">
        <v>0</v>
      </c>
      <c r="AF42" s="11">
        <v>252</v>
      </c>
      <c r="AG42" s="11">
        <v>307</v>
      </c>
      <c r="AH42" s="11">
        <v>72</v>
      </c>
      <c r="AI42" s="11">
        <v>147702</v>
      </c>
      <c r="AJ42" s="11">
        <v>4</v>
      </c>
      <c r="AK42" s="11">
        <v>49690</v>
      </c>
      <c r="AL42" s="11">
        <v>0</v>
      </c>
      <c r="AM42" s="11">
        <v>4.7000000000000002E-3</v>
      </c>
      <c r="AN42" s="11">
        <v>143710</v>
      </c>
      <c r="AO42" s="11">
        <v>1.42</v>
      </c>
      <c r="AP42" s="11">
        <v>0</v>
      </c>
      <c r="AQ42" s="11">
        <v>128</v>
      </c>
      <c r="AR42" s="11">
        <v>779</v>
      </c>
      <c r="AS42" s="11">
        <v>2812.13</v>
      </c>
      <c r="AT42" s="11">
        <v>1</v>
      </c>
      <c r="AU42" s="11">
        <v>23</v>
      </c>
      <c r="AV42" s="11">
        <v>74</v>
      </c>
      <c r="AW42" s="11">
        <v>51</v>
      </c>
      <c r="AX42" s="11">
        <v>143</v>
      </c>
      <c r="AY42" s="11" t="s">
        <v>684</v>
      </c>
    </row>
    <row r="43" spans="1:51">
      <c r="A43" s="11" t="s">
        <v>118</v>
      </c>
      <c r="B43" s="11" t="s">
        <v>468</v>
      </c>
      <c r="C43" s="11" t="s">
        <v>140</v>
      </c>
      <c r="D43" s="11" t="s">
        <v>515</v>
      </c>
      <c r="E43" s="11" t="s">
        <v>516</v>
      </c>
      <c r="F43" s="11" t="s">
        <v>703</v>
      </c>
      <c r="G43" s="11" t="s">
        <v>118</v>
      </c>
      <c r="H43" s="11">
        <v>0</v>
      </c>
      <c r="I43" s="11">
        <v>22250001</v>
      </c>
      <c r="J43" s="11">
        <v>16453484.75</v>
      </c>
      <c r="K43" s="11">
        <v>0</v>
      </c>
      <c r="L43" s="11">
        <v>85</v>
      </c>
      <c r="M43" s="11">
        <v>75</v>
      </c>
      <c r="N43" s="11">
        <v>3</v>
      </c>
      <c r="O43" s="11">
        <v>88</v>
      </c>
      <c r="P43" s="11">
        <v>13</v>
      </c>
      <c r="Q43" s="11">
        <v>15867596.15</v>
      </c>
      <c r="R43" s="11">
        <v>585888.6</v>
      </c>
      <c r="S43" s="11">
        <v>53</v>
      </c>
      <c r="T43" s="11">
        <v>3</v>
      </c>
      <c r="U43" s="11">
        <v>56</v>
      </c>
      <c r="V43" s="11">
        <v>0</v>
      </c>
      <c r="W43" s="11">
        <v>1</v>
      </c>
      <c r="X43" s="11">
        <v>1</v>
      </c>
      <c r="Y43" s="11">
        <v>52</v>
      </c>
      <c r="Z43" s="11">
        <v>1</v>
      </c>
      <c r="AA43" s="11">
        <v>38</v>
      </c>
      <c r="AB43" s="11">
        <v>0</v>
      </c>
      <c r="AC43" s="11">
        <v>0</v>
      </c>
      <c r="AD43" s="11">
        <v>0</v>
      </c>
      <c r="AE43" s="11">
        <v>0</v>
      </c>
      <c r="AF43" s="11">
        <v>298</v>
      </c>
      <c r="AG43" s="11">
        <v>337</v>
      </c>
      <c r="AH43" s="11">
        <v>72</v>
      </c>
      <c r="AI43" s="11">
        <v>228521</v>
      </c>
      <c r="AJ43" s="11">
        <v>5</v>
      </c>
      <c r="AK43" s="11">
        <v>51393</v>
      </c>
      <c r="AL43" s="11">
        <v>0</v>
      </c>
      <c r="AM43" s="11">
        <v>3.0999999999999999E-3</v>
      </c>
      <c r="AN43" s="11">
        <v>293812</v>
      </c>
      <c r="AO43" s="11">
        <v>0.74</v>
      </c>
      <c r="AP43" s="11">
        <v>0</v>
      </c>
      <c r="AQ43" s="11">
        <v>145</v>
      </c>
      <c r="AR43" s="11">
        <v>686</v>
      </c>
      <c r="AS43" s="11">
        <v>2574.92</v>
      </c>
      <c r="AT43" s="11">
        <v>3</v>
      </c>
      <c r="AU43" s="11">
        <v>34</v>
      </c>
      <c r="AV43" s="11">
        <v>56</v>
      </c>
      <c r="AW43" s="11">
        <v>19</v>
      </c>
      <c r="AX43" s="11">
        <v>13</v>
      </c>
      <c r="AY43" s="11" t="s">
        <v>684</v>
      </c>
    </row>
    <row r="44" spans="1:51">
      <c r="A44" s="11" t="s">
        <v>124</v>
      </c>
      <c r="B44" s="11" t="s">
        <v>443</v>
      </c>
      <c r="C44" s="11" t="s">
        <v>142</v>
      </c>
      <c r="D44" s="11" t="s">
        <v>704</v>
      </c>
      <c r="E44" s="11" t="s">
        <v>518</v>
      </c>
      <c r="F44" s="11" t="s">
        <v>705</v>
      </c>
      <c r="G44" s="11" t="s">
        <v>124</v>
      </c>
      <c r="H44" s="11">
        <v>0</v>
      </c>
      <c r="I44" s="11">
        <v>5400000</v>
      </c>
      <c r="J44" s="11">
        <v>10098200.039999999</v>
      </c>
      <c r="K44" s="11">
        <v>0</v>
      </c>
      <c r="L44" s="11">
        <v>111</v>
      </c>
      <c r="M44" s="11">
        <v>27</v>
      </c>
      <c r="N44" s="11">
        <v>0</v>
      </c>
      <c r="O44" s="11">
        <v>111</v>
      </c>
      <c r="P44" s="11">
        <v>84</v>
      </c>
      <c r="Q44" s="11">
        <v>10098200.039999999</v>
      </c>
      <c r="R44" s="11">
        <v>0</v>
      </c>
      <c r="S44" s="11">
        <v>39</v>
      </c>
      <c r="T44" s="11">
        <v>0</v>
      </c>
      <c r="U44" s="11">
        <v>39</v>
      </c>
      <c r="V44" s="11">
        <v>0</v>
      </c>
      <c r="W44" s="11">
        <v>1</v>
      </c>
      <c r="X44" s="11">
        <v>1</v>
      </c>
      <c r="Y44" s="11">
        <v>75</v>
      </c>
      <c r="Z44" s="11">
        <v>7</v>
      </c>
      <c r="AA44" s="11">
        <v>62</v>
      </c>
      <c r="AB44" s="11">
        <v>0</v>
      </c>
      <c r="AC44" s="11">
        <v>0</v>
      </c>
      <c r="AD44" s="11">
        <v>6</v>
      </c>
      <c r="AE44" s="11">
        <v>6</v>
      </c>
      <c r="AF44" s="11">
        <v>47</v>
      </c>
      <c r="AG44" s="11">
        <v>116</v>
      </c>
      <c r="AH44" s="11">
        <v>68</v>
      </c>
      <c r="AI44" s="11">
        <v>148503</v>
      </c>
      <c r="AJ44" s="11">
        <v>2</v>
      </c>
      <c r="AK44" s="11">
        <v>49585</v>
      </c>
      <c r="AL44" s="11">
        <v>0</v>
      </c>
      <c r="AM44" s="11">
        <v>4.8999999999999998E-3</v>
      </c>
      <c r="AN44" s="11">
        <v>258928</v>
      </c>
      <c r="AO44" s="11">
        <v>1.87</v>
      </c>
      <c r="AP44" s="11">
        <v>0</v>
      </c>
      <c r="AQ44" s="11">
        <v>147</v>
      </c>
      <c r="AR44" s="11">
        <v>661</v>
      </c>
      <c r="AS44" s="11">
        <v>2706.04</v>
      </c>
      <c r="AT44" s="11">
        <v>0</v>
      </c>
      <c r="AU44" s="11">
        <v>100</v>
      </c>
      <c r="AV44" s="11">
        <v>39</v>
      </c>
      <c r="AW44" s="11">
        <v>8</v>
      </c>
      <c r="AX44" s="11">
        <v>64</v>
      </c>
      <c r="AY44" s="11" t="s">
        <v>684</v>
      </c>
    </row>
    <row r="45" spans="1:51">
      <c r="A45" s="11" t="s">
        <v>118</v>
      </c>
      <c r="B45" s="11" t="s">
        <v>375</v>
      </c>
      <c r="C45" s="11" t="s">
        <v>143</v>
      </c>
      <c r="D45" s="11" t="s">
        <v>473</v>
      </c>
      <c r="E45" s="11" t="s">
        <v>587</v>
      </c>
      <c r="F45" s="150">
        <v>45297</v>
      </c>
      <c r="H45" s="11">
        <v>0</v>
      </c>
      <c r="I45" s="11">
        <v>0</v>
      </c>
      <c r="J45" s="11">
        <v>0</v>
      </c>
      <c r="K45" s="11">
        <v>0</v>
      </c>
      <c r="L45" s="11">
        <v>27</v>
      </c>
      <c r="M45" s="11">
        <v>0</v>
      </c>
      <c r="N45" s="11">
        <v>0</v>
      </c>
      <c r="O45" s="11">
        <v>27</v>
      </c>
      <c r="P45" s="11">
        <v>27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170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27000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27</v>
      </c>
      <c r="AY45" s="11" t="s">
        <v>706</v>
      </c>
    </row>
    <row r="46" spans="1:51">
      <c r="A46" s="11" t="s">
        <v>118</v>
      </c>
      <c r="B46" s="11" t="s">
        <v>484</v>
      </c>
      <c r="C46" s="11" t="s">
        <v>144</v>
      </c>
      <c r="D46" s="11" t="s">
        <v>497</v>
      </c>
      <c r="E46" s="11" t="s">
        <v>520</v>
      </c>
      <c r="F46" s="150">
        <v>44207</v>
      </c>
      <c r="G46" s="11" t="s">
        <v>118</v>
      </c>
      <c r="H46" s="11">
        <v>0</v>
      </c>
      <c r="I46" s="11">
        <v>13500000</v>
      </c>
      <c r="J46" s="11">
        <v>9511859.7799999993</v>
      </c>
      <c r="K46" s="11">
        <v>0</v>
      </c>
      <c r="L46" s="11">
        <v>110</v>
      </c>
      <c r="M46" s="11">
        <v>86</v>
      </c>
      <c r="N46" s="11">
        <v>0</v>
      </c>
      <c r="O46" s="11">
        <v>110</v>
      </c>
      <c r="P46" s="11">
        <v>24</v>
      </c>
      <c r="Q46" s="11">
        <v>9511859.7799999993</v>
      </c>
      <c r="R46" s="11">
        <v>0</v>
      </c>
      <c r="S46" s="11">
        <v>26</v>
      </c>
      <c r="T46" s="11">
        <v>0</v>
      </c>
      <c r="U46" s="11">
        <v>26</v>
      </c>
      <c r="V46" s="11">
        <v>0</v>
      </c>
      <c r="W46" s="11">
        <v>9</v>
      </c>
      <c r="X46" s="11">
        <v>9</v>
      </c>
      <c r="Y46" s="11">
        <v>136</v>
      </c>
      <c r="Z46" s="11">
        <v>1</v>
      </c>
      <c r="AA46" s="11">
        <v>2</v>
      </c>
      <c r="AB46" s="11">
        <v>0</v>
      </c>
      <c r="AC46" s="11">
        <v>0</v>
      </c>
      <c r="AD46" s="11">
        <v>0</v>
      </c>
      <c r="AE46" s="11">
        <v>0</v>
      </c>
      <c r="AF46" s="11">
        <v>488</v>
      </c>
      <c r="AG46" s="11">
        <v>499</v>
      </c>
      <c r="AH46" s="11">
        <v>75</v>
      </c>
      <c r="AI46" s="11">
        <v>126825</v>
      </c>
      <c r="AJ46" s="11">
        <v>7</v>
      </c>
      <c r="AK46" s="11">
        <v>58700</v>
      </c>
      <c r="AL46" s="11">
        <v>0</v>
      </c>
      <c r="AM46" s="11">
        <v>6.1999999999999998E-3</v>
      </c>
      <c r="AN46" s="11">
        <v>365841</v>
      </c>
      <c r="AO46" s="11">
        <v>0.7</v>
      </c>
      <c r="AP46" s="11">
        <v>0</v>
      </c>
      <c r="AQ46" s="11">
        <v>72</v>
      </c>
      <c r="AR46" s="11">
        <v>674</v>
      </c>
      <c r="AS46" s="11">
        <v>2037.18</v>
      </c>
      <c r="AT46" s="11">
        <v>0</v>
      </c>
      <c r="AU46" s="11">
        <v>24</v>
      </c>
      <c r="AV46" s="11">
        <v>26</v>
      </c>
      <c r="AW46" s="11">
        <v>61</v>
      </c>
      <c r="AX46" s="11">
        <v>23</v>
      </c>
      <c r="AY46" s="11" t="s">
        <v>684</v>
      </c>
    </row>
    <row r="47" spans="1:51">
      <c r="A47" s="11" t="s">
        <v>201</v>
      </c>
      <c r="B47" s="11" t="s">
        <v>481</v>
      </c>
      <c r="C47" s="11" t="s">
        <v>145</v>
      </c>
      <c r="D47" s="11" t="s">
        <v>517</v>
      </c>
      <c r="E47" s="11" t="s">
        <v>521</v>
      </c>
      <c r="F47" s="150">
        <v>44207</v>
      </c>
      <c r="G47" s="11" t="s">
        <v>121</v>
      </c>
      <c r="H47" s="11">
        <v>0</v>
      </c>
      <c r="I47" s="11">
        <v>5280000</v>
      </c>
      <c r="J47" s="11">
        <v>2675417.88</v>
      </c>
      <c r="K47" s="11">
        <v>0</v>
      </c>
      <c r="L47" s="11">
        <v>83</v>
      </c>
      <c r="M47" s="11">
        <v>65</v>
      </c>
      <c r="N47" s="11">
        <v>2</v>
      </c>
      <c r="O47" s="11">
        <v>85</v>
      </c>
      <c r="P47" s="11">
        <v>20</v>
      </c>
      <c r="Q47" s="11">
        <v>2606804.6</v>
      </c>
      <c r="R47" s="11">
        <v>68613.279999999999</v>
      </c>
      <c r="S47" s="11">
        <v>34</v>
      </c>
      <c r="T47" s="11">
        <v>2</v>
      </c>
      <c r="U47" s="11">
        <v>36</v>
      </c>
      <c r="V47" s="11">
        <v>0</v>
      </c>
      <c r="W47" s="11">
        <v>22</v>
      </c>
      <c r="X47" s="11">
        <v>30</v>
      </c>
      <c r="Y47" s="11">
        <v>286</v>
      </c>
      <c r="Z47" s="11">
        <v>1</v>
      </c>
      <c r="AA47" s="11">
        <v>3</v>
      </c>
      <c r="AB47" s="11">
        <v>0</v>
      </c>
      <c r="AC47" s="11">
        <v>0</v>
      </c>
      <c r="AD47" s="11">
        <v>0</v>
      </c>
      <c r="AE47" s="11">
        <v>0</v>
      </c>
      <c r="AF47" s="11">
        <v>238</v>
      </c>
      <c r="AG47" s="11">
        <v>271</v>
      </c>
      <c r="AH47" s="11">
        <v>67</v>
      </c>
      <c r="AI47" s="11">
        <v>39932</v>
      </c>
      <c r="AJ47" s="11">
        <v>4</v>
      </c>
      <c r="AK47" s="11">
        <v>28500</v>
      </c>
      <c r="AL47" s="11">
        <v>0</v>
      </c>
      <c r="AM47" s="11">
        <v>1.0699999999999999E-2</v>
      </c>
      <c r="AN47" s="11">
        <v>74317</v>
      </c>
      <c r="AO47" s="11">
        <v>0.51</v>
      </c>
      <c r="AP47" s="11">
        <v>0</v>
      </c>
      <c r="AQ47" s="11">
        <v>118</v>
      </c>
      <c r="AR47" s="11">
        <v>791</v>
      </c>
      <c r="AS47" s="11">
        <v>2594.8200000000002</v>
      </c>
      <c r="AT47" s="11">
        <v>2</v>
      </c>
      <c r="AU47" s="11">
        <v>40</v>
      </c>
      <c r="AV47" s="11">
        <v>36</v>
      </c>
      <c r="AW47" s="11">
        <v>32</v>
      </c>
      <c r="AX47" s="11">
        <v>17</v>
      </c>
      <c r="AY47" s="11" t="s">
        <v>684</v>
      </c>
    </row>
    <row r="48" spans="1:51">
      <c r="A48" s="11" t="s">
        <v>118</v>
      </c>
      <c r="B48" s="11" t="s">
        <v>436</v>
      </c>
      <c r="C48" s="11" t="s">
        <v>146</v>
      </c>
      <c r="D48" s="11" t="s">
        <v>499</v>
      </c>
      <c r="E48" s="11" t="s">
        <v>522</v>
      </c>
      <c r="F48" s="150">
        <v>44419</v>
      </c>
      <c r="H48" s="11">
        <v>0</v>
      </c>
      <c r="I48" s="11">
        <v>0</v>
      </c>
      <c r="J48" s="11">
        <v>0</v>
      </c>
      <c r="K48" s="11">
        <v>0</v>
      </c>
      <c r="L48" s="11">
        <v>95</v>
      </c>
      <c r="M48" s="11">
        <v>0</v>
      </c>
      <c r="N48" s="11">
        <v>0</v>
      </c>
      <c r="O48" s="11">
        <v>95</v>
      </c>
      <c r="P48" s="11">
        <v>95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96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31355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95</v>
      </c>
      <c r="AY48" s="150">
        <v>45995</v>
      </c>
    </row>
    <row r="49" spans="1:51">
      <c r="A49" s="11" t="s">
        <v>201</v>
      </c>
      <c r="B49" s="11" t="s">
        <v>431</v>
      </c>
      <c r="C49" s="11" t="s">
        <v>147</v>
      </c>
      <c r="D49" s="11" t="s">
        <v>431</v>
      </c>
      <c r="E49" s="11" t="s">
        <v>523</v>
      </c>
      <c r="F49" s="151">
        <v>44511</v>
      </c>
      <c r="G49" s="11" t="s">
        <v>121</v>
      </c>
      <c r="H49" s="11">
        <v>600000</v>
      </c>
      <c r="I49" s="11">
        <v>5900001</v>
      </c>
      <c r="J49" s="11">
        <v>2789141.14</v>
      </c>
      <c r="K49" s="11">
        <v>1909817.69</v>
      </c>
      <c r="L49" s="11">
        <v>80</v>
      </c>
      <c r="M49" s="11">
        <v>55</v>
      </c>
      <c r="N49" s="11">
        <v>0</v>
      </c>
      <c r="O49" s="11">
        <v>80</v>
      </c>
      <c r="P49" s="11">
        <v>25</v>
      </c>
      <c r="Q49" s="11">
        <v>2789141.14</v>
      </c>
      <c r="R49" s="11">
        <v>0</v>
      </c>
      <c r="S49" s="11">
        <v>24</v>
      </c>
      <c r="T49" s="11">
        <v>0</v>
      </c>
      <c r="U49" s="11">
        <v>24</v>
      </c>
      <c r="V49" s="11">
        <v>12</v>
      </c>
      <c r="W49" s="11">
        <v>2</v>
      </c>
      <c r="X49" s="11">
        <v>2</v>
      </c>
      <c r="Y49" s="11">
        <v>69</v>
      </c>
      <c r="Z49" s="11">
        <v>4</v>
      </c>
      <c r="AA49" s="11">
        <v>17</v>
      </c>
      <c r="AB49" s="11">
        <v>11</v>
      </c>
      <c r="AC49" s="11">
        <v>64</v>
      </c>
      <c r="AD49" s="11">
        <v>1</v>
      </c>
      <c r="AE49" s="11">
        <v>4</v>
      </c>
      <c r="AF49" s="11">
        <v>170</v>
      </c>
      <c r="AG49" s="11">
        <v>257</v>
      </c>
      <c r="AH49" s="11">
        <v>72</v>
      </c>
      <c r="AI49" s="11">
        <v>38738</v>
      </c>
      <c r="AJ49" s="11">
        <v>4</v>
      </c>
      <c r="AK49" s="11">
        <v>31231</v>
      </c>
      <c r="AL49" s="11">
        <v>0</v>
      </c>
      <c r="AM49" s="11">
        <v>1.12E-2</v>
      </c>
      <c r="AN49" s="11">
        <v>116214</v>
      </c>
      <c r="AO49" s="11">
        <v>0.47</v>
      </c>
      <c r="AP49" s="11">
        <v>3.18</v>
      </c>
      <c r="AQ49" s="11">
        <v>58</v>
      </c>
      <c r="AR49" s="11">
        <v>578</v>
      </c>
      <c r="AS49" s="11">
        <v>1884.7</v>
      </c>
      <c r="AT49" s="11">
        <v>0</v>
      </c>
      <c r="AU49" s="11">
        <v>34</v>
      </c>
      <c r="AV49" s="11">
        <v>24</v>
      </c>
      <c r="AW49" s="11">
        <v>33</v>
      </c>
      <c r="AX49" s="11">
        <v>23</v>
      </c>
      <c r="AY49" s="11" t="s">
        <v>684</v>
      </c>
    </row>
    <row r="50" spans="1:51">
      <c r="A50" s="11" t="s">
        <v>124</v>
      </c>
      <c r="B50" s="11" t="s">
        <v>443</v>
      </c>
      <c r="C50" s="11" t="s">
        <v>148</v>
      </c>
      <c r="D50" s="11" t="s">
        <v>517</v>
      </c>
      <c r="E50" s="11" t="s">
        <v>537</v>
      </c>
      <c r="F50" s="150">
        <v>45662</v>
      </c>
      <c r="G50" s="11" t="s">
        <v>124</v>
      </c>
      <c r="H50" s="11">
        <v>0</v>
      </c>
      <c r="I50" s="11">
        <v>3600000</v>
      </c>
      <c r="J50" s="11">
        <v>4069187.45</v>
      </c>
      <c r="K50" s="11">
        <v>0</v>
      </c>
      <c r="L50" s="11">
        <v>99</v>
      </c>
      <c r="M50" s="11">
        <v>72</v>
      </c>
      <c r="N50" s="11">
        <v>7</v>
      </c>
      <c r="O50" s="11">
        <v>106</v>
      </c>
      <c r="P50" s="11">
        <v>34</v>
      </c>
      <c r="Q50" s="11">
        <v>3161019.95</v>
      </c>
      <c r="R50" s="11">
        <v>908167.5</v>
      </c>
      <c r="S50" s="11">
        <v>37</v>
      </c>
      <c r="T50" s="11">
        <v>5</v>
      </c>
      <c r="U50" s="11">
        <v>42</v>
      </c>
      <c r="V50" s="11">
        <v>0</v>
      </c>
      <c r="W50" s="11">
        <v>55</v>
      </c>
      <c r="X50" s="11">
        <v>76</v>
      </c>
      <c r="Y50" s="11">
        <v>126</v>
      </c>
      <c r="Z50" s="11">
        <v>7</v>
      </c>
      <c r="AA50" s="11">
        <v>28</v>
      </c>
      <c r="AB50" s="11">
        <v>1</v>
      </c>
      <c r="AC50" s="11">
        <v>6</v>
      </c>
      <c r="AD50" s="11">
        <v>0</v>
      </c>
      <c r="AE50" s="11">
        <v>0</v>
      </c>
      <c r="AF50" s="11">
        <v>198</v>
      </c>
      <c r="AG50" s="11">
        <v>308</v>
      </c>
      <c r="AH50" s="11">
        <v>65</v>
      </c>
      <c r="AI50" s="11">
        <v>62603</v>
      </c>
      <c r="AJ50" s="11">
        <v>5</v>
      </c>
      <c r="AK50" s="11">
        <v>47173</v>
      </c>
      <c r="AL50" s="11">
        <v>0</v>
      </c>
      <c r="AM50" s="11">
        <v>1.1599999999999999E-2</v>
      </c>
      <c r="AN50" s="11">
        <v>96885</v>
      </c>
      <c r="AO50" s="11">
        <v>1.1299999999999999</v>
      </c>
      <c r="AP50" s="11">
        <v>0</v>
      </c>
      <c r="AQ50" s="11">
        <v>71</v>
      </c>
      <c r="AR50" s="11">
        <v>543</v>
      </c>
      <c r="AS50" s="11">
        <v>1700.97</v>
      </c>
      <c r="AT50" s="11">
        <v>5</v>
      </c>
      <c r="AU50" s="11">
        <v>24</v>
      </c>
      <c r="AV50" s="11">
        <v>42</v>
      </c>
      <c r="AW50" s="11">
        <v>43</v>
      </c>
      <c r="AX50" s="11">
        <v>21</v>
      </c>
      <c r="AY50" s="11" t="s">
        <v>684</v>
      </c>
    </row>
    <row r="51" spans="1:51">
      <c r="A51" s="11" t="s">
        <v>124</v>
      </c>
      <c r="B51" s="11" t="s">
        <v>443</v>
      </c>
      <c r="C51" s="11" t="s">
        <v>149</v>
      </c>
      <c r="D51" s="11" t="s">
        <v>517</v>
      </c>
      <c r="E51" s="11" t="s">
        <v>524</v>
      </c>
      <c r="F51" s="11" t="s">
        <v>707</v>
      </c>
      <c r="G51" s="11" t="s">
        <v>124</v>
      </c>
      <c r="H51" s="11">
        <v>0</v>
      </c>
      <c r="I51" s="11">
        <v>0</v>
      </c>
      <c r="J51" s="11">
        <v>0</v>
      </c>
      <c r="K51" s="11">
        <v>0</v>
      </c>
      <c r="L51" s="11">
        <v>117</v>
      </c>
      <c r="M51" s="11">
        <v>0</v>
      </c>
      <c r="N51" s="11">
        <v>0</v>
      </c>
      <c r="O51" s="11">
        <v>117</v>
      </c>
      <c r="P51" s="11">
        <v>117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128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38000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117</v>
      </c>
      <c r="AY51" s="150">
        <v>45842</v>
      </c>
    </row>
    <row r="52" spans="1:51">
      <c r="A52" s="11" t="s">
        <v>201</v>
      </c>
      <c r="B52" s="11" t="s">
        <v>469</v>
      </c>
      <c r="C52" s="11" t="s">
        <v>150</v>
      </c>
      <c r="D52" s="11" t="s">
        <v>470</v>
      </c>
      <c r="E52" s="11" t="s">
        <v>525</v>
      </c>
      <c r="F52" s="150">
        <v>44869</v>
      </c>
      <c r="G52" s="11" t="s">
        <v>110</v>
      </c>
      <c r="H52" s="11">
        <v>300000</v>
      </c>
      <c r="I52" s="11">
        <v>4899999</v>
      </c>
      <c r="J52" s="11">
        <v>3684195.8</v>
      </c>
      <c r="K52" s="11">
        <v>0</v>
      </c>
      <c r="L52" s="11">
        <v>61</v>
      </c>
      <c r="M52" s="11">
        <v>42</v>
      </c>
      <c r="N52" s="11">
        <v>7</v>
      </c>
      <c r="O52" s="11">
        <v>68</v>
      </c>
      <c r="P52" s="11">
        <v>26</v>
      </c>
      <c r="Q52" s="11">
        <v>2761448.6</v>
      </c>
      <c r="R52" s="11">
        <v>922747.2</v>
      </c>
      <c r="S52" s="11">
        <v>23</v>
      </c>
      <c r="T52" s="11">
        <v>7</v>
      </c>
      <c r="U52" s="11">
        <v>30</v>
      </c>
      <c r="V52" s="11">
        <v>0</v>
      </c>
      <c r="W52" s="11">
        <v>60</v>
      </c>
      <c r="X52" s="11">
        <v>71</v>
      </c>
      <c r="Y52" s="11">
        <v>439</v>
      </c>
      <c r="Z52" s="11">
        <v>1</v>
      </c>
      <c r="AA52" s="11">
        <v>23</v>
      </c>
      <c r="AB52" s="11">
        <v>0</v>
      </c>
      <c r="AC52" s="11">
        <v>0</v>
      </c>
      <c r="AD52" s="11">
        <v>1</v>
      </c>
      <c r="AE52" s="11">
        <v>1</v>
      </c>
      <c r="AF52" s="11">
        <v>220</v>
      </c>
      <c r="AG52" s="11">
        <v>315</v>
      </c>
      <c r="AH52" s="11">
        <v>69</v>
      </c>
      <c r="AI52" s="11">
        <v>53394</v>
      </c>
      <c r="AJ52" s="11">
        <v>5</v>
      </c>
      <c r="AK52" s="11">
        <v>33718</v>
      </c>
      <c r="AL52" s="11">
        <v>0</v>
      </c>
      <c r="AM52" s="11">
        <v>9.1999999999999998E-3</v>
      </c>
      <c r="AN52" s="11">
        <v>122807</v>
      </c>
      <c r="AO52" s="11">
        <v>0.75</v>
      </c>
      <c r="AP52" s="11">
        <v>0</v>
      </c>
      <c r="AQ52" s="11">
        <v>62</v>
      </c>
      <c r="AR52" s="11">
        <v>568</v>
      </c>
      <c r="AS52" s="11">
        <v>2845.85</v>
      </c>
      <c r="AT52" s="11">
        <v>7</v>
      </c>
      <c r="AU52" s="11">
        <v>68</v>
      </c>
      <c r="AV52" s="11">
        <v>30</v>
      </c>
      <c r="AW52" s="11">
        <v>16</v>
      </c>
      <c r="AX52" s="11">
        <v>22</v>
      </c>
      <c r="AY52" s="11" t="s">
        <v>684</v>
      </c>
    </row>
    <row r="53" spans="1:51">
      <c r="A53" s="11" t="s">
        <v>154</v>
      </c>
      <c r="B53" s="11" t="s">
        <v>370</v>
      </c>
      <c r="C53" s="11" t="s">
        <v>151</v>
      </c>
      <c r="D53" s="11" t="s">
        <v>542</v>
      </c>
      <c r="E53" s="11" t="s">
        <v>640</v>
      </c>
      <c r="F53" s="150">
        <v>45662</v>
      </c>
      <c r="G53" s="11" t="s">
        <v>196</v>
      </c>
      <c r="H53" s="11">
        <v>0</v>
      </c>
      <c r="I53" s="11">
        <v>0</v>
      </c>
      <c r="J53" s="11">
        <v>0</v>
      </c>
      <c r="K53" s="11">
        <v>0</v>
      </c>
      <c r="L53" s="11">
        <v>58</v>
      </c>
      <c r="M53" s="11">
        <v>0</v>
      </c>
      <c r="N53" s="11">
        <v>0</v>
      </c>
      <c r="O53" s="11">
        <v>58</v>
      </c>
      <c r="P53" s="11">
        <v>58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99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50860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58</v>
      </c>
      <c r="AY53" s="11" t="s">
        <v>708</v>
      </c>
    </row>
    <row r="54" spans="1:51">
      <c r="A54" s="11" t="s">
        <v>136</v>
      </c>
      <c r="B54" s="11" t="s">
        <v>653</v>
      </c>
      <c r="C54" s="11" t="s">
        <v>152</v>
      </c>
      <c r="D54" s="11" t="s">
        <v>421</v>
      </c>
      <c r="E54" s="11" t="s">
        <v>526</v>
      </c>
      <c r="F54" s="150">
        <v>44625</v>
      </c>
      <c r="G54" s="11" t="s">
        <v>136</v>
      </c>
      <c r="H54" s="11">
        <v>999999</v>
      </c>
      <c r="I54" s="11">
        <v>6000000</v>
      </c>
      <c r="J54" s="11">
        <v>3658236.68</v>
      </c>
      <c r="K54" s="11">
        <v>0</v>
      </c>
      <c r="L54" s="11">
        <v>30</v>
      </c>
      <c r="M54" s="11">
        <v>0</v>
      </c>
      <c r="N54" s="11">
        <v>0</v>
      </c>
      <c r="O54" s="11">
        <v>30</v>
      </c>
      <c r="P54" s="11">
        <v>30</v>
      </c>
      <c r="Q54" s="11">
        <v>3658236.68</v>
      </c>
      <c r="R54" s="11">
        <v>0</v>
      </c>
      <c r="S54" s="11">
        <v>9</v>
      </c>
      <c r="T54" s="11">
        <v>0</v>
      </c>
      <c r="U54" s="11">
        <v>9</v>
      </c>
      <c r="V54" s="11">
        <v>0</v>
      </c>
      <c r="W54" s="11">
        <v>0</v>
      </c>
      <c r="X54" s="11">
        <v>0</v>
      </c>
      <c r="Y54" s="11">
        <v>107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34394</v>
      </c>
      <c r="AL54" s="11">
        <v>0</v>
      </c>
      <c r="AM54" s="11">
        <v>9.4000000000000004E-3</v>
      </c>
      <c r="AN54" s="11">
        <v>406471</v>
      </c>
      <c r="AO54" s="11">
        <v>0.61</v>
      </c>
      <c r="AP54" s="11">
        <v>0</v>
      </c>
      <c r="AQ54" s="11">
        <v>20</v>
      </c>
      <c r="AR54" s="11">
        <v>0</v>
      </c>
      <c r="AS54" s="11">
        <v>0</v>
      </c>
      <c r="AT54" s="11">
        <v>0</v>
      </c>
      <c r="AU54" s="11">
        <v>0</v>
      </c>
      <c r="AV54" s="11">
        <v>9</v>
      </c>
      <c r="AW54" s="11">
        <v>0</v>
      </c>
      <c r="AX54" s="11">
        <v>21</v>
      </c>
      <c r="AY54" s="11" t="s">
        <v>684</v>
      </c>
    </row>
    <row r="55" spans="1:51">
      <c r="A55" s="11" t="s">
        <v>124</v>
      </c>
      <c r="B55" s="11" t="s">
        <v>443</v>
      </c>
      <c r="C55" s="11" t="s">
        <v>153</v>
      </c>
      <c r="D55" s="11" t="s">
        <v>517</v>
      </c>
      <c r="E55" s="11" t="s">
        <v>527</v>
      </c>
      <c r="F55" s="11" t="s">
        <v>709</v>
      </c>
      <c r="G55" s="11" t="s">
        <v>142</v>
      </c>
      <c r="H55" s="11">
        <v>0</v>
      </c>
      <c r="I55" s="11">
        <v>3600000</v>
      </c>
      <c r="J55" s="11">
        <v>3092282.95</v>
      </c>
      <c r="K55" s="11">
        <v>0</v>
      </c>
      <c r="L55" s="11">
        <v>81</v>
      </c>
      <c r="M55" s="11">
        <v>58</v>
      </c>
      <c r="N55" s="11">
        <v>1</v>
      </c>
      <c r="O55" s="11">
        <v>82</v>
      </c>
      <c r="P55" s="11">
        <v>24</v>
      </c>
      <c r="Q55" s="11">
        <v>3040562.31</v>
      </c>
      <c r="R55" s="11">
        <v>51720.639999999999</v>
      </c>
      <c r="S55" s="11">
        <v>23</v>
      </c>
      <c r="T55" s="11">
        <v>1</v>
      </c>
      <c r="U55" s="11">
        <v>24</v>
      </c>
      <c r="V55" s="11">
        <v>0</v>
      </c>
      <c r="W55" s="11">
        <v>9</v>
      </c>
      <c r="X55" s="11">
        <v>9</v>
      </c>
      <c r="Y55" s="11">
        <v>286</v>
      </c>
      <c r="Z55" s="11">
        <v>1</v>
      </c>
      <c r="AA55" s="11">
        <v>1</v>
      </c>
      <c r="AB55" s="11">
        <v>0</v>
      </c>
      <c r="AC55" s="11">
        <v>0</v>
      </c>
      <c r="AD55" s="11">
        <v>0</v>
      </c>
      <c r="AE55" s="11">
        <v>0</v>
      </c>
      <c r="AF55" s="11">
        <v>275</v>
      </c>
      <c r="AG55" s="11">
        <v>285</v>
      </c>
      <c r="AH55" s="11">
        <v>69</v>
      </c>
      <c r="AI55" s="11">
        <v>44816</v>
      </c>
      <c r="AJ55" s="11">
        <v>4</v>
      </c>
      <c r="AK55" s="11">
        <v>36720</v>
      </c>
      <c r="AL55" s="11">
        <v>0</v>
      </c>
      <c r="AM55" s="11">
        <v>1.1900000000000001E-2</v>
      </c>
      <c r="AN55" s="11">
        <v>128845</v>
      </c>
      <c r="AO55" s="11">
        <v>0.86</v>
      </c>
      <c r="AP55" s="11">
        <v>0</v>
      </c>
      <c r="AQ55" s="11">
        <v>95</v>
      </c>
      <c r="AR55" s="11">
        <v>611</v>
      </c>
      <c r="AS55" s="11">
        <v>3048.93</v>
      </c>
      <c r="AT55" s="11">
        <v>1</v>
      </c>
      <c r="AU55" s="11">
        <v>53</v>
      </c>
      <c r="AV55" s="11">
        <v>24</v>
      </c>
      <c r="AW55" s="11">
        <v>34</v>
      </c>
      <c r="AX55" s="11">
        <v>24</v>
      </c>
      <c r="AY55" s="11" t="s">
        <v>684</v>
      </c>
    </row>
    <row r="56" spans="1:51">
      <c r="A56" s="11" t="s">
        <v>108</v>
      </c>
      <c r="B56" s="11" t="s">
        <v>465</v>
      </c>
      <c r="C56" s="11" t="s">
        <v>156</v>
      </c>
      <c r="D56" s="11" t="s">
        <v>506</v>
      </c>
      <c r="E56" s="11" t="s">
        <v>461</v>
      </c>
      <c r="F56" s="150">
        <v>44900</v>
      </c>
      <c r="G56" s="11" t="s">
        <v>317</v>
      </c>
      <c r="H56" s="11">
        <v>0</v>
      </c>
      <c r="I56" s="11">
        <v>4500000</v>
      </c>
      <c r="J56" s="11">
        <v>3384743.4</v>
      </c>
      <c r="K56" s="11">
        <v>0</v>
      </c>
      <c r="L56" s="11">
        <v>77</v>
      </c>
      <c r="M56" s="11">
        <v>48</v>
      </c>
      <c r="N56" s="11">
        <v>0</v>
      </c>
      <c r="O56" s="11">
        <v>77</v>
      </c>
      <c r="P56" s="11">
        <v>29</v>
      </c>
      <c r="Q56" s="11">
        <v>3384743.4</v>
      </c>
      <c r="R56" s="11">
        <v>0</v>
      </c>
      <c r="S56" s="11">
        <v>20</v>
      </c>
      <c r="T56" s="11">
        <v>0</v>
      </c>
      <c r="U56" s="11">
        <v>20</v>
      </c>
      <c r="V56" s="11">
        <v>0</v>
      </c>
      <c r="W56" s="11">
        <v>20</v>
      </c>
      <c r="X56" s="11">
        <v>62</v>
      </c>
      <c r="Y56" s="11">
        <v>39</v>
      </c>
      <c r="Z56" s="11">
        <v>1</v>
      </c>
      <c r="AA56" s="11"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v>313</v>
      </c>
      <c r="AG56" s="11">
        <v>382</v>
      </c>
      <c r="AH56" s="11">
        <v>67</v>
      </c>
      <c r="AI56" s="11">
        <v>50519</v>
      </c>
      <c r="AJ56" s="11">
        <v>6</v>
      </c>
      <c r="AK56" s="11">
        <v>34025</v>
      </c>
      <c r="AL56" s="11">
        <v>0</v>
      </c>
      <c r="AM56" s="11">
        <v>1.01E-2</v>
      </c>
      <c r="AN56" s="11">
        <v>169237</v>
      </c>
      <c r="AO56" s="11">
        <v>0.75</v>
      </c>
      <c r="AP56" s="11">
        <v>0</v>
      </c>
      <c r="AQ56" s="11">
        <v>51</v>
      </c>
      <c r="AR56" s="11">
        <v>660</v>
      </c>
      <c r="AS56" s="11">
        <v>2022.17</v>
      </c>
      <c r="AT56" s="11">
        <v>0</v>
      </c>
      <c r="AU56" s="11">
        <v>42</v>
      </c>
      <c r="AV56" s="11">
        <v>20</v>
      </c>
      <c r="AW56" s="11">
        <v>28</v>
      </c>
      <c r="AX56" s="11">
        <v>29</v>
      </c>
      <c r="AY56" s="11" t="s">
        <v>684</v>
      </c>
    </row>
    <row r="57" spans="1:51">
      <c r="A57" s="11" t="s">
        <v>118</v>
      </c>
      <c r="B57" s="11" t="s">
        <v>375</v>
      </c>
      <c r="C57" s="11" t="s">
        <v>157</v>
      </c>
      <c r="D57" s="11" t="s">
        <v>473</v>
      </c>
      <c r="E57" s="11" t="s">
        <v>502</v>
      </c>
      <c r="F57" s="150">
        <v>44568</v>
      </c>
      <c r="H57" s="11">
        <v>0</v>
      </c>
      <c r="I57" s="11">
        <v>3600000</v>
      </c>
      <c r="J57" s="11">
        <v>690031.88</v>
      </c>
      <c r="K57" s="11">
        <v>0</v>
      </c>
      <c r="L57" s="11">
        <v>75</v>
      </c>
      <c r="M57" s="11">
        <v>70</v>
      </c>
      <c r="N57" s="11">
        <v>0</v>
      </c>
      <c r="O57" s="11">
        <v>75</v>
      </c>
      <c r="P57" s="11">
        <v>5</v>
      </c>
      <c r="Q57" s="11">
        <v>690031.88</v>
      </c>
      <c r="R57" s="11">
        <v>0</v>
      </c>
      <c r="S57" s="11">
        <v>21</v>
      </c>
      <c r="T57" s="11">
        <v>0</v>
      </c>
      <c r="U57" s="11">
        <v>21</v>
      </c>
      <c r="V57" s="11">
        <v>0</v>
      </c>
      <c r="W57" s="11">
        <v>6</v>
      </c>
      <c r="X57" s="11">
        <v>6</v>
      </c>
      <c r="Y57" s="11">
        <v>167</v>
      </c>
      <c r="Z57" s="11">
        <v>2</v>
      </c>
      <c r="AA57" s="11">
        <v>6</v>
      </c>
      <c r="AB57" s="11">
        <v>0</v>
      </c>
      <c r="AC57" s="11">
        <v>0</v>
      </c>
      <c r="AD57" s="11">
        <v>0</v>
      </c>
      <c r="AE57" s="11">
        <v>0</v>
      </c>
      <c r="AF57" s="11">
        <v>281</v>
      </c>
      <c r="AG57" s="11">
        <v>293</v>
      </c>
      <c r="AH57" s="11">
        <v>72</v>
      </c>
      <c r="AI57" s="11">
        <v>9584</v>
      </c>
      <c r="AJ57" s="11">
        <v>4</v>
      </c>
      <c r="AK57" s="11">
        <v>30425</v>
      </c>
      <c r="AL57" s="11">
        <v>0</v>
      </c>
      <c r="AM57" s="11">
        <v>4.41E-2</v>
      </c>
      <c r="AN57" s="11">
        <v>32859</v>
      </c>
      <c r="AO57" s="11">
        <v>0.19</v>
      </c>
      <c r="AP57" s="11">
        <v>0</v>
      </c>
      <c r="AQ57" s="11">
        <v>41</v>
      </c>
      <c r="AR57" s="11">
        <v>830</v>
      </c>
      <c r="AS57" s="11">
        <v>3035.69</v>
      </c>
      <c r="AT57" s="11">
        <v>0</v>
      </c>
      <c r="AU57" s="11">
        <v>43</v>
      </c>
      <c r="AV57" s="11">
        <v>21</v>
      </c>
      <c r="AW57" s="11">
        <v>49</v>
      </c>
      <c r="AX57" s="11">
        <v>5</v>
      </c>
      <c r="AY57" s="11" t="s">
        <v>684</v>
      </c>
    </row>
    <row r="58" spans="1:51">
      <c r="A58" s="11" t="s">
        <v>117</v>
      </c>
      <c r="B58" s="11" t="s">
        <v>450</v>
      </c>
      <c r="C58" s="11" t="s">
        <v>158</v>
      </c>
      <c r="D58" s="11" t="s">
        <v>482</v>
      </c>
      <c r="E58" s="11" t="s">
        <v>628</v>
      </c>
      <c r="F58" s="151">
        <v>45638</v>
      </c>
      <c r="G58" s="11" t="s">
        <v>117</v>
      </c>
      <c r="H58" s="11">
        <v>0</v>
      </c>
      <c r="I58" s="11">
        <v>3125001</v>
      </c>
      <c r="J58" s="11">
        <v>44594</v>
      </c>
      <c r="K58" s="11">
        <v>0</v>
      </c>
      <c r="L58" s="11">
        <v>101</v>
      </c>
      <c r="M58" s="11">
        <v>7</v>
      </c>
      <c r="N58" s="11">
        <v>0</v>
      </c>
      <c r="O58" s="11">
        <v>101</v>
      </c>
      <c r="P58" s="11">
        <v>94</v>
      </c>
      <c r="Q58" s="11">
        <v>44594</v>
      </c>
      <c r="R58" s="11">
        <v>0</v>
      </c>
      <c r="S58" s="11">
        <v>6</v>
      </c>
      <c r="T58" s="11">
        <v>0</v>
      </c>
      <c r="U58" s="11">
        <v>6</v>
      </c>
      <c r="V58" s="11">
        <v>0</v>
      </c>
      <c r="W58" s="11">
        <v>80</v>
      </c>
      <c r="X58" s="11">
        <v>119</v>
      </c>
      <c r="Y58" s="11">
        <v>262</v>
      </c>
      <c r="Z58" s="11">
        <v>2</v>
      </c>
      <c r="AA58" s="11">
        <v>15</v>
      </c>
      <c r="AB58" s="11">
        <v>0</v>
      </c>
      <c r="AC58" s="11">
        <v>0</v>
      </c>
      <c r="AD58" s="11">
        <v>0</v>
      </c>
      <c r="AE58" s="11">
        <v>0</v>
      </c>
      <c r="AF58" s="11">
        <v>10</v>
      </c>
      <c r="AG58" s="11">
        <v>144</v>
      </c>
      <c r="AH58" s="11">
        <v>56</v>
      </c>
      <c r="AI58" s="11">
        <v>796</v>
      </c>
      <c r="AJ58" s="11">
        <v>3</v>
      </c>
      <c r="AK58" s="11">
        <v>47720</v>
      </c>
      <c r="AL58" s="11">
        <v>0</v>
      </c>
      <c r="AM58" s="11">
        <v>1.0701000000000001</v>
      </c>
      <c r="AN58" s="11">
        <v>7432</v>
      </c>
      <c r="AO58" s="11">
        <v>0.01</v>
      </c>
      <c r="AP58" s="11">
        <v>0</v>
      </c>
      <c r="AQ58" s="11">
        <v>7</v>
      </c>
      <c r="AR58" s="11">
        <v>649</v>
      </c>
      <c r="AS58" s="11">
        <v>2775.07</v>
      </c>
      <c r="AT58" s="11">
        <v>0</v>
      </c>
      <c r="AU58" s="11">
        <v>396</v>
      </c>
      <c r="AV58" s="11">
        <v>6</v>
      </c>
      <c r="AW58" s="11">
        <v>7</v>
      </c>
      <c r="AX58" s="11">
        <v>88</v>
      </c>
      <c r="AY58" s="11" t="s">
        <v>684</v>
      </c>
    </row>
    <row r="59" spans="1:51">
      <c r="A59" s="11" t="s">
        <v>201</v>
      </c>
      <c r="B59" s="11" t="s">
        <v>469</v>
      </c>
      <c r="C59" s="11" t="s">
        <v>159</v>
      </c>
      <c r="D59" s="11" t="s">
        <v>470</v>
      </c>
      <c r="E59" s="11" t="s">
        <v>528</v>
      </c>
      <c r="F59" s="150">
        <v>44570</v>
      </c>
      <c r="G59" s="11" t="s">
        <v>110</v>
      </c>
      <c r="H59" s="11">
        <v>0</v>
      </c>
      <c r="I59" s="11">
        <v>0</v>
      </c>
      <c r="J59" s="11">
        <v>0</v>
      </c>
      <c r="K59" s="11">
        <v>0</v>
      </c>
      <c r="L59" s="11">
        <v>79</v>
      </c>
      <c r="M59" s="11">
        <v>0</v>
      </c>
      <c r="N59" s="11">
        <v>3</v>
      </c>
      <c r="O59" s="11">
        <v>82</v>
      </c>
      <c r="P59" s="11">
        <v>82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372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31260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82</v>
      </c>
      <c r="AY59" s="11" t="s">
        <v>710</v>
      </c>
    </row>
    <row r="60" spans="1:51">
      <c r="A60" s="11" t="s">
        <v>120</v>
      </c>
      <c r="B60" s="11" t="s">
        <v>206</v>
      </c>
      <c r="C60" s="11" t="s">
        <v>139</v>
      </c>
      <c r="D60" s="11" t="s">
        <v>206</v>
      </c>
      <c r="E60" s="11" t="s">
        <v>141</v>
      </c>
      <c r="F60" s="150">
        <v>44690</v>
      </c>
      <c r="G60" s="11" t="s">
        <v>120</v>
      </c>
      <c r="H60" s="11">
        <v>0</v>
      </c>
      <c r="I60" s="11">
        <v>5400000</v>
      </c>
      <c r="J60" s="11">
        <v>5510287.46</v>
      </c>
      <c r="K60" s="11">
        <v>0</v>
      </c>
      <c r="L60" s="11">
        <v>103</v>
      </c>
      <c r="M60" s="11">
        <v>82</v>
      </c>
      <c r="N60" s="11">
        <v>2</v>
      </c>
      <c r="O60" s="11">
        <v>105</v>
      </c>
      <c r="P60" s="11">
        <v>23</v>
      </c>
      <c r="Q60" s="11">
        <v>5071554.07</v>
      </c>
      <c r="R60" s="11">
        <v>438733.39</v>
      </c>
      <c r="S60" s="11">
        <v>66</v>
      </c>
      <c r="T60" s="11">
        <v>2</v>
      </c>
      <c r="U60" s="11">
        <v>68</v>
      </c>
      <c r="V60" s="11">
        <v>0</v>
      </c>
      <c r="W60" s="11">
        <v>16</v>
      </c>
      <c r="X60" s="11">
        <v>29</v>
      </c>
      <c r="Y60" s="11">
        <v>203</v>
      </c>
      <c r="Z60" s="11">
        <v>6</v>
      </c>
      <c r="AA60" s="11">
        <v>61</v>
      </c>
      <c r="AB60" s="11">
        <v>0</v>
      </c>
      <c r="AC60" s="11">
        <v>0</v>
      </c>
      <c r="AD60" s="11">
        <v>0</v>
      </c>
      <c r="AE60" s="11">
        <v>0</v>
      </c>
      <c r="AF60" s="11">
        <v>403</v>
      </c>
      <c r="AG60" s="11">
        <v>493</v>
      </c>
      <c r="AH60" s="11">
        <v>73</v>
      </c>
      <c r="AI60" s="11">
        <v>75483</v>
      </c>
      <c r="AJ60" s="11">
        <v>7</v>
      </c>
      <c r="AK60" s="11">
        <v>33717</v>
      </c>
      <c r="AL60" s="11">
        <v>0</v>
      </c>
      <c r="AM60" s="11">
        <v>6.1000000000000004E-3</v>
      </c>
      <c r="AN60" s="11">
        <v>81034</v>
      </c>
      <c r="AO60" s="11">
        <v>1.02</v>
      </c>
      <c r="AP60" s="11">
        <v>0</v>
      </c>
      <c r="AQ60" s="11">
        <v>222</v>
      </c>
      <c r="AR60" s="11">
        <v>682</v>
      </c>
      <c r="AS60" s="11">
        <v>1794.08</v>
      </c>
      <c r="AT60" s="11">
        <v>2</v>
      </c>
      <c r="AU60" s="11">
        <v>22</v>
      </c>
      <c r="AV60" s="11">
        <v>68</v>
      </c>
      <c r="AW60" s="11">
        <v>19</v>
      </c>
      <c r="AX60" s="11">
        <v>18</v>
      </c>
      <c r="AY60" s="11" t="s">
        <v>684</v>
      </c>
    </row>
    <row r="61" spans="1:51">
      <c r="A61" s="11" t="s">
        <v>124</v>
      </c>
      <c r="B61" s="11" t="s">
        <v>443</v>
      </c>
      <c r="C61" s="11" t="s">
        <v>162</v>
      </c>
      <c r="D61" s="11" t="s">
        <v>517</v>
      </c>
      <c r="E61" s="11" t="s">
        <v>503</v>
      </c>
      <c r="F61" s="11" t="s">
        <v>711</v>
      </c>
      <c r="G61" s="11" t="s">
        <v>124</v>
      </c>
      <c r="H61" s="11">
        <v>0</v>
      </c>
      <c r="I61" s="11">
        <v>5400000</v>
      </c>
      <c r="J61" s="11">
        <v>3809241.5</v>
      </c>
      <c r="K61" s="11">
        <v>0</v>
      </c>
      <c r="L61" s="11">
        <v>98</v>
      </c>
      <c r="M61" s="11">
        <v>81</v>
      </c>
      <c r="N61" s="11">
        <v>3</v>
      </c>
      <c r="O61" s="11">
        <v>101</v>
      </c>
      <c r="P61" s="11">
        <v>20</v>
      </c>
      <c r="Q61" s="11">
        <v>3809241.5</v>
      </c>
      <c r="R61" s="11">
        <v>0</v>
      </c>
      <c r="S61" s="11">
        <v>39</v>
      </c>
      <c r="T61" s="11">
        <v>0</v>
      </c>
      <c r="U61" s="11">
        <v>39</v>
      </c>
      <c r="V61" s="11">
        <v>0</v>
      </c>
      <c r="W61" s="11">
        <v>14</v>
      </c>
      <c r="X61" s="11">
        <v>24</v>
      </c>
      <c r="Y61" s="11">
        <v>168</v>
      </c>
      <c r="Z61" s="11">
        <v>1</v>
      </c>
      <c r="AA61" s="11">
        <v>20</v>
      </c>
      <c r="AB61" s="11">
        <v>1</v>
      </c>
      <c r="AC61" s="11">
        <v>1</v>
      </c>
      <c r="AD61" s="11">
        <v>0</v>
      </c>
      <c r="AE61" s="11">
        <v>0</v>
      </c>
      <c r="AF61" s="11">
        <v>342</v>
      </c>
      <c r="AG61" s="11">
        <v>387</v>
      </c>
      <c r="AH61" s="11">
        <v>73</v>
      </c>
      <c r="AI61" s="11">
        <v>52181</v>
      </c>
      <c r="AJ61" s="11">
        <v>5</v>
      </c>
      <c r="AK61" s="11">
        <v>45000</v>
      </c>
      <c r="AL61" s="11">
        <v>0</v>
      </c>
      <c r="AM61" s="11">
        <v>1.18E-2</v>
      </c>
      <c r="AN61" s="11">
        <v>97673</v>
      </c>
      <c r="AO61" s="11">
        <v>0.71</v>
      </c>
      <c r="AP61" s="11">
        <v>0</v>
      </c>
      <c r="AQ61" s="11">
        <v>105</v>
      </c>
      <c r="AR61" s="11">
        <v>765</v>
      </c>
      <c r="AS61" s="11">
        <v>3101.82</v>
      </c>
      <c r="AT61" s="11">
        <v>0</v>
      </c>
      <c r="AU61" s="11">
        <v>38</v>
      </c>
      <c r="AV61" s="11">
        <v>39</v>
      </c>
      <c r="AW61" s="11">
        <v>42</v>
      </c>
      <c r="AX61" s="11">
        <v>20</v>
      </c>
      <c r="AY61" s="11" t="s">
        <v>684</v>
      </c>
    </row>
    <row r="62" spans="1:51">
      <c r="A62" s="11" t="s">
        <v>201</v>
      </c>
      <c r="B62" s="11" t="s">
        <v>431</v>
      </c>
      <c r="C62" s="11" t="s">
        <v>164</v>
      </c>
      <c r="D62" s="11" t="s">
        <v>431</v>
      </c>
      <c r="E62" s="11" t="s">
        <v>531</v>
      </c>
      <c r="F62" s="11" t="s">
        <v>712</v>
      </c>
      <c r="H62" s="11">
        <v>0</v>
      </c>
      <c r="I62" s="11">
        <v>5000001</v>
      </c>
      <c r="J62" s="11">
        <v>5705001.3200000003</v>
      </c>
      <c r="K62" s="11">
        <v>204300.69</v>
      </c>
      <c r="L62" s="11">
        <v>266</v>
      </c>
      <c r="M62" s="11">
        <v>154</v>
      </c>
      <c r="N62" s="11">
        <v>5</v>
      </c>
      <c r="O62" s="11">
        <v>271</v>
      </c>
      <c r="P62" s="11">
        <v>117</v>
      </c>
      <c r="Q62" s="11">
        <v>5548764.1600000001</v>
      </c>
      <c r="R62" s="11">
        <v>156237.16</v>
      </c>
      <c r="S62" s="11">
        <v>125</v>
      </c>
      <c r="T62" s="11">
        <v>5</v>
      </c>
      <c r="U62" s="11">
        <v>130</v>
      </c>
      <c r="V62" s="11">
        <v>1</v>
      </c>
      <c r="W62" s="11">
        <v>14</v>
      </c>
      <c r="X62" s="11">
        <v>17</v>
      </c>
      <c r="Y62" s="11">
        <v>158</v>
      </c>
      <c r="Z62" s="11">
        <v>2</v>
      </c>
      <c r="AA62" s="11">
        <v>54</v>
      </c>
      <c r="AB62" s="11">
        <v>1</v>
      </c>
      <c r="AC62" s="11">
        <v>3</v>
      </c>
      <c r="AD62" s="11">
        <v>0</v>
      </c>
      <c r="AE62" s="11">
        <v>0</v>
      </c>
      <c r="AF62" s="11">
        <v>433</v>
      </c>
      <c r="AG62" s="11">
        <v>507</v>
      </c>
      <c r="AH62" s="11">
        <v>76</v>
      </c>
      <c r="AI62" s="11">
        <v>75066</v>
      </c>
      <c r="AJ62" s="11">
        <v>7</v>
      </c>
      <c r="AK62" s="11">
        <v>27951</v>
      </c>
      <c r="AL62" s="11">
        <v>0</v>
      </c>
      <c r="AM62" s="11">
        <v>4.8999999999999998E-3</v>
      </c>
      <c r="AN62" s="11">
        <v>43885</v>
      </c>
      <c r="AO62" s="11">
        <v>1.1399999999999999</v>
      </c>
      <c r="AP62" s="11">
        <v>0</v>
      </c>
      <c r="AQ62" s="11">
        <v>292</v>
      </c>
      <c r="AR62" s="11">
        <v>515</v>
      </c>
      <c r="AS62" s="11">
        <v>2387.63</v>
      </c>
      <c r="AT62" s="11">
        <v>5</v>
      </c>
      <c r="AU62" s="11">
        <v>16</v>
      </c>
      <c r="AV62" s="11">
        <v>130</v>
      </c>
      <c r="AW62" s="11">
        <v>55</v>
      </c>
      <c r="AX62" s="11">
        <v>86</v>
      </c>
      <c r="AY62" s="11" t="s">
        <v>684</v>
      </c>
    </row>
    <row r="63" spans="1:51">
      <c r="A63" s="11" t="s">
        <v>117</v>
      </c>
      <c r="B63" s="11" t="s">
        <v>450</v>
      </c>
      <c r="C63" s="11" t="s">
        <v>165</v>
      </c>
      <c r="D63" s="11" t="s">
        <v>482</v>
      </c>
      <c r="E63" s="11" t="s">
        <v>532</v>
      </c>
      <c r="F63" s="150">
        <v>44958</v>
      </c>
      <c r="G63" s="11" t="s">
        <v>117</v>
      </c>
      <c r="H63" s="11">
        <v>0</v>
      </c>
      <c r="I63" s="11">
        <v>0</v>
      </c>
      <c r="J63" s="11">
        <v>0</v>
      </c>
      <c r="K63" s="11">
        <v>0</v>
      </c>
      <c r="L63" s="11">
        <v>85</v>
      </c>
      <c r="M63" s="11">
        <v>0</v>
      </c>
      <c r="N63" s="11">
        <v>4</v>
      </c>
      <c r="O63" s="11">
        <v>89</v>
      </c>
      <c r="P63" s="11">
        <v>89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226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49500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89</v>
      </c>
      <c r="AY63" s="151">
        <v>45941</v>
      </c>
    </row>
    <row r="64" spans="1:51">
      <c r="A64" s="11" t="s">
        <v>118</v>
      </c>
      <c r="B64" s="11" t="s">
        <v>375</v>
      </c>
      <c r="C64" s="11" t="s">
        <v>166</v>
      </c>
      <c r="D64" s="11" t="s">
        <v>473</v>
      </c>
      <c r="E64" s="11" t="s">
        <v>508</v>
      </c>
      <c r="F64" s="11" t="s">
        <v>713</v>
      </c>
      <c r="H64" s="11">
        <v>0</v>
      </c>
      <c r="I64" s="11">
        <v>4200000</v>
      </c>
      <c r="J64" s="11">
        <v>1687192.98</v>
      </c>
      <c r="K64" s="11">
        <v>0</v>
      </c>
      <c r="L64" s="11">
        <v>142</v>
      </c>
      <c r="M64" s="11">
        <v>124</v>
      </c>
      <c r="N64" s="11">
        <v>0</v>
      </c>
      <c r="O64" s="11">
        <v>142</v>
      </c>
      <c r="P64" s="11">
        <v>18</v>
      </c>
      <c r="Q64" s="11">
        <v>1687192.98</v>
      </c>
      <c r="R64" s="11">
        <v>0</v>
      </c>
      <c r="S64" s="11">
        <v>69</v>
      </c>
      <c r="T64" s="11">
        <v>0</v>
      </c>
      <c r="U64" s="11">
        <v>69</v>
      </c>
      <c r="V64" s="11">
        <v>0</v>
      </c>
      <c r="W64" s="11">
        <v>0</v>
      </c>
      <c r="X64" s="11">
        <v>0</v>
      </c>
      <c r="Y64" s="11">
        <v>45</v>
      </c>
      <c r="Z64" s="11">
        <v>1</v>
      </c>
      <c r="AA64" s="11">
        <v>2</v>
      </c>
      <c r="AB64" s="11">
        <v>0</v>
      </c>
      <c r="AC64" s="11">
        <v>0</v>
      </c>
      <c r="AD64" s="11">
        <v>0</v>
      </c>
      <c r="AE64" s="11">
        <v>0</v>
      </c>
      <c r="AF64" s="11">
        <v>489</v>
      </c>
      <c r="AG64" s="11">
        <v>491</v>
      </c>
      <c r="AH64" s="11">
        <v>69</v>
      </c>
      <c r="AI64" s="11">
        <v>24452</v>
      </c>
      <c r="AJ64" s="11">
        <v>7</v>
      </c>
      <c r="AK64" s="11">
        <v>31778</v>
      </c>
      <c r="AL64" s="11">
        <v>0</v>
      </c>
      <c r="AM64" s="11">
        <v>1.8800000000000001E-2</v>
      </c>
      <c r="AN64" s="11">
        <v>24452</v>
      </c>
      <c r="AO64" s="11">
        <v>0.4</v>
      </c>
      <c r="AP64" s="11">
        <v>0</v>
      </c>
      <c r="AQ64" s="11">
        <v>155</v>
      </c>
      <c r="AR64" s="11">
        <v>746</v>
      </c>
      <c r="AS64" s="11">
        <v>2280.11</v>
      </c>
      <c r="AT64" s="11">
        <v>0</v>
      </c>
      <c r="AU64" s="11">
        <v>18</v>
      </c>
      <c r="AV64" s="11">
        <v>69</v>
      </c>
      <c r="AW64" s="11">
        <v>55</v>
      </c>
      <c r="AX64" s="11">
        <v>18</v>
      </c>
      <c r="AY64" s="11" t="s">
        <v>684</v>
      </c>
    </row>
    <row r="65" spans="1:51">
      <c r="A65" s="11" t="s">
        <v>118</v>
      </c>
      <c r="B65" s="11" t="s">
        <v>362</v>
      </c>
      <c r="C65" s="11" t="s">
        <v>167</v>
      </c>
      <c r="D65" s="11" t="s">
        <v>419</v>
      </c>
      <c r="E65" s="11" t="s">
        <v>533</v>
      </c>
      <c r="F65" s="150">
        <v>44928</v>
      </c>
      <c r="G65" s="11" t="s">
        <v>67</v>
      </c>
      <c r="H65" s="11">
        <v>0</v>
      </c>
      <c r="I65" s="11">
        <v>12000000</v>
      </c>
      <c r="J65" s="11">
        <v>16772388.15</v>
      </c>
      <c r="K65" s="11">
        <v>0</v>
      </c>
      <c r="L65" s="11">
        <v>72</v>
      </c>
      <c r="M65" s="11">
        <v>67</v>
      </c>
      <c r="N65" s="11">
        <v>0</v>
      </c>
      <c r="O65" s="11">
        <v>72</v>
      </c>
      <c r="P65" s="11">
        <v>5</v>
      </c>
      <c r="Q65" s="11">
        <v>16772388.15</v>
      </c>
      <c r="R65" s="11">
        <v>0</v>
      </c>
      <c r="S65" s="11">
        <v>50</v>
      </c>
      <c r="T65" s="11">
        <v>0</v>
      </c>
      <c r="U65" s="11">
        <v>50</v>
      </c>
      <c r="V65" s="11">
        <v>0</v>
      </c>
      <c r="W65" s="11">
        <v>0</v>
      </c>
      <c r="X65" s="11">
        <v>0</v>
      </c>
      <c r="Y65" s="11">
        <v>61</v>
      </c>
      <c r="Z65" s="11">
        <v>2</v>
      </c>
      <c r="AA65" s="11">
        <v>7</v>
      </c>
      <c r="AB65" s="11">
        <v>0</v>
      </c>
      <c r="AC65" s="11">
        <v>0</v>
      </c>
      <c r="AD65" s="11">
        <v>0</v>
      </c>
      <c r="AE65" s="11">
        <v>0</v>
      </c>
      <c r="AF65" s="11">
        <v>315</v>
      </c>
      <c r="AG65" s="11">
        <v>322</v>
      </c>
      <c r="AH65" s="11">
        <v>74</v>
      </c>
      <c r="AI65" s="11">
        <v>226654</v>
      </c>
      <c r="AJ65" s="11">
        <v>4</v>
      </c>
      <c r="AK65" s="11">
        <v>24116</v>
      </c>
      <c r="AL65" s="11">
        <v>0</v>
      </c>
      <c r="AM65" s="11">
        <v>1.4E-3</v>
      </c>
      <c r="AN65" s="11">
        <v>335448</v>
      </c>
      <c r="AO65" s="11">
        <v>1.4</v>
      </c>
      <c r="AP65" s="11">
        <v>0</v>
      </c>
      <c r="AQ65" s="11">
        <v>113</v>
      </c>
      <c r="AR65" s="11">
        <v>863</v>
      </c>
      <c r="AS65" s="11">
        <v>2040.04</v>
      </c>
      <c r="AT65" s="11">
        <v>0</v>
      </c>
      <c r="AU65" s="11">
        <v>30</v>
      </c>
      <c r="AV65" s="11">
        <v>50</v>
      </c>
      <c r="AW65" s="11">
        <v>17</v>
      </c>
      <c r="AX65" s="11">
        <v>5</v>
      </c>
      <c r="AY65" s="11" t="s">
        <v>684</v>
      </c>
    </row>
    <row r="66" spans="1:51">
      <c r="A66" s="11" t="s">
        <v>154</v>
      </c>
      <c r="B66" s="11" t="s">
        <v>370</v>
      </c>
      <c r="C66" s="11" t="s">
        <v>168</v>
      </c>
      <c r="D66" s="11" t="s">
        <v>608</v>
      </c>
      <c r="E66" s="11" t="s">
        <v>609</v>
      </c>
      <c r="F66" s="11" t="s">
        <v>714</v>
      </c>
      <c r="G66" s="11" t="s">
        <v>196</v>
      </c>
      <c r="H66" s="11">
        <v>0</v>
      </c>
      <c r="I66" s="11">
        <v>0</v>
      </c>
      <c r="J66" s="11">
        <v>0</v>
      </c>
      <c r="K66" s="11">
        <v>0</v>
      </c>
      <c r="L66" s="11">
        <v>40</v>
      </c>
      <c r="M66" s="11">
        <v>0</v>
      </c>
      <c r="N66" s="11">
        <v>0</v>
      </c>
      <c r="O66" s="11">
        <v>40</v>
      </c>
      <c r="P66" s="11">
        <v>40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654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32500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40</v>
      </c>
      <c r="AY66" s="150">
        <v>45816</v>
      </c>
    </row>
    <row r="67" spans="1:51">
      <c r="A67" s="11" t="s">
        <v>154</v>
      </c>
      <c r="B67" s="11" t="s">
        <v>370</v>
      </c>
      <c r="C67" s="11" t="s">
        <v>169</v>
      </c>
      <c r="D67" s="11" t="s">
        <v>542</v>
      </c>
      <c r="E67" s="11" t="s">
        <v>644</v>
      </c>
      <c r="F67" s="150">
        <v>45996</v>
      </c>
      <c r="G67" s="11" t="s">
        <v>196</v>
      </c>
      <c r="H67" s="11">
        <v>0</v>
      </c>
      <c r="I67" s="11">
        <v>0</v>
      </c>
      <c r="J67" s="11">
        <v>0</v>
      </c>
      <c r="K67" s="11">
        <v>0</v>
      </c>
      <c r="L67" s="11">
        <v>63</v>
      </c>
      <c r="M67" s="11">
        <v>0</v>
      </c>
      <c r="N67" s="11">
        <v>0</v>
      </c>
      <c r="O67" s="11">
        <v>63</v>
      </c>
      <c r="P67" s="11">
        <v>63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303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30400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63</v>
      </c>
      <c r="AY67" s="11" t="s">
        <v>715</v>
      </c>
    </row>
    <row r="68" spans="1:51">
      <c r="A68" s="11" t="s">
        <v>120</v>
      </c>
      <c r="B68" s="11" t="s">
        <v>163</v>
      </c>
      <c r="C68" s="11" t="s">
        <v>170</v>
      </c>
      <c r="D68" s="11" t="s">
        <v>534</v>
      </c>
      <c r="E68" s="11" t="s">
        <v>163</v>
      </c>
      <c r="F68" s="150">
        <v>45172</v>
      </c>
      <c r="G68" s="11" t="s">
        <v>120</v>
      </c>
      <c r="H68" s="11">
        <v>600000</v>
      </c>
      <c r="I68" s="11">
        <v>4500000</v>
      </c>
      <c r="J68" s="11">
        <v>1251403.6499999999</v>
      </c>
      <c r="K68" s="11">
        <v>489633.4</v>
      </c>
      <c r="L68" s="11">
        <v>86</v>
      </c>
      <c r="M68" s="11">
        <v>64</v>
      </c>
      <c r="N68" s="11">
        <v>0</v>
      </c>
      <c r="O68" s="11">
        <v>86</v>
      </c>
      <c r="P68" s="11">
        <v>22</v>
      </c>
      <c r="Q68" s="11">
        <v>1251403.6499999999</v>
      </c>
      <c r="R68" s="11">
        <v>0</v>
      </c>
      <c r="S68" s="11">
        <v>33</v>
      </c>
      <c r="T68" s="11">
        <v>0</v>
      </c>
      <c r="U68" s="11">
        <v>33</v>
      </c>
      <c r="V68" s="11">
        <v>3</v>
      </c>
      <c r="W68" s="11">
        <v>19</v>
      </c>
      <c r="X68" s="11">
        <v>36</v>
      </c>
      <c r="Y68" s="11">
        <v>121</v>
      </c>
      <c r="Z68" s="11">
        <v>3</v>
      </c>
      <c r="AA68" s="11">
        <v>25</v>
      </c>
      <c r="AB68" s="11">
        <v>7</v>
      </c>
      <c r="AC68" s="11">
        <v>66</v>
      </c>
      <c r="AD68" s="11">
        <v>3</v>
      </c>
      <c r="AE68" s="11">
        <v>26</v>
      </c>
      <c r="AF68" s="11">
        <v>338</v>
      </c>
      <c r="AG68" s="11">
        <v>491</v>
      </c>
      <c r="AH68" s="11">
        <v>70</v>
      </c>
      <c r="AI68" s="11">
        <v>17877</v>
      </c>
      <c r="AJ68" s="11">
        <v>7</v>
      </c>
      <c r="AK68" s="11">
        <v>26418</v>
      </c>
      <c r="AL68" s="11">
        <v>0</v>
      </c>
      <c r="AM68" s="11">
        <v>2.1100000000000001E-2</v>
      </c>
      <c r="AN68" s="11">
        <v>37921</v>
      </c>
      <c r="AO68" s="11">
        <v>0.28000000000000003</v>
      </c>
      <c r="AP68" s="11">
        <v>0.82</v>
      </c>
      <c r="AQ68" s="11">
        <v>63</v>
      </c>
      <c r="AR68" s="11">
        <v>756</v>
      </c>
      <c r="AS68" s="11">
        <v>1645.64</v>
      </c>
      <c r="AT68" s="11">
        <v>0</v>
      </c>
      <c r="AU68" s="11">
        <v>26</v>
      </c>
      <c r="AV68" s="11">
        <v>33</v>
      </c>
      <c r="AW68" s="11">
        <v>31</v>
      </c>
      <c r="AX68" s="11">
        <v>22</v>
      </c>
      <c r="AY68" s="11" t="s">
        <v>684</v>
      </c>
    </row>
    <row r="69" spans="1:51">
      <c r="A69" s="11" t="s">
        <v>201</v>
      </c>
      <c r="B69" s="11" t="s">
        <v>431</v>
      </c>
      <c r="C69" s="11" t="s">
        <v>171</v>
      </c>
      <c r="D69" s="11" t="s">
        <v>431</v>
      </c>
      <c r="E69" s="11" t="s">
        <v>535</v>
      </c>
      <c r="F69" s="11" t="s">
        <v>716</v>
      </c>
      <c r="G69" s="11" t="s">
        <v>121</v>
      </c>
      <c r="H69" s="11">
        <v>0</v>
      </c>
      <c r="I69" s="11">
        <v>0</v>
      </c>
      <c r="J69" s="11">
        <v>0</v>
      </c>
      <c r="K69" s="11">
        <v>0</v>
      </c>
      <c r="L69" s="11">
        <v>34</v>
      </c>
      <c r="M69" s="11">
        <v>0</v>
      </c>
      <c r="N69" s="11">
        <v>0</v>
      </c>
      <c r="O69" s="11">
        <v>34</v>
      </c>
      <c r="P69" s="11">
        <v>34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108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32669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34</v>
      </c>
      <c r="AY69" s="11" t="s">
        <v>717</v>
      </c>
    </row>
    <row r="70" spans="1:51">
      <c r="A70" s="11" t="s">
        <v>154</v>
      </c>
      <c r="B70" s="11" t="s">
        <v>367</v>
      </c>
      <c r="C70" s="11" t="s">
        <v>172</v>
      </c>
      <c r="D70" s="11" t="s">
        <v>577</v>
      </c>
      <c r="E70" s="11" t="s">
        <v>636</v>
      </c>
      <c r="F70" s="11" t="s">
        <v>718</v>
      </c>
      <c r="G70" s="11" t="s">
        <v>196</v>
      </c>
      <c r="H70" s="11">
        <v>0</v>
      </c>
      <c r="I70" s="11">
        <v>0</v>
      </c>
      <c r="J70" s="11">
        <v>0</v>
      </c>
      <c r="K70" s="11">
        <v>0</v>
      </c>
      <c r="L70" s="11">
        <v>36</v>
      </c>
      <c r="M70" s="11">
        <v>0</v>
      </c>
      <c r="N70" s="11">
        <v>1</v>
      </c>
      <c r="O70" s="11">
        <v>37</v>
      </c>
      <c r="P70" s="11">
        <v>37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253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25165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37</v>
      </c>
      <c r="AY70" s="11" t="s">
        <v>706</v>
      </c>
    </row>
    <row r="71" spans="1:51">
      <c r="A71" s="11" t="s">
        <v>118</v>
      </c>
      <c r="B71" s="11" t="s">
        <v>468</v>
      </c>
      <c r="C71" s="11" t="s">
        <v>173</v>
      </c>
      <c r="D71" s="11" t="s">
        <v>509</v>
      </c>
      <c r="E71" s="11" t="s">
        <v>536</v>
      </c>
      <c r="F71" s="11" t="s">
        <v>719</v>
      </c>
      <c r="G71" s="11" t="s">
        <v>118</v>
      </c>
      <c r="H71" s="11">
        <v>0</v>
      </c>
      <c r="I71" s="11">
        <v>4500000</v>
      </c>
      <c r="J71" s="11">
        <v>4203092.82</v>
      </c>
      <c r="K71" s="11">
        <v>0</v>
      </c>
      <c r="L71" s="11">
        <v>36</v>
      </c>
      <c r="M71" s="11">
        <v>32</v>
      </c>
      <c r="N71" s="11">
        <v>5</v>
      </c>
      <c r="O71" s="11">
        <v>41</v>
      </c>
      <c r="P71" s="11">
        <v>9</v>
      </c>
      <c r="Q71" s="11">
        <v>3256331.97</v>
      </c>
      <c r="R71" s="11">
        <v>946760.85</v>
      </c>
      <c r="S71" s="11">
        <v>16</v>
      </c>
      <c r="T71" s="11">
        <v>5</v>
      </c>
      <c r="U71" s="11">
        <v>21</v>
      </c>
      <c r="V71" s="11">
        <v>0</v>
      </c>
      <c r="W71" s="11">
        <v>13</v>
      </c>
      <c r="X71" s="11">
        <v>22</v>
      </c>
      <c r="Y71" s="11">
        <v>108</v>
      </c>
      <c r="Z71" s="11">
        <v>1</v>
      </c>
      <c r="AA71" s="11">
        <v>3</v>
      </c>
      <c r="AB71" s="11">
        <v>0</v>
      </c>
      <c r="AC71" s="11">
        <v>0</v>
      </c>
      <c r="AD71" s="11">
        <v>0</v>
      </c>
      <c r="AE71" s="11">
        <v>0</v>
      </c>
      <c r="AF71" s="11">
        <v>399</v>
      </c>
      <c r="AG71" s="11">
        <v>424</v>
      </c>
      <c r="AH71" s="11">
        <v>71</v>
      </c>
      <c r="AI71" s="11">
        <v>59198</v>
      </c>
      <c r="AJ71" s="11">
        <v>6</v>
      </c>
      <c r="AK71" s="11">
        <v>36400</v>
      </c>
      <c r="AL71" s="11">
        <v>0</v>
      </c>
      <c r="AM71" s="11">
        <v>8.6999999999999994E-3</v>
      </c>
      <c r="AN71" s="11">
        <v>200147</v>
      </c>
      <c r="AO71" s="11">
        <v>0.93</v>
      </c>
      <c r="AP71" s="11">
        <v>0</v>
      </c>
      <c r="AQ71" s="11">
        <v>39</v>
      </c>
      <c r="AR71" s="11">
        <v>548</v>
      </c>
      <c r="AS71" s="11">
        <v>2159.7600000000002</v>
      </c>
      <c r="AT71" s="11">
        <v>5</v>
      </c>
      <c r="AU71" s="11">
        <v>67</v>
      </c>
      <c r="AV71" s="11">
        <v>21</v>
      </c>
      <c r="AW71" s="11">
        <v>12</v>
      </c>
      <c r="AX71" s="11">
        <v>8</v>
      </c>
      <c r="AY71" s="11" t="s">
        <v>684</v>
      </c>
    </row>
    <row r="72" spans="1:51">
      <c r="A72" s="11" t="s">
        <v>118</v>
      </c>
      <c r="B72" s="11" t="s">
        <v>362</v>
      </c>
      <c r="C72" s="11" t="s">
        <v>174</v>
      </c>
      <c r="D72" s="11" t="s">
        <v>419</v>
      </c>
      <c r="E72" s="11" t="s">
        <v>490</v>
      </c>
      <c r="F72" s="11" t="s">
        <v>719</v>
      </c>
      <c r="G72" s="11" t="s">
        <v>103</v>
      </c>
      <c r="H72" s="11">
        <v>0</v>
      </c>
      <c r="I72" s="11">
        <v>0</v>
      </c>
      <c r="J72" s="11">
        <v>0</v>
      </c>
      <c r="K72" s="11">
        <v>0</v>
      </c>
      <c r="L72" s="11">
        <v>76</v>
      </c>
      <c r="M72" s="11">
        <v>0</v>
      </c>
      <c r="N72" s="11">
        <v>0</v>
      </c>
      <c r="O72" s="11">
        <v>76</v>
      </c>
      <c r="P72" s="11">
        <v>76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51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25690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76</v>
      </c>
      <c r="AY72" s="11" t="s">
        <v>720</v>
      </c>
    </row>
    <row r="73" spans="1:51">
      <c r="A73" s="11" t="s">
        <v>124</v>
      </c>
      <c r="B73" s="11" t="s">
        <v>443</v>
      </c>
      <c r="C73" s="11" t="s">
        <v>175</v>
      </c>
      <c r="D73" s="11" t="s">
        <v>517</v>
      </c>
      <c r="E73" s="11" t="s">
        <v>518</v>
      </c>
      <c r="F73" s="150">
        <v>44931</v>
      </c>
      <c r="G73" s="11" t="s">
        <v>142</v>
      </c>
      <c r="H73" s="11">
        <v>0</v>
      </c>
      <c r="I73" s="11">
        <v>3600000</v>
      </c>
      <c r="J73" s="11">
        <v>3100155.74</v>
      </c>
      <c r="K73" s="11">
        <v>0</v>
      </c>
      <c r="L73" s="11">
        <v>119</v>
      </c>
      <c r="M73" s="11">
        <v>78</v>
      </c>
      <c r="N73" s="11">
        <v>3</v>
      </c>
      <c r="O73" s="11">
        <v>122</v>
      </c>
      <c r="P73" s="11">
        <v>44</v>
      </c>
      <c r="Q73" s="11">
        <v>2969992.32</v>
      </c>
      <c r="R73" s="11">
        <v>130163.42</v>
      </c>
      <c r="S73" s="11">
        <v>62</v>
      </c>
      <c r="T73" s="11">
        <v>3</v>
      </c>
      <c r="U73" s="11">
        <v>65</v>
      </c>
      <c r="V73" s="11">
        <v>0</v>
      </c>
      <c r="W73" s="11">
        <v>1</v>
      </c>
      <c r="X73" s="11">
        <v>1</v>
      </c>
      <c r="Y73" s="11">
        <v>166</v>
      </c>
      <c r="Z73" s="11">
        <v>3</v>
      </c>
      <c r="AA73" s="11">
        <v>20</v>
      </c>
      <c r="AB73" s="11">
        <v>0</v>
      </c>
      <c r="AC73" s="11">
        <v>0</v>
      </c>
      <c r="AD73" s="11">
        <v>0</v>
      </c>
      <c r="AE73" s="11">
        <v>0</v>
      </c>
      <c r="AF73" s="11">
        <v>341</v>
      </c>
      <c r="AG73" s="11">
        <v>362</v>
      </c>
      <c r="AH73" s="11">
        <v>73</v>
      </c>
      <c r="AI73" s="11">
        <v>42468</v>
      </c>
      <c r="AJ73" s="11">
        <v>5</v>
      </c>
      <c r="AK73" s="11">
        <v>37990</v>
      </c>
      <c r="AL73" s="11">
        <v>0</v>
      </c>
      <c r="AM73" s="11">
        <v>1.23E-2</v>
      </c>
      <c r="AN73" s="11">
        <v>47695</v>
      </c>
      <c r="AO73" s="11">
        <v>0.86</v>
      </c>
      <c r="AP73" s="11">
        <v>0</v>
      </c>
      <c r="AQ73" s="11">
        <v>183</v>
      </c>
      <c r="AR73" s="11">
        <v>700</v>
      </c>
      <c r="AS73" s="11">
        <v>1849.17</v>
      </c>
      <c r="AT73" s="11">
        <v>3</v>
      </c>
      <c r="AU73" s="11">
        <v>24</v>
      </c>
      <c r="AV73" s="11">
        <v>65</v>
      </c>
      <c r="AW73" s="11">
        <v>17</v>
      </c>
      <c r="AX73" s="11">
        <v>40</v>
      </c>
      <c r="AY73" s="11" t="s">
        <v>684</v>
      </c>
    </row>
    <row r="74" spans="1:51">
      <c r="A74" s="11" t="s">
        <v>124</v>
      </c>
      <c r="B74" s="11" t="s">
        <v>443</v>
      </c>
      <c r="C74" s="11" t="s">
        <v>176</v>
      </c>
      <c r="D74" s="11" t="s">
        <v>517</v>
      </c>
      <c r="E74" s="11" t="s">
        <v>537</v>
      </c>
      <c r="F74" s="150">
        <v>44931</v>
      </c>
      <c r="G74" s="11" t="s">
        <v>124</v>
      </c>
      <c r="H74" s="11">
        <v>0</v>
      </c>
      <c r="I74" s="11">
        <v>0</v>
      </c>
      <c r="J74" s="11">
        <v>0</v>
      </c>
      <c r="K74" s="11">
        <v>0</v>
      </c>
      <c r="L74" s="11">
        <v>36</v>
      </c>
      <c r="M74" s="11">
        <v>0</v>
      </c>
      <c r="N74" s="11">
        <v>0</v>
      </c>
      <c r="O74" s="11">
        <v>36</v>
      </c>
      <c r="P74" s="11">
        <v>36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123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37335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36</v>
      </c>
      <c r="AY74" s="150">
        <v>45874</v>
      </c>
    </row>
    <row r="75" spans="1:51">
      <c r="A75" s="11" t="s">
        <v>118</v>
      </c>
      <c r="B75" s="11" t="s">
        <v>436</v>
      </c>
      <c r="C75" s="11" t="s">
        <v>178</v>
      </c>
      <c r="D75" s="11" t="s">
        <v>499</v>
      </c>
      <c r="E75" s="11" t="s">
        <v>437</v>
      </c>
      <c r="F75" s="150">
        <v>45143</v>
      </c>
      <c r="G75" s="11" t="s">
        <v>111</v>
      </c>
      <c r="H75" s="11">
        <v>0</v>
      </c>
      <c r="I75" s="11">
        <v>0</v>
      </c>
      <c r="J75" s="11">
        <v>0</v>
      </c>
      <c r="K75" s="11">
        <v>0</v>
      </c>
      <c r="L75" s="11">
        <v>89</v>
      </c>
      <c r="M75" s="11">
        <v>0</v>
      </c>
      <c r="N75" s="11">
        <v>0</v>
      </c>
      <c r="O75" s="11">
        <v>89</v>
      </c>
      <c r="P75" s="11">
        <v>89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10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34422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89</v>
      </c>
      <c r="AY75" s="11" t="s">
        <v>721</v>
      </c>
    </row>
    <row r="76" spans="1:51">
      <c r="A76" s="11" t="s">
        <v>118</v>
      </c>
      <c r="B76" s="11" t="s">
        <v>362</v>
      </c>
      <c r="C76" s="11" t="s">
        <v>179</v>
      </c>
      <c r="D76" s="11" t="s">
        <v>419</v>
      </c>
      <c r="E76" s="11" t="s">
        <v>538</v>
      </c>
      <c r="F76" s="150">
        <v>44931</v>
      </c>
      <c r="G76" s="11" t="s">
        <v>81</v>
      </c>
      <c r="H76" s="11">
        <v>0</v>
      </c>
      <c r="I76" s="11">
        <v>4500000</v>
      </c>
      <c r="J76" s="11">
        <v>4424606.9800000004</v>
      </c>
      <c r="K76" s="11">
        <v>0</v>
      </c>
      <c r="L76" s="11">
        <v>52</v>
      </c>
      <c r="M76" s="11">
        <v>42</v>
      </c>
      <c r="N76" s="11">
        <v>3</v>
      </c>
      <c r="O76" s="11">
        <v>55</v>
      </c>
      <c r="P76" s="11">
        <v>13</v>
      </c>
      <c r="Q76" s="11">
        <v>3878753.38</v>
      </c>
      <c r="R76" s="11">
        <v>545853.6</v>
      </c>
      <c r="S76" s="11">
        <v>13</v>
      </c>
      <c r="T76" s="11">
        <v>2</v>
      </c>
      <c r="U76" s="11">
        <v>15</v>
      </c>
      <c r="V76" s="11">
        <v>0</v>
      </c>
      <c r="W76" s="11">
        <v>9</v>
      </c>
      <c r="X76" s="11">
        <v>16</v>
      </c>
      <c r="Y76" s="11">
        <v>212</v>
      </c>
      <c r="Z76" s="11">
        <v>1</v>
      </c>
      <c r="AA76" s="11">
        <v>1</v>
      </c>
      <c r="AB76" s="11">
        <v>0</v>
      </c>
      <c r="AC76" s="11">
        <v>0</v>
      </c>
      <c r="AD76" s="11">
        <v>0</v>
      </c>
      <c r="AE76" s="11">
        <v>0</v>
      </c>
      <c r="AF76" s="11">
        <v>393</v>
      </c>
      <c r="AG76" s="11">
        <v>410</v>
      </c>
      <c r="AH76" s="11">
        <v>71</v>
      </c>
      <c r="AI76" s="11">
        <v>62318</v>
      </c>
      <c r="AJ76" s="11">
        <v>6</v>
      </c>
      <c r="AK76" s="11">
        <v>31500</v>
      </c>
      <c r="AL76" s="11">
        <v>0</v>
      </c>
      <c r="AM76" s="11">
        <v>7.1000000000000004E-3</v>
      </c>
      <c r="AN76" s="11">
        <v>294974</v>
      </c>
      <c r="AO76" s="11">
        <v>0.98</v>
      </c>
      <c r="AP76" s="11">
        <v>0</v>
      </c>
      <c r="AQ76" s="11">
        <v>20</v>
      </c>
      <c r="AR76" s="11">
        <v>680</v>
      </c>
      <c r="AS76" s="11">
        <v>3418.73</v>
      </c>
      <c r="AT76" s="11">
        <v>2</v>
      </c>
      <c r="AU76" s="11">
        <v>81</v>
      </c>
      <c r="AV76" s="11">
        <v>15</v>
      </c>
      <c r="AW76" s="11">
        <v>27</v>
      </c>
      <c r="AX76" s="11">
        <v>13</v>
      </c>
      <c r="AY76" s="11" t="s">
        <v>684</v>
      </c>
    </row>
    <row r="77" spans="1:51">
      <c r="A77" s="11" t="s">
        <v>118</v>
      </c>
      <c r="B77" s="11" t="s">
        <v>362</v>
      </c>
      <c r="C77" s="11" t="s">
        <v>181</v>
      </c>
      <c r="D77" s="11" t="s">
        <v>419</v>
      </c>
      <c r="E77" s="11" t="s">
        <v>538</v>
      </c>
      <c r="F77" s="150">
        <v>44931</v>
      </c>
      <c r="G77" s="11" t="s">
        <v>81</v>
      </c>
      <c r="H77" s="11">
        <v>0</v>
      </c>
      <c r="I77" s="11">
        <v>4500000</v>
      </c>
      <c r="J77" s="11">
        <v>5850177.4100000001</v>
      </c>
      <c r="K77" s="11">
        <v>0</v>
      </c>
      <c r="L77" s="11">
        <v>61</v>
      </c>
      <c r="M77" s="11">
        <v>48</v>
      </c>
      <c r="N77" s="11">
        <v>7</v>
      </c>
      <c r="O77" s="11">
        <v>68</v>
      </c>
      <c r="P77" s="11">
        <v>20</v>
      </c>
      <c r="Q77" s="11">
        <v>5583659.6699999999</v>
      </c>
      <c r="R77" s="11">
        <v>266517.74</v>
      </c>
      <c r="S77" s="11">
        <v>8</v>
      </c>
      <c r="T77" s="11">
        <v>6</v>
      </c>
      <c r="U77" s="11">
        <v>14</v>
      </c>
      <c r="V77" s="11">
        <v>0</v>
      </c>
      <c r="W77" s="11">
        <v>24</v>
      </c>
      <c r="X77" s="11">
        <v>33</v>
      </c>
      <c r="Y77" s="11">
        <v>259</v>
      </c>
      <c r="Z77" s="11">
        <v>2</v>
      </c>
      <c r="AA77" s="11"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v>256</v>
      </c>
      <c r="AG77" s="11">
        <v>296</v>
      </c>
      <c r="AH77" s="11">
        <v>69</v>
      </c>
      <c r="AI77" s="11">
        <v>84785</v>
      </c>
      <c r="AJ77" s="11">
        <v>4</v>
      </c>
      <c r="AK77" s="11">
        <v>26000</v>
      </c>
      <c r="AL77" s="11">
        <v>0</v>
      </c>
      <c r="AM77" s="11">
        <v>4.4000000000000003E-3</v>
      </c>
      <c r="AN77" s="11">
        <v>417870</v>
      </c>
      <c r="AO77" s="11">
        <v>1.3</v>
      </c>
      <c r="AP77" s="11">
        <v>0</v>
      </c>
      <c r="AQ77" s="11">
        <v>33</v>
      </c>
      <c r="AR77" s="11">
        <v>531</v>
      </c>
      <c r="AS77" s="11">
        <v>1816.06</v>
      </c>
      <c r="AT77" s="11">
        <v>6</v>
      </c>
      <c r="AU77" s="11">
        <v>38</v>
      </c>
      <c r="AV77" s="11">
        <v>14</v>
      </c>
      <c r="AW77" s="11">
        <v>34</v>
      </c>
      <c r="AX77" s="11">
        <v>20</v>
      </c>
      <c r="AY77" s="11" t="s">
        <v>684</v>
      </c>
    </row>
    <row r="78" spans="1:51">
      <c r="A78" s="11" t="s">
        <v>118</v>
      </c>
      <c r="B78" s="11" t="s">
        <v>362</v>
      </c>
      <c r="C78" s="11" t="s">
        <v>183</v>
      </c>
      <c r="D78" s="11" t="s">
        <v>419</v>
      </c>
      <c r="E78" s="11" t="s">
        <v>540</v>
      </c>
      <c r="F78" s="150">
        <v>44962</v>
      </c>
      <c r="G78" s="11" t="s">
        <v>45</v>
      </c>
      <c r="H78" s="11">
        <v>0</v>
      </c>
      <c r="I78" s="11">
        <v>4500000</v>
      </c>
      <c r="J78" s="11">
        <v>3562333.82</v>
      </c>
      <c r="K78" s="11">
        <v>0</v>
      </c>
      <c r="L78" s="11">
        <v>57</v>
      </c>
      <c r="M78" s="11">
        <v>55</v>
      </c>
      <c r="N78" s="11">
        <v>1</v>
      </c>
      <c r="O78" s="11">
        <v>58</v>
      </c>
      <c r="P78" s="11">
        <v>3</v>
      </c>
      <c r="Q78" s="11">
        <v>3442490.74</v>
      </c>
      <c r="R78" s="11">
        <v>119843.08</v>
      </c>
      <c r="S78" s="11">
        <v>30</v>
      </c>
      <c r="T78" s="11">
        <v>1</v>
      </c>
      <c r="U78" s="11">
        <v>31</v>
      </c>
      <c r="V78" s="11">
        <v>0</v>
      </c>
      <c r="W78" s="11">
        <v>0</v>
      </c>
      <c r="X78" s="11">
        <v>0</v>
      </c>
      <c r="Y78" s="11">
        <v>1</v>
      </c>
      <c r="Z78" s="11">
        <v>2</v>
      </c>
      <c r="AA78" s="11">
        <v>57</v>
      </c>
      <c r="AB78" s="11">
        <v>0</v>
      </c>
      <c r="AC78" s="11">
        <v>0</v>
      </c>
      <c r="AD78" s="11">
        <v>0</v>
      </c>
      <c r="AE78" s="11">
        <v>0</v>
      </c>
      <c r="AF78" s="11">
        <v>306</v>
      </c>
      <c r="AG78" s="11">
        <v>363</v>
      </c>
      <c r="AH78" s="11">
        <v>69</v>
      </c>
      <c r="AI78" s="11">
        <v>51628</v>
      </c>
      <c r="AJ78" s="11">
        <v>5</v>
      </c>
      <c r="AK78" s="11">
        <v>26000</v>
      </c>
      <c r="AL78" s="11">
        <v>0</v>
      </c>
      <c r="AM78" s="11">
        <v>7.3000000000000001E-3</v>
      </c>
      <c r="AN78" s="11">
        <v>114914</v>
      </c>
      <c r="AO78" s="11">
        <v>0.79</v>
      </c>
      <c r="AP78" s="11">
        <v>0</v>
      </c>
      <c r="AQ78" s="11">
        <v>60</v>
      </c>
      <c r="AR78" s="11">
        <v>659</v>
      </c>
      <c r="AS78" s="11">
        <v>2281.7199999999998</v>
      </c>
      <c r="AT78" s="11">
        <v>1</v>
      </c>
      <c r="AU78" s="11">
        <v>41</v>
      </c>
      <c r="AV78" s="11">
        <v>31</v>
      </c>
      <c r="AW78" s="11">
        <v>25</v>
      </c>
      <c r="AX78" s="11">
        <v>2</v>
      </c>
      <c r="AY78" s="11" t="s">
        <v>684</v>
      </c>
    </row>
    <row r="79" spans="1:51">
      <c r="A79" s="11" t="s">
        <v>118</v>
      </c>
      <c r="B79" s="11" t="s">
        <v>362</v>
      </c>
      <c r="C79" s="11" t="s">
        <v>184</v>
      </c>
      <c r="D79" s="11" t="s">
        <v>419</v>
      </c>
      <c r="E79" s="11" t="s">
        <v>539</v>
      </c>
      <c r="F79" s="150">
        <v>44931</v>
      </c>
      <c r="G79" s="11" t="s">
        <v>29</v>
      </c>
      <c r="H79" s="11">
        <v>0</v>
      </c>
      <c r="I79" s="11">
        <v>0</v>
      </c>
      <c r="J79" s="11">
        <v>0</v>
      </c>
      <c r="K79" s="11">
        <v>0</v>
      </c>
      <c r="L79" s="11">
        <v>114</v>
      </c>
      <c r="M79" s="11">
        <v>0</v>
      </c>
      <c r="N79" s="11">
        <v>0</v>
      </c>
      <c r="O79" s="11">
        <v>114</v>
      </c>
      <c r="P79" s="11">
        <v>114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50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25167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114</v>
      </c>
      <c r="AY79" s="11" t="s">
        <v>722</v>
      </c>
    </row>
    <row r="80" spans="1:51">
      <c r="A80" s="11" t="s">
        <v>154</v>
      </c>
      <c r="B80" s="11" t="s">
        <v>367</v>
      </c>
      <c r="C80" s="11" t="s">
        <v>185</v>
      </c>
      <c r="D80" s="11" t="s">
        <v>577</v>
      </c>
      <c r="E80" s="11" t="s">
        <v>723</v>
      </c>
      <c r="F80" s="11" t="s">
        <v>724</v>
      </c>
      <c r="G80" s="11" t="s">
        <v>196</v>
      </c>
      <c r="H80" s="11">
        <v>0</v>
      </c>
      <c r="I80" s="11">
        <v>3000000</v>
      </c>
      <c r="J80" s="11">
        <v>0</v>
      </c>
      <c r="K80" s="11">
        <v>0</v>
      </c>
      <c r="L80" s="11">
        <v>73</v>
      </c>
      <c r="M80" s="11">
        <v>27</v>
      </c>
      <c r="N80" s="11">
        <v>5</v>
      </c>
      <c r="O80" s="11">
        <v>78</v>
      </c>
      <c r="P80" s="11">
        <v>51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57</v>
      </c>
      <c r="X80" s="11">
        <v>77</v>
      </c>
      <c r="Y80" s="11">
        <v>277</v>
      </c>
      <c r="Z80" s="11">
        <v>7</v>
      </c>
      <c r="AA80" s="11">
        <v>48</v>
      </c>
      <c r="AB80" s="11">
        <v>0</v>
      </c>
      <c r="AC80" s="11">
        <v>0</v>
      </c>
      <c r="AD80" s="11">
        <v>4</v>
      </c>
      <c r="AE80" s="11">
        <v>4</v>
      </c>
      <c r="AF80" s="11">
        <v>57</v>
      </c>
      <c r="AG80" s="11">
        <v>186</v>
      </c>
      <c r="AH80" s="11">
        <v>63</v>
      </c>
      <c r="AI80" s="11">
        <v>0</v>
      </c>
      <c r="AJ80" s="11">
        <v>3</v>
      </c>
      <c r="AK80" s="11">
        <v>29880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499</v>
      </c>
      <c r="AS80" s="11">
        <v>2134.83</v>
      </c>
      <c r="AT80" s="11">
        <v>0</v>
      </c>
      <c r="AU80" s="11">
        <v>79</v>
      </c>
      <c r="AV80" s="11">
        <v>0</v>
      </c>
      <c r="AW80" s="11">
        <v>27</v>
      </c>
      <c r="AX80" s="11">
        <v>51</v>
      </c>
      <c r="AY80" s="11" t="s">
        <v>684</v>
      </c>
    </row>
    <row r="81" spans="1:51">
      <c r="A81" s="11" t="s">
        <v>118</v>
      </c>
      <c r="B81" s="11" t="s">
        <v>362</v>
      </c>
      <c r="C81" s="11" t="s">
        <v>186</v>
      </c>
      <c r="D81" s="11" t="s">
        <v>419</v>
      </c>
      <c r="E81" s="11" t="s">
        <v>538</v>
      </c>
      <c r="F81" s="150">
        <v>45204</v>
      </c>
      <c r="G81" s="11" t="s">
        <v>81</v>
      </c>
      <c r="H81" s="11">
        <v>0</v>
      </c>
      <c r="I81" s="11">
        <v>4500000</v>
      </c>
      <c r="J81" s="11">
        <v>5509562.6600000001</v>
      </c>
      <c r="K81" s="11">
        <v>0</v>
      </c>
      <c r="L81" s="11">
        <v>70</v>
      </c>
      <c r="M81" s="11">
        <v>53</v>
      </c>
      <c r="N81" s="11">
        <v>6</v>
      </c>
      <c r="O81" s="11">
        <v>76</v>
      </c>
      <c r="P81" s="11">
        <v>23</v>
      </c>
      <c r="Q81" s="11">
        <v>5001243.2699999996</v>
      </c>
      <c r="R81" s="11">
        <v>508319.39</v>
      </c>
      <c r="S81" s="11">
        <v>10</v>
      </c>
      <c r="T81" s="11">
        <v>4</v>
      </c>
      <c r="U81" s="11">
        <v>14</v>
      </c>
      <c r="V81" s="11">
        <v>0</v>
      </c>
      <c r="W81" s="11">
        <v>35</v>
      </c>
      <c r="X81" s="11">
        <v>56</v>
      </c>
      <c r="Y81" s="11">
        <v>277</v>
      </c>
      <c r="Z81" s="11">
        <v>1</v>
      </c>
      <c r="AA81" s="11">
        <v>1</v>
      </c>
      <c r="AB81" s="11">
        <v>0</v>
      </c>
      <c r="AC81" s="11">
        <v>0</v>
      </c>
      <c r="AD81" s="11">
        <v>0</v>
      </c>
      <c r="AE81" s="11">
        <v>0</v>
      </c>
      <c r="AF81" s="11">
        <v>310</v>
      </c>
      <c r="AG81" s="11">
        <v>367</v>
      </c>
      <c r="AH81" s="11">
        <v>62</v>
      </c>
      <c r="AI81" s="11">
        <v>88864</v>
      </c>
      <c r="AJ81" s="11">
        <v>6</v>
      </c>
      <c r="AK81" s="11">
        <v>24850</v>
      </c>
      <c r="AL81" s="11">
        <v>0</v>
      </c>
      <c r="AM81" s="11">
        <v>4.4999999999999997E-3</v>
      </c>
      <c r="AN81" s="11">
        <v>393540</v>
      </c>
      <c r="AO81" s="11">
        <v>1.22</v>
      </c>
      <c r="AP81" s="11">
        <v>0</v>
      </c>
      <c r="AQ81" s="11">
        <v>28</v>
      </c>
      <c r="AR81" s="11">
        <v>655</v>
      </c>
      <c r="AS81" s="11">
        <v>2346.77</v>
      </c>
      <c r="AT81" s="11">
        <v>4</v>
      </c>
      <c r="AU81" s="11">
        <v>44</v>
      </c>
      <c r="AV81" s="11">
        <v>14</v>
      </c>
      <c r="AW81" s="11">
        <v>39</v>
      </c>
      <c r="AX81" s="11">
        <v>23</v>
      </c>
      <c r="AY81" s="11" t="s">
        <v>684</v>
      </c>
    </row>
    <row r="82" spans="1:51">
      <c r="A82" s="11" t="s">
        <v>118</v>
      </c>
      <c r="B82" s="11" t="s">
        <v>372</v>
      </c>
      <c r="C82" s="11" t="s">
        <v>187</v>
      </c>
      <c r="D82" s="11" t="s">
        <v>447</v>
      </c>
      <c r="E82" s="11" t="s">
        <v>514</v>
      </c>
      <c r="F82" s="150">
        <v>45265</v>
      </c>
      <c r="G82" s="11" t="s">
        <v>138</v>
      </c>
      <c r="H82" s="11">
        <v>0</v>
      </c>
      <c r="I82" s="11">
        <v>0</v>
      </c>
      <c r="J82" s="11">
        <v>0</v>
      </c>
      <c r="K82" s="11">
        <v>0</v>
      </c>
      <c r="L82" s="11">
        <v>122</v>
      </c>
      <c r="M82" s="11">
        <v>0</v>
      </c>
      <c r="N82" s="11">
        <v>0</v>
      </c>
      <c r="O82" s="11">
        <v>122</v>
      </c>
      <c r="P82" s="11">
        <v>122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384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30770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122</v>
      </c>
      <c r="AY82" s="11" t="s">
        <v>725</v>
      </c>
    </row>
    <row r="83" spans="1:51">
      <c r="A83" s="11" t="s">
        <v>154</v>
      </c>
      <c r="B83" s="11" t="s">
        <v>370</v>
      </c>
      <c r="C83" s="11" t="s">
        <v>188</v>
      </c>
      <c r="D83" s="11" t="s">
        <v>542</v>
      </c>
      <c r="E83" s="11" t="s">
        <v>369</v>
      </c>
      <c r="F83" s="11" t="s">
        <v>726</v>
      </c>
      <c r="G83" s="11" t="s">
        <v>196</v>
      </c>
      <c r="H83" s="11">
        <v>0</v>
      </c>
      <c r="I83" s="11">
        <v>4500000</v>
      </c>
      <c r="J83" s="11">
        <v>2097796.89</v>
      </c>
      <c r="K83" s="11">
        <v>0</v>
      </c>
      <c r="L83" s="11">
        <v>124</v>
      </c>
      <c r="M83" s="11">
        <v>78</v>
      </c>
      <c r="N83" s="11">
        <v>0</v>
      </c>
      <c r="O83" s="11">
        <v>124</v>
      </c>
      <c r="P83" s="11">
        <v>46</v>
      </c>
      <c r="Q83" s="11">
        <v>2097796.89</v>
      </c>
      <c r="R83" s="11">
        <v>0</v>
      </c>
      <c r="S83" s="11">
        <v>20</v>
      </c>
      <c r="T83" s="11">
        <v>0</v>
      </c>
      <c r="U83" s="11">
        <v>20</v>
      </c>
      <c r="V83" s="11">
        <v>0</v>
      </c>
      <c r="W83" s="11">
        <v>35</v>
      </c>
      <c r="X83" s="11">
        <v>49</v>
      </c>
      <c r="Y83" s="11">
        <v>475</v>
      </c>
      <c r="Z83" s="11">
        <v>3</v>
      </c>
      <c r="AA83" s="11">
        <v>19</v>
      </c>
      <c r="AB83" s="11">
        <v>0</v>
      </c>
      <c r="AC83" s="11">
        <v>0</v>
      </c>
      <c r="AD83" s="11">
        <v>3</v>
      </c>
      <c r="AE83" s="11">
        <v>3</v>
      </c>
      <c r="AF83" s="11">
        <v>308</v>
      </c>
      <c r="AG83" s="11">
        <v>379</v>
      </c>
      <c r="AH83" s="11">
        <v>67</v>
      </c>
      <c r="AI83" s="11">
        <v>31310</v>
      </c>
      <c r="AJ83" s="11">
        <v>6</v>
      </c>
      <c r="AK83" s="11">
        <v>34135</v>
      </c>
      <c r="AL83" s="11">
        <v>0</v>
      </c>
      <c r="AM83" s="11">
        <v>1.6299999999999999E-2</v>
      </c>
      <c r="AN83" s="11">
        <v>104890</v>
      </c>
      <c r="AO83" s="11">
        <v>0.47</v>
      </c>
      <c r="AP83" s="11">
        <v>0</v>
      </c>
      <c r="AQ83" s="11">
        <v>37</v>
      </c>
      <c r="AR83" s="11">
        <v>681</v>
      </c>
      <c r="AS83" s="11">
        <v>2976.67</v>
      </c>
      <c r="AT83" s="11">
        <v>0</v>
      </c>
      <c r="AU83" s="11">
        <v>38</v>
      </c>
      <c r="AV83" s="11">
        <v>20</v>
      </c>
      <c r="AW83" s="11">
        <v>59</v>
      </c>
      <c r="AX83" s="11">
        <v>45</v>
      </c>
      <c r="AY83" s="11" t="s">
        <v>684</v>
      </c>
    </row>
    <row r="84" spans="1:51">
      <c r="A84" s="11" t="s">
        <v>118</v>
      </c>
      <c r="B84" s="11" t="s">
        <v>362</v>
      </c>
      <c r="C84" s="11" t="s">
        <v>189</v>
      </c>
      <c r="D84" s="11" t="s">
        <v>419</v>
      </c>
      <c r="E84" s="11" t="s">
        <v>544</v>
      </c>
      <c r="F84" s="11" t="s">
        <v>727</v>
      </c>
      <c r="G84" s="11" t="s">
        <v>51</v>
      </c>
      <c r="H84" s="11">
        <v>0</v>
      </c>
      <c r="I84" s="11">
        <v>4500000</v>
      </c>
      <c r="J84" s="11">
        <v>2671229</v>
      </c>
      <c r="K84" s="11">
        <v>0</v>
      </c>
      <c r="L84" s="11">
        <v>47</v>
      </c>
      <c r="M84" s="11">
        <v>32</v>
      </c>
      <c r="N84" s="11">
        <v>1</v>
      </c>
      <c r="O84" s="11">
        <v>48</v>
      </c>
      <c r="P84" s="11">
        <v>16</v>
      </c>
      <c r="Q84" s="11">
        <v>2659085</v>
      </c>
      <c r="R84" s="11">
        <v>12144</v>
      </c>
      <c r="S84" s="11">
        <v>8</v>
      </c>
      <c r="T84" s="11">
        <v>1</v>
      </c>
      <c r="U84" s="11">
        <v>9</v>
      </c>
      <c r="V84" s="11">
        <v>0</v>
      </c>
      <c r="W84" s="11">
        <v>1</v>
      </c>
      <c r="X84" s="11">
        <v>1</v>
      </c>
      <c r="Y84" s="11">
        <v>94</v>
      </c>
      <c r="Z84" s="11">
        <v>1</v>
      </c>
      <c r="AA84" s="11">
        <v>9</v>
      </c>
      <c r="AB84" s="11">
        <v>0</v>
      </c>
      <c r="AC84" s="11">
        <v>0</v>
      </c>
      <c r="AD84" s="11">
        <v>0</v>
      </c>
      <c r="AE84" s="11">
        <v>0</v>
      </c>
      <c r="AF84" s="11">
        <v>246</v>
      </c>
      <c r="AG84" s="11">
        <v>256</v>
      </c>
      <c r="AH84" s="11">
        <v>74</v>
      </c>
      <c r="AI84" s="11">
        <v>36098</v>
      </c>
      <c r="AJ84" s="11">
        <v>3</v>
      </c>
      <c r="AK84" s="11">
        <v>29042</v>
      </c>
      <c r="AL84" s="11">
        <v>0</v>
      </c>
      <c r="AM84" s="11">
        <v>1.09E-2</v>
      </c>
      <c r="AN84" s="11">
        <v>296803</v>
      </c>
      <c r="AO84" s="11">
        <v>0.59</v>
      </c>
      <c r="AP84" s="11">
        <v>0</v>
      </c>
      <c r="AQ84" s="11">
        <v>34</v>
      </c>
      <c r="AR84" s="11">
        <v>826</v>
      </c>
      <c r="AS84" s="11">
        <v>3022.74</v>
      </c>
      <c r="AT84" s="11">
        <v>1</v>
      </c>
      <c r="AU84" s="11">
        <v>94</v>
      </c>
      <c r="AV84" s="11">
        <v>9</v>
      </c>
      <c r="AW84" s="11">
        <v>23</v>
      </c>
      <c r="AX84" s="11">
        <v>16</v>
      </c>
      <c r="AY84" s="11" t="s">
        <v>684</v>
      </c>
    </row>
    <row r="85" spans="1:51">
      <c r="A85" s="11" t="s">
        <v>118</v>
      </c>
      <c r="B85" s="11" t="s">
        <v>362</v>
      </c>
      <c r="C85" s="11" t="s">
        <v>190</v>
      </c>
      <c r="D85" s="11" t="s">
        <v>419</v>
      </c>
      <c r="E85" s="11" t="s">
        <v>539</v>
      </c>
      <c r="F85" s="11" t="s">
        <v>727</v>
      </c>
      <c r="G85" s="11" t="s">
        <v>29</v>
      </c>
      <c r="H85" s="11">
        <v>0</v>
      </c>
      <c r="I85" s="11">
        <v>4500000</v>
      </c>
      <c r="J85" s="11">
        <v>4224370.6100000003</v>
      </c>
      <c r="K85" s="11">
        <v>0</v>
      </c>
      <c r="L85" s="11">
        <v>129</v>
      </c>
      <c r="M85" s="11">
        <v>92</v>
      </c>
      <c r="N85" s="11">
        <v>1</v>
      </c>
      <c r="O85" s="11">
        <v>130</v>
      </c>
      <c r="P85" s="11">
        <v>38</v>
      </c>
      <c r="Q85" s="11">
        <v>4119909.89</v>
      </c>
      <c r="R85" s="11">
        <v>104460.72</v>
      </c>
      <c r="S85" s="11">
        <v>79</v>
      </c>
      <c r="T85" s="11">
        <v>1</v>
      </c>
      <c r="U85" s="11">
        <v>80</v>
      </c>
      <c r="V85" s="11">
        <v>0</v>
      </c>
      <c r="W85" s="11">
        <v>0</v>
      </c>
      <c r="X85" s="11">
        <v>0</v>
      </c>
      <c r="Y85" s="11">
        <v>74</v>
      </c>
      <c r="Z85" s="11">
        <v>1</v>
      </c>
      <c r="AA85" s="11">
        <v>27</v>
      </c>
      <c r="AB85" s="11">
        <v>0</v>
      </c>
      <c r="AC85" s="11">
        <v>0</v>
      </c>
      <c r="AD85" s="11">
        <v>0</v>
      </c>
      <c r="AE85" s="11">
        <v>0</v>
      </c>
      <c r="AF85" s="11">
        <v>308</v>
      </c>
      <c r="AG85" s="11">
        <v>335</v>
      </c>
      <c r="AH85" s="11">
        <v>66</v>
      </c>
      <c r="AI85" s="11">
        <v>64006</v>
      </c>
      <c r="AJ85" s="11">
        <v>5</v>
      </c>
      <c r="AK85" s="11">
        <v>25212</v>
      </c>
      <c r="AL85" s="11">
        <v>0</v>
      </c>
      <c r="AM85" s="11">
        <v>6.0000000000000001E-3</v>
      </c>
      <c r="AN85" s="11">
        <v>52805</v>
      </c>
      <c r="AO85" s="11">
        <v>0.94</v>
      </c>
      <c r="AP85" s="11">
        <v>0</v>
      </c>
      <c r="AQ85" s="11">
        <v>163</v>
      </c>
      <c r="AR85" s="11">
        <v>690</v>
      </c>
      <c r="AS85" s="11">
        <v>2318.73</v>
      </c>
      <c r="AT85" s="11">
        <v>1</v>
      </c>
      <c r="AU85" s="11">
        <v>25</v>
      </c>
      <c r="AV85" s="11">
        <v>80</v>
      </c>
      <c r="AW85" s="11">
        <v>24</v>
      </c>
      <c r="AX85" s="11">
        <v>26</v>
      </c>
      <c r="AY85" s="11" t="s">
        <v>684</v>
      </c>
    </row>
    <row r="86" spans="1:51">
      <c r="A86" s="11" t="s">
        <v>118</v>
      </c>
      <c r="B86" s="11" t="s">
        <v>375</v>
      </c>
      <c r="C86" s="11" t="s">
        <v>191</v>
      </c>
      <c r="D86" s="11" t="s">
        <v>473</v>
      </c>
      <c r="E86" s="11" t="s">
        <v>545</v>
      </c>
      <c r="F86" s="11" t="s">
        <v>728</v>
      </c>
      <c r="H86" s="11">
        <v>0</v>
      </c>
      <c r="I86" s="11">
        <v>0</v>
      </c>
      <c r="J86" s="11">
        <v>0</v>
      </c>
      <c r="K86" s="11">
        <v>0</v>
      </c>
      <c r="L86" s="11">
        <v>57</v>
      </c>
      <c r="M86" s="11">
        <v>0</v>
      </c>
      <c r="N86" s="11">
        <v>0</v>
      </c>
      <c r="O86" s="11">
        <v>57</v>
      </c>
      <c r="P86" s="11">
        <v>57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217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37094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57</v>
      </c>
      <c r="AY86" s="11" t="s">
        <v>729</v>
      </c>
    </row>
    <row r="87" spans="1:51">
      <c r="A87" s="11" t="s">
        <v>136</v>
      </c>
      <c r="B87" s="11" t="s">
        <v>653</v>
      </c>
      <c r="C87" s="11" t="s">
        <v>192</v>
      </c>
      <c r="D87" s="11" t="s">
        <v>421</v>
      </c>
      <c r="E87" s="11" t="s">
        <v>422</v>
      </c>
      <c r="F87" s="11" t="s">
        <v>730</v>
      </c>
      <c r="G87" s="11" t="s">
        <v>136</v>
      </c>
      <c r="H87" s="11">
        <v>375000</v>
      </c>
      <c r="I87" s="11">
        <v>6000000</v>
      </c>
      <c r="J87" s="11">
        <v>425843.01</v>
      </c>
      <c r="K87" s="11">
        <v>876490.44</v>
      </c>
      <c r="L87" s="11">
        <v>48</v>
      </c>
      <c r="M87" s="11">
        <v>23</v>
      </c>
      <c r="N87" s="11">
        <v>1</v>
      </c>
      <c r="O87" s="11">
        <v>49</v>
      </c>
      <c r="P87" s="11">
        <v>26</v>
      </c>
      <c r="Q87" s="11">
        <v>386006.51</v>
      </c>
      <c r="R87" s="11">
        <v>39836.5</v>
      </c>
      <c r="S87" s="11">
        <v>5</v>
      </c>
      <c r="T87" s="11">
        <v>1</v>
      </c>
      <c r="U87" s="11">
        <v>6</v>
      </c>
      <c r="V87" s="11">
        <v>6</v>
      </c>
      <c r="W87" s="11">
        <v>1</v>
      </c>
      <c r="X87" s="11">
        <v>1</v>
      </c>
      <c r="Y87" s="11">
        <v>154</v>
      </c>
      <c r="Z87" s="11">
        <v>8</v>
      </c>
      <c r="AA87" s="11">
        <v>35</v>
      </c>
      <c r="AB87" s="11">
        <v>12</v>
      </c>
      <c r="AC87" s="11">
        <v>109</v>
      </c>
      <c r="AD87" s="11">
        <v>1</v>
      </c>
      <c r="AE87" s="11">
        <v>1</v>
      </c>
      <c r="AF87" s="11">
        <v>66</v>
      </c>
      <c r="AG87" s="11">
        <v>212</v>
      </c>
      <c r="AH87" s="11">
        <v>70</v>
      </c>
      <c r="AI87" s="11">
        <v>6083</v>
      </c>
      <c r="AJ87" s="11">
        <v>3</v>
      </c>
      <c r="AK87" s="11">
        <v>34661</v>
      </c>
      <c r="AL87" s="11">
        <v>0</v>
      </c>
      <c r="AM87" s="11">
        <v>8.14E-2</v>
      </c>
      <c r="AN87" s="11">
        <v>70974</v>
      </c>
      <c r="AO87" s="11">
        <v>7.0000000000000007E-2</v>
      </c>
      <c r="AP87" s="11">
        <v>2.34</v>
      </c>
      <c r="AQ87" s="11">
        <v>6</v>
      </c>
      <c r="AR87" s="11">
        <v>572</v>
      </c>
      <c r="AS87" s="11">
        <v>1362.44</v>
      </c>
      <c r="AT87" s="11">
        <v>1</v>
      </c>
      <c r="AU87" s="11">
        <v>59</v>
      </c>
      <c r="AV87" s="11">
        <v>6</v>
      </c>
      <c r="AW87" s="11">
        <v>17</v>
      </c>
      <c r="AX87" s="11">
        <v>26</v>
      </c>
      <c r="AY87" s="11" t="s">
        <v>684</v>
      </c>
    </row>
    <row r="88" spans="1:51">
      <c r="A88" s="11" t="s">
        <v>154</v>
      </c>
      <c r="B88" s="11" t="s">
        <v>370</v>
      </c>
      <c r="C88" s="11" t="s">
        <v>193</v>
      </c>
      <c r="D88" s="11" t="s">
        <v>542</v>
      </c>
      <c r="E88" s="11" t="s">
        <v>369</v>
      </c>
      <c r="F88" s="150">
        <v>44963</v>
      </c>
      <c r="G88" s="11" t="s">
        <v>196</v>
      </c>
      <c r="H88" s="11">
        <v>0</v>
      </c>
      <c r="I88" s="11">
        <v>0</v>
      </c>
      <c r="J88" s="11">
        <v>0</v>
      </c>
      <c r="K88" s="11">
        <v>0</v>
      </c>
      <c r="L88" s="11">
        <v>81</v>
      </c>
      <c r="M88" s="11">
        <v>0</v>
      </c>
      <c r="N88" s="11">
        <v>0</v>
      </c>
      <c r="O88" s="11">
        <v>81</v>
      </c>
      <c r="P88" s="11">
        <v>81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620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35853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81</v>
      </c>
      <c r="AY88" s="11" t="s">
        <v>731</v>
      </c>
    </row>
    <row r="89" spans="1:51">
      <c r="A89" s="11" t="s">
        <v>154</v>
      </c>
      <c r="B89" s="11" t="s">
        <v>367</v>
      </c>
      <c r="C89" s="11" t="s">
        <v>194</v>
      </c>
      <c r="D89" s="11" t="s">
        <v>577</v>
      </c>
      <c r="E89" s="11" t="s">
        <v>583</v>
      </c>
      <c r="F89" s="11" t="s">
        <v>724</v>
      </c>
      <c r="G89" s="11" t="s">
        <v>196</v>
      </c>
      <c r="H89" s="11">
        <v>0</v>
      </c>
      <c r="I89" s="11">
        <v>3000000</v>
      </c>
      <c r="J89" s="11">
        <v>1680920.88</v>
      </c>
      <c r="K89" s="11">
        <v>0</v>
      </c>
      <c r="L89" s="11">
        <v>96</v>
      </c>
      <c r="M89" s="11">
        <v>74</v>
      </c>
      <c r="N89" s="11">
        <v>4</v>
      </c>
      <c r="O89" s="11">
        <v>100</v>
      </c>
      <c r="P89" s="11">
        <v>26</v>
      </c>
      <c r="Q89" s="11">
        <v>1519768.51</v>
      </c>
      <c r="R89" s="11">
        <v>161152.37</v>
      </c>
      <c r="S89" s="11">
        <v>29</v>
      </c>
      <c r="T89" s="11">
        <v>4</v>
      </c>
      <c r="U89" s="11">
        <v>33</v>
      </c>
      <c r="V89" s="11">
        <v>0</v>
      </c>
      <c r="W89" s="11">
        <v>44</v>
      </c>
      <c r="X89" s="11">
        <v>58</v>
      </c>
      <c r="Y89" s="11">
        <v>485</v>
      </c>
      <c r="Z89" s="11">
        <v>4</v>
      </c>
      <c r="AA89" s="11">
        <v>56</v>
      </c>
      <c r="AB89" s="11">
        <v>0</v>
      </c>
      <c r="AC89" s="11">
        <v>0</v>
      </c>
      <c r="AD89" s="11">
        <v>0</v>
      </c>
      <c r="AE89" s="11">
        <v>0</v>
      </c>
      <c r="AF89" s="11">
        <v>275</v>
      </c>
      <c r="AG89" s="11">
        <v>389</v>
      </c>
      <c r="AH89" s="11">
        <v>67</v>
      </c>
      <c r="AI89" s="11">
        <v>25088</v>
      </c>
      <c r="AJ89" s="11">
        <v>6</v>
      </c>
      <c r="AK89" s="11">
        <v>26526</v>
      </c>
      <c r="AL89" s="11">
        <v>0</v>
      </c>
      <c r="AM89" s="11">
        <v>1.5800000000000002E-2</v>
      </c>
      <c r="AN89" s="11">
        <v>50937</v>
      </c>
      <c r="AO89" s="11">
        <v>0.56000000000000005</v>
      </c>
      <c r="AP89" s="11">
        <v>0</v>
      </c>
      <c r="AQ89" s="11">
        <v>71</v>
      </c>
      <c r="AR89" s="11">
        <v>756</v>
      </c>
      <c r="AS89" s="11">
        <v>2950.78</v>
      </c>
      <c r="AT89" s="11">
        <v>4</v>
      </c>
      <c r="AU89" s="11">
        <v>40</v>
      </c>
      <c r="AV89" s="11">
        <v>33</v>
      </c>
      <c r="AW89" s="11">
        <v>42</v>
      </c>
      <c r="AX89" s="11">
        <v>25</v>
      </c>
      <c r="AY89" s="11" t="s">
        <v>684</v>
      </c>
    </row>
    <row r="90" spans="1:51">
      <c r="A90" s="11" t="s">
        <v>201</v>
      </c>
      <c r="B90" s="11" t="s">
        <v>431</v>
      </c>
      <c r="C90" s="11" t="s">
        <v>195</v>
      </c>
      <c r="D90" s="11" t="s">
        <v>431</v>
      </c>
      <c r="E90" s="11" t="s">
        <v>541</v>
      </c>
      <c r="F90" s="150">
        <v>44991</v>
      </c>
      <c r="G90" s="11" t="s">
        <v>121</v>
      </c>
      <c r="H90" s="11">
        <v>1200000</v>
      </c>
      <c r="I90" s="11">
        <v>6300000</v>
      </c>
      <c r="J90" s="11">
        <v>5249407.79</v>
      </c>
      <c r="K90" s="11">
        <v>1385276.89</v>
      </c>
      <c r="L90" s="11">
        <v>137</v>
      </c>
      <c r="M90" s="11">
        <v>105</v>
      </c>
      <c r="N90" s="11">
        <v>2</v>
      </c>
      <c r="O90" s="11">
        <v>139</v>
      </c>
      <c r="P90" s="11">
        <v>34</v>
      </c>
      <c r="Q90" s="11">
        <v>4414199.3899999997</v>
      </c>
      <c r="R90" s="11">
        <v>835208.4</v>
      </c>
      <c r="S90" s="11">
        <v>28</v>
      </c>
      <c r="T90" s="11">
        <v>2</v>
      </c>
      <c r="U90" s="11">
        <v>30</v>
      </c>
      <c r="V90" s="11">
        <v>6</v>
      </c>
      <c r="W90" s="11">
        <v>42</v>
      </c>
      <c r="X90" s="11">
        <v>55</v>
      </c>
      <c r="Y90" s="11">
        <v>285</v>
      </c>
      <c r="Z90" s="11">
        <v>6</v>
      </c>
      <c r="AA90" s="11">
        <v>29</v>
      </c>
      <c r="AB90" s="11">
        <v>7</v>
      </c>
      <c r="AC90" s="11">
        <v>25</v>
      </c>
      <c r="AD90" s="11">
        <v>0</v>
      </c>
      <c r="AE90" s="11">
        <v>0</v>
      </c>
      <c r="AF90" s="11">
        <v>383</v>
      </c>
      <c r="AG90" s="11">
        <v>492</v>
      </c>
      <c r="AH90" s="11">
        <v>71</v>
      </c>
      <c r="AI90" s="11">
        <v>73935</v>
      </c>
      <c r="AJ90" s="11">
        <v>7</v>
      </c>
      <c r="AK90" s="11">
        <v>31981</v>
      </c>
      <c r="AL90" s="11">
        <v>0</v>
      </c>
      <c r="AM90" s="11">
        <v>6.1000000000000004E-3</v>
      </c>
      <c r="AN90" s="11">
        <v>174980</v>
      </c>
      <c r="AO90" s="11">
        <v>0.83</v>
      </c>
      <c r="AP90" s="11">
        <v>1.1499999999999999</v>
      </c>
      <c r="AQ90" s="11">
        <v>76</v>
      </c>
      <c r="AR90" s="11">
        <v>759</v>
      </c>
      <c r="AS90" s="11">
        <v>3591.31</v>
      </c>
      <c r="AT90" s="11">
        <v>2</v>
      </c>
      <c r="AU90" s="11">
        <v>34</v>
      </c>
      <c r="AV90" s="11">
        <v>30</v>
      </c>
      <c r="AW90" s="11">
        <v>77</v>
      </c>
      <c r="AX90" s="11">
        <v>32</v>
      </c>
      <c r="AY90" s="11" t="s">
        <v>684</v>
      </c>
    </row>
    <row r="91" spans="1:51">
      <c r="A91" s="11" t="s">
        <v>118</v>
      </c>
      <c r="B91" s="11" t="s">
        <v>362</v>
      </c>
      <c r="C91" s="11" t="s">
        <v>197</v>
      </c>
      <c r="D91" s="11" t="s">
        <v>419</v>
      </c>
      <c r="E91" s="11" t="s">
        <v>547</v>
      </c>
      <c r="F91" s="150">
        <v>45113</v>
      </c>
      <c r="G91" s="11" t="s">
        <v>29</v>
      </c>
      <c r="H91" s="11">
        <v>0</v>
      </c>
      <c r="I91" s="11">
        <v>0</v>
      </c>
      <c r="J91" s="11">
        <v>0</v>
      </c>
      <c r="K91" s="11">
        <v>0</v>
      </c>
      <c r="L91" s="11">
        <v>91</v>
      </c>
      <c r="M91" s="11">
        <v>0</v>
      </c>
      <c r="N91" s="11">
        <v>1</v>
      </c>
      <c r="O91" s="11">
        <v>92</v>
      </c>
      <c r="P91" s="11">
        <v>92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182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25850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92</v>
      </c>
      <c r="AY91" s="11" t="s">
        <v>722</v>
      </c>
    </row>
    <row r="92" spans="1:51">
      <c r="A92" s="11" t="s">
        <v>154</v>
      </c>
      <c r="B92" s="11" t="s">
        <v>370</v>
      </c>
      <c r="C92" s="11" t="s">
        <v>198</v>
      </c>
      <c r="D92" s="11" t="s">
        <v>542</v>
      </c>
      <c r="E92" s="11" t="s">
        <v>671</v>
      </c>
      <c r="F92" s="11" t="s">
        <v>732</v>
      </c>
      <c r="G92" s="11" t="s">
        <v>196</v>
      </c>
      <c r="H92" s="11">
        <v>0</v>
      </c>
      <c r="I92" s="11">
        <v>1412903</v>
      </c>
      <c r="J92" s="11">
        <v>0</v>
      </c>
      <c r="K92" s="11">
        <v>0</v>
      </c>
      <c r="L92" s="11">
        <v>79</v>
      </c>
      <c r="M92" s="11">
        <v>47</v>
      </c>
      <c r="N92" s="11">
        <v>0</v>
      </c>
      <c r="O92" s="11">
        <v>79</v>
      </c>
      <c r="P92" s="11">
        <v>32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95</v>
      </c>
      <c r="X92" s="11">
        <v>172</v>
      </c>
      <c r="Y92" s="11">
        <v>489</v>
      </c>
      <c r="Z92" s="11">
        <v>2</v>
      </c>
      <c r="AA92" s="11">
        <v>24</v>
      </c>
      <c r="AB92" s="11">
        <v>0</v>
      </c>
      <c r="AC92" s="11">
        <v>0</v>
      </c>
      <c r="AD92" s="11">
        <v>2</v>
      </c>
      <c r="AE92" s="11">
        <v>4</v>
      </c>
      <c r="AF92" s="11">
        <v>108</v>
      </c>
      <c r="AG92" s="11">
        <v>308</v>
      </c>
      <c r="AH92" s="11">
        <v>49</v>
      </c>
      <c r="AI92" s="11">
        <v>0</v>
      </c>
      <c r="AJ92" s="11">
        <v>6</v>
      </c>
      <c r="AK92" s="11">
        <v>40380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496</v>
      </c>
      <c r="AS92" s="11">
        <v>3623.38</v>
      </c>
      <c r="AT92" s="11">
        <v>0</v>
      </c>
      <c r="AU92" s="11">
        <v>77</v>
      </c>
      <c r="AV92" s="11">
        <v>0</v>
      </c>
      <c r="AW92" s="11">
        <v>47</v>
      </c>
      <c r="AX92" s="11">
        <v>32</v>
      </c>
      <c r="AY92" s="11" t="s">
        <v>684</v>
      </c>
    </row>
    <row r="93" spans="1:51">
      <c r="A93" s="11" t="s">
        <v>118</v>
      </c>
      <c r="B93" s="11" t="s">
        <v>484</v>
      </c>
      <c r="C93" s="11" t="s">
        <v>199</v>
      </c>
      <c r="D93" s="11" t="s">
        <v>548</v>
      </c>
      <c r="E93" s="11" t="s">
        <v>549</v>
      </c>
      <c r="F93" s="150">
        <v>44933</v>
      </c>
      <c r="G93" s="11" t="s">
        <v>118</v>
      </c>
      <c r="H93" s="11">
        <v>0</v>
      </c>
      <c r="I93" s="11">
        <v>4500000</v>
      </c>
      <c r="J93" s="11">
        <v>4119820.25</v>
      </c>
      <c r="K93" s="11">
        <v>0</v>
      </c>
      <c r="L93" s="11">
        <v>75</v>
      </c>
      <c r="M93" s="11">
        <v>64</v>
      </c>
      <c r="N93" s="11">
        <v>2</v>
      </c>
      <c r="O93" s="11">
        <v>77</v>
      </c>
      <c r="P93" s="11">
        <v>13</v>
      </c>
      <c r="Q93" s="11">
        <v>3456266.94</v>
      </c>
      <c r="R93" s="11">
        <v>663553.31000000006</v>
      </c>
      <c r="S93" s="11">
        <v>16</v>
      </c>
      <c r="T93" s="11">
        <v>2</v>
      </c>
      <c r="U93" s="11">
        <v>18</v>
      </c>
      <c r="V93" s="11">
        <v>0</v>
      </c>
      <c r="W93" s="11">
        <v>27</v>
      </c>
      <c r="X93" s="11">
        <v>59</v>
      </c>
      <c r="Y93" s="11">
        <v>295</v>
      </c>
      <c r="Z93" s="11">
        <v>1</v>
      </c>
      <c r="AA93" s="11">
        <v>1</v>
      </c>
      <c r="AB93" s="11">
        <v>0</v>
      </c>
      <c r="AC93" s="11">
        <v>0</v>
      </c>
      <c r="AD93" s="11">
        <v>0</v>
      </c>
      <c r="AE93" s="11">
        <v>0</v>
      </c>
      <c r="AF93" s="11">
        <v>329</v>
      </c>
      <c r="AG93" s="11">
        <v>389</v>
      </c>
      <c r="AH93" s="11">
        <v>72</v>
      </c>
      <c r="AI93" s="11">
        <v>57220</v>
      </c>
      <c r="AJ93" s="11">
        <v>5</v>
      </c>
      <c r="AK93" s="11">
        <v>27680</v>
      </c>
      <c r="AL93" s="11">
        <v>0</v>
      </c>
      <c r="AM93" s="11">
        <v>6.7000000000000002E-3</v>
      </c>
      <c r="AN93" s="11">
        <v>228879</v>
      </c>
      <c r="AO93" s="11">
        <v>0.92</v>
      </c>
      <c r="AP93" s="11">
        <v>0</v>
      </c>
      <c r="AQ93" s="11">
        <v>28</v>
      </c>
      <c r="AR93" s="11">
        <v>785</v>
      </c>
      <c r="AS93" s="11">
        <v>4121.2</v>
      </c>
      <c r="AT93" s="11">
        <v>2</v>
      </c>
      <c r="AU93" s="11">
        <v>64</v>
      </c>
      <c r="AV93" s="11">
        <v>18</v>
      </c>
      <c r="AW93" s="11">
        <v>47</v>
      </c>
      <c r="AX93" s="11">
        <v>12</v>
      </c>
      <c r="AY93" s="11" t="s">
        <v>684</v>
      </c>
    </row>
    <row r="94" spans="1:51">
      <c r="A94" s="11" t="s">
        <v>118</v>
      </c>
      <c r="B94" s="11" t="s">
        <v>362</v>
      </c>
      <c r="C94" s="11" t="s">
        <v>200</v>
      </c>
      <c r="D94" s="11" t="s">
        <v>419</v>
      </c>
      <c r="E94" s="11" t="s">
        <v>551</v>
      </c>
      <c r="F94" s="150">
        <v>44933</v>
      </c>
      <c r="G94" s="11" t="s">
        <v>67</v>
      </c>
      <c r="H94" s="11">
        <v>0</v>
      </c>
      <c r="I94" s="11">
        <v>12000000</v>
      </c>
      <c r="J94" s="11">
        <v>14068631.710000001</v>
      </c>
      <c r="K94" s="11">
        <v>0</v>
      </c>
      <c r="L94" s="11">
        <v>148</v>
      </c>
      <c r="M94" s="11">
        <v>55</v>
      </c>
      <c r="N94" s="11">
        <v>1</v>
      </c>
      <c r="O94" s="11">
        <v>149</v>
      </c>
      <c r="P94" s="11">
        <v>94</v>
      </c>
      <c r="Q94" s="11">
        <v>13916469.210000001</v>
      </c>
      <c r="R94" s="11">
        <v>152162.5</v>
      </c>
      <c r="S94" s="11">
        <v>30</v>
      </c>
      <c r="T94" s="11">
        <v>1</v>
      </c>
      <c r="U94" s="11">
        <v>31</v>
      </c>
      <c r="V94" s="11">
        <v>0</v>
      </c>
      <c r="W94" s="11">
        <v>1</v>
      </c>
      <c r="X94" s="11">
        <v>1</v>
      </c>
      <c r="Y94" s="11">
        <v>67</v>
      </c>
      <c r="Z94" s="11">
        <v>2</v>
      </c>
      <c r="AA94" s="11">
        <v>10</v>
      </c>
      <c r="AB94" s="11">
        <v>0</v>
      </c>
      <c r="AC94" s="11">
        <v>0</v>
      </c>
      <c r="AD94" s="11">
        <v>0</v>
      </c>
      <c r="AE94" s="11">
        <v>0</v>
      </c>
      <c r="AF94" s="11">
        <v>399</v>
      </c>
      <c r="AG94" s="11">
        <v>410</v>
      </c>
      <c r="AH94" s="11">
        <v>74</v>
      </c>
      <c r="AI94" s="11">
        <v>190117</v>
      </c>
      <c r="AJ94" s="11">
        <v>6</v>
      </c>
      <c r="AK94" s="11">
        <v>20520</v>
      </c>
      <c r="AL94" s="11">
        <v>0</v>
      </c>
      <c r="AM94" s="11">
        <v>1.5E-3</v>
      </c>
      <c r="AN94" s="11">
        <v>453827</v>
      </c>
      <c r="AO94" s="11">
        <v>1.17</v>
      </c>
      <c r="AP94" s="11">
        <v>0</v>
      </c>
      <c r="AQ94" s="11">
        <v>59</v>
      </c>
      <c r="AR94" s="11">
        <v>719</v>
      </c>
      <c r="AS94" s="11">
        <v>1609.76</v>
      </c>
      <c r="AT94" s="11">
        <v>1</v>
      </c>
      <c r="AU94" s="11">
        <v>29</v>
      </c>
      <c r="AV94" s="11">
        <v>31</v>
      </c>
      <c r="AW94" s="11">
        <v>25</v>
      </c>
      <c r="AX94" s="11">
        <v>93</v>
      </c>
      <c r="AY94" s="11" t="s">
        <v>684</v>
      </c>
    </row>
    <row r="95" spans="1:51">
      <c r="A95" s="11" t="s">
        <v>118</v>
      </c>
      <c r="B95" s="11" t="s">
        <v>362</v>
      </c>
      <c r="C95" s="11" t="s">
        <v>202</v>
      </c>
      <c r="D95" s="11" t="s">
        <v>419</v>
      </c>
      <c r="E95" s="11" t="s">
        <v>490</v>
      </c>
      <c r="F95" s="150">
        <v>45206</v>
      </c>
      <c r="G95" s="11" t="s">
        <v>51</v>
      </c>
      <c r="H95" s="11">
        <v>0</v>
      </c>
      <c r="I95" s="11">
        <v>4500000</v>
      </c>
      <c r="J95" s="11">
        <v>5633639.8899999997</v>
      </c>
      <c r="K95" s="11">
        <v>0</v>
      </c>
      <c r="L95" s="11">
        <v>76</v>
      </c>
      <c r="M95" s="11">
        <v>51</v>
      </c>
      <c r="N95" s="11">
        <v>2</v>
      </c>
      <c r="O95" s="11">
        <v>78</v>
      </c>
      <c r="P95" s="11">
        <v>27</v>
      </c>
      <c r="Q95" s="11">
        <v>5204222.7699999996</v>
      </c>
      <c r="R95" s="11">
        <v>429417.12</v>
      </c>
      <c r="S95" s="11">
        <v>23</v>
      </c>
      <c r="T95" s="11">
        <v>1</v>
      </c>
      <c r="U95" s="11">
        <v>24</v>
      </c>
      <c r="V95" s="11">
        <v>0</v>
      </c>
      <c r="W95" s="11">
        <v>5</v>
      </c>
      <c r="X95" s="11">
        <v>7</v>
      </c>
      <c r="Y95" s="11">
        <v>67</v>
      </c>
      <c r="Z95" s="11">
        <v>1</v>
      </c>
      <c r="AA95" s="11">
        <v>6</v>
      </c>
      <c r="AB95" s="11">
        <v>0</v>
      </c>
      <c r="AC95" s="11">
        <v>0</v>
      </c>
      <c r="AD95" s="11">
        <v>0</v>
      </c>
      <c r="AE95" s="11">
        <v>0</v>
      </c>
      <c r="AF95" s="11">
        <v>323</v>
      </c>
      <c r="AG95" s="11">
        <v>336</v>
      </c>
      <c r="AH95" s="11">
        <v>71</v>
      </c>
      <c r="AI95" s="11">
        <v>79347</v>
      </c>
      <c r="AJ95" s="11">
        <v>5</v>
      </c>
      <c r="AK95" s="11">
        <v>24356</v>
      </c>
      <c r="AL95" s="11">
        <v>0</v>
      </c>
      <c r="AM95" s="11">
        <v>4.3E-3</v>
      </c>
      <c r="AN95" s="11">
        <v>234735</v>
      </c>
      <c r="AO95" s="11">
        <v>1.25</v>
      </c>
      <c r="AP95" s="11">
        <v>0</v>
      </c>
      <c r="AQ95" s="11">
        <v>93</v>
      </c>
      <c r="AR95" s="11">
        <v>762</v>
      </c>
      <c r="AS95" s="11">
        <v>3193.6</v>
      </c>
      <c r="AT95" s="11">
        <v>1</v>
      </c>
      <c r="AU95" s="11">
        <v>63</v>
      </c>
      <c r="AV95" s="11">
        <v>24</v>
      </c>
      <c r="AW95" s="11">
        <v>27</v>
      </c>
      <c r="AX95" s="11">
        <v>27</v>
      </c>
      <c r="AY95" s="11" t="s">
        <v>684</v>
      </c>
    </row>
    <row r="96" spans="1:51">
      <c r="A96" s="11" t="s">
        <v>201</v>
      </c>
      <c r="B96" s="11" t="s">
        <v>481</v>
      </c>
      <c r="C96" s="11" t="s">
        <v>203</v>
      </c>
      <c r="D96" s="11" t="s">
        <v>517</v>
      </c>
      <c r="E96" s="11" t="s">
        <v>550</v>
      </c>
      <c r="F96" s="11" t="s">
        <v>733</v>
      </c>
      <c r="G96" s="11" t="s">
        <v>121</v>
      </c>
      <c r="H96" s="11">
        <v>0</v>
      </c>
      <c r="I96" s="11">
        <v>4950000</v>
      </c>
      <c r="J96" s="11">
        <v>2944164.36</v>
      </c>
      <c r="K96" s="11">
        <v>0</v>
      </c>
      <c r="L96" s="11">
        <v>43</v>
      </c>
      <c r="M96" s="11">
        <v>33</v>
      </c>
      <c r="N96" s="11">
        <v>0</v>
      </c>
      <c r="O96" s="11">
        <v>43</v>
      </c>
      <c r="P96" s="11">
        <v>10</v>
      </c>
      <c r="Q96" s="11">
        <v>2944164.36</v>
      </c>
      <c r="R96" s="11">
        <v>0</v>
      </c>
      <c r="S96" s="11">
        <v>23</v>
      </c>
      <c r="T96" s="11">
        <v>0</v>
      </c>
      <c r="U96" s="11">
        <v>23</v>
      </c>
      <c r="V96" s="11">
        <v>0</v>
      </c>
      <c r="W96" s="11">
        <v>105</v>
      </c>
      <c r="X96" s="11">
        <v>157</v>
      </c>
      <c r="Y96" s="11">
        <v>292</v>
      </c>
      <c r="Z96" s="11">
        <v>1</v>
      </c>
      <c r="AA96" s="11">
        <v>2</v>
      </c>
      <c r="AB96" s="11">
        <v>0</v>
      </c>
      <c r="AC96" s="11">
        <v>0</v>
      </c>
      <c r="AD96" s="11">
        <v>0</v>
      </c>
      <c r="AE96" s="11">
        <v>0</v>
      </c>
      <c r="AF96" s="11">
        <v>123</v>
      </c>
      <c r="AG96" s="11">
        <v>282</v>
      </c>
      <c r="AH96" s="11">
        <v>66</v>
      </c>
      <c r="AI96" s="11">
        <v>44609</v>
      </c>
      <c r="AJ96" s="11">
        <v>4</v>
      </c>
      <c r="AK96" s="11">
        <v>26500</v>
      </c>
      <c r="AL96" s="11">
        <v>0</v>
      </c>
      <c r="AM96" s="11">
        <v>8.9999999999999993E-3</v>
      </c>
      <c r="AN96" s="11">
        <v>128007</v>
      </c>
      <c r="AO96" s="11">
        <v>0.59</v>
      </c>
      <c r="AP96" s="11">
        <v>0</v>
      </c>
      <c r="AQ96" s="11">
        <v>81</v>
      </c>
      <c r="AR96" s="11">
        <v>751</v>
      </c>
      <c r="AS96" s="11">
        <v>2242.13</v>
      </c>
      <c r="AT96" s="11">
        <v>0</v>
      </c>
      <c r="AU96" s="11">
        <v>68</v>
      </c>
      <c r="AV96" s="11">
        <v>23</v>
      </c>
      <c r="AW96" s="11">
        <v>13</v>
      </c>
      <c r="AX96" s="11">
        <v>7</v>
      </c>
      <c r="AY96" s="11" t="s">
        <v>684</v>
      </c>
    </row>
    <row r="97" spans="1:51">
      <c r="A97" s="11" t="s">
        <v>201</v>
      </c>
      <c r="B97" s="11" t="s">
        <v>431</v>
      </c>
      <c r="C97" s="11" t="s">
        <v>204</v>
      </c>
      <c r="D97" s="11" t="s">
        <v>431</v>
      </c>
      <c r="E97" s="11" t="s">
        <v>543</v>
      </c>
      <c r="F97" s="11" t="s">
        <v>734</v>
      </c>
      <c r="G97" s="11" t="s">
        <v>104</v>
      </c>
      <c r="H97" s="11">
        <v>0</v>
      </c>
      <c r="I97" s="11">
        <v>6624999</v>
      </c>
      <c r="J97" s="11">
        <v>7220985.5599999996</v>
      </c>
      <c r="K97" s="11">
        <v>0</v>
      </c>
      <c r="L97" s="11">
        <v>72</v>
      </c>
      <c r="M97" s="11">
        <v>62</v>
      </c>
      <c r="N97" s="11">
        <v>3</v>
      </c>
      <c r="O97" s="11">
        <v>75</v>
      </c>
      <c r="P97" s="11">
        <v>13</v>
      </c>
      <c r="Q97" s="11">
        <v>6994081.8600000003</v>
      </c>
      <c r="R97" s="11">
        <v>226903.7</v>
      </c>
      <c r="S97" s="11">
        <v>30</v>
      </c>
      <c r="T97" s="11">
        <v>3</v>
      </c>
      <c r="U97" s="11">
        <v>33</v>
      </c>
      <c r="V97" s="11">
        <v>0</v>
      </c>
      <c r="W97" s="11">
        <v>7</v>
      </c>
      <c r="X97" s="11">
        <v>8</v>
      </c>
      <c r="Y97" s="11">
        <v>92</v>
      </c>
      <c r="Z97" s="11">
        <v>2</v>
      </c>
      <c r="AA97" s="11">
        <v>10</v>
      </c>
      <c r="AB97" s="11">
        <v>0</v>
      </c>
      <c r="AC97" s="11">
        <v>0</v>
      </c>
      <c r="AD97" s="11">
        <v>0</v>
      </c>
      <c r="AE97" s="11">
        <v>0</v>
      </c>
      <c r="AF97" s="11">
        <v>230</v>
      </c>
      <c r="AG97" s="11">
        <v>248</v>
      </c>
      <c r="AH97" s="11">
        <v>68</v>
      </c>
      <c r="AI97" s="11">
        <v>106191</v>
      </c>
      <c r="AJ97" s="11">
        <v>4</v>
      </c>
      <c r="AK97" s="11">
        <v>34946</v>
      </c>
      <c r="AL97" s="11">
        <v>0</v>
      </c>
      <c r="AM97" s="11">
        <v>4.7999999999999996E-3</v>
      </c>
      <c r="AN97" s="11">
        <v>218818</v>
      </c>
      <c r="AO97" s="11">
        <v>1.0900000000000001</v>
      </c>
      <c r="AP97" s="11">
        <v>0</v>
      </c>
      <c r="AQ97" s="11">
        <v>51</v>
      </c>
      <c r="AR97" s="11">
        <v>638</v>
      </c>
      <c r="AS97" s="11">
        <v>1409.2</v>
      </c>
      <c r="AT97" s="11">
        <v>3</v>
      </c>
      <c r="AU97" s="11">
        <v>23</v>
      </c>
      <c r="AV97" s="11">
        <v>33</v>
      </c>
      <c r="AW97" s="11">
        <v>31</v>
      </c>
      <c r="AX97" s="11">
        <v>11</v>
      </c>
      <c r="AY97" s="11" t="s">
        <v>684</v>
      </c>
    </row>
    <row r="98" spans="1:51">
      <c r="A98" s="11" t="s">
        <v>201</v>
      </c>
      <c r="B98" s="11" t="s">
        <v>431</v>
      </c>
      <c r="C98" s="11" t="s">
        <v>205</v>
      </c>
      <c r="D98" s="11" t="s">
        <v>431</v>
      </c>
      <c r="E98" s="11" t="s">
        <v>546</v>
      </c>
      <c r="F98" s="11" t="s">
        <v>735</v>
      </c>
      <c r="G98" s="11" t="s">
        <v>104</v>
      </c>
      <c r="H98" s="11">
        <v>0</v>
      </c>
      <c r="I98" s="11">
        <v>5375001</v>
      </c>
      <c r="J98" s="11">
        <v>3650186.28</v>
      </c>
      <c r="K98" s="11">
        <v>0</v>
      </c>
      <c r="L98" s="11">
        <v>61</v>
      </c>
      <c r="M98" s="11">
        <v>47</v>
      </c>
      <c r="N98" s="11">
        <v>1</v>
      </c>
      <c r="O98" s="11">
        <v>62</v>
      </c>
      <c r="P98" s="11">
        <v>15</v>
      </c>
      <c r="Q98" s="11">
        <v>3624286.28</v>
      </c>
      <c r="R98" s="11">
        <v>25900</v>
      </c>
      <c r="S98" s="11">
        <v>35</v>
      </c>
      <c r="T98" s="11">
        <v>1</v>
      </c>
      <c r="U98" s="11">
        <v>36</v>
      </c>
      <c r="V98" s="11">
        <v>0</v>
      </c>
      <c r="W98" s="11">
        <v>63</v>
      </c>
      <c r="X98" s="11">
        <v>98</v>
      </c>
      <c r="Y98" s="11">
        <v>335</v>
      </c>
      <c r="Z98" s="11">
        <v>1</v>
      </c>
      <c r="AA98" s="11">
        <v>38</v>
      </c>
      <c r="AB98" s="11">
        <v>0</v>
      </c>
      <c r="AC98" s="11">
        <v>0</v>
      </c>
      <c r="AD98" s="11">
        <v>0</v>
      </c>
      <c r="AE98" s="11">
        <v>0</v>
      </c>
      <c r="AF98" s="11">
        <v>341</v>
      </c>
      <c r="AG98" s="11">
        <v>477</v>
      </c>
      <c r="AH98" s="11">
        <v>67</v>
      </c>
      <c r="AI98" s="11">
        <v>54480</v>
      </c>
      <c r="AJ98" s="11">
        <v>7</v>
      </c>
      <c r="AK98" s="11">
        <v>30785</v>
      </c>
      <c r="AL98" s="11">
        <v>0</v>
      </c>
      <c r="AM98" s="11">
        <v>8.3999999999999995E-3</v>
      </c>
      <c r="AN98" s="11">
        <v>101394</v>
      </c>
      <c r="AO98" s="11">
        <v>0.68</v>
      </c>
      <c r="AP98" s="11">
        <v>0</v>
      </c>
      <c r="AQ98" s="11">
        <v>79</v>
      </c>
      <c r="AR98" s="11">
        <v>474</v>
      </c>
      <c r="AS98" s="11">
        <v>2012.62</v>
      </c>
      <c r="AT98" s="11">
        <v>1</v>
      </c>
      <c r="AU98" s="11">
        <v>43</v>
      </c>
      <c r="AV98" s="11">
        <v>36</v>
      </c>
      <c r="AW98" s="11">
        <v>14</v>
      </c>
      <c r="AX98" s="11">
        <v>12</v>
      </c>
      <c r="AY98" s="11" t="s">
        <v>684</v>
      </c>
    </row>
    <row r="99" spans="1:51">
      <c r="A99" s="11" t="s">
        <v>201</v>
      </c>
      <c r="B99" s="11" t="s">
        <v>469</v>
      </c>
      <c r="C99" s="11" t="s">
        <v>208</v>
      </c>
      <c r="D99" s="11" t="s">
        <v>432</v>
      </c>
      <c r="E99" s="11" t="s">
        <v>552</v>
      </c>
      <c r="F99" s="150">
        <v>45115</v>
      </c>
      <c r="G99" s="11" t="s">
        <v>110</v>
      </c>
      <c r="H99" s="11">
        <v>0</v>
      </c>
      <c r="I99" s="11">
        <v>5499999</v>
      </c>
      <c r="J99" s="11">
        <v>4464193.66</v>
      </c>
      <c r="K99" s="11">
        <v>0</v>
      </c>
      <c r="L99" s="11">
        <v>72</v>
      </c>
      <c r="M99" s="11">
        <v>67</v>
      </c>
      <c r="N99" s="11">
        <v>3</v>
      </c>
      <c r="O99" s="11">
        <v>75</v>
      </c>
      <c r="P99" s="11">
        <v>8</v>
      </c>
      <c r="Q99" s="11">
        <v>4052354.09</v>
      </c>
      <c r="R99" s="11">
        <v>411839.57</v>
      </c>
      <c r="S99" s="11">
        <v>37</v>
      </c>
      <c r="T99" s="11">
        <v>3</v>
      </c>
      <c r="U99" s="11">
        <v>40</v>
      </c>
      <c r="V99" s="11">
        <v>0</v>
      </c>
      <c r="W99" s="11">
        <v>27</v>
      </c>
      <c r="X99" s="11">
        <v>32</v>
      </c>
      <c r="Y99" s="11">
        <v>207</v>
      </c>
      <c r="Z99" s="11">
        <v>1</v>
      </c>
      <c r="AA99" s="11">
        <v>22</v>
      </c>
      <c r="AB99" s="11">
        <v>1</v>
      </c>
      <c r="AC99" s="11">
        <v>4</v>
      </c>
      <c r="AD99" s="11">
        <v>0</v>
      </c>
      <c r="AE99" s="11">
        <v>0</v>
      </c>
      <c r="AF99" s="11">
        <v>253</v>
      </c>
      <c r="AG99" s="11">
        <v>311</v>
      </c>
      <c r="AH99" s="11">
        <v>67</v>
      </c>
      <c r="AI99" s="11">
        <v>66630</v>
      </c>
      <c r="AJ99" s="11">
        <v>5</v>
      </c>
      <c r="AK99" s="11">
        <v>33259</v>
      </c>
      <c r="AL99" s="11">
        <v>0</v>
      </c>
      <c r="AM99" s="11">
        <v>7.4999999999999997E-3</v>
      </c>
      <c r="AN99" s="11">
        <v>111605</v>
      </c>
      <c r="AO99" s="11">
        <v>0.81</v>
      </c>
      <c r="AP99" s="11">
        <v>0</v>
      </c>
      <c r="AQ99" s="11">
        <v>152</v>
      </c>
      <c r="AR99" s="11">
        <v>638</v>
      </c>
      <c r="AS99" s="11">
        <v>2509.8000000000002</v>
      </c>
      <c r="AT99" s="11">
        <v>3</v>
      </c>
      <c r="AU99" s="11">
        <v>37</v>
      </c>
      <c r="AV99" s="11">
        <v>40</v>
      </c>
      <c r="AW99" s="11">
        <v>27</v>
      </c>
      <c r="AX99" s="11">
        <v>8</v>
      </c>
      <c r="AY99" s="11" t="s">
        <v>684</v>
      </c>
    </row>
    <row r="100" spans="1:51">
      <c r="A100" s="11" t="s">
        <v>118</v>
      </c>
      <c r="B100" s="11" t="s">
        <v>362</v>
      </c>
      <c r="C100" s="11" t="s">
        <v>210</v>
      </c>
      <c r="D100" s="11" t="s">
        <v>419</v>
      </c>
      <c r="E100" s="11" t="s">
        <v>553</v>
      </c>
      <c r="F100" s="150">
        <v>45207</v>
      </c>
      <c r="G100" s="11" t="s">
        <v>29</v>
      </c>
      <c r="H100" s="11">
        <v>0</v>
      </c>
      <c r="I100" s="11">
        <v>0</v>
      </c>
      <c r="J100" s="11">
        <v>0</v>
      </c>
      <c r="K100" s="11">
        <v>0</v>
      </c>
      <c r="L100" s="11">
        <v>101</v>
      </c>
      <c r="M100" s="11">
        <v>0</v>
      </c>
      <c r="N100" s="11">
        <v>0</v>
      </c>
      <c r="O100" s="11">
        <v>101</v>
      </c>
      <c r="P100" s="11">
        <v>101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255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26870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101</v>
      </c>
      <c r="AY100" s="11" t="s">
        <v>736</v>
      </c>
    </row>
    <row r="101" spans="1:51">
      <c r="A101" s="11" t="s">
        <v>201</v>
      </c>
      <c r="B101" s="11" t="s">
        <v>469</v>
      </c>
      <c r="C101" s="11" t="s">
        <v>211</v>
      </c>
      <c r="D101" s="11" t="s">
        <v>470</v>
      </c>
      <c r="E101" s="11" t="s">
        <v>471</v>
      </c>
      <c r="F101" s="11" t="s">
        <v>737</v>
      </c>
      <c r="G101" s="11" t="s">
        <v>110</v>
      </c>
      <c r="H101" s="11">
        <v>0</v>
      </c>
      <c r="I101" s="11">
        <v>6000000</v>
      </c>
      <c r="J101" s="11">
        <v>6847747.1100000003</v>
      </c>
      <c r="K101" s="11">
        <v>0</v>
      </c>
      <c r="L101" s="11">
        <v>127</v>
      </c>
      <c r="M101" s="11">
        <v>87</v>
      </c>
      <c r="N101" s="11">
        <v>5</v>
      </c>
      <c r="O101" s="11">
        <v>132</v>
      </c>
      <c r="P101" s="11">
        <v>45</v>
      </c>
      <c r="Q101" s="11">
        <v>6394338.3799999999</v>
      </c>
      <c r="R101" s="11">
        <v>453408.73</v>
      </c>
      <c r="S101" s="11">
        <v>73</v>
      </c>
      <c r="T101" s="11">
        <v>5</v>
      </c>
      <c r="U101" s="11">
        <v>78</v>
      </c>
      <c r="V101" s="11">
        <v>0</v>
      </c>
      <c r="W101" s="11">
        <v>22</v>
      </c>
      <c r="X101" s="11">
        <v>24</v>
      </c>
      <c r="Y101" s="11">
        <v>278</v>
      </c>
      <c r="Z101" s="11">
        <v>2</v>
      </c>
      <c r="AA101" s="11">
        <v>23</v>
      </c>
      <c r="AB101" s="11">
        <v>0</v>
      </c>
      <c r="AC101" s="11">
        <v>0</v>
      </c>
      <c r="AD101" s="11">
        <v>1</v>
      </c>
      <c r="AE101" s="11">
        <v>21</v>
      </c>
      <c r="AF101" s="11">
        <v>224</v>
      </c>
      <c r="AG101" s="11">
        <v>292</v>
      </c>
      <c r="AH101" s="11">
        <v>71</v>
      </c>
      <c r="AI101" s="11">
        <v>96447</v>
      </c>
      <c r="AJ101" s="11">
        <v>4</v>
      </c>
      <c r="AK101" s="11">
        <v>34708</v>
      </c>
      <c r="AL101" s="11">
        <v>0</v>
      </c>
      <c r="AM101" s="11">
        <v>5.1000000000000004E-3</v>
      </c>
      <c r="AN101" s="11">
        <v>87792</v>
      </c>
      <c r="AO101" s="11">
        <v>1.1399999999999999</v>
      </c>
      <c r="AP101" s="11">
        <v>0</v>
      </c>
      <c r="AQ101" s="11">
        <v>256</v>
      </c>
      <c r="AR101" s="11">
        <v>584</v>
      </c>
      <c r="AS101" s="11">
        <v>1210.9000000000001</v>
      </c>
      <c r="AT101" s="11">
        <v>5</v>
      </c>
      <c r="AU101" s="11">
        <v>14</v>
      </c>
      <c r="AV101" s="11">
        <v>78</v>
      </c>
      <c r="AW101" s="11">
        <v>26</v>
      </c>
      <c r="AX101" s="11">
        <v>28</v>
      </c>
      <c r="AY101" s="11" t="s">
        <v>684</v>
      </c>
    </row>
    <row r="102" spans="1:51">
      <c r="A102" s="11" t="s">
        <v>124</v>
      </c>
      <c r="B102" s="11" t="s">
        <v>443</v>
      </c>
      <c r="C102" s="11" t="s">
        <v>212</v>
      </c>
      <c r="D102" s="11" t="s">
        <v>517</v>
      </c>
      <c r="E102" s="11" t="s">
        <v>554</v>
      </c>
      <c r="F102" s="11" t="s">
        <v>738</v>
      </c>
      <c r="G102" s="11" t="s">
        <v>124</v>
      </c>
      <c r="H102" s="11">
        <v>0</v>
      </c>
      <c r="I102" s="11">
        <v>4500000</v>
      </c>
      <c r="J102" s="11">
        <v>2461135.4900000002</v>
      </c>
      <c r="K102" s="11">
        <v>0</v>
      </c>
      <c r="L102" s="11">
        <v>73</v>
      </c>
      <c r="M102" s="11">
        <v>64</v>
      </c>
      <c r="N102" s="11">
        <v>0</v>
      </c>
      <c r="O102" s="11">
        <v>73</v>
      </c>
      <c r="P102" s="11">
        <v>9</v>
      </c>
      <c r="Q102" s="11">
        <v>2461135.4900000002</v>
      </c>
      <c r="R102" s="11">
        <v>0</v>
      </c>
      <c r="S102" s="11">
        <v>31</v>
      </c>
      <c r="T102" s="11">
        <v>0</v>
      </c>
      <c r="U102" s="11">
        <v>31</v>
      </c>
      <c r="V102" s="11">
        <v>0</v>
      </c>
      <c r="W102" s="11">
        <v>22</v>
      </c>
      <c r="X102" s="11">
        <v>34</v>
      </c>
      <c r="Y102" s="11">
        <v>171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345</v>
      </c>
      <c r="AG102" s="11">
        <v>379</v>
      </c>
      <c r="AH102" s="11">
        <v>74</v>
      </c>
      <c r="AI102" s="11">
        <v>33259</v>
      </c>
      <c r="AJ102" s="11">
        <v>5</v>
      </c>
      <c r="AK102" s="11">
        <v>30195</v>
      </c>
      <c r="AL102" s="11">
        <v>0</v>
      </c>
      <c r="AM102" s="11">
        <v>1.23E-2</v>
      </c>
      <c r="AN102" s="11">
        <v>79391</v>
      </c>
      <c r="AO102" s="11">
        <v>0.55000000000000004</v>
      </c>
      <c r="AP102" s="11">
        <v>0</v>
      </c>
      <c r="AQ102" s="11">
        <v>63</v>
      </c>
      <c r="AR102" s="11">
        <v>785</v>
      </c>
      <c r="AS102" s="11">
        <v>3659.2</v>
      </c>
      <c r="AT102" s="11">
        <v>0</v>
      </c>
      <c r="AU102" s="11">
        <v>57</v>
      </c>
      <c r="AV102" s="11">
        <v>31</v>
      </c>
      <c r="AW102" s="11">
        <v>35</v>
      </c>
      <c r="AX102" s="11">
        <v>7</v>
      </c>
      <c r="AY102" s="11" t="s">
        <v>684</v>
      </c>
    </row>
    <row r="103" spans="1:51">
      <c r="A103" s="11" t="s">
        <v>118</v>
      </c>
      <c r="B103" s="11" t="s">
        <v>468</v>
      </c>
      <c r="C103" s="11" t="s">
        <v>213</v>
      </c>
      <c r="D103" s="11" t="s">
        <v>515</v>
      </c>
      <c r="E103" s="11" t="s">
        <v>555</v>
      </c>
      <c r="F103" s="150">
        <v>44935</v>
      </c>
      <c r="G103" s="11" t="s">
        <v>118</v>
      </c>
      <c r="H103" s="11">
        <v>0</v>
      </c>
      <c r="I103" s="11">
        <v>0</v>
      </c>
      <c r="J103" s="11">
        <v>0</v>
      </c>
      <c r="K103" s="11">
        <v>0</v>
      </c>
      <c r="L103" s="11">
        <v>240</v>
      </c>
      <c r="M103" s="11">
        <v>93</v>
      </c>
      <c r="N103" s="11">
        <v>4</v>
      </c>
      <c r="O103" s="11">
        <v>244</v>
      </c>
      <c r="P103" s="11">
        <v>151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18</v>
      </c>
      <c r="X103" s="11">
        <v>23</v>
      </c>
      <c r="Y103" s="11">
        <v>82</v>
      </c>
      <c r="Z103" s="11">
        <v>4</v>
      </c>
      <c r="AA103" s="11">
        <v>50</v>
      </c>
      <c r="AB103" s="11">
        <v>0</v>
      </c>
      <c r="AC103" s="11">
        <v>0</v>
      </c>
      <c r="AD103" s="11">
        <v>0</v>
      </c>
      <c r="AE103" s="11">
        <v>0</v>
      </c>
      <c r="AF103" s="11">
        <v>192</v>
      </c>
      <c r="AG103" s="11">
        <v>265</v>
      </c>
      <c r="AH103" s="11">
        <v>73</v>
      </c>
      <c r="AI103" s="11">
        <v>0</v>
      </c>
      <c r="AJ103" s="11">
        <v>4</v>
      </c>
      <c r="AK103" s="11">
        <v>95640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669</v>
      </c>
      <c r="AS103" s="11">
        <v>1970.33</v>
      </c>
      <c r="AT103" s="11">
        <v>0</v>
      </c>
      <c r="AU103" s="11">
        <v>21</v>
      </c>
      <c r="AV103" s="11">
        <v>0</v>
      </c>
      <c r="AW103" s="11">
        <v>93</v>
      </c>
      <c r="AX103" s="11">
        <v>151</v>
      </c>
      <c r="AY103" s="11" t="s">
        <v>684</v>
      </c>
    </row>
    <row r="104" spans="1:51">
      <c r="A104" s="11" t="s">
        <v>201</v>
      </c>
      <c r="B104" s="11" t="s">
        <v>431</v>
      </c>
      <c r="C104" s="11" t="s">
        <v>214</v>
      </c>
      <c r="D104" s="11" t="s">
        <v>556</v>
      </c>
      <c r="E104" s="11" t="s">
        <v>557</v>
      </c>
      <c r="F104" s="150">
        <v>44966</v>
      </c>
      <c r="G104" s="11" t="s">
        <v>121</v>
      </c>
      <c r="H104" s="11">
        <v>0</v>
      </c>
      <c r="I104" s="11">
        <v>0</v>
      </c>
      <c r="J104" s="11">
        <v>0</v>
      </c>
      <c r="K104" s="11">
        <v>0</v>
      </c>
      <c r="L104" s="11">
        <v>26</v>
      </c>
      <c r="M104" s="11">
        <v>0</v>
      </c>
      <c r="N104" s="11">
        <v>6</v>
      </c>
      <c r="O104" s="11">
        <v>32</v>
      </c>
      <c r="P104" s="11">
        <v>32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243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34940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32</v>
      </c>
      <c r="AY104" s="11" t="s">
        <v>690</v>
      </c>
    </row>
    <row r="105" spans="1:51">
      <c r="A105" s="11" t="s">
        <v>118</v>
      </c>
      <c r="B105" s="11" t="s">
        <v>468</v>
      </c>
      <c r="C105" s="11" t="s">
        <v>215</v>
      </c>
      <c r="D105" s="11" t="s">
        <v>509</v>
      </c>
      <c r="E105" s="11" t="s">
        <v>558</v>
      </c>
      <c r="F105" s="11" t="s">
        <v>739</v>
      </c>
      <c r="G105" s="11" t="s">
        <v>118</v>
      </c>
      <c r="H105" s="11">
        <v>0</v>
      </c>
      <c r="I105" s="11">
        <v>5574999</v>
      </c>
      <c r="J105" s="11">
        <v>7079935.3099999996</v>
      </c>
      <c r="K105" s="11">
        <v>0</v>
      </c>
      <c r="L105" s="11">
        <v>54</v>
      </c>
      <c r="M105" s="11">
        <v>46</v>
      </c>
      <c r="N105" s="11">
        <v>3</v>
      </c>
      <c r="O105" s="11">
        <v>57</v>
      </c>
      <c r="P105" s="11">
        <v>11</v>
      </c>
      <c r="Q105" s="11">
        <v>6730624.8399999999</v>
      </c>
      <c r="R105" s="11">
        <v>349310.47</v>
      </c>
      <c r="S105" s="11">
        <v>25</v>
      </c>
      <c r="T105" s="11">
        <v>3</v>
      </c>
      <c r="U105" s="11">
        <v>28</v>
      </c>
      <c r="V105" s="11">
        <v>0</v>
      </c>
      <c r="W105" s="11">
        <v>8</v>
      </c>
      <c r="X105" s="11">
        <v>11</v>
      </c>
      <c r="Y105" s="11">
        <v>136</v>
      </c>
      <c r="Z105" s="11">
        <v>1</v>
      </c>
      <c r="AA105" s="11">
        <v>3</v>
      </c>
      <c r="AB105" s="11">
        <v>0</v>
      </c>
      <c r="AC105" s="11">
        <v>0</v>
      </c>
      <c r="AD105" s="11">
        <v>0</v>
      </c>
      <c r="AE105" s="11">
        <v>0</v>
      </c>
      <c r="AF105" s="11">
        <v>233</v>
      </c>
      <c r="AG105" s="11">
        <v>247</v>
      </c>
      <c r="AH105" s="11">
        <v>75</v>
      </c>
      <c r="AI105" s="11">
        <v>94399</v>
      </c>
      <c r="AJ105" s="11">
        <v>3</v>
      </c>
      <c r="AK105" s="11">
        <v>36400</v>
      </c>
      <c r="AL105" s="11">
        <v>0</v>
      </c>
      <c r="AM105" s="11">
        <v>5.1000000000000004E-3</v>
      </c>
      <c r="AN105" s="11">
        <v>252855</v>
      </c>
      <c r="AO105" s="11">
        <v>1.27</v>
      </c>
      <c r="AP105" s="11">
        <v>0</v>
      </c>
      <c r="AQ105" s="11">
        <v>54</v>
      </c>
      <c r="AR105" s="11">
        <v>741</v>
      </c>
      <c r="AS105" s="11">
        <v>2310.0100000000002</v>
      </c>
      <c r="AT105" s="11">
        <v>3</v>
      </c>
      <c r="AU105" s="11">
        <v>50</v>
      </c>
      <c r="AV105" s="11">
        <v>28</v>
      </c>
      <c r="AW105" s="11">
        <v>20</v>
      </c>
      <c r="AX105" s="11">
        <v>9</v>
      </c>
      <c r="AY105" s="11" t="s">
        <v>684</v>
      </c>
    </row>
    <row r="106" spans="1:51">
      <c r="A106" s="11" t="s">
        <v>201</v>
      </c>
      <c r="B106" s="11" t="s">
        <v>431</v>
      </c>
      <c r="C106" s="11" t="s">
        <v>217</v>
      </c>
      <c r="D106" s="11" t="s">
        <v>431</v>
      </c>
      <c r="E106" s="11" t="s">
        <v>531</v>
      </c>
      <c r="F106" s="11" t="s">
        <v>740</v>
      </c>
      <c r="G106" s="11" t="s">
        <v>121</v>
      </c>
      <c r="H106" s="11">
        <v>0</v>
      </c>
      <c r="I106" s="11">
        <v>5499999</v>
      </c>
      <c r="J106" s="11">
        <v>3094315.14</v>
      </c>
      <c r="K106" s="11">
        <v>0</v>
      </c>
      <c r="L106" s="11">
        <v>152</v>
      </c>
      <c r="M106" s="11">
        <v>86</v>
      </c>
      <c r="N106" s="11">
        <v>4</v>
      </c>
      <c r="O106" s="11">
        <v>156</v>
      </c>
      <c r="P106" s="11">
        <v>70</v>
      </c>
      <c r="Q106" s="11">
        <v>2902868.24</v>
      </c>
      <c r="R106" s="11">
        <v>191446.9</v>
      </c>
      <c r="S106" s="11">
        <v>46</v>
      </c>
      <c r="T106" s="11">
        <v>4</v>
      </c>
      <c r="U106" s="11">
        <v>50</v>
      </c>
      <c r="V106" s="11">
        <v>0</v>
      </c>
      <c r="W106" s="11">
        <v>16</v>
      </c>
      <c r="X106" s="11">
        <v>16</v>
      </c>
      <c r="Y106" s="11">
        <v>227</v>
      </c>
      <c r="Z106" s="11">
        <v>3</v>
      </c>
      <c r="AA106" s="11">
        <v>27</v>
      </c>
      <c r="AB106" s="11">
        <v>0</v>
      </c>
      <c r="AC106" s="11">
        <v>0</v>
      </c>
      <c r="AD106" s="11">
        <v>0</v>
      </c>
      <c r="AE106" s="11">
        <v>0</v>
      </c>
      <c r="AF106" s="11">
        <v>310</v>
      </c>
      <c r="AG106" s="11">
        <v>353</v>
      </c>
      <c r="AH106" s="11">
        <v>71</v>
      </c>
      <c r="AI106" s="11">
        <v>43582</v>
      </c>
      <c r="AJ106" s="11">
        <v>5</v>
      </c>
      <c r="AK106" s="11">
        <v>32670</v>
      </c>
      <c r="AL106" s="11">
        <v>0</v>
      </c>
      <c r="AM106" s="11">
        <v>1.06E-2</v>
      </c>
      <c r="AN106" s="11">
        <v>61886</v>
      </c>
      <c r="AO106" s="11">
        <v>0.56000000000000005</v>
      </c>
      <c r="AP106" s="11">
        <v>0</v>
      </c>
      <c r="AQ106" s="11">
        <v>120</v>
      </c>
      <c r="AR106" s="11">
        <v>583</v>
      </c>
      <c r="AS106" s="11">
        <v>1353.77</v>
      </c>
      <c r="AT106" s="11">
        <v>4</v>
      </c>
      <c r="AU106" s="11">
        <v>16</v>
      </c>
      <c r="AV106" s="11">
        <v>50</v>
      </c>
      <c r="AW106" s="11">
        <v>39</v>
      </c>
      <c r="AX106" s="11">
        <v>67</v>
      </c>
      <c r="AY106" s="11" t="s">
        <v>684</v>
      </c>
    </row>
    <row r="107" spans="1:51">
      <c r="A107" s="11" t="s">
        <v>118</v>
      </c>
      <c r="B107" s="11" t="s">
        <v>362</v>
      </c>
      <c r="C107" s="11" t="s">
        <v>218</v>
      </c>
      <c r="D107" s="11" t="s">
        <v>559</v>
      </c>
      <c r="E107" s="11" t="s">
        <v>560</v>
      </c>
      <c r="F107" s="150">
        <v>44995</v>
      </c>
      <c r="G107" s="11" t="s">
        <v>91</v>
      </c>
      <c r="H107" s="11">
        <v>0</v>
      </c>
      <c r="I107" s="11">
        <v>0</v>
      </c>
      <c r="J107" s="11">
        <v>0</v>
      </c>
      <c r="K107" s="11">
        <v>0</v>
      </c>
      <c r="L107" s="11">
        <v>54</v>
      </c>
      <c r="M107" s="11">
        <v>0</v>
      </c>
      <c r="N107" s="11">
        <v>0</v>
      </c>
      <c r="O107" s="11">
        <v>54</v>
      </c>
      <c r="P107" s="11">
        <v>54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76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25325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54</v>
      </c>
      <c r="AY107" s="11" t="s">
        <v>741</v>
      </c>
    </row>
    <row r="108" spans="1:51">
      <c r="A108" s="11" t="s">
        <v>118</v>
      </c>
      <c r="B108" s="11" t="s">
        <v>362</v>
      </c>
      <c r="C108" s="11" t="s">
        <v>219</v>
      </c>
      <c r="D108" s="11" t="s">
        <v>419</v>
      </c>
      <c r="E108" s="11" t="s">
        <v>539</v>
      </c>
      <c r="F108" s="150">
        <v>44995</v>
      </c>
      <c r="G108" s="11" t="s">
        <v>118</v>
      </c>
      <c r="H108" s="11">
        <v>0</v>
      </c>
      <c r="I108" s="11">
        <v>0</v>
      </c>
      <c r="J108" s="11">
        <v>0</v>
      </c>
      <c r="K108" s="11">
        <v>0</v>
      </c>
      <c r="L108" s="11">
        <v>209</v>
      </c>
      <c r="M108" s="11">
        <v>76</v>
      </c>
      <c r="N108" s="11">
        <v>1</v>
      </c>
      <c r="O108" s="11">
        <v>210</v>
      </c>
      <c r="P108" s="11">
        <v>134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3</v>
      </c>
      <c r="X108" s="11">
        <v>3</v>
      </c>
      <c r="Y108" s="11">
        <v>38</v>
      </c>
      <c r="Z108" s="11">
        <v>13</v>
      </c>
      <c r="AA108" s="11">
        <v>44</v>
      </c>
      <c r="AB108" s="11">
        <v>0</v>
      </c>
      <c r="AC108" s="11">
        <v>0</v>
      </c>
      <c r="AD108" s="11">
        <v>0</v>
      </c>
      <c r="AE108" s="11">
        <v>0</v>
      </c>
      <c r="AF108" s="11">
        <v>128</v>
      </c>
      <c r="AG108" s="11">
        <v>175</v>
      </c>
      <c r="AH108" s="11">
        <v>71</v>
      </c>
      <c r="AI108" s="11">
        <v>0</v>
      </c>
      <c r="AJ108" s="11">
        <v>2</v>
      </c>
      <c r="AK108" s="11">
        <v>93820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704</v>
      </c>
      <c r="AS108" s="11">
        <v>2403.2399999999998</v>
      </c>
      <c r="AT108" s="11">
        <v>0</v>
      </c>
      <c r="AU108" s="11">
        <v>32</v>
      </c>
      <c r="AV108" s="11">
        <v>0</v>
      </c>
      <c r="AW108" s="11">
        <v>76</v>
      </c>
      <c r="AX108" s="11">
        <v>134</v>
      </c>
      <c r="AY108" s="11" t="s">
        <v>684</v>
      </c>
    </row>
    <row r="109" spans="1:51">
      <c r="A109" s="11" t="s">
        <v>136</v>
      </c>
      <c r="B109" s="11" t="s">
        <v>653</v>
      </c>
      <c r="C109" s="11" t="s">
        <v>220</v>
      </c>
      <c r="D109" s="11" t="s">
        <v>421</v>
      </c>
      <c r="E109" s="11" t="s">
        <v>424</v>
      </c>
      <c r="F109" s="150">
        <v>45179</v>
      </c>
      <c r="G109" s="11" t="s">
        <v>136</v>
      </c>
      <c r="H109" s="11">
        <v>500001</v>
      </c>
      <c r="I109" s="11">
        <v>3000000</v>
      </c>
      <c r="J109" s="11">
        <v>1093277.56</v>
      </c>
      <c r="K109" s="11">
        <v>0</v>
      </c>
      <c r="L109" s="11">
        <v>25</v>
      </c>
      <c r="M109" s="11">
        <v>24</v>
      </c>
      <c r="N109" s="11">
        <v>2</v>
      </c>
      <c r="O109" s="11">
        <v>27</v>
      </c>
      <c r="P109" s="11">
        <v>3</v>
      </c>
      <c r="Q109" s="11">
        <v>741174.01</v>
      </c>
      <c r="R109" s="11">
        <v>352103.55</v>
      </c>
      <c r="S109" s="11">
        <v>9</v>
      </c>
      <c r="T109" s="11">
        <v>2</v>
      </c>
      <c r="U109" s="11">
        <v>11</v>
      </c>
      <c r="V109" s="11">
        <v>0</v>
      </c>
      <c r="W109" s="11">
        <v>7</v>
      </c>
      <c r="X109" s="11">
        <v>12</v>
      </c>
      <c r="Y109" s="11">
        <v>115</v>
      </c>
      <c r="Z109" s="11">
        <v>1</v>
      </c>
      <c r="AA109" s="11">
        <v>19</v>
      </c>
      <c r="AB109" s="11">
        <v>1</v>
      </c>
      <c r="AC109" s="11">
        <v>3</v>
      </c>
      <c r="AD109" s="11">
        <v>0</v>
      </c>
      <c r="AE109" s="11">
        <v>0</v>
      </c>
      <c r="AF109" s="11">
        <v>302</v>
      </c>
      <c r="AG109" s="11">
        <v>336</v>
      </c>
      <c r="AH109" s="11">
        <v>66</v>
      </c>
      <c r="AI109" s="11">
        <v>16565</v>
      </c>
      <c r="AJ109" s="11">
        <v>5</v>
      </c>
      <c r="AK109" s="11">
        <v>36018</v>
      </c>
      <c r="AL109" s="11">
        <v>0</v>
      </c>
      <c r="AM109" s="11">
        <v>3.2899999999999999E-2</v>
      </c>
      <c r="AN109" s="11">
        <v>99389</v>
      </c>
      <c r="AO109" s="11">
        <v>0.36</v>
      </c>
      <c r="AP109" s="11">
        <v>0</v>
      </c>
      <c r="AQ109" s="11">
        <v>26</v>
      </c>
      <c r="AR109" s="11">
        <v>648</v>
      </c>
      <c r="AS109" s="11">
        <v>2289.2800000000002</v>
      </c>
      <c r="AT109" s="11">
        <v>2</v>
      </c>
      <c r="AU109" s="11">
        <v>95</v>
      </c>
      <c r="AV109" s="11">
        <v>11</v>
      </c>
      <c r="AW109" s="11">
        <v>13</v>
      </c>
      <c r="AX109" s="11">
        <v>3</v>
      </c>
      <c r="AY109" s="11" t="s">
        <v>684</v>
      </c>
    </row>
    <row r="110" spans="1:51">
      <c r="A110" s="11" t="s">
        <v>118</v>
      </c>
      <c r="B110" s="11" t="s">
        <v>372</v>
      </c>
      <c r="C110" s="11" t="s">
        <v>221</v>
      </c>
      <c r="D110" s="11" t="s">
        <v>515</v>
      </c>
      <c r="E110" s="11" t="s">
        <v>562</v>
      </c>
      <c r="F110" s="150">
        <v>44937</v>
      </c>
      <c r="G110" s="11" t="s">
        <v>138</v>
      </c>
      <c r="H110" s="11">
        <v>0</v>
      </c>
      <c r="I110" s="11">
        <v>4500000</v>
      </c>
      <c r="J110" s="11">
        <v>1312290.3999999999</v>
      </c>
      <c r="K110" s="11">
        <v>0</v>
      </c>
      <c r="L110" s="11">
        <v>40</v>
      </c>
      <c r="M110" s="11">
        <v>36</v>
      </c>
      <c r="N110" s="11">
        <v>0</v>
      </c>
      <c r="O110" s="11">
        <v>40</v>
      </c>
      <c r="P110" s="11">
        <v>4</v>
      </c>
      <c r="Q110" s="11">
        <v>1312290.3999999999</v>
      </c>
      <c r="R110" s="11">
        <v>0</v>
      </c>
      <c r="S110" s="11">
        <v>6</v>
      </c>
      <c r="T110" s="11">
        <v>0</v>
      </c>
      <c r="U110" s="11">
        <v>6</v>
      </c>
      <c r="V110" s="11">
        <v>0</v>
      </c>
      <c r="W110" s="11">
        <v>19</v>
      </c>
      <c r="X110" s="11">
        <v>29</v>
      </c>
      <c r="Y110" s="11">
        <v>84</v>
      </c>
      <c r="Z110" s="11">
        <v>1</v>
      </c>
      <c r="AA110" s="11">
        <v>56</v>
      </c>
      <c r="AB110" s="11">
        <v>0</v>
      </c>
      <c r="AC110" s="11">
        <v>0</v>
      </c>
      <c r="AD110" s="11">
        <v>0</v>
      </c>
      <c r="AE110" s="11">
        <v>0</v>
      </c>
      <c r="AF110" s="11">
        <v>240</v>
      </c>
      <c r="AG110" s="11">
        <v>325</v>
      </c>
      <c r="AH110" s="11">
        <v>70</v>
      </c>
      <c r="AI110" s="11">
        <v>18747</v>
      </c>
      <c r="AJ110" s="11">
        <v>5</v>
      </c>
      <c r="AK110" s="11">
        <v>25803</v>
      </c>
      <c r="AL110" s="11">
        <v>0</v>
      </c>
      <c r="AM110" s="11">
        <v>1.9699999999999999E-2</v>
      </c>
      <c r="AN110" s="11">
        <v>218715</v>
      </c>
      <c r="AO110" s="11">
        <v>0.28999999999999998</v>
      </c>
      <c r="AP110" s="11">
        <v>0</v>
      </c>
      <c r="AQ110" s="11">
        <v>9</v>
      </c>
      <c r="AR110" s="11">
        <v>640</v>
      </c>
      <c r="AS110" s="11">
        <v>1587.11</v>
      </c>
      <c r="AT110" s="11">
        <v>0</v>
      </c>
      <c r="AU110" s="11">
        <v>44</v>
      </c>
      <c r="AV110" s="11">
        <v>6</v>
      </c>
      <c r="AW110" s="11">
        <v>30</v>
      </c>
      <c r="AX110" s="11">
        <v>4</v>
      </c>
      <c r="AY110" s="11" t="s">
        <v>684</v>
      </c>
    </row>
    <row r="111" spans="1:51">
      <c r="A111" s="11" t="s">
        <v>118</v>
      </c>
      <c r="B111" s="11" t="s">
        <v>372</v>
      </c>
      <c r="C111" s="11" t="s">
        <v>222</v>
      </c>
      <c r="D111" s="11" t="s">
        <v>447</v>
      </c>
      <c r="E111" s="11" t="s">
        <v>564</v>
      </c>
      <c r="F111" s="150">
        <v>44996</v>
      </c>
      <c r="G111" s="11" t="s">
        <v>93</v>
      </c>
      <c r="H111" s="11">
        <v>0</v>
      </c>
      <c r="I111" s="11">
        <v>4500000</v>
      </c>
      <c r="J111" s="11">
        <v>4912289.2300000004</v>
      </c>
      <c r="K111" s="11">
        <v>0</v>
      </c>
      <c r="L111" s="11">
        <v>58</v>
      </c>
      <c r="M111" s="11">
        <v>51</v>
      </c>
      <c r="N111" s="11">
        <v>7</v>
      </c>
      <c r="O111" s="11">
        <v>65</v>
      </c>
      <c r="P111" s="11">
        <v>14</v>
      </c>
      <c r="Q111" s="11">
        <v>4340169.9000000004</v>
      </c>
      <c r="R111" s="11">
        <v>572119.32999999996</v>
      </c>
      <c r="S111" s="11">
        <v>34</v>
      </c>
      <c r="T111" s="11">
        <v>7</v>
      </c>
      <c r="U111" s="11">
        <v>41</v>
      </c>
      <c r="V111" s="11">
        <v>0</v>
      </c>
      <c r="W111" s="11">
        <v>40</v>
      </c>
      <c r="X111" s="11">
        <v>46</v>
      </c>
      <c r="Y111" s="11">
        <v>102</v>
      </c>
      <c r="Z111" s="11">
        <v>3</v>
      </c>
      <c r="AA111" s="11">
        <v>43</v>
      </c>
      <c r="AB111" s="11">
        <v>2</v>
      </c>
      <c r="AC111" s="11">
        <v>4</v>
      </c>
      <c r="AD111" s="11">
        <v>1</v>
      </c>
      <c r="AE111" s="11">
        <v>1</v>
      </c>
      <c r="AF111" s="11">
        <v>185</v>
      </c>
      <c r="AG111" s="11">
        <v>279</v>
      </c>
      <c r="AH111" s="11">
        <v>71</v>
      </c>
      <c r="AI111" s="11">
        <v>69187</v>
      </c>
      <c r="AJ111" s="11">
        <v>4</v>
      </c>
      <c r="AK111" s="11">
        <v>26530</v>
      </c>
      <c r="AL111" s="11">
        <v>0</v>
      </c>
      <c r="AM111" s="11">
        <v>5.4000000000000003E-3</v>
      </c>
      <c r="AN111" s="11">
        <v>119812</v>
      </c>
      <c r="AO111" s="11">
        <v>1.0900000000000001</v>
      </c>
      <c r="AP111" s="11">
        <v>0</v>
      </c>
      <c r="AQ111" s="11">
        <v>77</v>
      </c>
      <c r="AR111" s="11">
        <v>740</v>
      </c>
      <c r="AS111" s="11">
        <v>2338.84</v>
      </c>
      <c r="AT111" s="11">
        <v>7</v>
      </c>
      <c r="AU111" s="11">
        <v>46</v>
      </c>
      <c r="AV111" s="11">
        <v>41</v>
      </c>
      <c r="AW111" s="11">
        <v>19</v>
      </c>
      <c r="AX111" s="11">
        <v>5</v>
      </c>
      <c r="AY111" s="11" t="s">
        <v>684</v>
      </c>
    </row>
    <row r="112" spans="1:51">
      <c r="A112" s="11" t="s">
        <v>118</v>
      </c>
      <c r="B112" s="11" t="s">
        <v>372</v>
      </c>
      <c r="C112" s="11" t="s">
        <v>223</v>
      </c>
      <c r="D112" s="11" t="s">
        <v>447</v>
      </c>
      <c r="E112" s="11" t="s">
        <v>565</v>
      </c>
      <c r="F112" s="150">
        <v>45088</v>
      </c>
      <c r="G112" s="11" t="s">
        <v>93</v>
      </c>
      <c r="H112" s="11">
        <v>0</v>
      </c>
      <c r="I112" s="11">
        <v>4500000</v>
      </c>
      <c r="J112" s="11">
        <v>7499750.9800000004</v>
      </c>
      <c r="K112" s="11">
        <v>0</v>
      </c>
      <c r="L112" s="11">
        <v>64</v>
      </c>
      <c r="M112" s="11">
        <v>72</v>
      </c>
      <c r="N112" s="11">
        <v>17</v>
      </c>
      <c r="O112" s="11">
        <v>81</v>
      </c>
      <c r="P112" s="11">
        <v>9</v>
      </c>
      <c r="Q112" s="11">
        <v>4206305</v>
      </c>
      <c r="R112" s="11">
        <v>3293445.98</v>
      </c>
      <c r="S112" s="11">
        <v>36</v>
      </c>
      <c r="T112" s="11">
        <v>17</v>
      </c>
      <c r="U112" s="11">
        <v>53</v>
      </c>
      <c r="V112" s="11">
        <v>0</v>
      </c>
      <c r="W112" s="11">
        <v>18</v>
      </c>
      <c r="X112" s="11">
        <v>31</v>
      </c>
      <c r="Y112" s="11">
        <v>171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435</v>
      </c>
      <c r="AG112" s="11">
        <v>466</v>
      </c>
      <c r="AH112" s="11">
        <v>74</v>
      </c>
      <c r="AI112" s="11">
        <v>101348</v>
      </c>
      <c r="AJ112" s="11">
        <v>6</v>
      </c>
      <c r="AK112" s="11">
        <v>27680</v>
      </c>
      <c r="AL112" s="11">
        <v>0</v>
      </c>
      <c r="AM112" s="11">
        <v>3.7000000000000002E-3</v>
      </c>
      <c r="AN112" s="11">
        <v>141505</v>
      </c>
      <c r="AO112" s="11">
        <v>1.67</v>
      </c>
      <c r="AP112" s="11">
        <v>0</v>
      </c>
      <c r="AQ112" s="11">
        <v>169</v>
      </c>
      <c r="AR112" s="11">
        <v>560</v>
      </c>
      <c r="AS112" s="11">
        <v>2593.9499999999998</v>
      </c>
      <c r="AT112" s="11">
        <v>17</v>
      </c>
      <c r="AU112" s="11">
        <v>36</v>
      </c>
      <c r="AV112" s="11">
        <v>53</v>
      </c>
      <c r="AW112" s="11">
        <v>19</v>
      </c>
      <c r="AX112" s="11">
        <v>9</v>
      </c>
      <c r="AY112" s="11" t="s">
        <v>684</v>
      </c>
    </row>
    <row r="113" spans="1:51">
      <c r="A113" s="11" t="s">
        <v>118</v>
      </c>
      <c r="B113" s="11" t="s">
        <v>468</v>
      </c>
      <c r="C113" s="11" t="s">
        <v>224</v>
      </c>
      <c r="D113" s="11" t="s">
        <v>515</v>
      </c>
      <c r="E113" s="11" t="s">
        <v>566</v>
      </c>
      <c r="F113" s="150">
        <v>45088</v>
      </c>
      <c r="G113" s="11" t="s">
        <v>213</v>
      </c>
      <c r="H113" s="11">
        <v>0</v>
      </c>
      <c r="I113" s="11">
        <v>5850000</v>
      </c>
      <c r="J113" s="11">
        <v>4727801.46</v>
      </c>
      <c r="K113" s="11">
        <v>0</v>
      </c>
      <c r="L113" s="11">
        <v>35</v>
      </c>
      <c r="M113" s="11">
        <v>36</v>
      </c>
      <c r="N113" s="11">
        <v>3</v>
      </c>
      <c r="O113" s="11">
        <v>38</v>
      </c>
      <c r="P113" s="11">
        <v>2</v>
      </c>
      <c r="Q113" s="11">
        <v>4192850.33</v>
      </c>
      <c r="R113" s="11">
        <v>534951.13</v>
      </c>
      <c r="S113" s="11">
        <v>15</v>
      </c>
      <c r="T113" s="11">
        <v>3</v>
      </c>
      <c r="U113" s="11">
        <v>18</v>
      </c>
      <c r="V113" s="11">
        <v>0</v>
      </c>
      <c r="W113" s="11">
        <v>32</v>
      </c>
      <c r="X113" s="11">
        <v>63</v>
      </c>
      <c r="Y113" s="11">
        <v>91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254</v>
      </c>
      <c r="AG113" s="11">
        <v>317</v>
      </c>
      <c r="AH113" s="11">
        <v>69</v>
      </c>
      <c r="AI113" s="11">
        <v>68519</v>
      </c>
      <c r="AJ113" s="11">
        <v>5</v>
      </c>
      <c r="AK113" s="11">
        <v>29985</v>
      </c>
      <c r="AL113" s="11">
        <v>0</v>
      </c>
      <c r="AM113" s="11">
        <v>6.3E-3</v>
      </c>
      <c r="AN113" s="11">
        <v>262656</v>
      </c>
      <c r="AO113" s="11">
        <v>0.81</v>
      </c>
      <c r="AP113" s="11">
        <v>0</v>
      </c>
      <c r="AQ113" s="11">
        <v>28</v>
      </c>
      <c r="AR113" s="11">
        <v>700</v>
      </c>
      <c r="AS113" s="11">
        <v>3260.63</v>
      </c>
      <c r="AT113" s="11">
        <v>3</v>
      </c>
      <c r="AU113" s="11">
        <v>91</v>
      </c>
      <c r="AV113" s="11">
        <v>18</v>
      </c>
      <c r="AW113" s="11">
        <v>18</v>
      </c>
      <c r="AX113" s="11">
        <v>2</v>
      </c>
      <c r="AY113" s="11" t="s">
        <v>684</v>
      </c>
    </row>
    <row r="114" spans="1:51">
      <c r="A114" s="11" t="s">
        <v>120</v>
      </c>
      <c r="B114" s="11" t="s">
        <v>206</v>
      </c>
      <c r="C114" s="11" t="s">
        <v>180</v>
      </c>
      <c r="D114" s="11" t="s">
        <v>206</v>
      </c>
      <c r="E114" s="11" t="s">
        <v>182</v>
      </c>
      <c r="F114" s="150">
        <v>44938</v>
      </c>
      <c r="G114" s="11" t="s">
        <v>120</v>
      </c>
      <c r="H114" s="11">
        <v>600000</v>
      </c>
      <c r="I114" s="11">
        <v>3600000</v>
      </c>
      <c r="J114" s="11">
        <v>2362117.75</v>
      </c>
      <c r="K114" s="11">
        <v>326069.65999999997</v>
      </c>
      <c r="L114" s="11">
        <v>94</v>
      </c>
      <c r="M114" s="11">
        <v>89</v>
      </c>
      <c r="N114" s="11">
        <v>6</v>
      </c>
      <c r="O114" s="11">
        <v>100</v>
      </c>
      <c r="P114" s="11">
        <v>11</v>
      </c>
      <c r="Q114" s="11">
        <v>2111125.5499999998</v>
      </c>
      <c r="R114" s="11">
        <v>250992.2</v>
      </c>
      <c r="S114" s="11">
        <v>43</v>
      </c>
      <c r="T114" s="11">
        <v>6</v>
      </c>
      <c r="U114" s="11">
        <v>49</v>
      </c>
      <c r="V114" s="11">
        <v>2</v>
      </c>
      <c r="W114" s="11">
        <v>42</v>
      </c>
      <c r="X114" s="11">
        <v>70</v>
      </c>
      <c r="Y114" s="11">
        <v>119</v>
      </c>
      <c r="Z114" s="11">
        <v>3</v>
      </c>
      <c r="AA114" s="11">
        <v>65</v>
      </c>
      <c r="AB114" s="11">
        <v>3</v>
      </c>
      <c r="AC114" s="11">
        <v>16</v>
      </c>
      <c r="AD114" s="11">
        <v>0</v>
      </c>
      <c r="AE114" s="11">
        <v>0</v>
      </c>
      <c r="AF114" s="11">
        <v>368</v>
      </c>
      <c r="AG114" s="11">
        <v>519</v>
      </c>
      <c r="AH114" s="11">
        <v>72</v>
      </c>
      <c r="AI114" s="11">
        <v>32807</v>
      </c>
      <c r="AJ114" s="11">
        <v>7</v>
      </c>
      <c r="AK114" s="11">
        <v>33784</v>
      </c>
      <c r="AL114" s="11">
        <v>0</v>
      </c>
      <c r="AM114" s="11">
        <v>1.43E-2</v>
      </c>
      <c r="AN114" s="11">
        <v>48206</v>
      </c>
      <c r="AO114" s="11">
        <v>0.66</v>
      </c>
      <c r="AP114" s="11">
        <v>0.54</v>
      </c>
      <c r="AQ114" s="11">
        <v>81</v>
      </c>
      <c r="AR114" s="11">
        <v>693</v>
      </c>
      <c r="AS114" s="11">
        <v>2629.6</v>
      </c>
      <c r="AT114" s="11">
        <v>6</v>
      </c>
      <c r="AU114" s="11">
        <v>30</v>
      </c>
      <c r="AV114" s="11">
        <v>49</v>
      </c>
      <c r="AW114" s="11">
        <v>40</v>
      </c>
      <c r="AX114" s="11">
        <v>11</v>
      </c>
      <c r="AY114" s="11" t="s">
        <v>684</v>
      </c>
    </row>
    <row r="115" spans="1:51">
      <c r="A115" s="11" t="s">
        <v>177</v>
      </c>
      <c r="B115" s="11" t="s">
        <v>364</v>
      </c>
      <c r="C115" s="11" t="s">
        <v>225</v>
      </c>
      <c r="D115" s="11" t="s">
        <v>568</v>
      </c>
      <c r="E115" s="11" t="s">
        <v>569</v>
      </c>
      <c r="F115" s="151">
        <v>45242</v>
      </c>
      <c r="G115" s="11" t="s">
        <v>177</v>
      </c>
      <c r="H115" s="11">
        <v>0</v>
      </c>
      <c r="I115" s="11">
        <v>0</v>
      </c>
      <c r="J115" s="11">
        <v>0</v>
      </c>
      <c r="K115" s="11">
        <v>0</v>
      </c>
      <c r="L115" s="11">
        <v>67</v>
      </c>
      <c r="M115" s="11">
        <v>0</v>
      </c>
      <c r="N115" s="11">
        <v>0</v>
      </c>
      <c r="O115" s="11">
        <v>67</v>
      </c>
      <c r="P115" s="11">
        <v>67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92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35410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67</v>
      </c>
      <c r="AY115" s="11" t="s">
        <v>715</v>
      </c>
    </row>
    <row r="116" spans="1:51">
      <c r="A116" s="11" t="s">
        <v>118</v>
      </c>
      <c r="B116" s="11" t="s">
        <v>359</v>
      </c>
      <c r="C116" s="11" t="s">
        <v>226</v>
      </c>
      <c r="D116" s="11" t="s">
        <v>442</v>
      </c>
      <c r="E116" s="11" t="s">
        <v>571</v>
      </c>
      <c r="F116" s="11" t="s">
        <v>742</v>
      </c>
      <c r="G116" s="11" t="s">
        <v>38</v>
      </c>
      <c r="H116" s="11">
        <v>0</v>
      </c>
      <c r="I116" s="11">
        <v>5100000</v>
      </c>
      <c r="J116" s="11">
        <v>4626222.3</v>
      </c>
      <c r="K116" s="11">
        <v>0</v>
      </c>
      <c r="L116" s="11">
        <v>74</v>
      </c>
      <c r="M116" s="11">
        <v>70</v>
      </c>
      <c r="N116" s="11">
        <v>3</v>
      </c>
      <c r="O116" s="11">
        <v>77</v>
      </c>
      <c r="P116" s="11">
        <v>7</v>
      </c>
      <c r="Q116" s="11">
        <v>4434127.32</v>
      </c>
      <c r="R116" s="11">
        <v>192094.98</v>
      </c>
      <c r="S116" s="11">
        <v>32</v>
      </c>
      <c r="T116" s="11">
        <v>3</v>
      </c>
      <c r="U116" s="11">
        <v>35</v>
      </c>
      <c r="V116" s="11">
        <v>0</v>
      </c>
      <c r="W116" s="11">
        <v>6</v>
      </c>
      <c r="X116" s="11">
        <v>7</v>
      </c>
      <c r="Y116" s="11">
        <v>123</v>
      </c>
      <c r="Z116" s="11">
        <v>2</v>
      </c>
      <c r="AA116" s="11">
        <v>14</v>
      </c>
      <c r="AB116" s="11">
        <v>0</v>
      </c>
      <c r="AC116" s="11">
        <v>0</v>
      </c>
      <c r="AD116" s="11">
        <v>0</v>
      </c>
      <c r="AE116" s="11">
        <v>0</v>
      </c>
      <c r="AF116" s="11">
        <v>344</v>
      </c>
      <c r="AG116" s="11">
        <v>365</v>
      </c>
      <c r="AH116" s="11">
        <v>74</v>
      </c>
      <c r="AI116" s="11">
        <v>62517</v>
      </c>
      <c r="AJ116" s="11">
        <v>5</v>
      </c>
      <c r="AK116" s="11">
        <v>39855</v>
      </c>
      <c r="AL116" s="11">
        <v>0</v>
      </c>
      <c r="AM116" s="11">
        <v>8.6E-3</v>
      </c>
      <c r="AN116" s="11">
        <v>132178</v>
      </c>
      <c r="AO116" s="11">
        <v>0.91</v>
      </c>
      <c r="AP116" s="11">
        <v>0</v>
      </c>
      <c r="AQ116" s="11">
        <v>96</v>
      </c>
      <c r="AR116" s="11">
        <v>874</v>
      </c>
      <c r="AS116" s="11">
        <v>4073.85</v>
      </c>
      <c r="AT116" s="11">
        <v>3</v>
      </c>
      <c r="AU116" s="11">
        <v>58</v>
      </c>
      <c r="AV116" s="11">
        <v>35</v>
      </c>
      <c r="AW116" s="11">
        <v>39</v>
      </c>
      <c r="AX116" s="11">
        <v>3</v>
      </c>
      <c r="AY116" s="11" t="s">
        <v>684</v>
      </c>
    </row>
    <row r="117" spans="1:51">
      <c r="A117" s="11" t="s">
        <v>118</v>
      </c>
      <c r="B117" s="11" t="s">
        <v>484</v>
      </c>
      <c r="C117" s="11" t="s">
        <v>227</v>
      </c>
      <c r="D117" s="11" t="s">
        <v>572</v>
      </c>
      <c r="E117" s="11" t="s">
        <v>573</v>
      </c>
      <c r="F117" s="150">
        <v>45292</v>
      </c>
      <c r="G117" s="11" t="s">
        <v>118</v>
      </c>
      <c r="H117" s="11">
        <v>0</v>
      </c>
      <c r="I117" s="11">
        <v>4500000</v>
      </c>
      <c r="J117" s="11">
        <v>580532.4</v>
      </c>
      <c r="K117" s="11">
        <v>0</v>
      </c>
      <c r="L117" s="11">
        <v>42</v>
      </c>
      <c r="M117" s="11">
        <v>29</v>
      </c>
      <c r="N117" s="11">
        <v>0</v>
      </c>
      <c r="O117" s="11">
        <v>42</v>
      </c>
      <c r="P117" s="11">
        <v>13</v>
      </c>
      <c r="Q117" s="11">
        <v>580532.4</v>
      </c>
      <c r="R117" s="11">
        <v>0</v>
      </c>
      <c r="S117" s="11">
        <v>6</v>
      </c>
      <c r="T117" s="11">
        <v>0</v>
      </c>
      <c r="U117" s="11">
        <v>6</v>
      </c>
      <c r="V117" s="11">
        <v>0</v>
      </c>
      <c r="W117" s="11">
        <v>6</v>
      </c>
      <c r="X117" s="11">
        <v>9</v>
      </c>
      <c r="Y117" s="11">
        <v>82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357</v>
      </c>
      <c r="AG117" s="11">
        <v>366</v>
      </c>
      <c r="AH117" s="11">
        <v>63</v>
      </c>
      <c r="AI117" s="11">
        <v>9215</v>
      </c>
      <c r="AJ117" s="11">
        <v>6</v>
      </c>
      <c r="AK117" s="11">
        <v>29430</v>
      </c>
      <c r="AL117" s="11">
        <v>0</v>
      </c>
      <c r="AM117" s="11">
        <v>5.0700000000000002E-2</v>
      </c>
      <c r="AN117" s="11">
        <v>96755</v>
      </c>
      <c r="AO117" s="11">
        <v>0.13</v>
      </c>
      <c r="AP117" s="11">
        <v>0</v>
      </c>
      <c r="AQ117" s="11">
        <v>8</v>
      </c>
      <c r="AR117" s="11">
        <v>696</v>
      </c>
      <c r="AS117" s="11">
        <v>1041.03</v>
      </c>
      <c r="AT117" s="11">
        <v>0</v>
      </c>
      <c r="AU117" s="11">
        <v>36</v>
      </c>
      <c r="AV117" s="11">
        <v>6</v>
      </c>
      <c r="AW117" s="11">
        <v>23</v>
      </c>
      <c r="AX117" s="11">
        <v>13</v>
      </c>
      <c r="AY117" s="11" t="s">
        <v>684</v>
      </c>
    </row>
    <row r="118" spans="1:51">
      <c r="A118" s="11" t="s">
        <v>118</v>
      </c>
      <c r="B118" s="11" t="s">
        <v>436</v>
      </c>
      <c r="C118" s="11" t="s">
        <v>228</v>
      </c>
      <c r="D118" s="11" t="s">
        <v>499</v>
      </c>
      <c r="E118" s="11" t="s">
        <v>449</v>
      </c>
      <c r="F118" s="150">
        <v>45352</v>
      </c>
      <c r="H118" s="11">
        <v>0</v>
      </c>
      <c r="I118" s="11">
        <v>0</v>
      </c>
      <c r="J118" s="11">
        <v>0</v>
      </c>
      <c r="K118" s="11">
        <v>0</v>
      </c>
      <c r="L118" s="11">
        <v>128</v>
      </c>
      <c r="M118" s="11">
        <v>0</v>
      </c>
      <c r="N118" s="11">
        <v>4</v>
      </c>
      <c r="O118" s="11">
        <v>132</v>
      </c>
      <c r="P118" s="11">
        <v>132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103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31870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9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132</v>
      </c>
      <c r="AY118" s="11" t="s">
        <v>736</v>
      </c>
    </row>
    <row r="119" spans="1:51">
      <c r="A119" s="11" t="s">
        <v>118</v>
      </c>
      <c r="B119" s="11" t="s">
        <v>362</v>
      </c>
      <c r="C119" s="11" t="s">
        <v>229</v>
      </c>
      <c r="D119" s="11" t="s">
        <v>419</v>
      </c>
      <c r="E119" s="11" t="s">
        <v>539</v>
      </c>
      <c r="F119" s="150">
        <v>45383</v>
      </c>
      <c r="G119" s="11" t="s">
        <v>118</v>
      </c>
      <c r="H119" s="11">
        <v>0</v>
      </c>
      <c r="I119" s="11">
        <v>0</v>
      </c>
      <c r="J119" s="11">
        <v>0</v>
      </c>
      <c r="K119" s="11">
        <v>0</v>
      </c>
      <c r="L119" s="11">
        <v>213</v>
      </c>
      <c r="M119" s="11">
        <v>44</v>
      </c>
      <c r="N119" s="11">
        <v>0</v>
      </c>
      <c r="O119" s="11">
        <v>213</v>
      </c>
      <c r="P119" s="11">
        <v>169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1</v>
      </c>
      <c r="X119" s="11">
        <v>1</v>
      </c>
      <c r="Y119" s="11">
        <v>28</v>
      </c>
      <c r="Z119" s="11">
        <v>8</v>
      </c>
      <c r="AA119" s="11">
        <v>15</v>
      </c>
      <c r="AB119" s="11">
        <v>0</v>
      </c>
      <c r="AC119" s="11">
        <v>0</v>
      </c>
      <c r="AD119" s="11">
        <v>0</v>
      </c>
      <c r="AE119" s="11">
        <v>0</v>
      </c>
      <c r="AF119" s="11">
        <v>56</v>
      </c>
      <c r="AG119" s="11">
        <v>72</v>
      </c>
      <c r="AH119" s="11">
        <v>58</v>
      </c>
      <c r="AI119" s="11">
        <v>0</v>
      </c>
      <c r="AJ119" s="11">
        <v>1</v>
      </c>
      <c r="AK119" s="11">
        <v>88555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643</v>
      </c>
      <c r="AS119" s="11">
        <v>3636.35</v>
      </c>
      <c r="AT119" s="11">
        <v>0</v>
      </c>
      <c r="AU119" s="11">
        <v>83</v>
      </c>
      <c r="AV119" s="11">
        <v>0</v>
      </c>
      <c r="AW119" s="11">
        <v>44</v>
      </c>
      <c r="AX119" s="11">
        <v>169</v>
      </c>
      <c r="AY119" s="11" t="s">
        <v>684</v>
      </c>
    </row>
    <row r="120" spans="1:51">
      <c r="A120" s="11" t="s">
        <v>177</v>
      </c>
      <c r="B120" s="11" t="s">
        <v>364</v>
      </c>
      <c r="C120" s="11" t="s">
        <v>231</v>
      </c>
      <c r="D120" s="11" t="s">
        <v>576</v>
      </c>
      <c r="E120" s="11" t="s">
        <v>361</v>
      </c>
      <c r="F120" s="11" t="s">
        <v>743</v>
      </c>
      <c r="G120" s="11" t="s">
        <v>177</v>
      </c>
      <c r="H120" s="11">
        <v>0</v>
      </c>
      <c r="I120" s="11">
        <v>2499999</v>
      </c>
      <c r="J120" s="11">
        <v>2147434.4300000002</v>
      </c>
      <c r="K120" s="11">
        <v>0</v>
      </c>
      <c r="L120" s="11">
        <v>74</v>
      </c>
      <c r="M120" s="11">
        <v>68</v>
      </c>
      <c r="N120" s="11">
        <v>2</v>
      </c>
      <c r="O120" s="11">
        <v>76</v>
      </c>
      <c r="P120" s="11">
        <v>8</v>
      </c>
      <c r="Q120" s="11">
        <v>2147434.4300000002</v>
      </c>
      <c r="R120" s="11">
        <v>0</v>
      </c>
      <c r="S120" s="11">
        <v>62</v>
      </c>
      <c r="T120" s="11">
        <v>0</v>
      </c>
      <c r="U120" s="11">
        <v>62</v>
      </c>
      <c r="V120" s="11">
        <v>0</v>
      </c>
      <c r="W120" s="11">
        <v>7</v>
      </c>
      <c r="X120" s="11">
        <v>9</v>
      </c>
      <c r="Y120" s="11">
        <v>229</v>
      </c>
      <c r="Z120" s="11">
        <v>1</v>
      </c>
      <c r="AA120" s="11">
        <v>53</v>
      </c>
      <c r="AB120" s="11">
        <v>0</v>
      </c>
      <c r="AC120" s="11">
        <v>0</v>
      </c>
      <c r="AD120" s="11">
        <v>1</v>
      </c>
      <c r="AE120" s="11">
        <v>1</v>
      </c>
      <c r="AF120" s="11">
        <v>408</v>
      </c>
      <c r="AG120" s="11">
        <v>471</v>
      </c>
      <c r="AH120" s="11">
        <v>70</v>
      </c>
      <c r="AI120" s="11">
        <v>30678</v>
      </c>
      <c r="AJ120" s="11">
        <v>7</v>
      </c>
      <c r="AK120" s="11">
        <v>32318</v>
      </c>
      <c r="AL120" s="11">
        <v>0</v>
      </c>
      <c r="AM120" s="11">
        <v>1.4999999999999999E-2</v>
      </c>
      <c r="AN120" s="11">
        <v>34636</v>
      </c>
      <c r="AO120" s="11">
        <v>0.86</v>
      </c>
      <c r="AP120" s="11">
        <v>0</v>
      </c>
      <c r="AQ120" s="11">
        <v>262</v>
      </c>
      <c r="AR120" s="11">
        <v>650</v>
      </c>
      <c r="AS120" s="11">
        <v>5053.1899999999996</v>
      </c>
      <c r="AT120" s="11">
        <v>0</v>
      </c>
      <c r="AU120" s="11">
        <v>74</v>
      </c>
      <c r="AV120" s="11">
        <v>62</v>
      </c>
      <c r="AW120" s="11">
        <v>6</v>
      </c>
      <c r="AX120" s="11">
        <v>8</v>
      </c>
      <c r="AY120" s="11" t="s">
        <v>684</v>
      </c>
    </row>
    <row r="121" spans="1:51">
      <c r="A121" s="11" t="s">
        <v>118</v>
      </c>
      <c r="B121" s="11" t="s">
        <v>484</v>
      </c>
      <c r="C121" s="11" t="s">
        <v>232</v>
      </c>
      <c r="D121" s="11" t="s">
        <v>574</v>
      </c>
      <c r="E121" s="11" t="s">
        <v>575</v>
      </c>
      <c r="F121" s="11" t="s">
        <v>744</v>
      </c>
      <c r="G121" s="11" t="s">
        <v>118</v>
      </c>
      <c r="H121" s="11">
        <v>0</v>
      </c>
      <c r="I121" s="11">
        <v>4500000</v>
      </c>
      <c r="J121" s="11">
        <v>3873482.94</v>
      </c>
      <c r="K121" s="11">
        <v>0</v>
      </c>
      <c r="L121" s="11">
        <v>114</v>
      </c>
      <c r="M121" s="11">
        <v>73</v>
      </c>
      <c r="N121" s="11">
        <v>0</v>
      </c>
      <c r="O121" s="11">
        <v>114</v>
      </c>
      <c r="P121" s="11">
        <v>41</v>
      </c>
      <c r="Q121" s="11">
        <v>3873482.94</v>
      </c>
      <c r="R121" s="11">
        <v>0</v>
      </c>
      <c r="S121" s="11">
        <v>41</v>
      </c>
      <c r="T121" s="11">
        <v>0</v>
      </c>
      <c r="U121" s="11">
        <v>41</v>
      </c>
      <c r="V121" s="11">
        <v>0</v>
      </c>
      <c r="W121" s="11">
        <v>1</v>
      </c>
      <c r="X121" s="11">
        <v>1</v>
      </c>
      <c r="Y121" s="11">
        <v>88</v>
      </c>
      <c r="Z121" s="11">
        <v>1</v>
      </c>
      <c r="AA121" s="11">
        <v>3</v>
      </c>
      <c r="AB121" s="11">
        <v>0</v>
      </c>
      <c r="AC121" s="11">
        <v>0</v>
      </c>
      <c r="AD121" s="11">
        <v>0</v>
      </c>
      <c r="AE121" s="11">
        <v>0</v>
      </c>
      <c r="AF121" s="11">
        <v>251</v>
      </c>
      <c r="AG121" s="11">
        <v>255</v>
      </c>
      <c r="AH121" s="11">
        <v>68</v>
      </c>
      <c r="AI121" s="11">
        <v>56963</v>
      </c>
      <c r="AJ121" s="11">
        <v>4</v>
      </c>
      <c r="AK121" s="11">
        <v>42820</v>
      </c>
      <c r="AL121" s="11">
        <v>0</v>
      </c>
      <c r="AM121" s="11">
        <v>1.11E-2</v>
      </c>
      <c r="AN121" s="11">
        <v>94475</v>
      </c>
      <c r="AO121" s="11">
        <v>0.86</v>
      </c>
      <c r="AP121" s="11">
        <v>0</v>
      </c>
      <c r="AQ121" s="11">
        <v>62</v>
      </c>
      <c r="AR121" s="11">
        <v>642</v>
      </c>
      <c r="AS121" s="11">
        <v>1879.91</v>
      </c>
      <c r="AT121" s="11">
        <v>0</v>
      </c>
      <c r="AU121" s="11">
        <v>26</v>
      </c>
      <c r="AV121" s="11">
        <v>41</v>
      </c>
      <c r="AW121" s="11">
        <v>44</v>
      </c>
      <c r="AX121" s="11">
        <v>29</v>
      </c>
      <c r="AY121" s="11" t="s">
        <v>684</v>
      </c>
    </row>
    <row r="122" spans="1:51">
      <c r="A122" s="11" t="s">
        <v>154</v>
      </c>
      <c r="B122" s="11" t="s">
        <v>367</v>
      </c>
      <c r="C122" s="11" t="s">
        <v>234</v>
      </c>
      <c r="D122" s="11" t="s">
        <v>577</v>
      </c>
      <c r="E122" s="11" t="s">
        <v>578</v>
      </c>
      <c r="F122" s="11" t="s">
        <v>745</v>
      </c>
      <c r="G122" s="11" t="s">
        <v>196</v>
      </c>
      <c r="H122" s="11">
        <v>0</v>
      </c>
      <c r="I122" s="11">
        <v>0</v>
      </c>
      <c r="J122" s="11">
        <v>0</v>
      </c>
      <c r="K122" s="11">
        <v>0</v>
      </c>
      <c r="L122" s="11">
        <v>48</v>
      </c>
      <c r="M122" s="11">
        <v>0</v>
      </c>
      <c r="N122" s="11">
        <v>1</v>
      </c>
      <c r="O122" s="11">
        <v>49</v>
      </c>
      <c r="P122" s="11">
        <v>49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360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24425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49</v>
      </c>
      <c r="AY122" s="11" t="s">
        <v>746</v>
      </c>
    </row>
    <row r="123" spans="1:51">
      <c r="A123" s="11" t="s">
        <v>118</v>
      </c>
      <c r="B123" s="11" t="s">
        <v>362</v>
      </c>
      <c r="C123" s="11" t="s">
        <v>235</v>
      </c>
      <c r="D123" s="11" t="s">
        <v>419</v>
      </c>
      <c r="E123" s="11" t="s">
        <v>579</v>
      </c>
      <c r="F123" s="150">
        <v>45293</v>
      </c>
      <c r="G123" s="11" t="s">
        <v>219</v>
      </c>
      <c r="H123" s="11">
        <v>0</v>
      </c>
      <c r="I123" s="11">
        <v>6000000</v>
      </c>
      <c r="J123" s="11">
        <v>4216420.05</v>
      </c>
      <c r="K123" s="11">
        <v>0</v>
      </c>
      <c r="L123" s="11">
        <v>72</v>
      </c>
      <c r="M123" s="11">
        <v>65</v>
      </c>
      <c r="N123" s="11">
        <v>1</v>
      </c>
      <c r="O123" s="11">
        <v>73</v>
      </c>
      <c r="P123" s="11">
        <v>8</v>
      </c>
      <c r="Q123" s="11">
        <v>4216420.05</v>
      </c>
      <c r="R123" s="11">
        <v>0</v>
      </c>
      <c r="S123" s="11">
        <v>36</v>
      </c>
      <c r="T123" s="11">
        <v>0</v>
      </c>
      <c r="U123" s="11">
        <v>36</v>
      </c>
      <c r="V123" s="11">
        <v>0</v>
      </c>
      <c r="W123" s="11">
        <v>16</v>
      </c>
      <c r="X123" s="11">
        <v>17</v>
      </c>
      <c r="Y123" s="11">
        <v>218</v>
      </c>
      <c r="Z123" s="11">
        <v>2</v>
      </c>
      <c r="AA123" s="11">
        <v>20</v>
      </c>
      <c r="AB123" s="11">
        <v>0</v>
      </c>
      <c r="AC123" s="11">
        <v>0</v>
      </c>
      <c r="AD123" s="11">
        <v>0</v>
      </c>
      <c r="AE123" s="11">
        <v>0</v>
      </c>
      <c r="AF123" s="11">
        <v>322</v>
      </c>
      <c r="AG123" s="11">
        <v>359</v>
      </c>
      <c r="AH123" s="11">
        <v>72</v>
      </c>
      <c r="AI123" s="11">
        <v>58561</v>
      </c>
      <c r="AJ123" s="11">
        <v>5</v>
      </c>
      <c r="AK123" s="11">
        <v>30950</v>
      </c>
      <c r="AL123" s="11">
        <v>0</v>
      </c>
      <c r="AM123" s="11">
        <v>7.3000000000000001E-3</v>
      </c>
      <c r="AN123" s="11">
        <v>117123</v>
      </c>
      <c r="AO123" s="11">
        <v>0.7</v>
      </c>
      <c r="AP123" s="11">
        <v>0</v>
      </c>
      <c r="AQ123" s="11">
        <v>90</v>
      </c>
      <c r="AR123" s="11">
        <v>843</v>
      </c>
      <c r="AS123" s="11">
        <v>2884.57</v>
      </c>
      <c r="AT123" s="11">
        <v>0</v>
      </c>
      <c r="AU123" s="11">
        <v>44</v>
      </c>
      <c r="AV123" s="11">
        <v>36</v>
      </c>
      <c r="AW123" s="11">
        <v>29</v>
      </c>
      <c r="AX123" s="11">
        <v>8</v>
      </c>
      <c r="AY123" s="11" t="s">
        <v>684</v>
      </c>
    </row>
    <row r="124" spans="1:51">
      <c r="A124" s="11" t="s">
        <v>201</v>
      </c>
      <c r="B124" s="11" t="s">
        <v>481</v>
      </c>
      <c r="C124" s="11" t="s">
        <v>236</v>
      </c>
      <c r="D124" s="11" t="s">
        <v>517</v>
      </c>
      <c r="E124" s="11" t="s">
        <v>563</v>
      </c>
      <c r="F124" s="150">
        <v>45537</v>
      </c>
      <c r="G124" s="11" t="s">
        <v>121</v>
      </c>
      <c r="H124" s="11">
        <v>0</v>
      </c>
      <c r="I124" s="11">
        <v>3450000</v>
      </c>
      <c r="J124" s="11">
        <v>2612671.0099999998</v>
      </c>
      <c r="K124" s="11">
        <v>0</v>
      </c>
      <c r="L124" s="11">
        <v>34</v>
      </c>
      <c r="M124" s="11">
        <v>31</v>
      </c>
      <c r="N124" s="11">
        <v>0</v>
      </c>
      <c r="O124" s="11">
        <v>34</v>
      </c>
      <c r="P124" s="11">
        <v>3</v>
      </c>
      <c r="Q124" s="11">
        <v>2612671.0099999998</v>
      </c>
      <c r="R124" s="11">
        <v>0</v>
      </c>
      <c r="S124" s="11">
        <v>22</v>
      </c>
      <c r="T124" s="11">
        <v>0</v>
      </c>
      <c r="U124" s="11">
        <v>22</v>
      </c>
      <c r="V124" s="11">
        <v>0</v>
      </c>
      <c r="W124" s="11">
        <v>26</v>
      </c>
      <c r="X124" s="11">
        <v>38</v>
      </c>
      <c r="Y124" s="11">
        <v>216</v>
      </c>
      <c r="Z124" s="11">
        <v>1</v>
      </c>
      <c r="AA124" s="11">
        <v>2</v>
      </c>
      <c r="AB124" s="11">
        <v>0</v>
      </c>
      <c r="AC124" s="11">
        <v>0</v>
      </c>
      <c r="AD124" s="11">
        <v>0</v>
      </c>
      <c r="AE124" s="11">
        <v>0</v>
      </c>
      <c r="AF124" s="11">
        <v>245</v>
      </c>
      <c r="AG124" s="11">
        <v>285</v>
      </c>
      <c r="AH124" s="11">
        <v>70</v>
      </c>
      <c r="AI124" s="11">
        <v>37324</v>
      </c>
      <c r="AJ124" s="11">
        <v>4</v>
      </c>
      <c r="AK124" s="11">
        <v>26212</v>
      </c>
      <c r="AL124" s="11">
        <v>0</v>
      </c>
      <c r="AM124" s="11">
        <v>0.01</v>
      </c>
      <c r="AN124" s="11">
        <v>118758</v>
      </c>
      <c r="AO124" s="11">
        <v>0.76</v>
      </c>
      <c r="AP124" s="11">
        <v>0</v>
      </c>
      <c r="AQ124" s="11">
        <v>55</v>
      </c>
      <c r="AR124" s="11">
        <v>773</v>
      </c>
      <c r="AS124" s="11">
        <v>3144.99</v>
      </c>
      <c r="AT124" s="11">
        <v>0</v>
      </c>
      <c r="AU124" s="11">
        <v>101</v>
      </c>
      <c r="AV124" s="11">
        <v>22</v>
      </c>
      <c r="AW124" s="11">
        <v>10</v>
      </c>
      <c r="AX124" s="11">
        <v>2</v>
      </c>
      <c r="AY124" s="11" t="s">
        <v>684</v>
      </c>
    </row>
    <row r="125" spans="1:51">
      <c r="A125" s="11" t="s">
        <v>177</v>
      </c>
      <c r="B125" s="11" t="s">
        <v>364</v>
      </c>
      <c r="C125" s="11" t="s">
        <v>237</v>
      </c>
      <c r="D125" s="11" t="s">
        <v>576</v>
      </c>
      <c r="E125" s="11" t="s">
        <v>365</v>
      </c>
      <c r="F125" s="150">
        <v>45600</v>
      </c>
      <c r="G125" s="11" t="s">
        <v>177</v>
      </c>
      <c r="H125" s="11">
        <v>0</v>
      </c>
      <c r="I125" s="11">
        <v>4500000</v>
      </c>
      <c r="J125" s="11">
        <v>2778774.82</v>
      </c>
      <c r="K125" s="11">
        <v>0</v>
      </c>
      <c r="L125" s="11">
        <v>159</v>
      </c>
      <c r="M125" s="11">
        <v>103</v>
      </c>
      <c r="N125" s="11">
        <v>5</v>
      </c>
      <c r="O125" s="11">
        <v>164</v>
      </c>
      <c r="P125" s="11">
        <v>61</v>
      </c>
      <c r="Q125" s="11">
        <v>2583648.94</v>
      </c>
      <c r="R125" s="11">
        <v>195125.88</v>
      </c>
      <c r="S125" s="11">
        <v>60</v>
      </c>
      <c r="T125" s="11">
        <v>5</v>
      </c>
      <c r="U125" s="11">
        <v>65</v>
      </c>
      <c r="V125" s="11">
        <v>0</v>
      </c>
      <c r="W125" s="11">
        <v>18</v>
      </c>
      <c r="X125" s="11">
        <v>24</v>
      </c>
      <c r="Y125" s="11">
        <v>429</v>
      </c>
      <c r="Z125" s="11">
        <v>2</v>
      </c>
      <c r="AA125" s="11">
        <v>26</v>
      </c>
      <c r="AB125" s="11">
        <v>0</v>
      </c>
      <c r="AC125" s="11">
        <v>0</v>
      </c>
      <c r="AD125" s="11">
        <v>0</v>
      </c>
      <c r="AE125" s="11">
        <v>0</v>
      </c>
      <c r="AF125" s="11">
        <v>442</v>
      </c>
      <c r="AG125" s="11">
        <v>492</v>
      </c>
      <c r="AH125" s="11">
        <v>69</v>
      </c>
      <c r="AI125" s="11">
        <v>40272</v>
      </c>
      <c r="AJ125" s="11">
        <v>7</v>
      </c>
      <c r="AK125" s="11">
        <v>24116</v>
      </c>
      <c r="AL125" s="11">
        <v>0</v>
      </c>
      <c r="AM125" s="11">
        <v>8.6999999999999994E-3</v>
      </c>
      <c r="AN125" s="11">
        <v>42750</v>
      </c>
      <c r="AO125" s="11">
        <v>0.62</v>
      </c>
      <c r="AP125" s="11">
        <v>0</v>
      </c>
      <c r="AQ125" s="11">
        <v>178</v>
      </c>
      <c r="AR125" s="11">
        <v>619</v>
      </c>
      <c r="AS125" s="11">
        <v>2916.37</v>
      </c>
      <c r="AT125" s="11">
        <v>5</v>
      </c>
      <c r="AU125" s="11">
        <v>28</v>
      </c>
      <c r="AV125" s="11">
        <v>65</v>
      </c>
      <c r="AW125" s="11">
        <v>38</v>
      </c>
      <c r="AX125" s="11">
        <v>61</v>
      </c>
      <c r="AY125" s="11" t="s">
        <v>684</v>
      </c>
    </row>
    <row r="126" spans="1:51">
      <c r="A126" s="11" t="s">
        <v>120</v>
      </c>
      <c r="B126" s="11" t="s">
        <v>206</v>
      </c>
      <c r="C126" s="11" t="s">
        <v>238</v>
      </c>
      <c r="D126" s="11" t="s">
        <v>206</v>
      </c>
      <c r="E126" s="11" t="s">
        <v>360</v>
      </c>
      <c r="F126" s="150">
        <v>45326</v>
      </c>
      <c r="G126" s="11" t="s">
        <v>120</v>
      </c>
      <c r="H126" s="11">
        <v>300000</v>
      </c>
      <c r="I126" s="11">
        <v>1200000</v>
      </c>
      <c r="J126" s="11">
        <v>213352.45</v>
      </c>
      <c r="K126" s="11">
        <v>0</v>
      </c>
      <c r="L126" s="11">
        <v>63</v>
      </c>
      <c r="M126" s="11">
        <v>25</v>
      </c>
      <c r="N126" s="11">
        <v>2</v>
      </c>
      <c r="O126" s="11">
        <v>65</v>
      </c>
      <c r="P126" s="11">
        <v>40</v>
      </c>
      <c r="Q126" s="11">
        <v>213352.45</v>
      </c>
      <c r="R126" s="11">
        <v>0</v>
      </c>
      <c r="S126" s="11">
        <v>6</v>
      </c>
      <c r="T126" s="11">
        <v>0</v>
      </c>
      <c r="U126" s="11">
        <v>6</v>
      </c>
      <c r="V126" s="11">
        <v>0</v>
      </c>
      <c r="W126" s="11">
        <v>86</v>
      </c>
      <c r="X126" s="11">
        <v>99</v>
      </c>
      <c r="Y126" s="11">
        <v>332</v>
      </c>
      <c r="Z126" s="11">
        <v>2</v>
      </c>
      <c r="AA126" s="11">
        <v>2</v>
      </c>
      <c r="AB126" s="11">
        <v>1</v>
      </c>
      <c r="AC126" s="11">
        <v>1</v>
      </c>
      <c r="AD126" s="11">
        <v>0</v>
      </c>
      <c r="AE126" s="11">
        <v>0</v>
      </c>
      <c r="AF126" s="11">
        <v>34</v>
      </c>
      <c r="AG126" s="11">
        <v>136</v>
      </c>
      <c r="AH126" s="11">
        <v>27</v>
      </c>
      <c r="AI126" s="11">
        <v>7902</v>
      </c>
      <c r="AJ126" s="11">
        <v>5</v>
      </c>
      <c r="AK126" s="11">
        <v>32500</v>
      </c>
      <c r="AL126" s="11">
        <v>0</v>
      </c>
      <c r="AM126" s="11">
        <v>0.15229999999999999</v>
      </c>
      <c r="AN126" s="11">
        <v>35559</v>
      </c>
      <c r="AO126" s="11">
        <v>0.18</v>
      </c>
      <c r="AP126" s="11">
        <v>0</v>
      </c>
      <c r="AQ126" s="11">
        <v>8</v>
      </c>
      <c r="AR126" s="11">
        <v>265</v>
      </c>
      <c r="AS126" s="11">
        <v>0</v>
      </c>
      <c r="AT126" s="11">
        <v>0</v>
      </c>
      <c r="AU126" s="11">
        <v>0</v>
      </c>
      <c r="AV126" s="11">
        <v>6</v>
      </c>
      <c r="AW126" s="11">
        <v>22</v>
      </c>
      <c r="AX126" s="11">
        <v>37</v>
      </c>
      <c r="AY126" s="11" t="s">
        <v>683</v>
      </c>
    </row>
    <row r="127" spans="1:51">
      <c r="A127" s="11" t="s">
        <v>177</v>
      </c>
      <c r="B127" s="11" t="s">
        <v>458</v>
      </c>
      <c r="C127" s="11" t="s">
        <v>239</v>
      </c>
      <c r="D127" s="11" t="s">
        <v>581</v>
      </c>
      <c r="E127" s="11" t="s">
        <v>582</v>
      </c>
      <c r="F127" s="11" t="s">
        <v>747</v>
      </c>
      <c r="G127" s="11" t="s">
        <v>177</v>
      </c>
      <c r="H127" s="11">
        <v>0</v>
      </c>
      <c r="I127" s="11">
        <v>0</v>
      </c>
      <c r="J127" s="11">
        <v>0</v>
      </c>
      <c r="K127" s="11">
        <v>0</v>
      </c>
      <c r="L127" s="11">
        <v>90</v>
      </c>
      <c r="M127" s="11">
        <v>0</v>
      </c>
      <c r="N127" s="11">
        <v>0</v>
      </c>
      <c r="O127" s="11">
        <v>90</v>
      </c>
      <c r="P127" s="11">
        <v>90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605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25690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90</v>
      </c>
      <c r="AY127" s="11" t="s">
        <v>748</v>
      </c>
    </row>
    <row r="128" spans="1:51">
      <c r="A128" s="11" t="s">
        <v>118</v>
      </c>
      <c r="B128" s="11" t="s">
        <v>468</v>
      </c>
      <c r="C128" s="11" t="s">
        <v>240</v>
      </c>
      <c r="D128" s="11" t="s">
        <v>509</v>
      </c>
      <c r="E128" s="11" t="s">
        <v>585</v>
      </c>
      <c r="F128" s="11" t="s">
        <v>749</v>
      </c>
      <c r="G128" s="11" t="s">
        <v>213</v>
      </c>
      <c r="H128" s="11">
        <v>0</v>
      </c>
      <c r="I128" s="11">
        <v>7449999</v>
      </c>
      <c r="J128" s="11">
        <v>11849198.57</v>
      </c>
      <c r="K128" s="11">
        <v>0</v>
      </c>
      <c r="L128" s="11">
        <v>113</v>
      </c>
      <c r="M128" s="11">
        <v>101</v>
      </c>
      <c r="N128" s="11">
        <v>3</v>
      </c>
      <c r="O128" s="11">
        <v>116</v>
      </c>
      <c r="P128" s="11">
        <v>15</v>
      </c>
      <c r="Q128" s="11">
        <v>11678196.41</v>
      </c>
      <c r="R128" s="11">
        <v>171002.16</v>
      </c>
      <c r="S128" s="11">
        <v>65</v>
      </c>
      <c r="T128" s="11">
        <v>3</v>
      </c>
      <c r="U128" s="11">
        <v>68</v>
      </c>
      <c r="V128" s="11">
        <v>0</v>
      </c>
      <c r="W128" s="11">
        <v>44</v>
      </c>
      <c r="X128" s="11">
        <v>52</v>
      </c>
      <c r="Y128" s="11">
        <v>163</v>
      </c>
      <c r="Z128" s="11">
        <v>1</v>
      </c>
      <c r="AA128" s="11">
        <v>32</v>
      </c>
      <c r="AB128" s="11">
        <v>0</v>
      </c>
      <c r="AC128" s="11">
        <v>0</v>
      </c>
      <c r="AD128" s="11">
        <v>0</v>
      </c>
      <c r="AE128" s="11">
        <v>0</v>
      </c>
      <c r="AF128" s="11">
        <v>361</v>
      </c>
      <c r="AG128" s="11">
        <v>445</v>
      </c>
      <c r="AH128" s="11">
        <v>75</v>
      </c>
      <c r="AI128" s="11">
        <v>157989</v>
      </c>
      <c r="AJ128" s="11">
        <v>6</v>
      </c>
      <c r="AK128" s="11">
        <v>45100</v>
      </c>
      <c r="AL128" s="11">
        <v>0</v>
      </c>
      <c r="AM128" s="11">
        <v>3.8E-3</v>
      </c>
      <c r="AN128" s="11">
        <v>174253</v>
      </c>
      <c r="AO128" s="11">
        <v>1.59</v>
      </c>
      <c r="AP128" s="11">
        <v>0</v>
      </c>
      <c r="AQ128" s="11">
        <v>189</v>
      </c>
      <c r="AR128" s="11">
        <v>713</v>
      </c>
      <c r="AS128" s="11">
        <v>1978.64</v>
      </c>
      <c r="AT128" s="11">
        <v>3</v>
      </c>
      <c r="AU128" s="11">
        <v>20</v>
      </c>
      <c r="AV128" s="11">
        <v>68</v>
      </c>
      <c r="AW128" s="11">
        <v>38</v>
      </c>
      <c r="AX128" s="11">
        <v>10</v>
      </c>
      <c r="AY128" s="11" t="s">
        <v>684</v>
      </c>
    </row>
    <row r="129" spans="1:51">
      <c r="A129" s="11" t="s">
        <v>118</v>
      </c>
      <c r="B129" s="11" t="s">
        <v>359</v>
      </c>
      <c r="C129" s="11" t="s">
        <v>241</v>
      </c>
      <c r="D129" s="11" t="s">
        <v>442</v>
      </c>
      <c r="E129" s="11" t="s">
        <v>586</v>
      </c>
      <c r="F129" s="11" t="s">
        <v>750</v>
      </c>
      <c r="G129" s="11" t="s">
        <v>38</v>
      </c>
      <c r="H129" s="11">
        <v>0</v>
      </c>
      <c r="I129" s="11">
        <v>6000000</v>
      </c>
      <c r="J129" s="11">
        <v>2185941.8199999998</v>
      </c>
      <c r="K129" s="11">
        <v>0</v>
      </c>
      <c r="L129" s="11">
        <v>76</v>
      </c>
      <c r="M129" s="11">
        <v>51</v>
      </c>
      <c r="N129" s="11">
        <v>1</v>
      </c>
      <c r="O129" s="11">
        <v>77</v>
      </c>
      <c r="P129" s="11">
        <v>26</v>
      </c>
      <c r="Q129" s="11">
        <v>2157463.42</v>
      </c>
      <c r="R129" s="11">
        <v>28478.400000000001</v>
      </c>
      <c r="S129" s="11">
        <v>37</v>
      </c>
      <c r="T129" s="11">
        <v>1</v>
      </c>
      <c r="U129" s="11">
        <v>38</v>
      </c>
      <c r="V129" s="11">
        <v>0</v>
      </c>
      <c r="W129" s="11">
        <v>1</v>
      </c>
      <c r="X129" s="11">
        <v>1</v>
      </c>
      <c r="Y129" s="11">
        <v>19</v>
      </c>
      <c r="Z129" s="11">
        <v>1</v>
      </c>
      <c r="AA129" s="11">
        <v>4</v>
      </c>
      <c r="AB129" s="11">
        <v>0</v>
      </c>
      <c r="AC129" s="11">
        <v>0</v>
      </c>
      <c r="AD129" s="11">
        <v>0</v>
      </c>
      <c r="AE129" s="11">
        <v>0</v>
      </c>
      <c r="AF129" s="11">
        <v>101</v>
      </c>
      <c r="AG129" s="11">
        <v>106</v>
      </c>
      <c r="AH129" s="11">
        <v>29</v>
      </c>
      <c r="AI129" s="11">
        <v>75377</v>
      </c>
      <c r="AJ129" s="11">
        <v>4</v>
      </c>
      <c r="AK129" s="11">
        <v>69400</v>
      </c>
      <c r="AL129" s="11">
        <v>0</v>
      </c>
      <c r="AM129" s="11">
        <v>3.1699999999999999E-2</v>
      </c>
      <c r="AN129" s="11">
        <v>57525</v>
      </c>
      <c r="AO129" s="11">
        <v>0.36</v>
      </c>
      <c r="AP129" s="11">
        <v>0</v>
      </c>
      <c r="AQ129" s="11">
        <v>111</v>
      </c>
      <c r="AR129" s="11">
        <v>313</v>
      </c>
      <c r="AS129" s="11">
        <v>193.2</v>
      </c>
      <c r="AT129" s="11">
        <v>1</v>
      </c>
      <c r="AU129" s="11">
        <v>4</v>
      </c>
      <c r="AV129" s="11">
        <v>38</v>
      </c>
      <c r="AW129" s="11">
        <v>20</v>
      </c>
      <c r="AX129" s="11">
        <v>19</v>
      </c>
      <c r="AY129" s="11" t="s">
        <v>684</v>
      </c>
    </row>
    <row r="130" spans="1:51">
      <c r="A130" s="11" t="s">
        <v>124</v>
      </c>
      <c r="B130" s="11" t="s">
        <v>443</v>
      </c>
      <c r="C130" s="11" t="s">
        <v>242</v>
      </c>
      <c r="D130" s="11" t="s">
        <v>517</v>
      </c>
      <c r="E130" s="11" t="s">
        <v>518</v>
      </c>
      <c r="F130" s="150">
        <v>45357</v>
      </c>
      <c r="G130" s="11" t="s">
        <v>142</v>
      </c>
      <c r="H130" s="11">
        <v>0</v>
      </c>
      <c r="I130" s="11">
        <v>3600000</v>
      </c>
      <c r="J130" s="11">
        <v>1954306.57</v>
      </c>
      <c r="K130" s="11">
        <v>0</v>
      </c>
      <c r="L130" s="11">
        <v>60</v>
      </c>
      <c r="M130" s="11">
        <v>50</v>
      </c>
      <c r="N130" s="11">
        <v>5</v>
      </c>
      <c r="O130" s="11">
        <v>65</v>
      </c>
      <c r="P130" s="11">
        <v>15</v>
      </c>
      <c r="Q130" s="11">
        <v>1907937.67</v>
      </c>
      <c r="R130" s="11">
        <v>46368.9</v>
      </c>
      <c r="S130" s="11">
        <v>12</v>
      </c>
      <c r="T130" s="11">
        <v>4</v>
      </c>
      <c r="U130" s="11">
        <v>16</v>
      </c>
      <c r="V130" s="11">
        <v>0</v>
      </c>
      <c r="W130" s="11">
        <v>26</v>
      </c>
      <c r="X130" s="11">
        <v>35</v>
      </c>
      <c r="Y130" s="11">
        <v>202</v>
      </c>
      <c r="Z130" s="11">
        <v>5</v>
      </c>
      <c r="AA130" s="11">
        <v>46</v>
      </c>
      <c r="AB130" s="11">
        <v>0</v>
      </c>
      <c r="AC130" s="11">
        <v>0</v>
      </c>
      <c r="AD130" s="11">
        <v>1</v>
      </c>
      <c r="AE130" s="11">
        <v>5</v>
      </c>
      <c r="AF130" s="11">
        <v>194</v>
      </c>
      <c r="AG130" s="11">
        <v>280</v>
      </c>
      <c r="AH130" s="11">
        <v>71</v>
      </c>
      <c r="AI130" s="11">
        <v>27525</v>
      </c>
      <c r="AJ130" s="11">
        <v>4</v>
      </c>
      <c r="AK130" s="11">
        <v>39840</v>
      </c>
      <c r="AL130" s="11">
        <v>0</v>
      </c>
      <c r="AM130" s="11">
        <v>2.0400000000000001E-2</v>
      </c>
      <c r="AN130" s="11">
        <v>122144</v>
      </c>
      <c r="AO130" s="11">
        <v>0.54</v>
      </c>
      <c r="AP130" s="11">
        <v>0</v>
      </c>
      <c r="AQ130" s="11">
        <v>44</v>
      </c>
      <c r="AR130" s="11">
        <v>701</v>
      </c>
      <c r="AS130" s="11">
        <v>2629.51</v>
      </c>
      <c r="AT130" s="11">
        <v>4</v>
      </c>
      <c r="AU130" s="11">
        <v>53</v>
      </c>
      <c r="AV130" s="11">
        <v>16</v>
      </c>
      <c r="AW130" s="11">
        <v>34</v>
      </c>
      <c r="AX130" s="11">
        <v>15</v>
      </c>
      <c r="AY130" s="11" t="s">
        <v>684</v>
      </c>
    </row>
    <row r="131" spans="1:51">
      <c r="A131" s="11" t="s">
        <v>118</v>
      </c>
      <c r="B131" s="11" t="s">
        <v>649</v>
      </c>
      <c r="C131" s="11" t="s">
        <v>243</v>
      </c>
      <c r="D131" s="11" t="s">
        <v>486</v>
      </c>
      <c r="E131" s="11" t="s">
        <v>512</v>
      </c>
      <c r="F131" s="150">
        <v>45571</v>
      </c>
      <c r="H131" s="11">
        <v>0</v>
      </c>
      <c r="I131" s="11">
        <v>3600000</v>
      </c>
      <c r="J131" s="11">
        <v>2112474.2000000002</v>
      </c>
      <c r="K131" s="11">
        <v>0</v>
      </c>
      <c r="L131" s="11">
        <v>142</v>
      </c>
      <c r="M131" s="11">
        <v>127</v>
      </c>
      <c r="N131" s="11">
        <v>0</v>
      </c>
      <c r="O131" s="11">
        <v>142</v>
      </c>
      <c r="P131" s="11">
        <v>15</v>
      </c>
      <c r="Q131" s="11">
        <v>2112474.2000000002</v>
      </c>
      <c r="R131" s="11">
        <v>0</v>
      </c>
      <c r="S131" s="11">
        <v>48</v>
      </c>
      <c r="T131" s="11">
        <v>0</v>
      </c>
      <c r="U131" s="11">
        <v>48</v>
      </c>
      <c r="V131" s="11">
        <v>0</v>
      </c>
      <c r="W131" s="11">
        <v>11</v>
      </c>
      <c r="X131" s="11">
        <v>23</v>
      </c>
      <c r="Y131" s="11">
        <v>208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510</v>
      </c>
      <c r="AG131" s="11">
        <v>533</v>
      </c>
      <c r="AH131" s="11">
        <v>67</v>
      </c>
      <c r="AI131" s="11">
        <v>31529</v>
      </c>
      <c r="AJ131" s="11">
        <v>8</v>
      </c>
      <c r="AK131" s="11">
        <v>33570</v>
      </c>
      <c r="AL131" s="11">
        <v>0</v>
      </c>
      <c r="AM131" s="11">
        <v>1.5900000000000001E-2</v>
      </c>
      <c r="AN131" s="11">
        <v>44010</v>
      </c>
      <c r="AO131" s="11">
        <v>0.59</v>
      </c>
      <c r="AP131" s="11">
        <v>0</v>
      </c>
      <c r="AQ131" s="11">
        <v>97</v>
      </c>
      <c r="AR131" s="11">
        <v>815</v>
      </c>
      <c r="AS131" s="11">
        <v>3213.2</v>
      </c>
      <c r="AT131" s="11">
        <v>0</v>
      </c>
      <c r="AU131" s="11">
        <v>25</v>
      </c>
      <c r="AV131" s="11">
        <v>48</v>
      </c>
      <c r="AW131" s="11">
        <v>79</v>
      </c>
      <c r="AX131" s="11">
        <v>15</v>
      </c>
      <c r="AY131" s="11" t="s">
        <v>684</v>
      </c>
    </row>
    <row r="132" spans="1:51">
      <c r="A132" s="11" t="s">
        <v>136</v>
      </c>
      <c r="B132" s="11" t="s">
        <v>653</v>
      </c>
      <c r="C132" s="11" t="s">
        <v>244</v>
      </c>
      <c r="D132" s="11" t="s">
        <v>421</v>
      </c>
      <c r="E132" s="11" t="s">
        <v>427</v>
      </c>
      <c r="F132" s="150">
        <v>45727</v>
      </c>
      <c r="G132" s="11" t="s">
        <v>136</v>
      </c>
      <c r="H132" s="11">
        <v>1200000</v>
      </c>
      <c r="I132" s="11">
        <v>900000</v>
      </c>
      <c r="J132" s="11">
        <v>390349.8</v>
      </c>
      <c r="K132" s="11">
        <v>496692.62</v>
      </c>
      <c r="L132" s="11">
        <v>28</v>
      </c>
      <c r="M132" s="11">
        <v>19</v>
      </c>
      <c r="N132" s="11">
        <v>1</v>
      </c>
      <c r="O132" s="11">
        <v>29</v>
      </c>
      <c r="P132" s="11">
        <v>10</v>
      </c>
      <c r="Q132" s="11">
        <v>330433.90000000002</v>
      </c>
      <c r="R132" s="11">
        <v>59915.9</v>
      </c>
      <c r="S132" s="11">
        <v>7</v>
      </c>
      <c r="T132" s="11">
        <v>1</v>
      </c>
      <c r="U132" s="11">
        <v>8</v>
      </c>
      <c r="V132" s="11">
        <v>2</v>
      </c>
      <c r="W132" s="11">
        <v>122</v>
      </c>
      <c r="X132" s="11">
        <v>155</v>
      </c>
      <c r="Y132" s="11">
        <v>221</v>
      </c>
      <c r="Z132" s="11">
        <v>4</v>
      </c>
      <c r="AA132" s="11">
        <v>30</v>
      </c>
      <c r="AB132" s="11">
        <v>5</v>
      </c>
      <c r="AC132" s="11">
        <v>26</v>
      </c>
      <c r="AD132" s="11">
        <v>2</v>
      </c>
      <c r="AE132" s="11">
        <v>2</v>
      </c>
      <c r="AF132" s="11">
        <v>45</v>
      </c>
      <c r="AG132" s="11">
        <v>258</v>
      </c>
      <c r="AH132" s="11">
        <v>56</v>
      </c>
      <c r="AI132" s="11">
        <v>6971</v>
      </c>
      <c r="AJ132" s="11">
        <v>5</v>
      </c>
      <c r="AK132" s="11">
        <v>27260</v>
      </c>
      <c r="AL132" s="11">
        <v>0</v>
      </c>
      <c r="AM132" s="11">
        <v>6.9800000000000001E-2</v>
      </c>
      <c r="AN132" s="11">
        <v>48794</v>
      </c>
      <c r="AO132" s="11">
        <v>0.43</v>
      </c>
      <c r="AP132" s="11">
        <v>0.41</v>
      </c>
      <c r="AQ132" s="11">
        <v>17</v>
      </c>
      <c r="AR132" s="11">
        <v>441</v>
      </c>
      <c r="AS132" s="11">
        <v>987.21</v>
      </c>
      <c r="AT132" s="11">
        <v>1</v>
      </c>
      <c r="AU132" s="11">
        <v>52</v>
      </c>
      <c r="AV132" s="11">
        <v>8</v>
      </c>
      <c r="AW132" s="11">
        <v>11</v>
      </c>
      <c r="AX132" s="11">
        <v>10</v>
      </c>
      <c r="AY132" s="11" t="s">
        <v>684</v>
      </c>
    </row>
    <row r="133" spans="1:51">
      <c r="A133" s="11" t="s">
        <v>118</v>
      </c>
      <c r="B133" s="11" t="s">
        <v>362</v>
      </c>
      <c r="C133" s="11" t="s">
        <v>245</v>
      </c>
      <c r="D133" s="11" t="s">
        <v>419</v>
      </c>
      <c r="E133" s="11" t="s">
        <v>591</v>
      </c>
      <c r="F133" s="11" t="s">
        <v>751</v>
      </c>
      <c r="G133" s="11" t="s">
        <v>51</v>
      </c>
      <c r="H133" s="11">
        <v>0</v>
      </c>
      <c r="I133" s="11">
        <v>4500000</v>
      </c>
      <c r="J133" s="11">
        <v>5238820.16</v>
      </c>
      <c r="K133" s="11">
        <v>0</v>
      </c>
      <c r="L133" s="11">
        <v>87</v>
      </c>
      <c r="M133" s="11">
        <v>63</v>
      </c>
      <c r="N133" s="11">
        <v>9</v>
      </c>
      <c r="O133" s="11">
        <v>96</v>
      </c>
      <c r="P133" s="11">
        <v>33</v>
      </c>
      <c r="Q133" s="11">
        <v>4573363.76</v>
      </c>
      <c r="R133" s="11">
        <v>665456.4</v>
      </c>
      <c r="S133" s="11">
        <v>27</v>
      </c>
      <c r="T133" s="11">
        <v>9</v>
      </c>
      <c r="U133" s="11">
        <v>36</v>
      </c>
      <c r="V133" s="11">
        <v>0</v>
      </c>
      <c r="W133" s="11">
        <v>3</v>
      </c>
      <c r="X133" s="11">
        <v>4</v>
      </c>
      <c r="Y133" s="11">
        <v>73</v>
      </c>
      <c r="Z133" s="11">
        <v>1</v>
      </c>
      <c r="AA133" s="11">
        <v>20</v>
      </c>
      <c r="AB133" s="11">
        <v>0</v>
      </c>
      <c r="AC133" s="11">
        <v>0</v>
      </c>
      <c r="AD133" s="11">
        <v>0</v>
      </c>
      <c r="AE133" s="11">
        <v>0</v>
      </c>
      <c r="AF133" s="11">
        <v>285</v>
      </c>
      <c r="AG133" s="11">
        <v>309</v>
      </c>
      <c r="AH133" s="11">
        <v>71</v>
      </c>
      <c r="AI133" s="11">
        <v>73786</v>
      </c>
      <c r="AJ133" s="11">
        <v>4</v>
      </c>
      <c r="AK133" s="11">
        <v>29900</v>
      </c>
      <c r="AL133" s="11">
        <v>0</v>
      </c>
      <c r="AM133" s="11">
        <v>5.7000000000000002E-3</v>
      </c>
      <c r="AN133" s="11">
        <v>145523</v>
      </c>
      <c r="AO133" s="11">
        <v>1.1599999999999999</v>
      </c>
      <c r="AP133" s="11">
        <v>0</v>
      </c>
      <c r="AQ133" s="11">
        <v>86</v>
      </c>
      <c r="AR133" s="11">
        <v>754</v>
      </c>
      <c r="AS133" s="11">
        <v>2285.0300000000002</v>
      </c>
      <c r="AT133" s="11">
        <v>9</v>
      </c>
      <c r="AU133" s="11">
        <v>36</v>
      </c>
      <c r="AV133" s="11">
        <v>36</v>
      </c>
      <c r="AW133" s="11">
        <v>31</v>
      </c>
      <c r="AX133" s="11">
        <v>29</v>
      </c>
      <c r="AY133" s="11" t="s">
        <v>684</v>
      </c>
    </row>
    <row r="134" spans="1:51">
      <c r="A134" s="11" t="s">
        <v>118</v>
      </c>
      <c r="B134" s="11" t="s">
        <v>375</v>
      </c>
      <c r="C134" s="11" t="s">
        <v>246</v>
      </c>
      <c r="D134" s="11" t="s">
        <v>473</v>
      </c>
      <c r="E134" s="11" t="s">
        <v>594</v>
      </c>
      <c r="F134" s="11" t="s">
        <v>752</v>
      </c>
      <c r="H134" s="11">
        <v>0</v>
      </c>
      <c r="I134" s="11">
        <v>0</v>
      </c>
      <c r="J134" s="11">
        <v>0</v>
      </c>
      <c r="K134" s="11">
        <v>0</v>
      </c>
      <c r="L134" s="11">
        <v>48</v>
      </c>
      <c r="M134" s="11">
        <v>0</v>
      </c>
      <c r="N134" s="11">
        <v>0</v>
      </c>
      <c r="O134" s="11">
        <v>48</v>
      </c>
      <c r="P134" s="11">
        <v>48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70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24116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48</v>
      </c>
      <c r="AY134" s="11" t="s">
        <v>753</v>
      </c>
    </row>
    <row r="135" spans="1:51">
      <c r="A135" s="11" t="s">
        <v>154</v>
      </c>
      <c r="B135" s="11" t="s">
        <v>367</v>
      </c>
      <c r="C135" s="11" t="s">
        <v>247</v>
      </c>
      <c r="D135" s="11" t="s">
        <v>577</v>
      </c>
      <c r="E135" s="11" t="s">
        <v>377</v>
      </c>
      <c r="F135" s="11" t="s">
        <v>754</v>
      </c>
      <c r="G135" s="11" t="s">
        <v>196</v>
      </c>
      <c r="H135" s="11">
        <v>0</v>
      </c>
      <c r="I135" s="11">
        <v>0</v>
      </c>
      <c r="J135" s="11">
        <v>0</v>
      </c>
      <c r="K135" s="11">
        <v>0</v>
      </c>
      <c r="L135" s="11">
        <v>34</v>
      </c>
      <c r="M135" s="11">
        <v>0</v>
      </c>
      <c r="N135" s="11">
        <v>2</v>
      </c>
      <c r="O135" s="11">
        <v>36</v>
      </c>
      <c r="P135" s="11">
        <v>36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400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38285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36</v>
      </c>
      <c r="AY135" s="11" t="s">
        <v>753</v>
      </c>
    </row>
    <row r="136" spans="1:51">
      <c r="A136" s="11" t="s">
        <v>201</v>
      </c>
      <c r="B136" s="11" t="s">
        <v>438</v>
      </c>
      <c r="C136" s="11" t="s">
        <v>248</v>
      </c>
      <c r="D136" s="11" t="s">
        <v>504</v>
      </c>
      <c r="E136" s="11" t="s">
        <v>604</v>
      </c>
      <c r="F136" s="11" t="s">
        <v>755</v>
      </c>
      <c r="G136" s="11" t="s">
        <v>121</v>
      </c>
      <c r="H136" s="11">
        <v>0</v>
      </c>
      <c r="I136" s="11">
        <v>1666667</v>
      </c>
      <c r="J136" s="11">
        <v>167213.94</v>
      </c>
      <c r="K136" s="11">
        <v>0</v>
      </c>
      <c r="L136" s="11">
        <v>48</v>
      </c>
      <c r="M136" s="11">
        <v>24</v>
      </c>
      <c r="N136" s="11">
        <v>0</v>
      </c>
      <c r="O136" s="11">
        <v>48</v>
      </c>
      <c r="P136" s="11">
        <v>24</v>
      </c>
      <c r="Q136" s="11">
        <v>167213.94</v>
      </c>
      <c r="R136" s="11">
        <v>0</v>
      </c>
      <c r="S136" s="11">
        <v>4</v>
      </c>
      <c r="T136" s="11">
        <v>0</v>
      </c>
      <c r="U136" s="11">
        <v>4</v>
      </c>
      <c r="V136" s="11">
        <v>0</v>
      </c>
      <c r="W136" s="11">
        <v>1</v>
      </c>
      <c r="X136" s="11">
        <v>3</v>
      </c>
      <c r="Y136" s="11">
        <v>26</v>
      </c>
      <c r="Z136" s="11">
        <v>1</v>
      </c>
      <c r="AA136" s="11">
        <v>1</v>
      </c>
      <c r="AB136" s="11">
        <v>0</v>
      </c>
      <c r="AC136" s="11">
        <v>0</v>
      </c>
      <c r="AD136" s="11">
        <v>0</v>
      </c>
      <c r="AE136" s="11">
        <v>0</v>
      </c>
      <c r="AF136" s="11">
        <v>67</v>
      </c>
      <c r="AG136" s="11">
        <v>71</v>
      </c>
      <c r="AH136" s="11">
        <v>22</v>
      </c>
      <c r="AI136" s="11">
        <v>7601</v>
      </c>
      <c r="AJ136" s="11">
        <v>3</v>
      </c>
      <c r="AK136" s="11">
        <v>27260</v>
      </c>
      <c r="AL136" s="11">
        <v>0</v>
      </c>
      <c r="AM136" s="11">
        <v>0.16300000000000001</v>
      </c>
      <c r="AN136" s="11">
        <v>41803</v>
      </c>
      <c r="AO136" s="11">
        <v>0.1</v>
      </c>
      <c r="AP136" s="11">
        <v>0</v>
      </c>
      <c r="AQ136" s="11">
        <v>4</v>
      </c>
      <c r="AR136" s="11">
        <v>205</v>
      </c>
      <c r="AS136" s="11">
        <v>0</v>
      </c>
      <c r="AT136" s="11">
        <v>0</v>
      </c>
      <c r="AU136" s="11">
        <v>0</v>
      </c>
      <c r="AV136" s="11">
        <v>4</v>
      </c>
      <c r="AW136" s="11">
        <v>20</v>
      </c>
      <c r="AX136" s="11">
        <v>24</v>
      </c>
      <c r="AY136" s="11" t="s">
        <v>683</v>
      </c>
    </row>
    <row r="137" spans="1:51">
      <c r="A137" s="11" t="s">
        <v>118</v>
      </c>
      <c r="B137" s="11" t="s">
        <v>436</v>
      </c>
      <c r="C137" s="11" t="s">
        <v>249</v>
      </c>
      <c r="D137" s="11" t="s">
        <v>499</v>
      </c>
      <c r="E137" s="11" t="s">
        <v>606</v>
      </c>
      <c r="F137" s="150">
        <v>45298</v>
      </c>
      <c r="G137" s="11" t="s">
        <v>111</v>
      </c>
      <c r="H137" s="11">
        <v>0</v>
      </c>
      <c r="I137" s="11">
        <v>0</v>
      </c>
      <c r="J137" s="11">
        <v>0</v>
      </c>
      <c r="K137" s="11">
        <v>0</v>
      </c>
      <c r="L137" s="11">
        <v>21</v>
      </c>
      <c r="M137" s="11">
        <v>0</v>
      </c>
      <c r="N137" s="11">
        <v>0</v>
      </c>
      <c r="O137" s="11">
        <v>21</v>
      </c>
      <c r="P137" s="11">
        <v>21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531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35650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21</v>
      </c>
      <c r="AY137" s="150">
        <v>45877</v>
      </c>
    </row>
    <row r="138" spans="1:51">
      <c r="A138" s="11" t="s">
        <v>201</v>
      </c>
      <c r="B138" s="11" t="s">
        <v>431</v>
      </c>
      <c r="C138" s="11" t="s">
        <v>250</v>
      </c>
      <c r="D138" s="11" t="s">
        <v>431</v>
      </c>
      <c r="E138" s="11" t="s">
        <v>561</v>
      </c>
      <c r="F138" s="150">
        <v>45542</v>
      </c>
      <c r="G138" s="11" t="s">
        <v>106</v>
      </c>
      <c r="H138" s="11">
        <v>0</v>
      </c>
      <c r="I138" s="11">
        <v>4749999</v>
      </c>
      <c r="J138" s="11">
        <v>3824638.01</v>
      </c>
      <c r="K138" s="11">
        <v>0</v>
      </c>
      <c r="L138" s="11">
        <v>73</v>
      </c>
      <c r="M138" s="11">
        <v>57</v>
      </c>
      <c r="N138" s="11">
        <v>4</v>
      </c>
      <c r="O138" s="11">
        <v>77</v>
      </c>
      <c r="P138" s="11">
        <v>20</v>
      </c>
      <c r="Q138" s="11">
        <v>3539822.7</v>
      </c>
      <c r="R138" s="11">
        <v>284815.31</v>
      </c>
      <c r="S138" s="11">
        <v>41</v>
      </c>
      <c r="T138" s="11">
        <v>4</v>
      </c>
      <c r="U138" s="11">
        <v>45</v>
      </c>
      <c r="V138" s="11">
        <v>0</v>
      </c>
      <c r="W138" s="11">
        <v>25</v>
      </c>
      <c r="X138" s="11">
        <v>30</v>
      </c>
      <c r="Y138" s="11">
        <v>240</v>
      </c>
      <c r="Z138" s="11">
        <v>1</v>
      </c>
      <c r="AA138" s="11">
        <v>27</v>
      </c>
      <c r="AB138" s="11">
        <v>0</v>
      </c>
      <c r="AC138" s="11">
        <v>0</v>
      </c>
      <c r="AD138" s="11">
        <v>0</v>
      </c>
      <c r="AE138" s="11">
        <v>0</v>
      </c>
      <c r="AF138" s="11">
        <v>257</v>
      </c>
      <c r="AG138" s="11">
        <v>314</v>
      </c>
      <c r="AH138" s="11">
        <v>71</v>
      </c>
      <c r="AI138" s="11">
        <v>53868</v>
      </c>
      <c r="AJ138" s="11">
        <v>4</v>
      </c>
      <c r="AK138" s="11">
        <v>25165</v>
      </c>
      <c r="AL138" s="11">
        <v>0</v>
      </c>
      <c r="AM138" s="11">
        <v>6.6E-3</v>
      </c>
      <c r="AN138" s="11">
        <v>84992</v>
      </c>
      <c r="AO138" s="11">
        <v>0.81</v>
      </c>
      <c r="AP138" s="11">
        <v>0</v>
      </c>
      <c r="AQ138" s="11">
        <v>169</v>
      </c>
      <c r="AR138" s="11">
        <v>556</v>
      </c>
      <c r="AS138" s="11">
        <v>1818.54</v>
      </c>
      <c r="AT138" s="11">
        <v>4</v>
      </c>
      <c r="AU138" s="11">
        <v>32</v>
      </c>
      <c r="AV138" s="11">
        <v>45</v>
      </c>
      <c r="AW138" s="11">
        <v>13</v>
      </c>
      <c r="AX138" s="11">
        <v>19</v>
      </c>
      <c r="AY138" s="11" t="s">
        <v>684</v>
      </c>
    </row>
    <row r="139" spans="1:51">
      <c r="A139" s="11" t="s">
        <v>124</v>
      </c>
      <c r="B139" s="11" t="s">
        <v>443</v>
      </c>
      <c r="C139" s="11" t="s">
        <v>251</v>
      </c>
      <c r="D139" s="11" t="s">
        <v>517</v>
      </c>
      <c r="E139" s="11" t="s">
        <v>607</v>
      </c>
      <c r="F139" s="150">
        <v>45572</v>
      </c>
      <c r="G139" s="11" t="s">
        <v>142</v>
      </c>
      <c r="H139" s="11">
        <v>0</v>
      </c>
      <c r="I139" s="11">
        <v>3000000</v>
      </c>
      <c r="J139" s="11">
        <v>2895982.39</v>
      </c>
      <c r="K139" s="11">
        <v>0</v>
      </c>
      <c r="L139" s="11">
        <v>89</v>
      </c>
      <c r="M139" s="11">
        <v>86</v>
      </c>
      <c r="N139" s="11">
        <v>12</v>
      </c>
      <c r="O139" s="11">
        <v>101</v>
      </c>
      <c r="P139" s="11">
        <v>15</v>
      </c>
      <c r="Q139" s="11">
        <v>2251930.6800000002</v>
      </c>
      <c r="R139" s="11">
        <v>644051.71</v>
      </c>
      <c r="S139" s="11">
        <v>50</v>
      </c>
      <c r="T139" s="11">
        <v>12</v>
      </c>
      <c r="U139" s="11">
        <v>62</v>
      </c>
      <c r="V139" s="11">
        <v>0</v>
      </c>
      <c r="W139" s="11">
        <v>67</v>
      </c>
      <c r="X139" s="11">
        <v>84</v>
      </c>
      <c r="Y139" s="11">
        <v>178</v>
      </c>
      <c r="Z139" s="11">
        <v>2</v>
      </c>
      <c r="AA139" s="11">
        <v>27</v>
      </c>
      <c r="AB139" s="11">
        <v>0</v>
      </c>
      <c r="AC139" s="11">
        <v>0</v>
      </c>
      <c r="AD139" s="11">
        <v>0</v>
      </c>
      <c r="AE139" s="11">
        <v>0</v>
      </c>
      <c r="AF139" s="11">
        <v>224</v>
      </c>
      <c r="AG139" s="11">
        <v>335</v>
      </c>
      <c r="AH139" s="11">
        <v>68</v>
      </c>
      <c r="AI139" s="11">
        <v>42588</v>
      </c>
      <c r="AJ139" s="11">
        <v>5</v>
      </c>
      <c r="AK139" s="11">
        <v>42475</v>
      </c>
      <c r="AL139" s="11">
        <v>0</v>
      </c>
      <c r="AM139" s="11">
        <v>1.47E-2</v>
      </c>
      <c r="AN139" s="11">
        <v>46709</v>
      </c>
      <c r="AO139" s="11">
        <v>0.97</v>
      </c>
      <c r="AP139" s="11">
        <v>0</v>
      </c>
      <c r="AQ139" s="11">
        <v>125</v>
      </c>
      <c r="AR139" s="11">
        <v>610</v>
      </c>
      <c r="AS139" s="11">
        <v>3362.29</v>
      </c>
      <c r="AT139" s="11">
        <v>12</v>
      </c>
      <c r="AU139" s="11">
        <v>39</v>
      </c>
      <c r="AV139" s="11">
        <v>62</v>
      </c>
      <c r="AW139" s="11">
        <v>25</v>
      </c>
      <c r="AX139" s="11">
        <v>14</v>
      </c>
      <c r="AY139" s="11" t="s">
        <v>684</v>
      </c>
    </row>
    <row r="140" spans="1:51">
      <c r="A140" s="11" t="s">
        <v>108</v>
      </c>
      <c r="B140" s="11" t="s">
        <v>465</v>
      </c>
      <c r="C140" s="11" t="s">
        <v>252</v>
      </c>
      <c r="D140" s="11" t="s">
        <v>621</v>
      </c>
      <c r="E140" s="11" t="s">
        <v>622</v>
      </c>
      <c r="F140" s="150">
        <v>45302</v>
      </c>
      <c r="G140" s="11" t="s">
        <v>108</v>
      </c>
      <c r="H140" s="11">
        <v>0</v>
      </c>
      <c r="I140" s="11">
        <v>0</v>
      </c>
      <c r="J140" s="11">
        <v>0</v>
      </c>
      <c r="K140" s="11">
        <v>0</v>
      </c>
      <c r="L140" s="11">
        <v>101</v>
      </c>
      <c r="M140" s="11">
        <v>6</v>
      </c>
      <c r="N140" s="11">
        <v>0</v>
      </c>
      <c r="O140" s="11">
        <v>101</v>
      </c>
      <c r="P140" s="11">
        <v>95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69</v>
      </c>
      <c r="Z140" s="11">
        <v>1</v>
      </c>
      <c r="AA140" s="11">
        <v>2</v>
      </c>
      <c r="AB140" s="11">
        <v>0</v>
      </c>
      <c r="AC140" s="11">
        <v>0</v>
      </c>
      <c r="AD140" s="11">
        <v>0</v>
      </c>
      <c r="AE140" s="11">
        <v>0</v>
      </c>
      <c r="AF140" s="11">
        <v>7</v>
      </c>
      <c r="AG140" s="11">
        <v>9</v>
      </c>
      <c r="AH140" s="11">
        <v>2</v>
      </c>
      <c r="AI140" s="11">
        <v>0</v>
      </c>
      <c r="AJ140" s="11">
        <v>5</v>
      </c>
      <c r="AK140" s="11">
        <v>26800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15</v>
      </c>
      <c r="AS140" s="11">
        <v>0</v>
      </c>
      <c r="AT140" s="11">
        <v>0</v>
      </c>
      <c r="AU140" s="11">
        <v>0</v>
      </c>
      <c r="AV140" s="11">
        <v>0</v>
      </c>
      <c r="AW140" s="11">
        <v>6</v>
      </c>
      <c r="AX140" s="11">
        <v>95</v>
      </c>
      <c r="AY140" s="150">
        <v>46143</v>
      </c>
    </row>
    <row r="141" spans="1:51">
      <c r="A141" s="11" t="s">
        <v>108</v>
      </c>
      <c r="B141" s="11" t="s">
        <v>465</v>
      </c>
      <c r="C141" s="11" t="s">
        <v>253</v>
      </c>
      <c r="D141" s="11" t="s">
        <v>506</v>
      </c>
      <c r="E141" s="11" t="s">
        <v>467</v>
      </c>
      <c r="F141" s="11" t="s">
        <v>714</v>
      </c>
      <c r="G141" s="11" t="s">
        <v>108</v>
      </c>
      <c r="H141" s="11">
        <v>0</v>
      </c>
      <c r="I141" s="11">
        <v>3672851</v>
      </c>
      <c r="J141" s="11">
        <v>1579508.4</v>
      </c>
      <c r="K141" s="11">
        <v>0</v>
      </c>
      <c r="L141" s="11">
        <v>108</v>
      </c>
      <c r="M141" s="11">
        <v>89</v>
      </c>
      <c r="N141" s="11">
        <v>1</v>
      </c>
      <c r="O141" s="11">
        <v>109</v>
      </c>
      <c r="P141" s="11">
        <v>20</v>
      </c>
      <c r="Q141" s="11">
        <v>1568940</v>
      </c>
      <c r="R141" s="11">
        <v>10568.4</v>
      </c>
      <c r="S141" s="11">
        <v>41</v>
      </c>
      <c r="T141" s="11">
        <v>1</v>
      </c>
      <c r="U141" s="11">
        <v>42</v>
      </c>
      <c r="V141" s="11">
        <v>0</v>
      </c>
      <c r="W141" s="11">
        <v>6</v>
      </c>
      <c r="X141" s="11">
        <v>8</v>
      </c>
      <c r="Y141" s="11">
        <v>48</v>
      </c>
      <c r="Z141" s="11">
        <v>2</v>
      </c>
      <c r="AA141" s="11">
        <v>9</v>
      </c>
      <c r="AB141" s="11">
        <v>0</v>
      </c>
      <c r="AC141" s="11">
        <v>0</v>
      </c>
      <c r="AD141" s="11">
        <v>0</v>
      </c>
      <c r="AE141" s="11">
        <v>0</v>
      </c>
      <c r="AF141" s="11">
        <v>333</v>
      </c>
      <c r="AG141" s="11">
        <v>350</v>
      </c>
      <c r="AH141" s="11">
        <v>66</v>
      </c>
      <c r="AI141" s="11">
        <v>23932</v>
      </c>
      <c r="AJ141" s="11">
        <v>5</v>
      </c>
      <c r="AL141" s="11">
        <v>0</v>
      </c>
      <c r="AM141" s="11">
        <v>0</v>
      </c>
      <c r="AN141" s="11">
        <v>37607</v>
      </c>
      <c r="AO141" s="11">
        <v>0.43</v>
      </c>
      <c r="AP141" s="11">
        <v>0</v>
      </c>
      <c r="AQ141" s="11">
        <v>89</v>
      </c>
      <c r="AR141" s="11">
        <v>572</v>
      </c>
      <c r="AS141" s="11">
        <v>2778.6</v>
      </c>
      <c r="AT141" s="11">
        <v>1</v>
      </c>
      <c r="AU141" s="11">
        <v>31</v>
      </c>
      <c r="AV141" s="11">
        <v>42</v>
      </c>
      <c r="AW141" s="11">
        <v>48</v>
      </c>
      <c r="AX141" s="11">
        <v>19</v>
      </c>
      <c r="AY141" s="11" t="s">
        <v>684</v>
      </c>
    </row>
    <row r="142" spans="1:51">
      <c r="A142" s="11" t="s">
        <v>118</v>
      </c>
      <c r="B142" s="11" t="s">
        <v>372</v>
      </c>
      <c r="C142" s="11" t="s">
        <v>254</v>
      </c>
      <c r="D142" s="11" t="s">
        <v>447</v>
      </c>
      <c r="E142" s="11" t="s">
        <v>610</v>
      </c>
      <c r="F142" s="11" t="s">
        <v>714</v>
      </c>
      <c r="G142" s="11" t="s">
        <v>93</v>
      </c>
      <c r="H142" s="11">
        <v>0</v>
      </c>
      <c r="I142" s="11">
        <v>4500000</v>
      </c>
      <c r="J142" s="11">
        <v>0</v>
      </c>
      <c r="K142" s="11">
        <v>0</v>
      </c>
      <c r="L142" s="11">
        <v>59</v>
      </c>
      <c r="M142" s="11">
        <v>16</v>
      </c>
      <c r="N142" s="11">
        <v>0</v>
      </c>
      <c r="O142" s="11">
        <v>59</v>
      </c>
      <c r="P142" s="11">
        <v>43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58</v>
      </c>
      <c r="Z142" s="11">
        <v>1</v>
      </c>
      <c r="AA142" s="11">
        <v>5</v>
      </c>
      <c r="AB142" s="11">
        <v>0</v>
      </c>
      <c r="AC142" s="11">
        <v>0</v>
      </c>
      <c r="AD142" s="11">
        <v>0</v>
      </c>
      <c r="AE142" s="11">
        <v>0</v>
      </c>
      <c r="AF142" s="11">
        <v>19</v>
      </c>
      <c r="AG142" s="11">
        <v>24</v>
      </c>
      <c r="AH142" s="11">
        <v>6</v>
      </c>
      <c r="AI142" s="11">
        <v>0</v>
      </c>
      <c r="AJ142" s="11">
        <v>4</v>
      </c>
      <c r="AK142" s="11">
        <v>30950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59</v>
      </c>
      <c r="AS142" s="11">
        <v>0</v>
      </c>
      <c r="AT142" s="11">
        <v>0</v>
      </c>
      <c r="AU142" s="11">
        <v>0</v>
      </c>
      <c r="AV142" s="11">
        <v>0</v>
      </c>
      <c r="AW142" s="11">
        <v>16</v>
      </c>
      <c r="AX142" s="11">
        <v>43</v>
      </c>
      <c r="AY142" s="150">
        <v>46235</v>
      </c>
    </row>
    <row r="143" spans="1:51">
      <c r="A143" s="11" t="s">
        <v>201</v>
      </c>
      <c r="B143" s="11" t="s">
        <v>431</v>
      </c>
      <c r="C143" s="11" t="s">
        <v>255</v>
      </c>
      <c r="D143" s="11" t="s">
        <v>431</v>
      </c>
      <c r="E143" s="11" t="s">
        <v>612</v>
      </c>
      <c r="F143" s="150">
        <v>45330</v>
      </c>
      <c r="G143" s="11" t="s">
        <v>104</v>
      </c>
      <c r="H143" s="11">
        <v>200000</v>
      </c>
      <c r="I143" s="11">
        <v>2300000</v>
      </c>
      <c r="J143" s="11">
        <v>175410.1</v>
      </c>
      <c r="K143" s="11">
        <v>146364.06</v>
      </c>
      <c r="L143" s="11">
        <v>48</v>
      </c>
      <c r="M143" s="11">
        <v>30</v>
      </c>
      <c r="N143" s="11">
        <v>1</v>
      </c>
      <c r="O143" s="11">
        <v>49</v>
      </c>
      <c r="P143" s="11">
        <v>19</v>
      </c>
      <c r="Q143" s="11">
        <v>76242</v>
      </c>
      <c r="R143" s="11">
        <v>99168.1</v>
      </c>
      <c r="S143" s="11">
        <v>2</v>
      </c>
      <c r="T143" s="11">
        <v>1</v>
      </c>
      <c r="U143" s="11">
        <v>3</v>
      </c>
      <c r="V143" s="11">
        <v>1</v>
      </c>
      <c r="W143" s="11">
        <v>31</v>
      </c>
      <c r="X143" s="11">
        <v>69</v>
      </c>
      <c r="Y143" s="11">
        <v>106</v>
      </c>
      <c r="Z143" s="11">
        <v>0</v>
      </c>
      <c r="AA143" s="11">
        <v>0</v>
      </c>
      <c r="AB143" s="11">
        <v>1</v>
      </c>
      <c r="AC143" s="11">
        <v>22</v>
      </c>
      <c r="AD143" s="11">
        <v>1</v>
      </c>
      <c r="AE143" s="11">
        <v>7</v>
      </c>
      <c r="AF143" s="11">
        <v>85</v>
      </c>
      <c r="AG143" s="11">
        <v>183</v>
      </c>
      <c r="AH143" s="11">
        <v>47</v>
      </c>
      <c r="AI143" s="11">
        <v>3732</v>
      </c>
      <c r="AJ143" s="11">
        <v>4</v>
      </c>
      <c r="AK143" s="11">
        <v>29360</v>
      </c>
      <c r="AL143" s="11">
        <v>0</v>
      </c>
      <c r="AM143" s="11">
        <v>0.16739999999999999</v>
      </c>
      <c r="AN143" s="11">
        <v>58470</v>
      </c>
      <c r="AO143" s="11">
        <v>0.08</v>
      </c>
      <c r="AP143" s="11">
        <v>0.73</v>
      </c>
      <c r="AQ143" s="11">
        <v>3</v>
      </c>
      <c r="AR143" s="11">
        <v>424</v>
      </c>
      <c r="AS143" s="11">
        <v>142.80000000000001</v>
      </c>
      <c r="AT143" s="11">
        <v>1</v>
      </c>
      <c r="AU143" s="11">
        <v>5</v>
      </c>
      <c r="AV143" s="11">
        <v>3</v>
      </c>
      <c r="AW143" s="11">
        <v>28</v>
      </c>
      <c r="AX143" s="11">
        <v>18</v>
      </c>
      <c r="AY143" s="11" t="s">
        <v>756</v>
      </c>
    </row>
    <row r="144" spans="1:51">
      <c r="A144" s="11" t="s">
        <v>154</v>
      </c>
      <c r="B144" s="11" t="s">
        <v>367</v>
      </c>
      <c r="C144" s="11" t="s">
        <v>257</v>
      </c>
      <c r="D144" s="11" t="s">
        <v>577</v>
      </c>
      <c r="E144" s="11" t="s">
        <v>611</v>
      </c>
      <c r="F144" s="11" t="s">
        <v>757</v>
      </c>
      <c r="G144" s="11" t="s">
        <v>196</v>
      </c>
      <c r="H144" s="11">
        <v>0</v>
      </c>
      <c r="I144" s="11">
        <v>0</v>
      </c>
      <c r="J144" s="11">
        <v>0</v>
      </c>
      <c r="K144" s="11">
        <v>0</v>
      </c>
      <c r="L144" s="11">
        <v>31</v>
      </c>
      <c r="M144" s="11">
        <v>0</v>
      </c>
      <c r="N144" s="11">
        <v>0</v>
      </c>
      <c r="O144" s="11">
        <v>31</v>
      </c>
      <c r="P144" s="11">
        <v>31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130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46670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31</v>
      </c>
      <c r="AY144" s="11" t="s">
        <v>758</v>
      </c>
    </row>
    <row r="145" spans="1:51">
      <c r="A145" s="11" t="s">
        <v>118</v>
      </c>
      <c r="B145" s="11" t="s">
        <v>372</v>
      </c>
      <c r="C145" s="11" t="s">
        <v>258</v>
      </c>
      <c r="D145" s="11" t="s">
        <v>447</v>
      </c>
      <c r="E145" s="11" t="s">
        <v>625</v>
      </c>
      <c r="F145" s="150">
        <v>45334</v>
      </c>
      <c r="G145" s="11" t="s">
        <v>93</v>
      </c>
      <c r="H145" s="11">
        <v>0</v>
      </c>
      <c r="I145" s="11">
        <v>4500000</v>
      </c>
      <c r="J145" s="11">
        <v>5856871.9900000002</v>
      </c>
      <c r="K145" s="11">
        <v>0</v>
      </c>
      <c r="L145" s="11">
        <v>82</v>
      </c>
      <c r="M145" s="11">
        <v>70</v>
      </c>
      <c r="N145" s="11">
        <v>4</v>
      </c>
      <c r="O145" s="11">
        <v>86</v>
      </c>
      <c r="P145" s="11">
        <v>16</v>
      </c>
      <c r="Q145" s="11">
        <v>5450062.3600000003</v>
      </c>
      <c r="R145" s="11">
        <v>406809.63</v>
      </c>
      <c r="S145" s="11">
        <v>34</v>
      </c>
      <c r="T145" s="11">
        <v>4</v>
      </c>
      <c r="U145" s="11">
        <v>38</v>
      </c>
      <c r="V145" s="11">
        <v>0</v>
      </c>
      <c r="W145" s="11">
        <v>30</v>
      </c>
      <c r="X145" s="11">
        <v>42</v>
      </c>
      <c r="Y145" s="11">
        <v>146</v>
      </c>
      <c r="Z145" s="11">
        <v>1</v>
      </c>
      <c r="AA145" s="11">
        <v>31</v>
      </c>
      <c r="AB145" s="11">
        <v>0</v>
      </c>
      <c r="AC145" s="11">
        <v>0</v>
      </c>
      <c r="AD145" s="11">
        <v>0</v>
      </c>
      <c r="AE145" s="11">
        <v>0</v>
      </c>
      <c r="AF145" s="11">
        <v>284</v>
      </c>
      <c r="AG145" s="11">
        <v>357</v>
      </c>
      <c r="AH145" s="11">
        <v>68</v>
      </c>
      <c r="AI145" s="11">
        <v>86130</v>
      </c>
      <c r="AJ145" s="11">
        <v>5</v>
      </c>
      <c r="AK145" s="11">
        <v>26755</v>
      </c>
      <c r="AL145" s="11">
        <v>0</v>
      </c>
      <c r="AM145" s="11">
        <v>4.5999999999999999E-3</v>
      </c>
      <c r="AN145" s="11">
        <v>154128</v>
      </c>
      <c r="AO145" s="11">
        <v>1.3</v>
      </c>
      <c r="AP145" s="11">
        <v>0</v>
      </c>
      <c r="AQ145" s="11">
        <v>83</v>
      </c>
      <c r="AR145" s="11">
        <v>632</v>
      </c>
      <c r="AS145" s="11">
        <v>3046.99</v>
      </c>
      <c r="AT145" s="11">
        <v>4</v>
      </c>
      <c r="AU145" s="11">
        <v>44</v>
      </c>
      <c r="AV145" s="11">
        <v>38</v>
      </c>
      <c r="AW145" s="11">
        <v>33</v>
      </c>
      <c r="AX145" s="11">
        <v>15</v>
      </c>
      <c r="AY145" s="11" t="s">
        <v>684</v>
      </c>
    </row>
    <row r="146" spans="1:51">
      <c r="A146" s="11" t="s">
        <v>118</v>
      </c>
      <c r="B146" s="11" t="s">
        <v>359</v>
      </c>
      <c r="C146" s="11" t="s">
        <v>260</v>
      </c>
      <c r="D146" s="11" t="s">
        <v>442</v>
      </c>
      <c r="E146" s="11" t="s">
        <v>613</v>
      </c>
      <c r="F146" s="150">
        <v>45634</v>
      </c>
      <c r="G146" s="11" t="s">
        <v>33</v>
      </c>
      <c r="H146" s="11">
        <v>0</v>
      </c>
      <c r="I146" s="11">
        <v>0</v>
      </c>
      <c r="J146" s="11">
        <v>0</v>
      </c>
      <c r="K146" s="11">
        <v>0</v>
      </c>
      <c r="L146" s="11">
        <v>11</v>
      </c>
      <c r="M146" s="11">
        <v>0</v>
      </c>
      <c r="N146" s="11">
        <v>0</v>
      </c>
      <c r="O146" s="11">
        <v>11</v>
      </c>
      <c r="P146" s="11">
        <v>11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18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25700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11</v>
      </c>
      <c r="AY146" s="11" t="s">
        <v>708</v>
      </c>
    </row>
    <row r="147" spans="1:51">
      <c r="A147" s="11" t="s">
        <v>124</v>
      </c>
      <c r="B147" s="11" t="s">
        <v>443</v>
      </c>
      <c r="C147" s="11" t="s">
        <v>261</v>
      </c>
      <c r="D147" s="11" t="s">
        <v>517</v>
      </c>
      <c r="E147" s="11" t="s">
        <v>614</v>
      </c>
      <c r="F147" s="150">
        <v>45634</v>
      </c>
      <c r="G147" s="11" t="s">
        <v>124</v>
      </c>
      <c r="H147" s="11">
        <v>0</v>
      </c>
      <c r="I147" s="11">
        <v>3000000</v>
      </c>
      <c r="J147" s="11">
        <v>2158126.6</v>
      </c>
      <c r="K147" s="11">
        <v>0</v>
      </c>
      <c r="L147" s="11">
        <v>149</v>
      </c>
      <c r="M147" s="11">
        <v>102</v>
      </c>
      <c r="N147" s="11">
        <v>2</v>
      </c>
      <c r="O147" s="11">
        <v>151</v>
      </c>
      <c r="P147" s="11">
        <v>49</v>
      </c>
      <c r="Q147" s="11">
        <v>2139683.2999999998</v>
      </c>
      <c r="R147" s="11">
        <v>18443.3</v>
      </c>
      <c r="S147" s="11">
        <v>49</v>
      </c>
      <c r="T147" s="11">
        <v>1</v>
      </c>
      <c r="U147" s="11">
        <v>50</v>
      </c>
      <c r="V147" s="11">
        <v>0</v>
      </c>
      <c r="W147" s="11">
        <v>142</v>
      </c>
      <c r="X147" s="11">
        <v>160</v>
      </c>
      <c r="Y147" s="11">
        <v>286</v>
      </c>
      <c r="Z147" s="11">
        <v>1</v>
      </c>
      <c r="AA147" s="11">
        <v>4</v>
      </c>
      <c r="AB147" s="11">
        <v>0</v>
      </c>
      <c r="AC147" s="11">
        <v>0</v>
      </c>
      <c r="AD147" s="11">
        <v>0</v>
      </c>
      <c r="AE147" s="11">
        <v>0</v>
      </c>
      <c r="AF147" s="11">
        <v>173</v>
      </c>
      <c r="AG147" s="11">
        <v>337</v>
      </c>
      <c r="AH147" s="11">
        <v>70</v>
      </c>
      <c r="AI147" s="11">
        <v>30830</v>
      </c>
      <c r="AJ147" s="11">
        <v>5</v>
      </c>
      <c r="AK147" s="11">
        <v>27260</v>
      </c>
      <c r="AL147" s="11">
        <v>0</v>
      </c>
      <c r="AM147" s="11">
        <v>1.26E-2</v>
      </c>
      <c r="AN147" s="11">
        <v>43163</v>
      </c>
      <c r="AO147" s="11">
        <v>0.72</v>
      </c>
      <c r="AP147" s="11">
        <v>0</v>
      </c>
      <c r="AQ147" s="11">
        <v>87</v>
      </c>
      <c r="AR147" s="11">
        <v>691</v>
      </c>
      <c r="AS147" s="11">
        <v>3156.17</v>
      </c>
      <c r="AT147" s="11">
        <v>1</v>
      </c>
      <c r="AU147" s="11">
        <v>31</v>
      </c>
      <c r="AV147" s="11">
        <v>50</v>
      </c>
      <c r="AW147" s="11">
        <v>53</v>
      </c>
      <c r="AX147" s="11">
        <v>48</v>
      </c>
      <c r="AY147" s="11" t="s">
        <v>684</v>
      </c>
    </row>
    <row r="148" spans="1:51">
      <c r="A148" s="11" t="s">
        <v>118</v>
      </c>
      <c r="B148" s="11" t="s">
        <v>460</v>
      </c>
      <c r="C148" s="11" t="s">
        <v>262</v>
      </c>
      <c r="D148" s="11" t="s">
        <v>615</v>
      </c>
      <c r="E148" s="11" t="s">
        <v>616</v>
      </c>
      <c r="F148" s="11" t="s">
        <v>759</v>
      </c>
      <c r="G148" s="11" t="s">
        <v>118</v>
      </c>
      <c r="H148" s="11">
        <v>0</v>
      </c>
      <c r="I148" s="11">
        <v>0</v>
      </c>
      <c r="J148" s="11">
        <v>0</v>
      </c>
      <c r="K148" s="11">
        <v>0</v>
      </c>
      <c r="L148" s="11">
        <v>1</v>
      </c>
      <c r="M148" s="11">
        <v>0</v>
      </c>
      <c r="N148" s="11">
        <v>0</v>
      </c>
      <c r="O148" s="11">
        <v>1</v>
      </c>
      <c r="P148" s="11">
        <v>1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53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72970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</v>
      </c>
      <c r="AY148" s="11" t="s">
        <v>722</v>
      </c>
    </row>
    <row r="149" spans="1:51">
      <c r="A149" s="11" t="s">
        <v>154</v>
      </c>
      <c r="B149" s="11" t="s">
        <v>367</v>
      </c>
      <c r="C149" s="11" t="s">
        <v>263</v>
      </c>
      <c r="D149" s="11" t="s">
        <v>577</v>
      </c>
      <c r="E149" s="11" t="s">
        <v>368</v>
      </c>
      <c r="F149" s="11" t="s">
        <v>760</v>
      </c>
      <c r="G149" s="11" t="s">
        <v>196</v>
      </c>
      <c r="H149" s="11">
        <v>0</v>
      </c>
      <c r="I149" s="11">
        <v>2100000</v>
      </c>
      <c r="J149" s="11">
        <v>620558.80000000005</v>
      </c>
      <c r="K149" s="11">
        <v>0</v>
      </c>
      <c r="L149" s="11">
        <v>84</v>
      </c>
      <c r="M149" s="11">
        <v>75</v>
      </c>
      <c r="N149" s="11">
        <v>4</v>
      </c>
      <c r="O149" s="11">
        <v>88</v>
      </c>
      <c r="P149" s="11">
        <v>13</v>
      </c>
      <c r="Q149" s="11">
        <v>473632.56</v>
      </c>
      <c r="R149" s="11">
        <v>146926.24</v>
      </c>
      <c r="S149" s="11">
        <v>19</v>
      </c>
      <c r="T149" s="11">
        <v>4</v>
      </c>
      <c r="U149" s="11">
        <v>23</v>
      </c>
      <c r="V149" s="11">
        <v>0</v>
      </c>
      <c r="W149" s="11">
        <v>51</v>
      </c>
      <c r="X149" s="11">
        <v>59</v>
      </c>
      <c r="Y149" s="11">
        <v>198</v>
      </c>
      <c r="Z149" s="11">
        <v>1</v>
      </c>
      <c r="AA149" s="11">
        <v>50</v>
      </c>
      <c r="AB149" s="11">
        <v>0</v>
      </c>
      <c r="AC149" s="11">
        <v>0</v>
      </c>
      <c r="AD149" s="11">
        <v>0</v>
      </c>
      <c r="AE149" s="11">
        <v>0</v>
      </c>
      <c r="AF149" s="11">
        <v>356</v>
      </c>
      <c r="AG149" s="11">
        <v>465</v>
      </c>
      <c r="AH149" s="11">
        <v>63</v>
      </c>
      <c r="AI149" s="11">
        <v>9850</v>
      </c>
      <c r="AJ149" s="11">
        <v>7</v>
      </c>
      <c r="AK149" s="11">
        <v>23570</v>
      </c>
      <c r="AL149" s="11">
        <v>0</v>
      </c>
      <c r="AM149" s="11">
        <v>3.7999999999999999E-2</v>
      </c>
      <c r="AN149" s="11">
        <v>26981</v>
      </c>
      <c r="AO149" s="11">
        <v>0.3</v>
      </c>
      <c r="AP149" s="11">
        <v>0</v>
      </c>
      <c r="AQ149" s="11">
        <v>33</v>
      </c>
      <c r="AR149" s="11">
        <v>558</v>
      </c>
      <c r="AS149" s="11">
        <v>2407.7399999999998</v>
      </c>
      <c r="AT149" s="11">
        <v>4</v>
      </c>
      <c r="AU149" s="11">
        <v>32</v>
      </c>
      <c r="AV149" s="11">
        <v>23</v>
      </c>
      <c r="AW149" s="11">
        <v>53</v>
      </c>
      <c r="AX149" s="11">
        <v>12</v>
      </c>
      <c r="AY149" s="11" t="s">
        <v>684</v>
      </c>
    </row>
    <row r="150" spans="1:51">
      <c r="A150" s="11" t="s">
        <v>120</v>
      </c>
      <c r="B150" s="11" t="s">
        <v>163</v>
      </c>
      <c r="C150" s="11" t="s">
        <v>207</v>
      </c>
      <c r="D150" s="11" t="s">
        <v>617</v>
      </c>
      <c r="E150" s="11" t="s">
        <v>209</v>
      </c>
      <c r="F150" s="11" t="s">
        <v>761</v>
      </c>
      <c r="G150" s="11" t="s">
        <v>120</v>
      </c>
      <c r="H150" s="11">
        <v>0</v>
      </c>
      <c r="I150" s="11">
        <v>3900000</v>
      </c>
      <c r="J150" s="11">
        <v>2801956.22</v>
      </c>
      <c r="K150" s="11">
        <v>0</v>
      </c>
      <c r="L150" s="11">
        <v>124</v>
      </c>
      <c r="M150" s="11">
        <v>99</v>
      </c>
      <c r="N150" s="11">
        <v>0</v>
      </c>
      <c r="O150" s="11">
        <v>124</v>
      </c>
      <c r="P150" s="11">
        <v>25</v>
      </c>
      <c r="Q150" s="11">
        <v>2801956.22</v>
      </c>
      <c r="R150" s="11">
        <v>0</v>
      </c>
      <c r="S150" s="11">
        <v>68</v>
      </c>
      <c r="T150" s="11">
        <v>0</v>
      </c>
      <c r="U150" s="11">
        <v>68</v>
      </c>
      <c r="V150" s="11">
        <v>0</v>
      </c>
      <c r="W150" s="11">
        <v>23</v>
      </c>
      <c r="X150" s="11">
        <v>33</v>
      </c>
      <c r="Y150" s="11">
        <v>161</v>
      </c>
      <c r="Z150" s="11">
        <v>1</v>
      </c>
      <c r="AA150" s="11">
        <v>36</v>
      </c>
      <c r="AB150" s="11">
        <v>0</v>
      </c>
      <c r="AC150" s="11">
        <v>0</v>
      </c>
      <c r="AD150" s="11">
        <v>1</v>
      </c>
      <c r="AE150" s="11">
        <v>1</v>
      </c>
      <c r="AF150" s="11">
        <v>419</v>
      </c>
      <c r="AG150" s="11">
        <v>489</v>
      </c>
      <c r="AH150" s="11">
        <v>75</v>
      </c>
      <c r="AI150" s="11">
        <v>37359</v>
      </c>
      <c r="AJ150" s="11">
        <v>7</v>
      </c>
      <c r="AK150" s="11">
        <v>28310</v>
      </c>
      <c r="AL150" s="11">
        <v>0</v>
      </c>
      <c r="AM150" s="11">
        <v>1.01E-2</v>
      </c>
      <c r="AN150" s="11">
        <v>41205</v>
      </c>
      <c r="AO150" s="11">
        <v>0.72</v>
      </c>
      <c r="AP150" s="11">
        <v>0</v>
      </c>
      <c r="AQ150" s="11">
        <v>112</v>
      </c>
      <c r="AR150" s="11">
        <v>746</v>
      </c>
      <c r="AS150" s="11">
        <v>956.82</v>
      </c>
      <c r="AT150" s="11">
        <v>0</v>
      </c>
      <c r="AU150" s="11">
        <v>10</v>
      </c>
      <c r="AV150" s="11">
        <v>68</v>
      </c>
      <c r="AW150" s="11">
        <v>31</v>
      </c>
      <c r="AX150" s="11">
        <v>25</v>
      </c>
      <c r="AY150" s="11" t="s">
        <v>684</v>
      </c>
    </row>
    <row r="151" spans="1:51">
      <c r="A151" s="11" t="s">
        <v>120</v>
      </c>
      <c r="B151" s="11" t="s">
        <v>206</v>
      </c>
      <c r="C151" s="11" t="s">
        <v>230</v>
      </c>
      <c r="D151" s="11" t="s">
        <v>618</v>
      </c>
      <c r="E151" s="11" t="s">
        <v>233</v>
      </c>
      <c r="F151" s="150">
        <v>45361</v>
      </c>
      <c r="G151" s="11" t="s">
        <v>120</v>
      </c>
      <c r="H151" s="11">
        <v>600000</v>
      </c>
      <c r="I151" s="11">
        <v>3600000</v>
      </c>
      <c r="J151" s="11">
        <v>3090009.36</v>
      </c>
      <c r="K151" s="11">
        <v>0</v>
      </c>
      <c r="L151" s="11">
        <v>27</v>
      </c>
      <c r="M151" s="11">
        <v>24</v>
      </c>
      <c r="N151" s="11">
        <v>0</v>
      </c>
      <c r="O151" s="11">
        <v>27</v>
      </c>
      <c r="P151" s="11">
        <v>3</v>
      </c>
      <c r="Q151" s="11">
        <v>3090009.36</v>
      </c>
      <c r="R151" s="11">
        <v>0</v>
      </c>
      <c r="S151" s="11">
        <v>22</v>
      </c>
      <c r="T151" s="11">
        <v>0</v>
      </c>
      <c r="U151" s="11">
        <v>22</v>
      </c>
      <c r="V151" s="11">
        <v>0</v>
      </c>
      <c r="W151" s="11">
        <v>53</v>
      </c>
      <c r="X151" s="11">
        <v>120</v>
      </c>
      <c r="Y151" s="11">
        <v>149</v>
      </c>
      <c r="Z151" s="11">
        <v>1</v>
      </c>
      <c r="AA151" s="11">
        <v>32</v>
      </c>
      <c r="AB151" s="11">
        <v>4</v>
      </c>
      <c r="AC151" s="11">
        <v>27</v>
      </c>
      <c r="AD151" s="11">
        <v>0</v>
      </c>
      <c r="AE151" s="11">
        <v>0</v>
      </c>
      <c r="AF151" s="11">
        <v>172</v>
      </c>
      <c r="AG151" s="11">
        <v>351</v>
      </c>
      <c r="AH151" s="11">
        <v>70</v>
      </c>
      <c r="AI151" s="11">
        <v>44143</v>
      </c>
      <c r="AJ151" s="11">
        <v>5</v>
      </c>
      <c r="AK151" s="11">
        <v>30405</v>
      </c>
      <c r="AL151" s="11">
        <v>0</v>
      </c>
      <c r="AM151" s="11">
        <v>9.7999999999999997E-3</v>
      </c>
      <c r="AN151" s="11">
        <v>140455</v>
      </c>
      <c r="AO151" s="11">
        <v>0.86</v>
      </c>
      <c r="AP151" s="11">
        <v>0</v>
      </c>
      <c r="AQ151" s="11">
        <v>45</v>
      </c>
      <c r="AR151" s="11">
        <v>557</v>
      </c>
      <c r="AS151" s="11">
        <v>1966.89</v>
      </c>
      <c r="AT151" s="11">
        <v>0</v>
      </c>
      <c r="AU151" s="11">
        <v>82</v>
      </c>
      <c r="AV151" s="11">
        <v>22</v>
      </c>
      <c r="AW151" s="11">
        <v>3</v>
      </c>
      <c r="AX151" s="11">
        <v>2</v>
      </c>
      <c r="AY151" s="11" t="s">
        <v>684</v>
      </c>
    </row>
    <row r="152" spans="1:51">
      <c r="A152" s="11" t="s">
        <v>118</v>
      </c>
      <c r="B152" s="11" t="s">
        <v>460</v>
      </c>
      <c r="C152" s="11" t="s">
        <v>264</v>
      </c>
      <c r="D152" s="11" t="s">
        <v>615</v>
      </c>
      <c r="E152" s="11" t="s">
        <v>619</v>
      </c>
      <c r="F152" s="150">
        <v>45392</v>
      </c>
      <c r="G152" s="11" t="s">
        <v>118</v>
      </c>
      <c r="H152" s="11">
        <v>0</v>
      </c>
      <c r="I152" s="11">
        <v>0</v>
      </c>
      <c r="J152" s="11">
        <v>0</v>
      </c>
      <c r="K152" s="11">
        <v>0</v>
      </c>
      <c r="L152" s="11">
        <v>7</v>
      </c>
      <c r="M152" s="11">
        <v>5</v>
      </c>
      <c r="N152" s="11">
        <v>0</v>
      </c>
      <c r="O152" s="11">
        <v>7</v>
      </c>
      <c r="P152" s="11">
        <v>2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1</v>
      </c>
      <c r="X152" s="11">
        <v>3</v>
      </c>
      <c r="Y152" s="11">
        <v>54</v>
      </c>
      <c r="Z152" s="11">
        <v>0</v>
      </c>
      <c r="AA152" s="11">
        <v>0</v>
      </c>
      <c r="AB152" s="11">
        <v>0</v>
      </c>
      <c r="AC152" s="11">
        <v>0</v>
      </c>
      <c r="AD152" s="11">
        <v>76</v>
      </c>
      <c r="AE152" s="11">
        <v>315</v>
      </c>
      <c r="AF152" s="11">
        <v>19</v>
      </c>
      <c r="AG152" s="11">
        <v>337</v>
      </c>
      <c r="AH152" s="11">
        <v>68</v>
      </c>
      <c r="AI152" s="11">
        <v>0</v>
      </c>
      <c r="AJ152" s="11">
        <v>5</v>
      </c>
      <c r="AK152" s="11">
        <v>151000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748</v>
      </c>
      <c r="AS152" s="11">
        <v>3371.49</v>
      </c>
      <c r="AT152" s="11">
        <v>0</v>
      </c>
      <c r="AU152" s="11">
        <v>674</v>
      </c>
      <c r="AV152" s="11">
        <v>0</v>
      </c>
      <c r="AW152" s="11">
        <v>5</v>
      </c>
      <c r="AX152" s="11">
        <v>2</v>
      </c>
      <c r="AY152" s="11" t="s">
        <v>684</v>
      </c>
    </row>
    <row r="153" spans="1:51">
      <c r="A153" s="11" t="s">
        <v>118</v>
      </c>
      <c r="B153" s="11" t="s">
        <v>460</v>
      </c>
      <c r="C153" s="11" t="s">
        <v>265</v>
      </c>
      <c r="D153" s="11" t="s">
        <v>615</v>
      </c>
      <c r="E153" s="11" t="s">
        <v>620</v>
      </c>
      <c r="F153" s="150">
        <v>45392</v>
      </c>
      <c r="G153" s="11" t="s">
        <v>118</v>
      </c>
      <c r="H153" s="11">
        <v>0</v>
      </c>
      <c r="I153" s="11">
        <v>0</v>
      </c>
      <c r="J153" s="11">
        <v>0</v>
      </c>
      <c r="K153" s="11">
        <v>0</v>
      </c>
      <c r="L153" s="11">
        <v>2</v>
      </c>
      <c r="M153" s="11">
        <v>0</v>
      </c>
      <c r="N153" s="11">
        <v>0</v>
      </c>
      <c r="O153" s="11">
        <v>2</v>
      </c>
      <c r="P153" s="11">
        <v>2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50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153110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2</v>
      </c>
      <c r="AY153" s="11" t="s">
        <v>762</v>
      </c>
    </row>
    <row r="154" spans="1:51">
      <c r="A154" s="11" t="s">
        <v>201</v>
      </c>
      <c r="B154" s="11" t="s">
        <v>431</v>
      </c>
      <c r="C154" s="11" t="s">
        <v>266</v>
      </c>
      <c r="D154" s="11" t="s">
        <v>431</v>
      </c>
      <c r="E154" s="11" t="s">
        <v>531</v>
      </c>
      <c r="F154" s="150">
        <v>45393</v>
      </c>
      <c r="G154" s="11" t="s">
        <v>121</v>
      </c>
      <c r="H154" s="11">
        <v>0</v>
      </c>
      <c r="I154" s="11">
        <v>6249999</v>
      </c>
      <c r="J154" s="11">
        <v>4159829.72</v>
      </c>
      <c r="K154" s="11">
        <v>0</v>
      </c>
      <c r="L154" s="11">
        <v>146</v>
      </c>
      <c r="M154" s="11">
        <v>93</v>
      </c>
      <c r="N154" s="11">
        <v>1</v>
      </c>
      <c r="O154" s="11">
        <v>147</v>
      </c>
      <c r="P154" s="11">
        <v>54</v>
      </c>
      <c r="Q154" s="11">
        <v>4140677.72</v>
      </c>
      <c r="R154" s="11">
        <v>19152</v>
      </c>
      <c r="S154" s="11">
        <v>41</v>
      </c>
      <c r="T154" s="11">
        <v>1</v>
      </c>
      <c r="U154" s="11">
        <v>42</v>
      </c>
      <c r="V154" s="11">
        <v>0</v>
      </c>
      <c r="W154" s="11">
        <v>7</v>
      </c>
      <c r="X154" s="11">
        <v>11</v>
      </c>
      <c r="Y154" s="11">
        <v>74</v>
      </c>
      <c r="Z154" s="11">
        <v>1</v>
      </c>
      <c r="AA154" s="11">
        <v>22</v>
      </c>
      <c r="AB154" s="11">
        <v>0</v>
      </c>
      <c r="AC154" s="11">
        <v>0</v>
      </c>
      <c r="AD154" s="11">
        <v>0</v>
      </c>
      <c r="AE154" s="11">
        <v>0</v>
      </c>
      <c r="AF154" s="11">
        <v>317</v>
      </c>
      <c r="AG154" s="11">
        <v>350</v>
      </c>
      <c r="AH154" s="11">
        <v>73</v>
      </c>
      <c r="AI154" s="11">
        <v>56984</v>
      </c>
      <c r="AJ154" s="11">
        <v>5</v>
      </c>
      <c r="AK154" s="11">
        <v>51910</v>
      </c>
      <c r="AL154" s="11">
        <v>0</v>
      </c>
      <c r="AM154" s="11">
        <v>1.2500000000000001E-2</v>
      </c>
      <c r="AN154" s="11">
        <v>99044</v>
      </c>
      <c r="AO154" s="11">
        <v>0.67</v>
      </c>
      <c r="AP154" s="11">
        <v>0</v>
      </c>
      <c r="AQ154" s="11">
        <v>76</v>
      </c>
      <c r="AR154" s="11">
        <v>542</v>
      </c>
      <c r="AS154" s="11">
        <v>2819.04</v>
      </c>
      <c r="AT154" s="11">
        <v>1</v>
      </c>
      <c r="AU154" s="11">
        <v>30</v>
      </c>
      <c r="AV154" s="11">
        <v>42</v>
      </c>
      <c r="AW154" s="11">
        <v>54</v>
      </c>
      <c r="AX154" s="11">
        <v>51</v>
      </c>
      <c r="AY154" s="11" t="s">
        <v>684</v>
      </c>
    </row>
    <row r="155" spans="1:51">
      <c r="A155" s="11" t="s">
        <v>201</v>
      </c>
      <c r="B155" s="11" t="s">
        <v>431</v>
      </c>
      <c r="C155" s="11" t="s">
        <v>267</v>
      </c>
      <c r="D155" s="11" t="s">
        <v>431</v>
      </c>
      <c r="E155" s="11" t="s">
        <v>531</v>
      </c>
      <c r="F155" s="151">
        <v>45607</v>
      </c>
      <c r="G155" s="11" t="s">
        <v>121</v>
      </c>
      <c r="H155" s="11">
        <v>0</v>
      </c>
      <c r="I155" s="11">
        <v>5499999</v>
      </c>
      <c r="J155" s="11">
        <v>3452496.95</v>
      </c>
      <c r="K155" s="11">
        <v>0</v>
      </c>
      <c r="L155" s="11">
        <v>146</v>
      </c>
      <c r="M155" s="11">
        <v>109</v>
      </c>
      <c r="N155" s="11">
        <v>4</v>
      </c>
      <c r="O155" s="11">
        <v>150</v>
      </c>
      <c r="P155" s="11">
        <v>41</v>
      </c>
      <c r="Q155" s="11">
        <v>3386021.75</v>
      </c>
      <c r="R155" s="11">
        <v>66475.199999999997</v>
      </c>
      <c r="S155" s="11">
        <v>40</v>
      </c>
      <c r="T155" s="11">
        <v>4</v>
      </c>
      <c r="U155" s="11">
        <v>44</v>
      </c>
      <c r="V155" s="11">
        <v>0</v>
      </c>
      <c r="W155" s="11">
        <v>29</v>
      </c>
      <c r="X155" s="11">
        <v>34</v>
      </c>
      <c r="Y155" s="11">
        <v>134</v>
      </c>
      <c r="Z155" s="11">
        <v>2</v>
      </c>
      <c r="AA155" s="11">
        <v>35</v>
      </c>
      <c r="AB155" s="11">
        <v>0</v>
      </c>
      <c r="AC155" s="11">
        <v>0</v>
      </c>
      <c r="AD155" s="11">
        <v>0</v>
      </c>
      <c r="AE155" s="11">
        <v>0</v>
      </c>
      <c r="AF155" s="11">
        <v>348</v>
      </c>
      <c r="AG155" s="11">
        <v>417</v>
      </c>
      <c r="AH155" s="11">
        <v>71</v>
      </c>
      <c r="AI155" s="11">
        <v>48627</v>
      </c>
      <c r="AJ155" s="11">
        <v>6</v>
      </c>
      <c r="AK155" s="11">
        <v>33050</v>
      </c>
      <c r="AL155" s="11">
        <v>0</v>
      </c>
      <c r="AM155" s="11">
        <v>0</v>
      </c>
      <c r="AN155" s="11">
        <v>78466</v>
      </c>
      <c r="AO155" s="11">
        <v>0.63</v>
      </c>
      <c r="AP155" s="11">
        <v>0</v>
      </c>
      <c r="AQ155" s="11">
        <v>110</v>
      </c>
      <c r="AR155" s="11">
        <v>658</v>
      </c>
      <c r="AS155" s="11">
        <v>1857.83</v>
      </c>
      <c r="AT155" s="11">
        <v>4</v>
      </c>
      <c r="AU155" s="11">
        <v>17</v>
      </c>
      <c r="AV155" s="11">
        <v>44</v>
      </c>
      <c r="AW155" s="11">
        <v>66</v>
      </c>
      <c r="AX155" s="11">
        <v>40</v>
      </c>
      <c r="AY155" s="11" t="s">
        <v>684</v>
      </c>
    </row>
    <row r="156" spans="1:51">
      <c r="A156" s="11" t="s">
        <v>118</v>
      </c>
      <c r="B156" s="11" t="s">
        <v>362</v>
      </c>
      <c r="C156" s="11" t="s">
        <v>268</v>
      </c>
      <c r="D156" s="11" t="s">
        <v>623</v>
      </c>
      <c r="E156" s="11" t="s">
        <v>624</v>
      </c>
      <c r="F156" s="11" t="s">
        <v>763</v>
      </c>
      <c r="G156" s="11" t="s">
        <v>219</v>
      </c>
      <c r="H156" s="11">
        <v>0</v>
      </c>
      <c r="I156" s="11">
        <v>0</v>
      </c>
      <c r="J156" s="11">
        <v>0</v>
      </c>
      <c r="K156" s="11">
        <v>0</v>
      </c>
      <c r="L156" s="11">
        <v>92</v>
      </c>
      <c r="M156" s="11">
        <v>0</v>
      </c>
      <c r="N156" s="11">
        <v>1</v>
      </c>
      <c r="O156" s="11">
        <v>93</v>
      </c>
      <c r="P156" s="11">
        <v>93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118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46670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93</v>
      </c>
      <c r="AY156" s="11" t="s">
        <v>690</v>
      </c>
    </row>
    <row r="157" spans="1:51">
      <c r="A157" s="11" t="s">
        <v>118</v>
      </c>
      <c r="B157" s="11" t="s">
        <v>649</v>
      </c>
      <c r="C157" s="11" t="s">
        <v>269</v>
      </c>
      <c r="D157" s="11" t="s">
        <v>486</v>
      </c>
      <c r="E157" s="11" t="s">
        <v>519</v>
      </c>
      <c r="F157" s="151">
        <v>45577</v>
      </c>
      <c r="H157" s="11">
        <v>0</v>
      </c>
      <c r="I157" s="11">
        <v>6375000</v>
      </c>
      <c r="J157" s="11">
        <v>6670485.7400000002</v>
      </c>
      <c r="K157" s="11">
        <v>0</v>
      </c>
      <c r="L157" s="11">
        <v>190</v>
      </c>
      <c r="M157" s="11">
        <v>116</v>
      </c>
      <c r="N157" s="11">
        <v>14</v>
      </c>
      <c r="O157" s="11">
        <v>204</v>
      </c>
      <c r="P157" s="11">
        <v>88</v>
      </c>
      <c r="Q157" s="11">
        <v>5241639.6900000004</v>
      </c>
      <c r="R157" s="11">
        <v>1428846.05</v>
      </c>
      <c r="S157" s="11">
        <v>70</v>
      </c>
      <c r="T157" s="11">
        <v>14</v>
      </c>
      <c r="U157" s="11">
        <v>84</v>
      </c>
      <c r="V157" s="11">
        <v>0</v>
      </c>
      <c r="W157" s="11">
        <v>96</v>
      </c>
      <c r="X157" s="11">
        <v>127</v>
      </c>
      <c r="Y157" s="11">
        <v>318</v>
      </c>
      <c r="Z157" s="11">
        <v>2</v>
      </c>
      <c r="AA157" s="11">
        <v>23</v>
      </c>
      <c r="AB157" s="11">
        <v>0</v>
      </c>
      <c r="AC157" s="11">
        <v>0</v>
      </c>
      <c r="AD157" s="11">
        <v>3</v>
      </c>
      <c r="AE157" s="11">
        <v>8</v>
      </c>
      <c r="AF157" s="11">
        <v>333</v>
      </c>
      <c r="AG157" s="11">
        <v>491</v>
      </c>
      <c r="AH157" s="11">
        <v>65</v>
      </c>
      <c r="AI157" s="11">
        <v>102623</v>
      </c>
      <c r="AJ157" s="11">
        <v>8</v>
      </c>
      <c r="AK157" s="11">
        <v>51900</v>
      </c>
      <c r="AL157" s="11">
        <v>0</v>
      </c>
      <c r="AM157" s="11">
        <v>7.7999999999999996E-3</v>
      </c>
      <c r="AN157" s="11">
        <v>79411</v>
      </c>
      <c r="AO157" s="11">
        <v>1.05</v>
      </c>
      <c r="AP157" s="11">
        <v>0</v>
      </c>
      <c r="AQ157" s="11">
        <v>139</v>
      </c>
      <c r="AR157" s="11">
        <v>758</v>
      </c>
      <c r="AS157" s="11">
        <v>3241.88</v>
      </c>
      <c r="AT157" s="11">
        <v>14</v>
      </c>
      <c r="AU157" s="11">
        <v>28</v>
      </c>
      <c r="AV157" s="11">
        <v>84</v>
      </c>
      <c r="AW157" s="11">
        <v>52</v>
      </c>
      <c r="AX157" s="11">
        <v>68</v>
      </c>
      <c r="AY157" s="11" t="s">
        <v>684</v>
      </c>
    </row>
    <row r="158" spans="1:51">
      <c r="A158" s="11" t="s">
        <v>118</v>
      </c>
      <c r="B158" s="11" t="s">
        <v>436</v>
      </c>
      <c r="C158" s="11" t="s">
        <v>270</v>
      </c>
      <c r="D158" s="11" t="s">
        <v>499</v>
      </c>
      <c r="E158" s="11" t="s">
        <v>449</v>
      </c>
      <c r="F158" s="150">
        <v>45547</v>
      </c>
      <c r="H158" s="11">
        <v>0</v>
      </c>
      <c r="I158" s="11">
        <v>3750000</v>
      </c>
      <c r="J158" s="11">
        <v>3069342.3</v>
      </c>
      <c r="K158" s="11">
        <v>0</v>
      </c>
      <c r="L158" s="11">
        <v>138</v>
      </c>
      <c r="M158" s="11">
        <v>112</v>
      </c>
      <c r="N158" s="11">
        <v>15</v>
      </c>
      <c r="O158" s="11">
        <v>153</v>
      </c>
      <c r="P158" s="11">
        <v>41</v>
      </c>
      <c r="Q158" s="11">
        <v>2736113.95</v>
      </c>
      <c r="R158" s="11">
        <v>333228.34999999998</v>
      </c>
      <c r="S158" s="11">
        <v>71</v>
      </c>
      <c r="T158" s="11">
        <v>15</v>
      </c>
      <c r="U158" s="11">
        <v>86</v>
      </c>
      <c r="V158" s="11">
        <v>0</v>
      </c>
      <c r="W158" s="11">
        <v>36</v>
      </c>
      <c r="X158" s="11">
        <v>64</v>
      </c>
      <c r="Y158" s="11">
        <v>74</v>
      </c>
      <c r="Z158" s="11">
        <v>5</v>
      </c>
      <c r="AA158" s="11">
        <v>77</v>
      </c>
      <c r="AB158" s="11">
        <v>1</v>
      </c>
      <c r="AC158" s="11">
        <v>3</v>
      </c>
      <c r="AD158" s="11">
        <v>1</v>
      </c>
      <c r="AE158" s="11">
        <v>1</v>
      </c>
      <c r="AF158" s="11">
        <v>509</v>
      </c>
      <c r="AG158" s="11">
        <v>654</v>
      </c>
      <c r="AH158" s="11">
        <v>71</v>
      </c>
      <c r="AI158" s="11">
        <v>43230</v>
      </c>
      <c r="AJ158" s="11">
        <v>9</v>
      </c>
      <c r="AK158" s="11">
        <v>36190</v>
      </c>
      <c r="AL158" s="11">
        <v>0</v>
      </c>
      <c r="AM158" s="11">
        <v>1.18E-2</v>
      </c>
      <c r="AN158" s="11">
        <v>35690</v>
      </c>
      <c r="AO158" s="11">
        <v>0.82</v>
      </c>
      <c r="AP158" s="11">
        <v>0</v>
      </c>
      <c r="AQ158" s="11">
        <v>231</v>
      </c>
      <c r="AR158" s="11">
        <v>820</v>
      </c>
      <c r="AS158" s="11">
        <v>4805.3500000000004</v>
      </c>
      <c r="AT158" s="11">
        <v>15</v>
      </c>
      <c r="AU158" s="11">
        <v>43</v>
      </c>
      <c r="AV158" s="11">
        <v>86</v>
      </c>
      <c r="AW158" s="11">
        <v>36</v>
      </c>
      <c r="AX158" s="11">
        <v>31</v>
      </c>
      <c r="AY158" s="11" t="s">
        <v>684</v>
      </c>
    </row>
    <row r="159" spans="1:51">
      <c r="A159" s="11" t="s">
        <v>201</v>
      </c>
      <c r="B159" s="11" t="s">
        <v>431</v>
      </c>
      <c r="C159" s="11" t="s">
        <v>271</v>
      </c>
      <c r="D159" s="11" t="s">
        <v>431</v>
      </c>
      <c r="E159" s="11" t="s">
        <v>433</v>
      </c>
      <c r="F159" s="11" t="s">
        <v>764</v>
      </c>
      <c r="G159" s="11" t="s">
        <v>104</v>
      </c>
      <c r="H159" s="11">
        <v>0</v>
      </c>
      <c r="I159" s="11">
        <v>0</v>
      </c>
      <c r="J159" s="11">
        <v>0</v>
      </c>
      <c r="K159" s="11">
        <v>0</v>
      </c>
      <c r="L159" s="11">
        <v>58</v>
      </c>
      <c r="M159" s="11">
        <v>0</v>
      </c>
      <c r="N159" s="11">
        <v>0</v>
      </c>
      <c r="O159" s="11">
        <v>58</v>
      </c>
      <c r="P159" s="11">
        <v>58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123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35140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58</v>
      </c>
      <c r="AY159" s="11" t="s">
        <v>710</v>
      </c>
    </row>
    <row r="160" spans="1:51">
      <c r="A160" s="11" t="s">
        <v>118</v>
      </c>
      <c r="B160" s="11" t="s">
        <v>362</v>
      </c>
      <c r="C160" s="11" t="s">
        <v>272</v>
      </c>
      <c r="D160" s="11" t="s">
        <v>419</v>
      </c>
      <c r="E160" s="11" t="s">
        <v>627</v>
      </c>
      <c r="F160" s="151">
        <v>45608</v>
      </c>
      <c r="G160" s="11" t="s">
        <v>67</v>
      </c>
      <c r="H160" s="11">
        <v>0</v>
      </c>
      <c r="I160" s="11">
        <v>12750000</v>
      </c>
      <c r="J160" s="11">
        <v>12856834.75</v>
      </c>
      <c r="K160" s="11">
        <v>0</v>
      </c>
      <c r="L160" s="11">
        <v>92</v>
      </c>
      <c r="M160" s="11">
        <v>81</v>
      </c>
      <c r="N160" s="11">
        <v>0</v>
      </c>
      <c r="O160" s="11">
        <v>92</v>
      </c>
      <c r="P160" s="11">
        <v>11</v>
      </c>
      <c r="Q160" s="11">
        <v>12856834.75</v>
      </c>
      <c r="R160" s="11">
        <v>0</v>
      </c>
      <c r="S160" s="11">
        <v>48</v>
      </c>
      <c r="T160" s="11">
        <v>0</v>
      </c>
      <c r="U160" s="11">
        <v>48</v>
      </c>
      <c r="V160" s="11">
        <v>0</v>
      </c>
      <c r="W160" s="11">
        <v>1</v>
      </c>
      <c r="X160" s="11">
        <v>1</v>
      </c>
      <c r="Y160" s="11">
        <v>35</v>
      </c>
      <c r="Z160" s="11">
        <v>2</v>
      </c>
      <c r="AA160" s="11">
        <v>10</v>
      </c>
      <c r="AB160" s="11">
        <v>0</v>
      </c>
      <c r="AC160" s="11">
        <v>0</v>
      </c>
      <c r="AD160" s="11">
        <v>0</v>
      </c>
      <c r="AE160" s="11">
        <v>0</v>
      </c>
      <c r="AF160" s="11">
        <v>371</v>
      </c>
      <c r="AG160" s="11">
        <v>382</v>
      </c>
      <c r="AH160" s="11">
        <v>71</v>
      </c>
      <c r="AI160" s="11">
        <v>181082</v>
      </c>
      <c r="AJ160" s="11">
        <v>5</v>
      </c>
      <c r="AK160" s="11">
        <v>34090</v>
      </c>
      <c r="AL160" s="11">
        <v>0</v>
      </c>
      <c r="AM160" s="11">
        <v>2.7000000000000001E-3</v>
      </c>
      <c r="AN160" s="11">
        <v>267851</v>
      </c>
      <c r="AO160" s="11">
        <v>1.01</v>
      </c>
      <c r="AP160" s="11">
        <v>0</v>
      </c>
      <c r="AQ160" s="11">
        <v>117</v>
      </c>
      <c r="AR160" s="11">
        <v>734</v>
      </c>
      <c r="AS160" s="11">
        <v>3765.71</v>
      </c>
      <c r="AT160" s="11">
        <v>0</v>
      </c>
      <c r="AU160" s="11">
        <v>46</v>
      </c>
      <c r="AV160" s="11">
        <v>48</v>
      </c>
      <c r="AW160" s="11">
        <v>33</v>
      </c>
      <c r="AX160" s="11">
        <v>11</v>
      </c>
      <c r="AY160" s="11" t="s">
        <v>684</v>
      </c>
    </row>
    <row r="161" spans="1:51">
      <c r="A161" s="11" t="s">
        <v>118</v>
      </c>
      <c r="B161" s="11" t="s">
        <v>468</v>
      </c>
      <c r="C161" s="11" t="s">
        <v>273</v>
      </c>
      <c r="D161" s="11" t="s">
        <v>509</v>
      </c>
      <c r="E161" s="11" t="s">
        <v>555</v>
      </c>
      <c r="F161" s="11" t="s">
        <v>764</v>
      </c>
      <c r="G161" s="11" t="s">
        <v>213</v>
      </c>
      <c r="H161" s="11">
        <v>0</v>
      </c>
      <c r="I161" s="11">
        <v>6000000</v>
      </c>
      <c r="J161" s="11">
        <v>6420708.0499999998</v>
      </c>
      <c r="K161" s="11">
        <v>0</v>
      </c>
      <c r="L161" s="11">
        <v>100</v>
      </c>
      <c r="M161" s="11">
        <v>64</v>
      </c>
      <c r="N161" s="11">
        <v>6</v>
      </c>
      <c r="O161" s="11">
        <v>106</v>
      </c>
      <c r="P161" s="11">
        <v>42</v>
      </c>
      <c r="Q161" s="11">
        <v>5961364.7400000002</v>
      </c>
      <c r="R161" s="11">
        <v>459343.31</v>
      </c>
      <c r="S161" s="11">
        <v>30</v>
      </c>
      <c r="T161" s="11">
        <v>6</v>
      </c>
      <c r="U161" s="11">
        <v>36</v>
      </c>
      <c r="V161" s="11">
        <v>0</v>
      </c>
      <c r="W161" s="11">
        <v>43</v>
      </c>
      <c r="X161" s="11">
        <v>66</v>
      </c>
      <c r="Y161" s="11">
        <v>196</v>
      </c>
      <c r="Z161" s="11">
        <v>1</v>
      </c>
      <c r="AA161" s="11">
        <v>21</v>
      </c>
      <c r="AB161" s="11">
        <v>0</v>
      </c>
      <c r="AC161" s="11">
        <v>0</v>
      </c>
      <c r="AD161" s="11">
        <v>0</v>
      </c>
      <c r="AE161" s="11">
        <v>0</v>
      </c>
      <c r="AF161" s="11">
        <v>224</v>
      </c>
      <c r="AG161" s="11">
        <v>311</v>
      </c>
      <c r="AH161" s="11">
        <v>70</v>
      </c>
      <c r="AI161" s="11">
        <v>91724</v>
      </c>
      <c r="AJ161" s="11">
        <v>4</v>
      </c>
      <c r="AK161" s="11">
        <v>33570</v>
      </c>
      <c r="AL161" s="11">
        <v>0</v>
      </c>
      <c r="AM161" s="11">
        <v>5.1999999999999998E-3</v>
      </c>
      <c r="AN161" s="11">
        <v>178353</v>
      </c>
      <c r="AO161" s="11">
        <v>1.07</v>
      </c>
      <c r="AP161" s="11">
        <v>0</v>
      </c>
      <c r="AQ161" s="11">
        <v>77</v>
      </c>
      <c r="AR161" s="11">
        <v>641</v>
      </c>
      <c r="AS161" s="11">
        <v>2187.25</v>
      </c>
      <c r="AT161" s="11">
        <v>6</v>
      </c>
      <c r="AU161" s="11">
        <v>34</v>
      </c>
      <c r="AV161" s="11">
        <v>36</v>
      </c>
      <c r="AW161" s="11">
        <v>33</v>
      </c>
      <c r="AX161" s="11">
        <v>37</v>
      </c>
      <c r="AY161" s="11" t="s">
        <v>684</v>
      </c>
    </row>
    <row r="162" spans="1:51">
      <c r="A162" s="11" t="s">
        <v>118</v>
      </c>
      <c r="B162" s="11" t="s">
        <v>372</v>
      </c>
      <c r="C162" s="11" t="s">
        <v>274</v>
      </c>
      <c r="D162" s="11" t="s">
        <v>447</v>
      </c>
      <c r="E162" s="11" t="s">
        <v>629</v>
      </c>
      <c r="F162" s="11" t="s">
        <v>765</v>
      </c>
      <c r="G162" s="11" t="s">
        <v>93</v>
      </c>
      <c r="H162" s="11">
        <v>0</v>
      </c>
      <c r="I162" s="11">
        <v>6000000</v>
      </c>
      <c r="J162" s="11">
        <v>6206049.5</v>
      </c>
      <c r="K162" s="11">
        <v>0</v>
      </c>
      <c r="L162" s="11">
        <v>25</v>
      </c>
      <c r="M162" s="11">
        <v>24</v>
      </c>
      <c r="N162" s="11">
        <v>1</v>
      </c>
      <c r="O162" s="11">
        <v>26</v>
      </c>
      <c r="P162" s="11">
        <v>2</v>
      </c>
      <c r="Q162" s="11">
        <v>5804102.9299999997</v>
      </c>
      <c r="R162" s="11">
        <v>401946.57</v>
      </c>
      <c r="S162" s="11">
        <v>18</v>
      </c>
      <c r="T162" s="11">
        <v>1</v>
      </c>
      <c r="U162" s="11">
        <v>19</v>
      </c>
      <c r="V162" s="11">
        <v>0</v>
      </c>
      <c r="W162" s="11">
        <v>9</v>
      </c>
      <c r="X162" s="11">
        <v>12</v>
      </c>
      <c r="Y162" s="11">
        <v>107</v>
      </c>
      <c r="Z162" s="11">
        <v>1</v>
      </c>
      <c r="AA162" s="11">
        <v>9</v>
      </c>
      <c r="AB162" s="11">
        <v>0</v>
      </c>
      <c r="AC162" s="11">
        <v>0</v>
      </c>
      <c r="AD162" s="11">
        <v>0</v>
      </c>
      <c r="AE162" s="11">
        <v>0</v>
      </c>
      <c r="AF162" s="11">
        <v>181</v>
      </c>
      <c r="AG162" s="11">
        <v>202</v>
      </c>
      <c r="AH162" s="11">
        <v>61</v>
      </c>
      <c r="AI162" s="11">
        <v>101739</v>
      </c>
      <c r="AJ162" s="11">
        <v>3</v>
      </c>
      <c r="AK162" s="11">
        <v>28850</v>
      </c>
      <c r="AL162" s="11">
        <v>0</v>
      </c>
      <c r="AM162" s="11">
        <v>4.5999999999999999E-3</v>
      </c>
      <c r="AN162" s="11">
        <v>326634</v>
      </c>
      <c r="AO162" s="11">
        <v>1.03</v>
      </c>
      <c r="AP162" s="11">
        <v>0</v>
      </c>
      <c r="AQ162" s="11">
        <v>65</v>
      </c>
      <c r="AR162" s="11">
        <v>667</v>
      </c>
      <c r="AS162" s="11">
        <v>1963.27</v>
      </c>
      <c r="AT162" s="11">
        <v>1</v>
      </c>
      <c r="AU162" s="11">
        <v>82</v>
      </c>
      <c r="AV162" s="11">
        <v>19</v>
      </c>
      <c r="AW162" s="11">
        <v>5</v>
      </c>
      <c r="AX162" s="11">
        <v>2</v>
      </c>
      <c r="AY162" s="11" t="s">
        <v>684</v>
      </c>
    </row>
    <row r="163" spans="1:51">
      <c r="A163" s="11" t="s">
        <v>118</v>
      </c>
      <c r="B163" s="11" t="s">
        <v>436</v>
      </c>
      <c r="C163" s="11" t="s">
        <v>275</v>
      </c>
      <c r="D163" s="11" t="s">
        <v>499</v>
      </c>
      <c r="E163" s="11" t="s">
        <v>630</v>
      </c>
      <c r="F163" s="11" t="s">
        <v>766</v>
      </c>
      <c r="H163" s="11">
        <v>0</v>
      </c>
      <c r="I163" s="11">
        <v>0</v>
      </c>
      <c r="J163" s="11">
        <v>0</v>
      </c>
      <c r="K163" s="11">
        <v>0</v>
      </c>
      <c r="L163" s="11">
        <v>31</v>
      </c>
      <c r="M163" s="11">
        <v>0</v>
      </c>
      <c r="N163" s="11">
        <v>0</v>
      </c>
      <c r="O163" s="11">
        <v>31</v>
      </c>
      <c r="P163" s="11">
        <v>31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92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33570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31</v>
      </c>
      <c r="AY163" s="11" t="s">
        <v>767</v>
      </c>
    </row>
    <row r="164" spans="1:51">
      <c r="A164" s="11" t="s">
        <v>124</v>
      </c>
      <c r="B164" s="11" t="s">
        <v>443</v>
      </c>
      <c r="C164" s="11" t="s">
        <v>276</v>
      </c>
      <c r="D164" s="11" t="s">
        <v>517</v>
      </c>
      <c r="E164" s="11" t="s">
        <v>524</v>
      </c>
      <c r="F164" s="11" t="s">
        <v>768</v>
      </c>
      <c r="G164" s="11" t="s">
        <v>124</v>
      </c>
      <c r="H164" s="11">
        <v>0</v>
      </c>
      <c r="I164" s="11">
        <v>0</v>
      </c>
      <c r="J164" s="11">
        <v>0</v>
      </c>
      <c r="K164" s="11">
        <v>0</v>
      </c>
      <c r="L164" s="11">
        <v>80</v>
      </c>
      <c r="M164" s="11">
        <v>0</v>
      </c>
      <c r="N164" s="11">
        <v>1</v>
      </c>
      <c r="O164" s="11">
        <v>81</v>
      </c>
      <c r="P164" s="11">
        <v>81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73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25165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81</v>
      </c>
      <c r="AY164" s="11" t="s">
        <v>708</v>
      </c>
    </row>
    <row r="165" spans="1:51">
      <c r="A165" s="11" t="s">
        <v>120</v>
      </c>
      <c r="B165" s="11" t="s">
        <v>286</v>
      </c>
      <c r="C165" s="11" t="s">
        <v>256</v>
      </c>
      <c r="D165" s="11" t="s">
        <v>631</v>
      </c>
      <c r="E165" s="11" t="s">
        <v>259</v>
      </c>
      <c r="F165" s="150">
        <v>45658</v>
      </c>
      <c r="G165" s="11" t="s">
        <v>120</v>
      </c>
      <c r="H165" s="11">
        <v>0</v>
      </c>
      <c r="I165" s="11">
        <v>3600000</v>
      </c>
      <c r="J165" s="11">
        <v>2330752.39</v>
      </c>
      <c r="K165" s="11">
        <v>0</v>
      </c>
      <c r="L165" s="11">
        <v>72</v>
      </c>
      <c r="M165" s="11">
        <v>67</v>
      </c>
      <c r="N165" s="11">
        <v>15</v>
      </c>
      <c r="O165" s="11">
        <v>87</v>
      </c>
      <c r="P165" s="11">
        <v>20</v>
      </c>
      <c r="Q165" s="11">
        <v>1772325.11</v>
      </c>
      <c r="R165" s="11">
        <v>558427.28</v>
      </c>
      <c r="S165" s="11">
        <v>33</v>
      </c>
      <c r="T165" s="11">
        <v>15</v>
      </c>
      <c r="U165" s="11">
        <v>48</v>
      </c>
      <c r="V165" s="11">
        <v>0</v>
      </c>
      <c r="W165" s="11">
        <v>83</v>
      </c>
      <c r="X165" s="11">
        <v>100</v>
      </c>
      <c r="Y165" s="11">
        <v>185</v>
      </c>
      <c r="Z165" s="11">
        <v>7</v>
      </c>
      <c r="AA165" s="11">
        <v>41</v>
      </c>
      <c r="AB165" s="11">
        <v>1</v>
      </c>
      <c r="AC165" s="11">
        <v>2</v>
      </c>
      <c r="AD165" s="11">
        <v>36</v>
      </c>
      <c r="AE165" s="11">
        <v>68</v>
      </c>
      <c r="AF165" s="11">
        <v>204</v>
      </c>
      <c r="AG165" s="11">
        <v>415</v>
      </c>
      <c r="AH165" s="11">
        <v>72</v>
      </c>
      <c r="AI165" s="11">
        <v>32372</v>
      </c>
      <c r="AJ165" s="11">
        <v>6</v>
      </c>
      <c r="AK165" s="11">
        <v>31455</v>
      </c>
      <c r="AL165" s="11">
        <v>0</v>
      </c>
      <c r="AM165" s="11">
        <v>1.35E-2</v>
      </c>
      <c r="AN165" s="11">
        <v>48557</v>
      </c>
      <c r="AO165" s="11">
        <v>0.65</v>
      </c>
      <c r="AP165" s="11">
        <v>0</v>
      </c>
      <c r="AQ165" s="11">
        <v>82</v>
      </c>
      <c r="AR165" s="11">
        <v>680</v>
      </c>
      <c r="AS165" s="11">
        <v>3652.68</v>
      </c>
      <c r="AT165" s="11">
        <v>15</v>
      </c>
      <c r="AU165" s="11">
        <v>55</v>
      </c>
      <c r="AV165" s="11">
        <v>48</v>
      </c>
      <c r="AW165" s="11">
        <v>22</v>
      </c>
      <c r="AX165" s="11">
        <v>17</v>
      </c>
      <c r="AY165" s="11" t="s">
        <v>684</v>
      </c>
    </row>
    <row r="166" spans="1:51">
      <c r="A166" s="11" t="s">
        <v>201</v>
      </c>
      <c r="B166" s="11" t="s">
        <v>469</v>
      </c>
      <c r="C166" s="11" t="s">
        <v>277</v>
      </c>
      <c r="D166" s="11" t="s">
        <v>470</v>
      </c>
      <c r="E166" s="11" t="s">
        <v>491</v>
      </c>
      <c r="F166" s="150">
        <v>45658</v>
      </c>
      <c r="G166" s="11" t="s">
        <v>110</v>
      </c>
      <c r="H166" s="11">
        <v>0</v>
      </c>
      <c r="I166" s="11">
        <v>3500001</v>
      </c>
      <c r="J166" s="11">
        <v>2464008.96</v>
      </c>
      <c r="K166" s="11">
        <v>0</v>
      </c>
      <c r="L166" s="11">
        <v>56</v>
      </c>
      <c r="M166" s="11">
        <v>44</v>
      </c>
      <c r="N166" s="11">
        <v>2</v>
      </c>
      <c r="O166" s="11">
        <v>58</v>
      </c>
      <c r="P166" s="11">
        <v>14</v>
      </c>
      <c r="Q166" s="11">
        <v>2298960.25</v>
      </c>
      <c r="R166" s="11">
        <v>165048.71</v>
      </c>
      <c r="S166" s="11">
        <v>22</v>
      </c>
      <c r="T166" s="11">
        <v>2</v>
      </c>
      <c r="U166" s="11">
        <v>24</v>
      </c>
      <c r="V166" s="11">
        <v>0</v>
      </c>
      <c r="W166" s="11">
        <v>39</v>
      </c>
      <c r="X166" s="11">
        <v>57</v>
      </c>
      <c r="Y166" s="11">
        <v>272</v>
      </c>
      <c r="Z166" s="11">
        <v>1</v>
      </c>
      <c r="AA166" s="11">
        <v>6</v>
      </c>
      <c r="AB166" s="11">
        <v>0</v>
      </c>
      <c r="AC166" s="11">
        <v>0</v>
      </c>
      <c r="AD166" s="11">
        <v>0</v>
      </c>
      <c r="AE166" s="11">
        <v>0</v>
      </c>
      <c r="AF166" s="11">
        <v>228</v>
      </c>
      <c r="AG166" s="11">
        <v>291</v>
      </c>
      <c r="AH166" s="11">
        <v>68</v>
      </c>
      <c r="AI166" s="11">
        <v>36235</v>
      </c>
      <c r="AJ166" s="11">
        <v>4</v>
      </c>
      <c r="AK166" s="11">
        <v>36190</v>
      </c>
      <c r="AL166" s="11">
        <v>0</v>
      </c>
      <c r="AM166" s="11">
        <v>1.47E-2</v>
      </c>
      <c r="AN166" s="11">
        <v>102667</v>
      </c>
      <c r="AO166" s="11">
        <v>0.7</v>
      </c>
      <c r="AP166" s="11">
        <v>0</v>
      </c>
      <c r="AQ166" s="11">
        <v>54</v>
      </c>
      <c r="AR166" s="11">
        <v>485</v>
      </c>
      <c r="AS166" s="11">
        <v>2135.91</v>
      </c>
      <c r="AT166" s="11">
        <v>2</v>
      </c>
      <c r="AU166" s="11">
        <v>49</v>
      </c>
      <c r="AV166" s="11">
        <v>24</v>
      </c>
      <c r="AW166" s="11">
        <v>20</v>
      </c>
      <c r="AX166" s="11">
        <v>14</v>
      </c>
      <c r="AY166" s="11" t="s">
        <v>684</v>
      </c>
    </row>
    <row r="167" spans="1:51">
      <c r="A167" s="11" t="s">
        <v>118</v>
      </c>
      <c r="B167" s="11" t="s">
        <v>436</v>
      </c>
      <c r="C167" s="11" t="s">
        <v>278</v>
      </c>
      <c r="D167" s="11" t="s">
        <v>499</v>
      </c>
      <c r="E167" s="11" t="s">
        <v>632</v>
      </c>
      <c r="F167" s="150">
        <v>45717</v>
      </c>
      <c r="G167" s="11" t="s">
        <v>111</v>
      </c>
      <c r="H167" s="11">
        <v>0</v>
      </c>
      <c r="I167" s="11">
        <v>0</v>
      </c>
      <c r="J167" s="11">
        <v>0</v>
      </c>
      <c r="K167" s="11">
        <v>0</v>
      </c>
      <c r="L167" s="11">
        <v>73</v>
      </c>
      <c r="M167" s="11">
        <v>0</v>
      </c>
      <c r="N167" s="11">
        <v>1</v>
      </c>
      <c r="O167" s="11">
        <v>74</v>
      </c>
      <c r="P167" s="11">
        <v>74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93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33885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74</v>
      </c>
      <c r="AY167" s="150">
        <v>45967</v>
      </c>
    </row>
    <row r="168" spans="1:51">
      <c r="A168" s="11" t="s">
        <v>177</v>
      </c>
      <c r="B168" s="11" t="s">
        <v>458</v>
      </c>
      <c r="C168" s="11" t="s">
        <v>279</v>
      </c>
      <c r="D168" s="11" t="s">
        <v>581</v>
      </c>
      <c r="E168" s="11" t="s">
        <v>633</v>
      </c>
      <c r="F168" s="150">
        <v>45809</v>
      </c>
      <c r="G168" s="11" t="s">
        <v>177</v>
      </c>
      <c r="H168" s="11">
        <v>0</v>
      </c>
      <c r="I168" s="11">
        <v>0</v>
      </c>
      <c r="J168" s="11">
        <v>0</v>
      </c>
      <c r="K168" s="11">
        <v>0</v>
      </c>
      <c r="L168" s="11">
        <v>43</v>
      </c>
      <c r="M168" s="11">
        <v>29</v>
      </c>
      <c r="N168" s="11">
        <v>0</v>
      </c>
      <c r="O168" s="11">
        <v>43</v>
      </c>
      <c r="P168" s="11">
        <v>14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51</v>
      </c>
      <c r="X168" s="11">
        <v>58</v>
      </c>
      <c r="Y168" s="11">
        <v>100</v>
      </c>
      <c r="Z168" s="11">
        <v>3</v>
      </c>
      <c r="AA168" s="11">
        <v>49</v>
      </c>
      <c r="AB168" s="11">
        <v>0</v>
      </c>
      <c r="AC168" s="11">
        <v>0</v>
      </c>
      <c r="AD168" s="11">
        <v>55</v>
      </c>
      <c r="AE168" s="11">
        <v>116</v>
      </c>
      <c r="AF168" s="11">
        <v>61</v>
      </c>
      <c r="AG168" s="11">
        <v>284</v>
      </c>
      <c r="AH168" s="11">
        <v>71</v>
      </c>
      <c r="AI168" s="11">
        <v>0</v>
      </c>
      <c r="AJ168" s="11">
        <v>4</v>
      </c>
      <c r="AK168" s="11">
        <v>66667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737</v>
      </c>
      <c r="AS168" s="11">
        <v>2833.24</v>
      </c>
      <c r="AT168" s="11">
        <v>0</v>
      </c>
      <c r="AU168" s="11">
        <v>98</v>
      </c>
      <c r="AV168" s="11">
        <v>0</v>
      </c>
      <c r="AW168" s="11">
        <v>29</v>
      </c>
      <c r="AX168" s="11">
        <v>14</v>
      </c>
      <c r="AY168" s="11" t="s">
        <v>684</v>
      </c>
    </row>
    <row r="169" spans="1:51">
      <c r="A169" s="11" t="s">
        <v>177</v>
      </c>
      <c r="B169" s="11" t="s">
        <v>458</v>
      </c>
      <c r="C169" s="11" t="s">
        <v>280</v>
      </c>
      <c r="D169" s="11" t="s">
        <v>581</v>
      </c>
      <c r="E169" s="11" t="s">
        <v>634</v>
      </c>
      <c r="F169" s="150">
        <v>45809</v>
      </c>
      <c r="G169" s="11" t="s">
        <v>177</v>
      </c>
      <c r="H169" s="11">
        <v>0</v>
      </c>
      <c r="I169" s="11">
        <v>0</v>
      </c>
      <c r="J169" s="11">
        <v>281580.62</v>
      </c>
      <c r="K169" s="11">
        <v>0</v>
      </c>
      <c r="L169" s="11">
        <v>9</v>
      </c>
      <c r="M169" s="11">
        <v>5</v>
      </c>
      <c r="N169" s="11">
        <v>0</v>
      </c>
      <c r="O169" s="11">
        <v>9</v>
      </c>
      <c r="P169" s="11">
        <v>4</v>
      </c>
      <c r="Q169" s="11">
        <v>281580.62</v>
      </c>
      <c r="R169" s="11">
        <v>0</v>
      </c>
      <c r="S169" s="11">
        <v>2</v>
      </c>
      <c r="T169" s="11">
        <v>0</v>
      </c>
      <c r="U169" s="11">
        <v>2</v>
      </c>
      <c r="V169" s="11">
        <v>0</v>
      </c>
      <c r="W169" s="11">
        <v>17</v>
      </c>
      <c r="X169" s="11">
        <v>18</v>
      </c>
      <c r="Y169" s="11">
        <v>94</v>
      </c>
      <c r="Z169" s="11">
        <v>5</v>
      </c>
      <c r="AA169" s="11">
        <v>68</v>
      </c>
      <c r="AB169" s="11">
        <v>0</v>
      </c>
      <c r="AC169" s="11">
        <v>0</v>
      </c>
      <c r="AD169" s="11">
        <v>39</v>
      </c>
      <c r="AE169" s="11">
        <v>158</v>
      </c>
      <c r="AF169" s="11">
        <v>41</v>
      </c>
      <c r="AG169" s="11">
        <v>285</v>
      </c>
      <c r="AH169" s="11">
        <v>72</v>
      </c>
      <c r="AI169" s="11">
        <v>3911</v>
      </c>
      <c r="AJ169" s="11">
        <v>4</v>
      </c>
      <c r="AK169" s="11">
        <v>62500</v>
      </c>
      <c r="AL169" s="11">
        <v>0</v>
      </c>
      <c r="AM169" s="11">
        <v>0.222</v>
      </c>
      <c r="AN169" s="11">
        <v>140790</v>
      </c>
      <c r="AO169" s="11">
        <v>0</v>
      </c>
      <c r="AP169" s="11">
        <v>0</v>
      </c>
      <c r="AQ169" s="11">
        <v>8</v>
      </c>
      <c r="AR169" s="11">
        <v>689</v>
      </c>
      <c r="AS169" s="11">
        <v>2428.75</v>
      </c>
      <c r="AT169" s="11">
        <v>0</v>
      </c>
      <c r="AU169" s="11">
        <v>486</v>
      </c>
      <c r="AV169" s="11">
        <v>2</v>
      </c>
      <c r="AW169" s="11">
        <v>3</v>
      </c>
      <c r="AX169" s="11">
        <v>4</v>
      </c>
      <c r="AY169" s="11" t="s">
        <v>684</v>
      </c>
    </row>
    <row r="170" spans="1:51">
      <c r="A170" s="11" t="s">
        <v>118</v>
      </c>
      <c r="B170" s="11" t="s">
        <v>362</v>
      </c>
      <c r="C170" s="11" t="s">
        <v>281</v>
      </c>
      <c r="D170" s="11" t="s">
        <v>419</v>
      </c>
      <c r="E170" s="11" t="s">
        <v>635</v>
      </c>
      <c r="F170" s="11" t="s">
        <v>769</v>
      </c>
      <c r="G170" s="11" t="s">
        <v>219</v>
      </c>
      <c r="H170" s="11">
        <v>0</v>
      </c>
      <c r="I170" s="11">
        <v>4500000</v>
      </c>
      <c r="J170" s="11">
        <v>3756879.51</v>
      </c>
      <c r="K170" s="11">
        <v>0</v>
      </c>
      <c r="L170" s="11">
        <v>41</v>
      </c>
      <c r="M170" s="11">
        <v>35</v>
      </c>
      <c r="N170" s="11">
        <v>0</v>
      </c>
      <c r="O170" s="11">
        <v>41</v>
      </c>
      <c r="P170" s="11">
        <v>6</v>
      </c>
      <c r="Q170" s="11">
        <v>3756879.51</v>
      </c>
      <c r="R170" s="11">
        <v>0</v>
      </c>
      <c r="S170" s="11">
        <v>20</v>
      </c>
      <c r="T170" s="11">
        <v>0</v>
      </c>
      <c r="U170" s="11">
        <v>20</v>
      </c>
      <c r="V170" s="11">
        <v>0</v>
      </c>
      <c r="W170" s="11">
        <v>3</v>
      </c>
      <c r="X170" s="11">
        <v>3</v>
      </c>
      <c r="Y170" s="11">
        <v>142</v>
      </c>
      <c r="Z170" s="11">
        <v>1</v>
      </c>
      <c r="AA170" s="11">
        <v>51</v>
      </c>
      <c r="AB170" s="11">
        <v>0</v>
      </c>
      <c r="AC170" s="11">
        <v>0</v>
      </c>
      <c r="AD170" s="11">
        <v>0</v>
      </c>
      <c r="AE170" s="11">
        <v>0</v>
      </c>
      <c r="AF170" s="11">
        <v>154</v>
      </c>
      <c r="AG170" s="11">
        <v>208</v>
      </c>
      <c r="AH170" s="11">
        <v>69</v>
      </c>
      <c r="AI170" s="11">
        <v>54448</v>
      </c>
      <c r="AJ170" s="11">
        <v>3</v>
      </c>
      <c r="AK170" s="11">
        <v>29375</v>
      </c>
      <c r="AL170" s="11">
        <v>0</v>
      </c>
      <c r="AM170" s="11">
        <v>7.7999999999999996E-3</v>
      </c>
      <c r="AN170" s="11">
        <v>187844</v>
      </c>
      <c r="AO170" s="11">
        <v>0.83</v>
      </c>
      <c r="AP170" s="11">
        <v>0</v>
      </c>
      <c r="AQ170" s="11">
        <v>38</v>
      </c>
      <c r="AR170" s="11">
        <v>803</v>
      </c>
      <c r="AS170" s="11">
        <v>913.66</v>
      </c>
      <c r="AT170" s="11">
        <v>0</v>
      </c>
      <c r="AU170" s="11">
        <v>26</v>
      </c>
      <c r="AV170" s="11">
        <v>20</v>
      </c>
      <c r="AW170" s="11">
        <v>15</v>
      </c>
      <c r="AX170" s="11">
        <v>6</v>
      </c>
      <c r="AY170" s="11" t="s">
        <v>684</v>
      </c>
    </row>
    <row r="171" spans="1:51">
      <c r="A171" s="11" t="s">
        <v>108</v>
      </c>
      <c r="B171" s="11" t="s">
        <v>465</v>
      </c>
      <c r="C171" s="11" t="s">
        <v>282</v>
      </c>
      <c r="D171" s="11" t="s">
        <v>506</v>
      </c>
      <c r="E171" s="11" t="s">
        <v>475</v>
      </c>
      <c r="F171" s="150">
        <v>45810</v>
      </c>
      <c r="G171" s="11" t="s">
        <v>317</v>
      </c>
      <c r="H171" s="11">
        <v>0</v>
      </c>
      <c r="I171" s="11">
        <v>0</v>
      </c>
      <c r="J171" s="11">
        <v>0</v>
      </c>
      <c r="K171" s="11">
        <v>0</v>
      </c>
      <c r="L171" s="11">
        <v>72</v>
      </c>
      <c r="M171" s="11">
        <v>0</v>
      </c>
      <c r="N171" s="11">
        <v>0</v>
      </c>
      <c r="O171" s="11">
        <v>72</v>
      </c>
      <c r="P171" s="11">
        <v>72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15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23000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72</v>
      </c>
      <c r="AY171" s="11" t="s">
        <v>708</v>
      </c>
    </row>
    <row r="172" spans="1:51">
      <c r="A172" s="11" t="s">
        <v>108</v>
      </c>
      <c r="B172" s="11" t="s">
        <v>465</v>
      </c>
      <c r="C172" s="11" t="s">
        <v>283</v>
      </c>
      <c r="D172" s="11" t="s">
        <v>506</v>
      </c>
      <c r="E172" s="11" t="s">
        <v>475</v>
      </c>
      <c r="F172" s="150">
        <v>45719</v>
      </c>
      <c r="G172" s="11" t="s">
        <v>317</v>
      </c>
      <c r="H172" s="11">
        <v>0</v>
      </c>
      <c r="I172" s="11">
        <v>4500000</v>
      </c>
      <c r="J172" s="11">
        <v>4756378.79</v>
      </c>
      <c r="K172" s="11">
        <v>0</v>
      </c>
      <c r="L172" s="11">
        <v>115</v>
      </c>
      <c r="M172" s="11">
        <v>64</v>
      </c>
      <c r="N172" s="11">
        <v>2</v>
      </c>
      <c r="O172" s="11">
        <v>117</v>
      </c>
      <c r="P172" s="11">
        <v>53</v>
      </c>
      <c r="Q172" s="11">
        <v>4693057.1900000004</v>
      </c>
      <c r="R172" s="11">
        <v>63321.599999999999</v>
      </c>
      <c r="S172" s="11">
        <v>41</v>
      </c>
      <c r="T172" s="11">
        <v>2</v>
      </c>
      <c r="U172" s="11">
        <v>43</v>
      </c>
      <c r="V172" s="11">
        <v>0</v>
      </c>
      <c r="W172" s="11">
        <v>6</v>
      </c>
      <c r="X172" s="11">
        <v>11</v>
      </c>
      <c r="Y172" s="11">
        <v>3</v>
      </c>
      <c r="Z172" s="11">
        <v>1</v>
      </c>
      <c r="AA172" s="11">
        <v>13</v>
      </c>
      <c r="AB172" s="11">
        <v>0</v>
      </c>
      <c r="AC172" s="11">
        <v>0</v>
      </c>
      <c r="AD172" s="11">
        <v>0</v>
      </c>
      <c r="AE172" s="11">
        <v>0</v>
      </c>
      <c r="AF172" s="11">
        <v>516</v>
      </c>
      <c r="AG172" s="11">
        <v>540</v>
      </c>
      <c r="AH172" s="11">
        <v>72</v>
      </c>
      <c r="AI172" s="11">
        <v>66061</v>
      </c>
      <c r="AJ172" s="11">
        <v>8</v>
      </c>
      <c r="AK172" s="11">
        <v>23000</v>
      </c>
      <c r="AL172" s="11">
        <v>0</v>
      </c>
      <c r="AM172" s="11">
        <v>4.7999999999999996E-3</v>
      </c>
      <c r="AN172" s="11">
        <v>110613</v>
      </c>
      <c r="AO172" s="11">
        <v>1.06</v>
      </c>
      <c r="AP172" s="11">
        <v>0</v>
      </c>
      <c r="AQ172" s="11">
        <v>99</v>
      </c>
      <c r="AR172" s="11">
        <v>694</v>
      </c>
      <c r="AS172" s="11">
        <v>2623.96</v>
      </c>
      <c r="AT172" s="11">
        <v>2</v>
      </c>
      <c r="AU172" s="11">
        <v>41</v>
      </c>
      <c r="AV172" s="11">
        <v>43</v>
      </c>
      <c r="AW172" s="11">
        <v>21</v>
      </c>
      <c r="AX172" s="11">
        <v>53</v>
      </c>
      <c r="AY172" s="11" t="s">
        <v>684</v>
      </c>
    </row>
    <row r="173" spans="1:51">
      <c r="A173" s="11" t="s">
        <v>120</v>
      </c>
      <c r="B173" s="11" t="s">
        <v>206</v>
      </c>
      <c r="C173" s="11" t="s">
        <v>284</v>
      </c>
      <c r="D173" s="11" t="s">
        <v>206</v>
      </c>
      <c r="E173" s="11" t="s">
        <v>358</v>
      </c>
      <c r="F173" s="150">
        <v>45811</v>
      </c>
      <c r="G173" s="11" t="s">
        <v>120</v>
      </c>
      <c r="H173" s="11">
        <v>0</v>
      </c>
      <c r="I173" s="11">
        <v>3600000</v>
      </c>
      <c r="J173" s="11">
        <v>0</v>
      </c>
      <c r="K173" s="11">
        <v>0</v>
      </c>
      <c r="L173" s="11">
        <v>75</v>
      </c>
      <c r="M173" s="11">
        <v>0</v>
      </c>
      <c r="N173" s="11">
        <v>4</v>
      </c>
      <c r="O173" s="11">
        <v>79</v>
      </c>
      <c r="P173" s="11">
        <v>79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290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27260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79</v>
      </c>
      <c r="AY173" s="11" t="s">
        <v>720</v>
      </c>
    </row>
    <row r="174" spans="1:51">
      <c r="A174" s="11" t="s">
        <v>120</v>
      </c>
      <c r="B174" s="11" t="s">
        <v>356</v>
      </c>
      <c r="C174" s="11" t="s">
        <v>285</v>
      </c>
      <c r="D174" s="11" t="s">
        <v>770</v>
      </c>
      <c r="E174" s="11" t="s">
        <v>291</v>
      </c>
      <c r="F174" s="11" t="s">
        <v>771</v>
      </c>
      <c r="G174" s="11" t="s">
        <v>120</v>
      </c>
      <c r="H174" s="11">
        <v>150000</v>
      </c>
      <c r="I174" s="11">
        <v>3600000</v>
      </c>
      <c r="J174" s="11">
        <v>242897.21</v>
      </c>
      <c r="K174" s="11">
        <v>392275.05</v>
      </c>
      <c r="L174" s="11">
        <v>42</v>
      </c>
      <c r="M174" s="11">
        <v>29</v>
      </c>
      <c r="N174" s="11">
        <v>1</v>
      </c>
      <c r="O174" s="11">
        <v>43</v>
      </c>
      <c r="P174" s="11">
        <v>14</v>
      </c>
      <c r="Q174" s="11">
        <v>194333.94</v>
      </c>
      <c r="R174" s="11">
        <v>48563.27</v>
      </c>
      <c r="S174" s="11">
        <v>7</v>
      </c>
      <c r="T174" s="11">
        <v>1</v>
      </c>
      <c r="U174" s="11">
        <v>8</v>
      </c>
      <c r="V174" s="11">
        <v>2</v>
      </c>
      <c r="W174" s="11">
        <v>124</v>
      </c>
      <c r="X174" s="11">
        <v>219</v>
      </c>
      <c r="Y174" s="11">
        <v>198</v>
      </c>
      <c r="Z174" s="11">
        <v>1</v>
      </c>
      <c r="AA174" s="11">
        <v>1</v>
      </c>
      <c r="AB174" s="11">
        <v>4</v>
      </c>
      <c r="AC174" s="11">
        <v>15</v>
      </c>
      <c r="AD174" s="11">
        <v>1</v>
      </c>
      <c r="AE174" s="11">
        <v>2</v>
      </c>
      <c r="AF174" s="11">
        <v>152</v>
      </c>
      <c r="AG174" s="11">
        <v>389</v>
      </c>
      <c r="AH174" s="11">
        <v>65</v>
      </c>
      <c r="AI174" s="11">
        <v>3737</v>
      </c>
      <c r="AJ174" s="11">
        <v>6</v>
      </c>
      <c r="AK174" s="11">
        <v>27260</v>
      </c>
      <c r="AL174" s="11">
        <v>0</v>
      </c>
      <c r="AM174" s="11">
        <v>0.11219999999999999</v>
      </c>
      <c r="AN174" s="11">
        <v>30362</v>
      </c>
      <c r="AO174" s="11">
        <v>7.0000000000000007E-2</v>
      </c>
      <c r="AP174" s="11">
        <v>2.61</v>
      </c>
      <c r="AQ174" s="11">
        <v>14</v>
      </c>
      <c r="AR174" s="11">
        <v>563</v>
      </c>
      <c r="AS174" s="11">
        <v>1343.04</v>
      </c>
      <c r="AT174" s="11">
        <v>1</v>
      </c>
      <c r="AU174" s="11">
        <v>46</v>
      </c>
      <c r="AV174" s="11">
        <v>8</v>
      </c>
      <c r="AW174" s="11">
        <v>21</v>
      </c>
      <c r="AX174" s="11">
        <v>14</v>
      </c>
      <c r="AY174" s="11" t="s">
        <v>684</v>
      </c>
    </row>
    <row r="175" spans="1:51">
      <c r="A175" s="11" t="s">
        <v>154</v>
      </c>
      <c r="B175" s="11" t="s">
        <v>367</v>
      </c>
      <c r="C175" s="11" t="s">
        <v>287</v>
      </c>
      <c r="D175" s="11" t="s">
        <v>638</v>
      </c>
      <c r="E175" s="11" t="s">
        <v>371</v>
      </c>
      <c r="F175" s="11" t="s">
        <v>772</v>
      </c>
      <c r="G175" s="11" t="s">
        <v>196</v>
      </c>
      <c r="H175" s="11">
        <v>0</v>
      </c>
      <c r="I175" s="11">
        <v>4500000</v>
      </c>
      <c r="J175" s="11">
        <v>1441396.38</v>
      </c>
      <c r="K175" s="11">
        <v>0</v>
      </c>
      <c r="L175" s="11">
        <v>91</v>
      </c>
      <c r="M175" s="11">
        <v>73</v>
      </c>
      <c r="N175" s="11">
        <v>1</v>
      </c>
      <c r="O175" s="11">
        <v>92</v>
      </c>
      <c r="P175" s="11">
        <v>19</v>
      </c>
      <c r="Q175" s="11">
        <v>1413382.38</v>
      </c>
      <c r="R175" s="11">
        <v>28014</v>
      </c>
      <c r="S175" s="11">
        <v>28</v>
      </c>
      <c r="T175" s="11">
        <v>1</v>
      </c>
      <c r="U175" s="11">
        <v>29</v>
      </c>
      <c r="V175" s="11">
        <v>0</v>
      </c>
      <c r="W175" s="11">
        <v>60</v>
      </c>
      <c r="X175" s="11">
        <v>73</v>
      </c>
      <c r="Y175" s="11">
        <v>167</v>
      </c>
      <c r="Z175" s="11">
        <v>6</v>
      </c>
      <c r="AA175" s="11">
        <v>42</v>
      </c>
      <c r="AB175" s="11">
        <v>1</v>
      </c>
      <c r="AC175" s="11">
        <v>1</v>
      </c>
      <c r="AD175" s="11">
        <v>17</v>
      </c>
      <c r="AE175" s="11">
        <v>49</v>
      </c>
      <c r="AF175" s="11">
        <v>305</v>
      </c>
      <c r="AG175" s="11">
        <v>470</v>
      </c>
      <c r="AH175" s="11">
        <v>72</v>
      </c>
      <c r="AI175" s="11">
        <v>20019</v>
      </c>
      <c r="AJ175" s="11">
        <v>7</v>
      </c>
      <c r="AK175" s="11">
        <v>33550</v>
      </c>
      <c r="AL175" s="11">
        <v>0</v>
      </c>
      <c r="AM175" s="11">
        <v>2.3300000000000001E-2</v>
      </c>
      <c r="AN175" s="11">
        <v>49703</v>
      </c>
      <c r="AO175" s="11">
        <v>0.32</v>
      </c>
      <c r="AP175" s="11">
        <v>0</v>
      </c>
      <c r="AQ175" s="11">
        <v>44</v>
      </c>
      <c r="AR175" s="11">
        <v>673</v>
      </c>
      <c r="AS175" s="11">
        <v>5073.6899999999996</v>
      </c>
      <c r="AT175" s="11">
        <v>1</v>
      </c>
      <c r="AU175" s="11">
        <v>70</v>
      </c>
      <c r="AV175" s="11">
        <v>29</v>
      </c>
      <c r="AW175" s="11">
        <v>46</v>
      </c>
      <c r="AX175" s="11">
        <v>17</v>
      </c>
      <c r="AY175" s="11" t="s">
        <v>684</v>
      </c>
    </row>
    <row r="176" spans="1:51">
      <c r="A176" s="11" t="s">
        <v>154</v>
      </c>
      <c r="B176" s="11" t="s">
        <v>367</v>
      </c>
      <c r="C176" s="11" t="s">
        <v>288</v>
      </c>
      <c r="D176" s="11" t="s">
        <v>577</v>
      </c>
      <c r="E176" s="11" t="s">
        <v>637</v>
      </c>
      <c r="F176" s="11" t="s">
        <v>718</v>
      </c>
      <c r="G176" s="11" t="s">
        <v>196</v>
      </c>
      <c r="H176" s="11">
        <v>0</v>
      </c>
      <c r="I176" s="11">
        <v>0</v>
      </c>
      <c r="J176" s="11">
        <v>0</v>
      </c>
      <c r="K176" s="11">
        <v>0</v>
      </c>
      <c r="L176" s="11">
        <v>75</v>
      </c>
      <c r="M176" s="11">
        <v>0</v>
      </c>
      <c r="N176" s="11">
        <v>0</v>
      </c>
      <c r="O176" s="11">
        <v>75</v>
      </c>
      <c r="P176" s="11">
        <v>75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201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25165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75</v>
      </c>
      <c r="AY176" s="150">
        <v>45879</v>
      </c>
    </row>
    <row r="177" spans="1:51">
      <c r="A177" s="11" t="s">
        <v>154</v>
      </c>
      <c r="B177" s="11" t="s">
        <v>367</v>
      </c>
      <c r="C177" s="11" t="s">
        <v>289</v>
      </c>
      <c r="D177" s="11" t="s">
        <v>577</v>
      </c>
      <c r="E177" s="11" t="s">
        <v>578</v>
      </c>
      <c r="F177" s="11" t="s">
        <v>771</v>
      </c>
      <c r="G177" s="11" t="s">
        <v>196</v>
      </c>
      <c r="H177" s="11">
        <v>0</v>
      </c>
      <c r="I177" s="11">
        <v>0</v>
      </c>
      <c r="J177" s="11">
        <v>0</v>
      </c>
      <c r="K177" s="11">
        <v>0</v>
      </c>
      <c r="L177" s="11">
        <v>42</v>
      </c>
      <c r="M177" s="11">
        <v>0</v>
      </c>
      <c r="N177" s="11">
        <v>3</v>
      </c>
      <c r="O177" s="11">
        <v>45</v>
      </c>
      <c r="P177" s="11">
        <v>45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120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37740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45</v>
      </c>
      <c r="AY177" s="11" t="s">
        <v>773</v>
      </c>
    </row>
    <row r="178" spans="1:51">
      <c r="A178" s="11" t="s">
        <v>108</v>
      </c>
      <c r="B178" s="11" t="s">
        <v>465</v>
      </c>
      <c r="C178" s="11" t="s">
        <v>290</v>
      </c>
      <c r="D178" s="11" t="s">
        <v>506</v>
      </c>
      <c r="E178" s="11" t="s">
        <v>639</v>
      </c>
      <c r="F178" s="150">
        <v>45751</v>
      </c>
      <c r="G178" s="11" t="s">
        <v>108</v>
      </c>
      <c r="H178" s="11">
        <v>0</v>
      </c>
      <c r="I178" s="11">
        <v>0</v>
      </c>
      <c r="J178" s="11">
        <v>0</v>
      </c>
      <c r="K178" s="11">
        <v>0</v>
      </c>
      <c r="L178" s="11">
        <v>230</v>
      </c>
      <c r="M178" s="11">
        <v>0</v>
      </c>
      <c r="N178" s="11">
        <v>0</v>
      </c>
      <c r="O178" s="11">
        <v>230</v>
      </c>
      <c r="P178" s="11">
        <v>230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72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37760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230</v>
      </c>
      <c r="AY178" s="150">
        <v>45999</v>
      </c>
    </row>
    <row r="179" spans="1:51">
      <c r="A179" s="11" t="s">
        <v>154</v>
      </c>
      <c r="B179" s="11" t="s">
        <v>367</v>
      </c>
      <c r="C179" s="11" t="s">
        <v>292</v>
      </c>
      <c r="D179" s="11" t="s">
        <v>577</v>
      </c>
      <c r="E179" s="11" t="s">
        <v>377</v>
      </c>
      <c r="F179" s="11" t="s">
        <v>774</v>
      </c>
      <c r="G179" s="11" t="s">
        <v>196</v>
      </c>
      <c r="H179" s="11">
        <v>0</v>
      </c>
      <c r="I179" s="11">
        <v>0</v>
      </c>
      <c r="J179" s="11">
        <v>0</v>
      </c>
      <c r="K179" s="11">
        <v>0</v>
      </c>
      <c r="L179" s="11">
        <v>8</v>
      </c>
      <c r="M179" s="11">
        <v>0</v>
      </c>
      <c r="N179" s="11">
        <v>2</v>
      </c>
      <c r="O179" s="11">
        <v>10</v>
      </c>
      <c r="P179" s="11">
        <v>10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65000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10</v>
      </c>
      <c r="AY179" s="11" t="s">
        <v>775</v>
      </c>
    </row>
    <row r="180" spans="1:51">
      <c r="A180" s="11" t="s">
        <v>177</v>
      </c>
      <c r="B180" s="11" t="s">
        <v>458</v>
      </c>
      <c r="C180" s="11" t="s">
        <v>293</v>
      </c>
      <c r="D180" s="11" t="s">
        <v>581</v>
      </c>
      <c r="E180" s="11" t="s">
        <v>582</v>
      </c>
      <c r="F180" s="11" t="s">
        <v>774</v>
      </c>
      <c r="G180" s="11" t="s">
        <v>279</v>
      </c>
      <c r="H180" s="11">
        <v>0</v>
      </c>
      <c r="I180" s="11">
        <v>0</v>
      </c>
      <c r="J180" s="11">
        <v>0</v>
      </c>
      <c r="K180" s="11">
        <v>0</v>
      </c>
      <c r="L180" s="11">
        <v>60</v>
      </c>
      <c r="M180" s="11">
        <v>0</v>
      </c>
      <c r="N180" s="11">
        <v>0</v>
      </c>
      <c r="O180" s="11">
        <v>60</v>
      </c>
      <c r="P180" s="11">
        <v>60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257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24120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60</v>
      </c>
      <c r="AY180" s="150">
        <v>45879</v>
      </c>
    </row>
    <row r="181" spans="1:51">
      <c r="A181" s="11" t="s">
        <v>136</v>
      </c>
      <c r="B181" s="11" t="s">
        <v>653</v>
      </c>
      <c r="C181" s="11" t="s">
        <v>294</v>
      </c>
      <c r="D181" s="11" t="s">
        <v>421</v>
      </c>
      <c r="E181" s="11" t="s">
        <v>427</v>
      </c>
      <c r="F181" s="11" t="s">
        <v>776</v>
      </c>
      <c r="G181" s="11" t="s">
        <v>136</v>
      </c>
      <c r="H181" s="11">
        <v>0</v>
      </c>
      <c r="I181" s="11">
        <v>0</v>
      </c>
      <c r="J181" s="11">
        <v>0</v>
      </c>
      <c r="K181" s="11">
        <v>0</v>
      </c>
      <c r="L181" s="11">
        <v>20</v>
      </c>
      <c r="M181" s="11">
        <v>0</v>
      </c>
      <c r="N181" s="11">
        <v>1</v>
      </c>
      <c r="O181" s="11">
        <v>21</v>
      </c>
      <c r="P181" s="11">
        <v>21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116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25700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21</v>
      </c>
      <c r="AY181" s="11" t="s">
        <v>777</v>
      </c>
    </row>
    <row r="182" spans="1:51">
      <c r="A182" s="11" t="s">
        <v>118</v>
      </c>
      <c r="B182" s="11" t="s">
        <v>362</v>
      </c>
      <c r="C182" s="11" t="s">
        <v>295</v>
      </c>
      <c r="D182" s="11" t="s">
        <v>419</v>
      </c>
      <c r="E182" s="11" t="s">
        <v>643</v>
      </c>
      <c r="F182" s="150">
        <v>45843</v>
      </c>
      <c r="G182" s="11" t="s">
        <v>67</v>
      </c>
      <c r="H182" s="11">
        <v>0</v>
      </c>
      <c r="I182" s="11">
        <v>7500000</v>
      </c>
      <c r="J182" s="11">
        <v>11835851.699999999</v>
      </c>
      <c r="K182" s="11">
        <v>0</v>
      </c>
      <c r="L182" s="11">
        <v>51</v>
      </c>
      <c r="M182" s="11">
        <v>44</v>
      </c>
      <c r="N182" s="11">
        <v>0</v>
      </c>
      <c r="O182" s="11">
        <v>51</v>
      </c>
      <c r="P182" s="11">
        <v>7</v>
      </c>
      <c r="Q182" s="11">
        <v>11835851.699999999</v>
      </c>
      <c r="R182" s="11">
        <v>0</v>
      </c>
      <c r="S182" s="11">
        <v>23</v>
      </c>
      <c r="T182" s="11">
        <v>0</v>
      </c>
      <c r="U182" s="11">
        <v>23</v>
      </c>
      <c r="V182" s="11">
        <v>0</v>
      </c>
      <c r="W182" s="11">
        <v>5</v>
      </c>
      <c r="X182" s="11">
        <v>7</v>
      </c>
      <c r="Y182" s="11">
        <v>25</v>
      </c>
      <c r="Z182" s="11">
        <v>2</v>
      </c>
      <c r="AA182" s="11">
        <v>5</v>
      </c>
      <c r="AB182" s="11">
        <v>0</v>
      </c>
      <c r="AC182" s="11">
        <v>0</v>
      </c>
      <c r="AD182" s="11">
        <v>0</v>
      </c>
      <c r="AE182" s="11">
        <v>0</v>
      </c>
      <c r="AF182" s="11">
        <v>382</v>
      </c>
      <c r="AG182" s="11">
        <v>394</v>
      </c>
      <c r="AH182" s="11">
        <v>74</v>
      </c>
      <c r="AI182" s="11">
        <v>159944</v>
      </c>
      <c r="AJ182" s="11">
        <v>5</v>
      </c>
      <c r="AK182" s="11">
        <v>25985</v>
      </c>
      <c r="AL182" s="11">
        <v>0</v>
      </c>
      <c r="AM182" s="11">
        <v>2.2000000000000001E-3</v>
      </c>
      <c r="AN182" s="11">
        <v>514602</v>
      </c>
      <c r="AO182" s="11">
        <v>1.58</v>
      </c>
      <c r="AP182" s="11">
        <v>0</v>
      </c>
      <c r="AQ182" s="11">
        <v>113</v>
      </c>
      <c r="AR182" s="11">
        <v>776</v>
      </c>
      <c r="AS182" s="11">
        <v>3253.13</v>
      </c>
      <c r="AT182" s="11">
        <v>0</v>
      </c>
      <c r="AU182" s="11">
        <v>74</v>
      </c>
      <c r="AV182" s="11">
        <v>23</v>
      </c>
      <c r="AW182" s="11">
        <v>22</v>
      </c>
      <c r="AX182" s="11">
        <v>6</v>
      </c>
      <c r="AY182" s="11" t="s">
        <v>684</v>
      </c>
    </row>
    <row r="183" spans="1:51">
      <c r="A183" s="11" t="s">
        <v>177</v>
      </c>
      <c r="B183" s="11" t="s">
        <v>364</v>
      </c>
      <c r="C183" s="11" t="s">
        <v>296</v>
      </c>
      <c r="D183" s="11" t="s">
        <v>568</v>
      </c>
      <c r="E183" s="11" t="s">
        <v>641</v>
      </c>
      <c r="F183" s="150">
        <v>45782</v>
      </c>
      <c r="G183" s="11" t="s">
        <v>177</v>
      </c>
      <c r="H183" s="11">
        <v>0</v>
      </c>
      <c r="I183" s="11">
        <v>0</v>
      </c>
      <c r="J183" s="11">
        <v>0</v>
      </c>
      <c r="K183" s="11">
        <v>0</v>
      </c>
      <c r="L183" s="11">
        <v>5</v>
      </c>
      <c r="M183" s="11">
        <v>4</v>
      </c>
      <c r="N183" s="11">
        <v>0</v>
      </c>
      <c r="O183" s="11">
        <v>5</v>
      </c>
      <c r="P183" s="11">
        <v>1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1</v>
      </c>
      <c r="X183" s="11">
        <v>1</v>
      </c>
      <c r="Y183" s="11">
        <v>12</v>
      </c>
      <c r="Z183" s="11">
        <v>3</v>
      </c>
      <c r="AA183" s="11">
        <v>20</v>
      </c>
      <c r="AB183" s="11">
        <v>0</v>
      </c>
      <c r="AC183" s="11">
        <v>0</v>
      </c>
      <c r="AD183" s="11">
        <v>84</v>
      </c>
      <c r="AE183" s="11">
        <v>239</v>
      </c>
      <c r="AF183" s="11">
        <v>5</v>
      </c>
      <c r="AG183" s="11">
        <v>265</v>
      </c>
      <c r="AH183" s="11">
        <v>72</v>
      </c>
      <c r="AI183" s="11">
        <v>0</v>
      </c>
      <c r="AJ183" s="11">
        <v>4</v>
      </c>
      <c r="AK183" s="11">
        <v>64585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792</v>
      </c>
      <c r="AS183" s="11">
        <v>5449.72</v>
      </c>
      <c r="AT183" s="11">
        <v>0</v>
      </c>
      <c r="AU183" s="11">
        <v>1362</v>
      </c>
      <c r="AV183" s="11">
        <v>0</v>
      </c>
      <c r="AW183" s="11">
        <v>4</v>
      </c>
      <c r="AX183" s="11">
        <v>1</v>
      </c>
      <c r="AY183" s="11" t="s">
        <v>684</v>
      </c>
    </row>
    <row r="184" spans="1:51">
      <c r="A184" s="11" t="s">
        <v>108</v>
      </c>
      <c r="B184" s="11" t="s">
        <v>465</v>
      </c>
      <c r="C184" s="11" t="s">
        <v>297</v>
      </c>
      <c r="D184" s="11" t="s">
        <v>506</v>
      </c>
      <c r="E184" s="11" t="s">
        <v>478</v>
      </c>
      <c r="F184" s="11" t="s">
        <v>778</v>
      </c>
      <c r="G184" s="11" t="s">
        <v>317</v>
      </c>
      <c r="H184" s="11">
        <v>0</v>
      </c>
      <c r="I184" s="11">
        <v>4500000</v>
      </c>
      <c r="J184" s="11">
        <v>3855222.6</v>
      </c>
      <c r="K184" s="11">
        <v>0</v>
      </c>
      <c r="L184" s="11">
        <v>85</v>
      </c>
      <c r="M184" s="11">
        <v>60</v>
      </c>
      <c r="N184" s="11">
        <v>0</v>
      </c>
      <c r="O184" s="11">
        <v>85</v>
      </c>
      <c r="P184" s="11">
        <v>25</v>
      </c>
      <c r="Q184" s="11">
        <v>3855222.6</v>
      </c>
      <c r="R184" s="11">
        <v>0</v>
      </c>
      <c r="S184" s="11">
        <v>51</v>
      </c>
      <c r="T184" s="11">
        <v>0</v>
      </c>
      <c r="U184" s="11">
        <v>51</v>
      </c>
      <c r="V184" s="11">
        <v>0</v>
      </c>
      <c r="W184" s="11">
        <v>1</v>
      </c>
      <c r="X184" s="11">
        <v>3</v>
      </c>
      <c r="Y184" s="11">
        <v>4</v>
      </c>
      <c r="Z184" s="11">
        <v>1</v>
      </c>
      <c r="AA184" s="11">
        <v>9</v>
      </c>
      <c r="AB184" s="11">
        <v>0</v>
      </c>
      <c r="AC184" s="11">
        <v>0</v>
      </c>
      <c r="AD184" s="11">
        <v>0</v>
      </c>
      <c r="AE184" s="11">
        <v>0</v>
      </c>
      <c r="AF184" s="11">
        <v>465</v>
      </c>
      <c r="AG184" s="11">
        <v>477</v>
      </c>
      <c r="AH184" s="11">
        <v>70</v>
      </c>
      <c r="AI184" s="11">
        <v>55075</v>
      </c>
      <c r="AJ184" s="11">
        <v>7</v>
      </c>
      <c r="AK184" s="11">
        <v>27000</v>
      </c>
      <c r="AL184" s="11">
        <v>0</v>
      </c>
      <c r="AM184" s="11">
        <v>7.0000000000000001E-3</v>
      </c>
      <c r="AN184" s="11">
        <v>75593</v>
      </c>
      <c r="AO184" s="11">
        <v>0.86</v>
      </c>
      <c r="AP184" s="11">
        <v>0</v>
      </c>
      <c r="AQ184" s="11">
        <v>105</v>
      </c>
      <c r="AR184" s="11">
        <v>669</v>
      </c>
      <c r="AS184" s="11">
        <v>1927.13</v>
      </c>
      <c r="AT184" s="11">
        <v>0</v>
      </c>
      <c r="AU184" s="11">
        <v>32</v>
      </c>
      <c r="AV184" s="11">
        <v>51</v>
      </c>
      <c r="AW184" s="11">
        <v>10</v>
      </c>
      <c r="AX184" s="11">
        <v>24</v>
      </c>
      <c r="AY184" s="11" t="s">
        <v>684</v>
      </c>
    </row>
    <row r="185" spans="1:51">
      <c r="A185" s="11" t="s">
        <v>118</v>
      </c>
      <c r="B185" s="11" t="s">
        <v>372</v>
      </c>
      <c r="C185" s="11" t="s">
        <v>298</v>
      </c>
      <c r="D185" s="11" t="s">
        <v>447</v>
      </c>
      <c r="E185" s="11" t="s">
        <v>514</v>
      </c>
      <c r="F185" s="11" t="s">
        <v>779</v>
      </c>
      <c r="G185" s="11" t="s">
        <v>118</v>
      </c>
      <c r="H185" s="11">
        <v>0</v>
      </c>
      <c r="I185" s="11">
        <v>0</v>
      </c>
      <c r="J185" s="11">
        <v>0</v>
      </c>
      <c r="K185" s="11">
        <v>0</v>
      </c>
      <c r="L185" s="11">
        <v>57</v>
      </c>
      <c r="M185" s="11">
        <v>0</v>
      </c>
      <c r="N185" s="11">
        <v>1</v>
      </c>
      <c r="O185" s="11">
        <v>58</v>
      </c>
      <c r="P185" s="11">
        <v>58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18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119300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58</v>
      </c>
      <c r="AY185" s="11" t="s">
        <v>708</v>
      </c>
    </row>
    <row r="186" spans="1:51">
      <c r="A186" s="11" t="s">
        <v>118</v>
      </c>
      <c r="B186" s="11" t="s">
        <v>362</v>
      </c>
      <c r="C186" s="11" t="s">
        <v>299</v>
      </c>
      <c r="D186" s="11" t="s">
        <v>419</v>
      </c>
      <c r="E186" s="11" t="s">
        <v>645</v>
      </c>
      <c r="F186" s="11" t="s">
        <v>780</v>
      </c>
      <c r="G186" s="11" t="s">
        <v>118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22000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 t="s">
        <v>781</v>
      </c>
    </row>
    <row r="187" spans="1:51">
      <c r="A187" s="11" t="s">
        <v>201</v>
      </c>
      <c r="B187" s="11" t="s">
        <v>431</v>
      </c>
      <c r="C187" s="11" t="s">
        <v>300</v>
      </c>
      <c r="D187" s="11" t="s">
        <v>431</v>
      </c>
      <c r="E187" s="11" t="s">
        <v>646</v>
      </c>
      <c r="F187" s="11" t="s">
        <v>779</v>
      </c>
      <c r="G187" s="11" t="s">
        <v>106</v>
      </c>
      <c r="H187" s="11">
        <v>0</v>
      </c>
      <c r="I187" s="11">
        <v>0</v>
      </c>
      <c r="J187" s="11">
        <v>0</v>
      </c>
      <c r="K187" s="11">
        <v>0</v>
      </c>
      <c r="L187" s="11">
        <v>54</v>
      </c>
      <c r="M187" s="11">
        <v>0</v>
      </c>
      <c r="N187" s="11">
        <v>0</v>
      </c>
      <c r="O187" s="11">
        <v>54</v>
      </c>
      <c r="P187" s="11">
        <v>54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226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33050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54</v>
      </c>
      <c r="AY187" s="11" t="s">
        <v>736</v>
      </c>
    </row>
    <row r="188" spans="1:51">
      <c r="A188" s="11" t="s">
        <v>118</v>
      </c>
      <c r="B188" s="11" t="s">
        <v>436</v>
      </c>
      <c r="C188" s="11" t="s">
        <v>301</v>
      </c>
      <c r="D188" s="11" t="s">
        <v>499</v>
      </c>
      <c r="E188" s="11" t="s">
        <v>648</v>
      </c>
      <c r="F188" s="150">
        <v>45906</v>
      </c>
      <c r="H188" s="11">
        <v>0</v>
      </c>
      <c r="I188" s="11">
        <v>0</v>
      </c>
      <c r="J188" s="11">
        <v>0</v>
      </c>
      <c r="K188" s="11">
        <v>0</v>
      </c>
      <c r="L188" s="11">
        <v>26</v>
      </c>
      <c r="M188" s="11">
        <v>0</v>
      </c>
      <c r="N188" s="11">
        <v>1</v>
      </c>
      <c r="O188" s="11">
        <v>27</v>
      </c>
      <c r="P188" s="11">
        <v>27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17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24120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27</v>
      </c>
      <c r="AY188" s="11" t="s">
        <v>782</v>
      </c>
    </row>
    <row r="189" spans="1:51">
      <c r="A189" s="11" t="s">
        <v>154</v>
      </c>
      <c r="B189" s="11" t="s">
        <v>367</v>
      </c>
      <c r="C189" s="11" t="s">
        <v>302</v>
      </c>
      <c r="D189" s="11" t="s">
        <v>577</v>
      </c>
      <c r="E189" s="11" t="s">
        <v>377</v>
      </c>
      <c r="F189" s="150">
        <v>45753</v>
      </c>
      <c r="G189" s="11" t="s">
        <v>196</v>
      </c>
      <c r="H189" s="11">
        <v>0</v>
      </c>
      <c r="I189" s="11">
        <v>0</v>
      </c>
      <c r="J189" s="11">
        <v>0</v>
      </c>
      <c r="K189" s="11">
        <v>0</v>
      </c>
      <c r="L189" s="11">
        <v>12</v>
      </c>
      <c r="M189" s="11">
        <v>0</v>
      </c>
      <c r="N189" s="11">
        <v>0</v>
      </c>
      <c r="O189" s="11">
        <v>12</v>
      </c>
      <c r="P189" s="11">
        <v>12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77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24120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12</v>
      </c>
      <c r="AY189" s="150">
        <v>45968</v>
      </c>
    </row>
    <row r="190" spans="1:51">
      <c r="A190" s="11" t="s">
        <v>117</v>
      </c>
      <c r="B190" s="11" t="s">
        <v>450</v>
      </c>
      <c r="C190" s="11" t="s">
        <v>303</v>
      </c>
      <c r="D190" s="11" t="s">
        <v>482</v>
      </c>
      <c r="E190" s="11" t="s">
        <v>647</v>
      </c>
      <c r="F190" s="150">
        <v>45694</v>
      </c>
      <c r="G190" s="11" t="s">
        <v>117</v>
      </c>
      <c r="H190" s="11">
        <v>0</v>
      </c>
      <c r="I190" s="11">
        <v>2400000</v>
      </c>
      <c r="J190" s="11">
        <v>1559926.67</v>
      </c>
      <c r="K190" s="11">
        <v>0</v>
      </c>
      <c r="L190" s="11">
        <v>42</v>
      </c>
      <c r="M190" s="11">
        <v>31</v>
      </c>
      <c r="N190" s="11">
        <v>2</v>
      </c>
      <c r="O190" s="11">
        <v>44</v>
      </c>
      <c r="P190" s="11">
        <v>13</v>
      </c>
      <c r="Q190" s="11">
        <v>1520097.15</v>
      </c>
      <c r="R190" s="11">
        <v>39829.519999999997</v>
      </c>
      <c r="S190" s="11">
        <v>19</v>
      </c>
      <c r="T190" s="11">
        <v>2</v>
      </c>
      <c r="U190" s="11">
        <v>21</v>
      </c>
      <c r="V190" s="11">
        <v>0</v>
      </c>
      <c r="W190" s="11">
        <v>33</v>
      </c>
      <c r="X190" s="11">
        <v>47</v>
      </c>
      <c r="Y190" s="11">
        <v>93</v>
      </c>
      <c r="Z190" s="11">
        <v>1</v>
      </c>
      <c r="AA190" s="11">
        <v>38</v>
      </c>
      <c r="AB190" s="11">
        <v>0</v>
      </c>
      <c r="AC190" s="11">
        <v>0</v>
      </c>
      <c r="AD190" s="11">
        <v>0</v>
      </c>
      <c r="AE190" s="11">
        <v>0</v>
      </c>
      <c r="AF190" s="11">
        <v>151</v>
      </c>
      <c r="AG190" s="11">
        <v>236</v>
      </c>
      <c r="AH190" s="11">
        <v>69</v>
      </c>
      <c r="AI190" s="11">
        <v>22608</v>
      </c>
      <c r="AJ190" s="11">
        <v>3</v>
      </c>
      <c r="AK190" s="11">
        <v>38285</v>
      </c>
      <c r="AL190" s="11">
        <v>0</v>
      </c>
      <c r="AM190" s="11">
        <v>2.4500000000000001E-2</v>
      </c>
      <c r="AN190" s="11">
        <v>74282</v>
      </c>
      <c r="AO190" s="11">
        <v>0.65</v>
      </c>
      <c r="AP190" s="11">
        <v>0</v>
      </c>
      <c r="AQ190" s="11">
        <v>51</v>
      </c>
      <c r="AR190" s="11">
        <v>526</v>
      </c>
      <c r="AS190" s="11">
        <v>1355.17</v>
      </c>
      <c r="AT190" s="11">
        <v>2</v>
      </c>
      <c r="AU190" s="11">
        <v>44</v>
      </c>
      <c r="AV190" s="11">
        <v>21</v>
      </c>
      <c r="AW190" s="11">
        <v>11</v>
      </c>
      <c r="AX190" s="11">
        <v>12</v>
      </c>
      <c r="AY190" s="11" t="s">
        <v>684</v>
      </c>
    </row>
    <row r="191" spans="1:51">
      <c r="A191" s="11" t="s">
        <v>118</v>
      </c>
      <c r="B191" s="11" t="s">
        <v>362</v>
      </c>
      <c r="C191" s="11" t="s">
        <v>304</v>
      </c>
      <c r="D191" s="11" t="s">
        <v>419</v>
      </c>
      <c r="E191" s="11" t="s">
        <v>539</v>
      </c>
      <c r="F191" s="150">
        <v>45906</v>
      </c>
      <c r="G191" s="11" t="s">
        <v>229</v>
      </c>
      <c r="H191" s="11">
        <v>0</v>
      </c>
      <c r="I191" s="11">
        <v>4500000</v>
      </c>
      <c r="J191" s="11">
        <v>1998649.74</v>
      </c>
      <c r="K191" s="11">
        <v>0</v>
      </c>
      <c r="L191" s="11">
        <v>80</v>
      </c>
      <c r="M191" s="11">
        <v>52</v>
      </c>
      <c r="N191" s="11">
        <v>3</v>
      </c>
      <c r="O191" s="11">
        <v>83</v>
      </c>
      <c r="P191" s="11">
        <v>31</v>
      </c>
      <c r="Q191" s="11">
        <v>1492766.58</v>
      </c>
      <c r="R191" s="11">
        <v>505883.16</v>
      </c>
      <c r="S191" s="11">
        <v>20</v>
      </c>
      <c r="T191" s="11">
        <v>3</v>
      </c>
      <c r="U191" s="11">
        <v>23</v>
      </c>
      <c r="V191" s="11">
        <v>0</v>
      </c>
      <c r="W191" s="11">
        <v>53</v>
      </c>
      <c r="X191" s="11">
        <v>68</v>
      </c>
      <c r="Y191" s="11">
        <v>163</v>
      </c>
      <c r="Z191" s="11">
        <v>1</v>
      </c>
      <c r="AA191" s="11">
        <v>8</v>
      </c>
      <c r="AB191" s="11">
        <v>0</v>
      </c>
      <c r="AC191" s="11">
        <v>0</v>
      </c>
      <c r="AD191" s="11">
        <v>0</v>
      </c>
      <c r="AE191" s="11">
        <v>0</v>
      </c>
      <c r="AF191" s="11">
        <v>213</v>
      </c>
      <c r="AG191" s="11">
        <v>289</v>
      </c>
      <c r="AH191" s="11">
        <v>69</v>
      </c>
      <c r="AI191" s="11">
        <v>28966</v>
      </c>
      <c r="AJ191" s="11">
        <v>4</v>
      </c>
      <c r="AK191" s="11">
        <v>32500</v>
      </c>
      <c r="AL191" s="11">
        <v>0</v>
      </c>
      <c r="AM191" s="11">
        <v>1.6299999999999999E-2</v>
      </c>
      <c r="AN191" s="11">
        <v>86898</v>
      </c>
      <c r="AO191" s="11">
        <v>0.44</v>
      </c>
      <c r="AP191" s="11">
        <v>0</v>
      </c>
      <c r="AQ191" s="11">
        <v>38</v>
      </c>
      <c r="AR191" s="11">
        <v>689</v>
      </c>
      <c r="AS191" s="11">
        <v>2463.6</v>
      </c>
      <c r="AT191" s="11">
        <v>3</v>
      </c>
      <c r="AU191" s="11">
        <v>47</v>
      </c>
      <c r="AV191" s="11">
        <v>23</v>
      </c>
      <c r="AW191" s="11">
        <v>29</v>
      </c>
      <c r="AX191" s="11">
        <v>31</v>
      </c>
      <c r="AY191" s="11" t="s">
        <v>684</v>
      </c>
    </row>
    <row r="192" spans="1:51">
      <c r="A192" s="11" t="s">
        <v>118</v>
      </c>
      <c r="B192" s="11" t="s">
        <v>362</v>
      </c>
      <c r="C192" s="11" t="s">
        <v>305</v>
      </c>
      <c r="D192" s="11" t="s">
        <v>419</v>
      </c>
      <c r="E192" s="11" t="s">
        <v>650</v>
      </c>
      <c r="F192" s="11" t="s">
        <v>783</v>
      </c>
      <c r="G192" s="11" t="s">
        <v>29</v>
      </c>
      <c r="H192" s="11">
        <v>0</v>
      </c>
      <c r="I192" s="11">
        <v>0</v>
      </c>
      <c r="J192" s="11">
        <v>0</v>
      </c>
      <c r="K192" s="11">
        <v>0</v>
      </c>
      <c r="L192" s="11">
        <v>12</v>
      </c>
      <c r="M192" s="11">
        <v>0</v>
      </c>
      <c r="N192" s="11">
        <v>0</v>
      </c>
      <c r="O192" s="11">
        <v>12</v>
      </c>
      <c r="P192" s="11">
        <v>12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2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28850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12</v>
      </c>
      <c r="AY192" s="11" t="s">
        <v>784</v>
      </c>
    </row>
    <row r="193" spans="1:51">
      <c r="A193" s="11" t="s">
        <v>118</v>
      </c>
      <c r="B193" s="11" t="s">
        <v>436</v>
      </c>
      <c r="C193" s="11" t="s">
        <v>306</v>
      </c>
      <c r="D193" s="11" t="s">
        <v>499</v>
      </c>
      <c r="E193" s="11" t="s">
        <v>651</v>
      </c>
      <c r="F193" s="11" t="s">
        <v>783</v>
      </c>
      <c r="G193" s="11" t="s">
        <v>118</v>
      </c>
      <c r="H193" s="11">
        <v>0</v>
      </c>
      <c r="I193" s="11">
        <v>0</v>
      </c>
      <c r="J193" s="11">
        <v>0</v>
      </c>
      <c r="K193" s="11">
        <v>0</v>
      </c>
      <c r="L193" s="11">
        <v>36</v>
      </c>
      <c r="M193" s="11">
        <v>0</v>
      </c>
      <c r="N193" s="11">
        <v>0</v>
      </c>
      <c r="O193" s="11">
        <v>36</v>
      </c>
      <c r="P193" s="11">
        <v>36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117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32500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36</v>
      </c>
      <c r="AY193" s="11" t="s">
        <v>785</v>
      </c>
    </row>
    <row r="194" spans="1:51">
      <c r="A194" s="11" t="s">
        <v>120</v>
      </c>
      <c r="B194" s="11" t="s">
        <v>286</v>
      </c>
      <c r="C194" s="11" t="s">
        <v>307</v>
      </c>
      <c r="D194" s="11" t="s">
        <v>631</v>
      </c>
      <c r="E194" s="11" t="s">
        <v>357</v>
      </c>
      <c r="F194" s="11" t="s">
        <v>786</v>
      </c>
      <c r="G194" s="11" t="s">
        <v>120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1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24120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 t="s">
        <v>787</v>
      </c>
    </row>
    <row r="195" spans="1:51">
      <c r="A195" s="11" t="s">
        <v>120</v>
      </c>
      <c r="B195" s="11" t="s">
        <v>163</v>
      </c>
      <c r="C195" s="11" t="s">
        <v>308</v>
      </c>
      <c r="D195" s="11" t="s">
        <v>534</v>
      </c>
      <c r="E195" s="11" t="s">
        <v>652</v>
      </c>
      <c r="F195" s="11" t="s">
        <v>787</v>
      </c>
      <c r="G195" s="11" t="s">
        <v>120</v>
      </c>
      <c r="I195" s="11">
        <v>0</v>
      </c>
      <c r="J195" s="11">
        <v>0</v>
      </c>
      <c r="K195" s="11">
        <v>0</v>
      </c>
      <c r="L195" s="11">
        <v>15</v>
      </c>
      <c r="M195" s="11">
        <v>0</v>
      </c>
      <c r="N195" s="11">
        <v>0</v>
      </c>
      <c r="O195" s="11">
        <v>15</v>
      </c>
      <c r="P195" s="11">
        <v>15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270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24120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15</v>
      </c>
      <c r="AY195" s="11" t="s">
        <v>715</v>
      </c>
    </row>
    <row r="196" spans="1:51">
      <c r="A196" s="11" t="s">
        <v>118</v>
      </c>
      <c r="B196" s="11" t="s">
        <v>436</v>
      </c>
      <c r="C196" s="11" t="s">
        <v>309</v>
      </c>
      <c r="D196" s="11" t="s">
        <v>499</v>
      </c>
      <c r="E196" s="11" t="s">
        <v>437</v>
      </c>
      <c r="F196" s="11" t="s">
        <v>787</v>
      </c>
      <c r="G196" s="11" t="s">
        <v>111</v>
      </c>
      <c r="H196" s="11">
        <v>0</v>
      </c>
      <c r="I196" s="11">
        <v>1500000</v>
      </c>
      <c r="J196" s="11">
        <v>105212.11</v>
      </c>
      <c r="K196" s="11">
        <v>0</v>
      </c>
      <c r="L196" s="11">
        <v>122</v>
      </c>
      <c r="M196" s="11">
        <v>36</v>
      </c>
      <c r="N196" s="11">
        <v>1</v>
      </c>
      <c r="O196" s="11">
        <v>123</v>
      </c>
      <c r="P196" s="11">
        <v>87</v>
      </c>
      <c r="Q196" s="11">
        <v>96549.61</v>
      </c>
      <c r="R196" s="11">
        <v>8662.5</v>
      </c>
      <c r="S196" s="11">
        <v>9</v>
      </c>
      <c r="T196" s="11">
        <v>1</v>
      </c>
      <c r="U196" s="11">
        <v>10</v>
      </c>
      <c r="V196" s="11">
        <v>0</v>
      </c>
      <c r="W196" s="11">
        <v>25</v>
      </c>
      <c r="X196" s="11">
        <v>27</v>
      </c>
      <c r="Y196" s="11">
        <v>176</v>
      </c>
      <c r="Z196" s="11">
        <v>2</v>
      </c>
      <c r="AA196" s="11">
        <v>2</v>
      </c>
      <c r="AB196" s="11">
        <v>0</v>
      </c>
      <c r="AC196" s="11">
        <v>0</v>
      </c>
      <c r="AD196" s="11">
        <v>0</v>
      </c>
      <c r="AE196" s="11">
        <v>0</v>
      </c>
      <c r="AF196" s="11">
        <v>39</v>
      </c>
      <c r="AG196" s="11">
        <v>68</v>
      </c>
      <c r="AH196" s="11">
        <v>9</v>
      </c>
      <c r="AI196" s="11">
        <v>11690</v>
      </c>
      <c r="AJ196" s="11">
        <v>8</v>
      </c>
      <c r="AK196" s="11">
        <v>27785</v>
      </c>
      <c r="AL196" s="11">
        <v>0</v>
      </c>
      <c r="AM196" s="11">
        <v>2.9999999999999997E-4</v>
      </c>
      <c r="AN196" s="11">
        <v>10521</v>
      </c>
      <c r="AO196" s="11">
        <v>7.0000000000000007E-2</v>
      </c>
      <c r="AP196" s="11">
        <v>0</v>
      </c>
      <c r="AQ196" s="11">
        <v>11</v>
      </c>
      <c r="AR196" s="11">
        <v>102</v>
      </c>
      <c r="AS196" s="11">
        <v>0</v>
      </c>
      <c r="AT196" s="11">
        <v>1</v>
      </c>
      <c r="AU196" s="11">
        <v>0</v>
      </c>
      <c r="AV196" s="11">
        <v>10</v>
      </c>
      <c r="AW196" s="11">
        <v>27</v>
      </c>
      <c r="AX196" s="11">
        <v>86</v>
      </c>
      <c r="AY196" s="11" t="s">
        <v>788</v>
      </c>
    </row>
    <row r="197" spans="1:51">
      <c r="A197" s="11" t="s">
        <v>201</v>
      </c>
      <c r="B197" s="11" t="s">
        <v>431</v>
      </c>
      <c r="C197" s="11" t="s">
        <v>310</v>
      </c>
      <c r="D197" s="11" t="s">
        <v>431</v>
      </c>
      <c r="E197" s="11" t="s">
        <v>531</v>
      </c>
      <c r="F197" s="150">
        <v>45664</v>
      </c>
      <c r="G197" s="11" t="s">
        <v>121</v>
      </c>
      <c r="H197" s="11">
        <v>0</v>
      </c>
      <c r="I197" s="11">
        <v>0</v>
      </c>
      <c r="J197" s="11">
        <v>0</v>
      </c>
      <c r="K197" s="11">
        <v>0</v>
      </c>
      <c r="L197" s="11">
        <v>128</v>
      </c>
      <c r="M197" s="11">
        <v>0</v>
      </c>
      <c r="N197" s="11">
        <v>1</v>
      </c>
      <c r="O197" s="11">
        <v>129</v>
      </c>
      <c r="P197" s="11">
        <v>129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55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99750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129</v>
      </c>
      <c r="AY197" s="11" t="s">
        <v>789</v>
      </c>
    </row>
    <row r="198" spans="1:51">
      <c r="A198" s="11" t="s">
        <v>201</v>
      </c>
      <c r="B198" s="11" t="s">
        <v>438</v>
      </c>
      <c r="C198" s="11" t="s">
        <v>311</v>
      </c>
      <c r="D198" s="11" t="s">
        <v>504</v>
      </c>
      <c r="E198" s="11" t="s">
        <v>505</v>
      </c>
      <c r="F198" s="150">
        <v>45664</v>
      </c>
      <c r="G198" s="11" t="s">
        <v>121</v>
      </c>
      <c r="H198" s="11">
        <v>0</v>
      </c>
      <c r="I198" s="11">
        <v>4950000</v>
      </c>
      <c r="J198" s="11">
        <v>3214861.93</v>
      </c>
      <c r="K198" s="11">
        <v>0</v>
      </c>
      <c r="L198" s="11">
        <v>81</v>
      </c>
      <c r="M198" s="11">
        <v>86</v>
      </c>
      <c r="N198" s="11">
        <v>7</v>
      </c>
      <c r="O198" s="11">
        <v>88</v>
      </c>
      <c r="P198" s="11">
        <v>2</v>
      </c>
      <c r="Q198" s="11">
        <v>2892179.03</v>
      </c>
      <c r="R198" s="11">
        <v>322682.90000000002</v>
      </c>
      <c r="S198" s="11">
        <v>48</v>
      </c>
      <c r="T198" s="11">
        <v>7</v>
      </c>
      <c r="U198" s="11">
        <v>55</v>
      </c>
      <c r="V198" s="11">
        <v>0</v>
      </c>
      <c r="W198" s="11">
        <v>15</v>
      </c>
      <c r="X198" s="11">
        <v>30</v>
      </c>
      <c r="Y198" s="11">
        <v>12</v>
      </c>
      <c r="Z198" s="11">
        <v>1</v>
      </c>
      <c r="AA198" s="11">
        <v>23</v>
      </c>
      <c r="AB198" s="11">
        <v>0</v>
      </c>
      <c r="AC198" s="11">
        <v>0</v>
      </c>
      <c r="AD198" s="11">
        <v>0</v>
      </c>
      <c r="AE198" s="11">
        <v>0</v>
      </c>
      <c r="AF198" s="11">
        <v>336</v>
      </c>
      <c r="AG198" s="11">
        <v>389</v>
      </c>
      <c r="AH198" s="11">
        <v>73</v>
      </c>
      <c r="AI198" s="11">
        <v>44039</v>
      </c>
      <c r="AJ198" s="11">
        <v>5</v>
      </c>
      <c r="AK198" s="11">
        <v>27800</v>
      </c>
      <c r="AL198" s="11">
        <v>0</v>
      </c>
      <c r="AM198" s="11">
        <v>8.6E-3</v>
      </c>
      <c r="AN198" s="11">
        <v>58452</v>
      </c>
      <c r="AO198" s="11">
        <v>0.65</v>
      </c>
      <c r="AP198" s="11">
        <v>0</v>
      </c>
      <c r="AQ198" s="11">
        <v>134</v>
      </c>
      <c r="AR198" s="11">
        <v>666</v>
      </c>
      <c r="AS198" s="11">
        <v>2671.09</v>
      </c>
      <c r="AT198" s="11">
        <v>7</v>
      </c>
      <c r="AU198" s="11">
        <v>31</v>
      </c>
      <c r="AV198" s="11">
        <v>55</v>
      </c>
      <c r="AW198" s="11">
        <v>31</v>
      </c>
      <c r="AX198" s="11">
        <v>2</v>
      </c>
      <c r="AY198" s="11" t="s">
        <v>684</v>
      </c>
    </row>
    <row r="199" spans="1:51">
      <c r="A199" s="11" t="s">
        <v>108</v>
      </c>
      <c r="B199" s="11" t="s">
        <v>465</v>
      </c>
      <c r="C199" s="11" t="s">
        <v>312</v>
      </c>
      <c r="D199" s="11" t="s">
        <v>506</v>
      </c>
      <c r="E199" s="11" t="s">
        <v>654</v>
      </c>
      <c r="F199" s="150">
        <v>45754</v>
      </c>
      <c r="G199" s="11" t="s">
        <v>108</v>
      </c>
      <c r="H199" s="11">
        <v>0</v>
      </c>
      <c r="I199" s="11">
        <v>0</v>
      </c>
      <c r="J199" s="11">
        <v>0</v>
      </c>
      <c r="K199" s="11">
        <v>0</v>
      </c>
      <c r="L199" s="11">
        <v>22</v>
      </c>
      <c r="M199" s="11">
        <v>0</v>
      </c>
      <c r="N199" s="11">
        <v>0</v>
      </c>
      <c r="O199" s="11">
        <v>22</v>
      </c>
      <c r="P199" s="11">
        <v>22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10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36190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22</v>
      </c>
      <c r="AY199" s="150">
        <v>45970</v>
      </c>
    </row>
    <row r="200" spans="1:51">
      <c r="A200" s="11" t="s">
        <v>108</v>
      </c>
      <c r="B200" s="11" t="s">
        <v>465</v>
      </c>
      <c r="C200" s="11" t="s">
        <v>313</v>
      </c>
      <c r="D200" s="11" t="s">
        <v>506</v>
      </c>
      <c r="E200" s="11" t="s">
        <v>475</v>
      </c>
      <c r="F200" s="150">
        <v>45754</v>
      </c>
      <c r="G200" s="11" t="s">
        <v>108</v>
      </c>
      <c r="H200" s="11">
        <v>0</v>
      </c>
      <c r="I200" s="11">
        <v>5800000</v>
      </c>
      <c r="J200" s="11">
        <v>3982081</v>
      </c>
      <c r="K200" s="11">
        <v>0</v>
      </c>
      <c r="L200" s="11">
        <v>120</v>
      </c>
      <c r="M200" s="11">
        <v>92</v>
      </c>
      <c r="N200" s="11">
        <v>0</v>
      </c>
      <c r="O200" s="11">
        <v>120</v>
      </c>
      <c r="P200" s="11">
        <v>28</v>
      </c>
      <c r="Q200" s="11">
        <v>3982081</v>
      </c>
      <c r="R200" s="11">
        <v>0</v>
      </c>
      <c r="S200" s="11">
        <v>15</v>
      </c>
      <c r="T200" s="11">
        <v>0</v>
      </c>
      <c r="U200" s="11">
        <v>15</v>
      </c>
      <c r="V200" s="11">
        <v>0</v>
      </c>
      <c r="W200" s="11">
        <v>53</v>
      </c>
      <c r="X200" s="11">
        <v>81</v>
      </c>
      <c r="Y200" s="11">
        <v>94</v>
      </c>
      <c r="Z200" s="11">
        <v>3</v>
      </c>
      <c r="AA200" s="11">
        <v>16</v>
      </c>
      <c r="AB200" s="11">
        <v>0</v>
      </c>
      <c r="AC200" s="11">
        <v>0</v>
      </c>
      <c r="AD200" s="11">
        <v>0</v>
      </c>
      <c r="AE200" s="11">
        <v>0</v>
      </c>
      <c r="AF200" s="11">
        <v>373</v>
      </c>
      <c r="AG200" s="11">
        <v>470</v>
      </c>
      <c r="AH200" s="11">
        <v>69</v>
      </c>
      <c r="AI200" s="11">
        <v>57711</v>
      </c>
      <c r="AJ200" s="11">
        <v>7</v>
      </c>
      <c r="AK200" s="11">
        <v>48765</v>
      </c>
      <c r="AL200" s="11">
        <v>0</v>
      </c>
      <c r="AM200" s="11">
        <v>1.2200000000000001E-2</v>
      </c>
      <c r="AN200" s="11">
        <v>265472</v>
      </c>
      <c r="AO200" s="11">
        <v>0.69</v>
      </c>
      <c r="AP200" s="11">
        <v>0</v>
      </c>
      <c r="AQ200" s="11">
        <v>50</v>
      </c>
      <c r="AR200" s="11">
        <v>631</v>
      </c>
      <c r="AS200" s="11">
        <v>3699.21</v>
      </c>
      <c r="AT200" s="11">
        <v>0</v>
      </c>
      <c r="AU200" s="11">
        <v>40</v>
      </c>
      <c r="AV200" s="11">
        <v>15</v>
      </c>
      <c r="AW200" s="11">
        <v>77</v>
      </c>
      <c r="AX200" s="11">
        <v>28</v>
      </c>
      <c r="AY200" s="11" t="s">
        <v>684</v>
      </c>
    </row>
    <row r="201" spans="1:51">
      <c r="A201" s="11" t="s">
        <v>154</v>
      </c>
      <c r="B201" s="11" t="s">
        <v>370</v>
      </c>
      <c r="C201" s="11" t="s">
        <v>314</v>
      </c>
      <c r="D201" s="11" t="s">
        <v>542</v>
      </c>
      <c r="E201" s="11" t="s">
        <v>655</v>
      </c>
      <c r="F201" s="150">
        <v>45845</v>
      </c>
      <c r="G201" s="11" t="s">
        <v>196</v>
      </c>
      <c r="H201" s="11">
        <v>0</v>
      </c>
      <c r="I201" s="11">
        <v>0</v>
      </c>
      <c r="J201" s="11">
        <v>0</v>
      </c>
      <c r="K201" s="11">
        <v>0</v>
      </c>
      <c r="L201" s="11">
        <v>4</v>
      </c>
      <c r="M201" s="11">
        <v>0</v>
      </c>
      <c r="N201" s="11">
        <v>0</v>
      </c>
      <c r="O201" s="11">
        <v>4</v>
      </c>
      <c r="P201" s="11">
        <v>4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29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37760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4</v>
      </c>
      <c r="AY201" s="11" t="s">
        <v>722</v>
      </c>
    </row>
    <row r="202" spans="1:51">
      <c r="A202" s="11" t="s">
        <v>118</v>
      </c>
      <c r="B202" s="11" t="s">
        <v>362</v>
      </c>
      <c r="C202" s="11" t="s">
        <v>315</v>
      </c>
      <c r="D202" s="11" t="s">
        <v>419</v>
      </c>
      <c r="E202" s="11" t="s">
        <v>656</v>
      </c>
      <c r="F202" s="150">
        <v>45845</v>
      </c>
      <c r="G202" s="11" t="s">
        <v>67</v>
      </c>
      <c r="H202" s="11">
        <v>0</v>
      </c>
      <c r="I202" s="11">
        <v>6000000</v>
      </c>
      <c r="J202" s="11">
        <v>7336571.79</v>
      </c>
      <c r="K202" s="11">
        <v>0</v>
      </c>
      <c r="L202" s="11">
        <v>63</v>
      </c>
      <c r="M202" s="11">
        <v>47</v>
      </c>
      <c r="N202" s="11">
        <v>1</v>
      </c>
      <c r="O202" s="11">
        <v>64</v>
      </c>
      <c r="P202" s="11">
        <v>17</v>
      </c>
      <c r="Q202" s="11">
        <v>7043975.0999999996</v>
      </c>
      <c r="R202" s="11">
        <v>292596.69</v>
      </c>
      <c r="S202" s="11">
        <v>20</v>
      </c>
      <c r="T202" s="11">
        <v>1</v>
      </c>
      <c r="U202" s="11">
        <v>21</v>
      </c>
      <c r="V202" s="11">
        <v>0</v>
      </c>
      <c r="W202" s="11">
        <v>9</v>
      </c>
      <c r="X202" s="11">
        <v>14</v>
      </c>
      <c r="Y202" s="11">
        <v>42</v>
      </c>
      <c r="Z202" s="11">
        <v>2</v>
      </c>
      <c r="AA202" s="11"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v>310</v>
      </c>
      <c r="AG202" s="11">
        <v>331</v>
      </c>
      <c r="AH202" s="11">
        <v>73</v>
      </c>
      <c r="AI202" s="11">
        <v>100501</v>
      </c>
      <c r="AJ202" s="11">
        <v>5</v>
      </c>
      <c r="AK202" s="11">
        <v>24120</v>
      </c>
      <c r="AL202" s="11">
        <v>0</v>
      </c>
      <c r="AM202" s="11">
        <v>3.3E-3</v>
      </c>
      <c r="AN202" s="11">
        <v>349361</v>
      </c>
      <c r="AO202" s="11">
        <v>1.22</v>
      </c>
      <c r="AP202" s="11">
        <v>0</v>
      </c>
      <c r="AQ202" s="11">
        <v>57</v>
      </c>
      <c r="AR202" s="11">
        <v>840</v>
      </c>
      <c r="AS202" s="11">
        <v>3945.54</v>
      </c>
      <c r="AT202" s="11">
        <v>1</v>
      </c>
      <c r="AU202" s="11">
        <v>84</v>
      </c>
      <c r="AV202" s="11">
        <v>21</v>
      </c>
      <c r="AW202" s="11">
        <v>26</v>
      </c>
      <c r="AX202" s="11">
        <v>17</v>
      </c>
      <c r="AY202" s="11" t="s">
        <v>684</v>
      </c>
    </row>
    <row r="203" spans="1:51">
      <c r="A203" s="11" t="s">
        <v>201</v>
      </c>
      <c r="B203" s="11" t="s">
        <v>431</v>
      </c>
      <c r="C203" s="11" t="s">
        <v>316</v>
      </c>
      <c r="D203" s="11" t="s">
        <v>431</v>
      </c>
      <c r="E203" s="11" t="s">
        <v>513</v>
      </c>
      <c r="F203" s="150">
        <v>45784</v>
      </c>
      <c r="G203" s="11" t="s">
        <v>135</v>
      </c>
      <c r="H203" s="11">
        <v>0</v>
      </c>
      <c r="I203" s="11">
        <v>6000000</v>
      </c>
      <c r="J203" s="11">
        <v>2971355.24</v>
      </c>
      <c r="K203" s="11">
        <v>0</v>
      </c>
      <c r="L203" s="11">
        <v>84</v>
      </c>
      <c r="M203" s="11">
        <v>67</v>
      </c>
      <c r="N203" s="11">
        <v>11</v>
      </c>
      <c r="O203" s="11">
        <v>95</v>
      </c>
      <c r="P203" s="11">
        <v>28</v>
      </c>
      <c r="Q203" s="11">
        <v>2487610.1</v>
      </c>
      <c r="R203" s="11">
        <v>483745.14</v>
      </c>
      <c r="S203" s="11">
        <v>25</v>
      </c>
      <c r="T203" s="11">
        <v>11</v>
      </c>
      <c r="U203" s="11">
        <v>36</v>
      </c>
      <c r="V203" s="11">
        <v>0</v>
      </c>
      <c r="W203" s="11">
        <v>33</v>
      </c>
      <c r="X203" s="11">
        <v>43</v>
      </c>
      <c r="Y203" s="11">
        <v>22</v>
      </c>
      <c r="Z203" s="11">
        <v>2</v>
      </c>
      <c r="AA203" s="11">
        <v>48</v>
      </c>
      <c r="AB203" s="11">
        <v>0</v>
      </c>
      <c r="AC203" s="11">
        <v>0</v>
      </c>
      <c r="AD203" s="11">
        <v>1</v>
      </c>
      <c r="AE203" s="11">
        <v>2</v>
      </c>
      <c r="AF203" s="11">
        <v>251</v>
      </c>
      <c r="AG203" s="11">
        <v>344</v>
      </c>
      <c r="AH203" s="11">
        <v>69</v>
      </c>
      <c r="AI203" s="11">
        <v>43063</v>
      </c>
      <c r="AJ203" s="11">
        <v>5</v>
      </c>
      <c r="AK203" s="11">
        <v>41430</v>
      </c>
      <c r="AL203" s="11">
        <v>0</v>
      </c>
      <c r="AM203" s="11">
        <v>1.3899999999999999E-2</v>
      </c>
      <c r="AN203" s="11">
        <v>82538</v>
      </c>
      <c r="AO203" s="11">
        <v>0.5</v>
      </c>
      <c r="AP203" s="11">
        <v>0</v>
      </c>
      <c r="AQ203" s="11">
        <v>102</v>
      </c>
      <c r="AR203" s="11">
        <v>650</v>
      </c>
      <c r="AS203" s="11">
        <v>3349.75</v>
      </c>
      <c r="AT203" s="11">
        <v>11</v>
      </c>
      <c r="AU203" s="11">
        <v>50</v>
      </c>
      <c r="AV203" s="11">
        <v>36</v>
      </c>
      <c r="AW203" s="11">
        <v>37</v>
      </c>
      <c r="AX203" s="11">
        <v>22</v>
      </c>
      <c r="AY203" s="11" t="s">
        <v>684</v>
      </c>
    </row>
    <row r="204" spans="1:51">
      <c r="A204" s="11" t="s">
        <v>108</v>
      </c>
      <c r="B204" s="11" t="s">
        <v>465</v>
      </c>
      <c r="C204" s="11" t="s">
        <v>317</v>
      </c>
      <c r="D204" s="11" t="s">
        <v>506</v>
      </c>
      <c r="E204" s="11" t="s">
        <v>507</v>
      </c>
      <c r="F204" s="11" t="s">
        <v>790</v>
      </c>
      <c r="G204" s="11" t="s">
        <v>108</v>
      </c>
      <c r="H204" s="11">
        <v>0</v>
      </c>
      <c r="I204" s="11">
        <v>0</v>
      </c>
      <c r="J204" s="11">
        <v>0</v>
      </c>
      <c r="K204" s="11">
        <v>0</v>
      </c>
      <c r="L204" s="11">
        <v>201</v>
      </c>
      <c r="M204" s="11">
        <v>153</v>
      </c>
      <c r="N204" s="11">
        <v>3</v>
      </c>
      <c r="O204" s="11">
        <v>204</v>
      </c>
      <c r="P204" s="11">
        <v>51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19</v>
      </c>
      <c r="X204" s="11">
        <v>31</v>
      </c>
      <c r="Y204" s="11">
        <v>8</v>
      </c>
      <c r="Z204" s="11">
        <v>1</v>
      </c>
      <c r="AA204" s="11">
        <v>13</v>
      </c>
      <c r="AB204" s="11">
        <v>0</v>
      </c>
      <c r="AC204" s="11">
        <v>0</v>
      </c>
      <c r="AD204" s="11">
        <v>0</v>
      </c>
      <c r="AE204" s="11">
        <v>0</v>
      </c>
      <c r="AF204" s="11">
        <v>393</v>
      </c>
      <c r="AG204" s="11">
        <v>437</v>
      </c>
      <c r="AH204" s="11">
        <v>71</v>
      </c>
      <c r="AI204" s="11">
        <v>0</v>
      </c>
      <c r="AJ204" s="11">
        <v>6</v>
      </c>
      <c r="AK204" s="11">
        <v>51910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732</v>
      </c>
      <c r="AS204" s="11">
        <v>3455.14</v>
      </c>
      <c r="AT204" s="11">
        <v>0</v>
      </c>
      <c r="AU204" s="11">
        <v>23</v>
      </c>
      <c r="AV204" s="11">
        <v>0</v>
      </c>
      <c r="AW204" s="11">
        <v>153</v>
      </c>
      <c r="AX204" s="11">
        <v>51</v>
      </c>
      <c r="AY204" s="11" t="s">
        <v>684</v>
      </c>
    </row>
    <row r="205" spans="1:51">
      <c r="A205" s="11" t="s">
        <v>124</v>
      </c>
      <c r="B205" s="11" t="s">
        <v>443</v>
      </c>
      <c r="C205" s="11" t="s">
        <v>318</v>
      </c>
      <c r="D205" s="11" t="s">
        <v>517</v>
      </c>
      <c r="E205" s="11" t="s">
        <v>657</v>
      </c>
      <c r="F205" s="11" t="s">
        <v>791</v>
      </c>
      <c r="G205" s="11" t="s">
        <v>124</v>
      </c>
      <c r="H205" s="11">
        <v>0</v>
      </c>
      <c r="I205" s="11">
        <v>0</v>
      </c>
      <c r="J205" s="11">
        <v>119449</v>
      </c>
      <c r="K205" s="11">
        <v>0</v>
      </c>
      <c r="L205" s="11">
        <v>40</v>
      </c>
      <c r="M205" s="11">
        <v>30</v>
      </c>
      <c r="N205" s="11">
        <v>4</v>
      </c>
      <c r="O205" s="11">
        <v>44</v>
      </c>
      <c r="P205" s="11">
        <v>14</v>
      </c>
      <c r="Q205" s="11">
        <v>92787.199999999997</v>
      </c>
      <c r="R205" s="11">
        <v>26661.8</v>
      </c>
      <c r="S205" s="11">
        <v>7</v>
      </c>
      <c r="T205" s="11">
        <v>3</v>
      </c>
      <c r="U205" s="11">
        <v>10</v>
      </c>
      <c r="V205" s="11">
        <v>0</v>
      </c>
      <c r="W205" s="11">
        <v>63</v>
      </c>
      <c r="X205" s="11">
        <v>73</v>
      </c>
      <c r="Y205" s="11">
        <v>78</v>
      </c>
      <c r="Z205" s="11">
        <v>1</v>
      </c>
      <c r="AA205" s="11">
        <v>1</v>
      </c>
      <c r="AB205" s="11">
        <v>0</v>
      </c>
      <c r="AC205" s="11">
        <v>0</v>
      </c>
      <c r="AD205" s="11">
        <v>0</v>
      </c>
      <c r="AE205" s="11">
        <v>0</v>
      </c>
      <c r="AF205" s="11">
        <v>38</v>
      </c>
      <c r="AG205" s="11">
        <v>112</v>
      </c>
      <c r="AH205" s="11">
        <v>24</v>
      </c>
      <c r="AI205" s="11">
        <v>4977</v>
      </c>
      <c r="AJ205" s="11">
        <v>5</v>
      </c>
      <c r="AK205" s="11">
        <v>39330</v>
      </c>
      <c r="AL205" s="11">
        <v>0</v>
      </c>
      <c r="AM205" s="11">
        <v>0.32929999999999998</v>
      </c>
      <c r="AN205" s="11">
        <v>11945</v>
      </c>
      <c r="AO205" s="11">
        <v>0</v>
      </c>
      <c r="AP205" s="11">
        <v>0</v>
      </c>
      <c r="AQ205" s="11">
        <v>10</v>
      </c>
      <c r="AR205" s="11">
        <v>225</v>
      </c>
      <c r="AS205" s="11">
        <v>0</v>
      </c>
      <c r="AT205" s="11">
        <v>3</v>
      </c>
      <c r="AU205" s="11">
        <v>0</v>
      </c>
      <c r="AV205" s="11">
        <v>10</v>
      </c>
      <c r="AW205" s="11">
        <v>23</v>
      </c>
      <c r="AX205" s="11">
        <v>11</v>
      </c>
      <c r="AY205" s="11" t="s">
        <v>683</v>
      </c>
    </row>
    <row r="206" spans="1:51">
      <c r="A206" s="11" t="s">
        <v>154</v>
      </c>
      <c r="B206" s="11" t="s">
        <v>367</v>
      </c>
      <c r="C206" s="11" t="s">
        <v>319</v>
      </c>
      <c r="D206" s="11" t="s">
        <v>577</v>
      </c>
      <c r="E206" s="11" t="s">
        <v>658</v>
      </c>
      <c r="F206" s="11" t="s">
        <v>791</v>
      </c>
      <c r="G206" s="11" t="s">
        <v>196</v>
      </c>
      <c r="H206" s="11">
        <v>0</v>
      </c>
      <c r="I206" s="11">
        <v>0</v>
      </c>
      <c r="J206" s="11">
        <v>0</v>
      </c>
      <c r="K206" s="11">
        <v>0</v>
      </c>
      <c r="L206" s="11">
        <v>25</v>
      </c>
      <c r="M206" s="11">
        <v>0</v>
      </c>
      <c r="N206" s="11">
        <v>0</v>
      </c>
      <c r="O206" s="11">
        <v>25</v>
      </c>
      <c r="P206" s="11">
        <v>25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114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25215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25</v>
      </c>
      <c r="AY206" s="11" t="s">
        <v>792</v>
      </c>
    </row>
    <row r="207" spans="1:51">
      <c r="A207" s="11" t="s">
        <v>154</v>
      </c>
      <c r="B207" s="11" t="s">
        <v>367</v>
      </c>
      <c r="C207" s="11" t="s">
        <v>320</v>
      </c>
      <c r="D207" s="11" t="s">
        <v>577</v>
      </c>
      <c r="E207" s="11" t="s">
        <v>373</v>
      </c>
      <c r="F207" s="11" t="s">
        <v>793</v>
      </c>
      <c r="G207" s="11" t="s">
        <v>196</v>
      </c>
      <c r="H207" s="11">
        <v>0</v>
      </c>
      <c r="I207" s="11">
        <v>0</v>
      </c>
      <c r="J207" s="11">
        <v>1309071.81</v>
      </c>
      <c r="K207" s="11">
        <v>0</v>
      </c>
      <c r="L207" s="11">
        <v>30</v>
      </c>
      <c r="M207" s="11">
        <v>35</v>
      </c>
      <c r="N207" s="11">
        <v>8</v>
      </c>
      <c r="O207" s="11">
        <v>38</v>
      </c>
      <c r="P207" s="11">
        <v>3</v>
      </c>
      <c r="Q207" s="11">
        <v>693183.18</v>
      </c>
      <c r="R207" s="11">
        <v>615888.63</v>
      </c>
      <c r="S207" s="11">
        <v>22</v>
      </c>
      <c r="T207" s="11">
        <v>8</v>
      </c>
      <c r="U207" s="11">
        <v>30</v>
      </c>
      <c r="V207" s="11">
        <v>0</v>
      </c>
      <c r="W207" s="11">
        <v>133</v>
      </c>
      <c r="X207" s="11">
        <v>191</v>
      </c>
      <c r="Y207" s="11">
        <v>139</v>
      </c>
      <c r="Z207" s="11">
        <v>2</v>
      </c>
      <c r="AA207" s="11">
        <v>41</v>
      </c>
      <c r="AB207" s="11">
        <v>0</v>
      </c>
      <c r="AC207" s="11">
        <v>0</v>
      </c>
      <c r="AD207" s="11">
        <v>1</v>
      </c>
      <c r="AE207" s="11">
        <v>1</v>
      </c>
      <c r="AF207" s="11">
        <v>143</v>
      </c>
      <c r="AG207" s="11">
        <v>376</v>
      </c>
      <c r="AH207" s="11">
        <v>63</v>
      </c>
      <c r="AI207" s="11">
        <v>20779</v>
      </c>
      <c r="AJ207" s="11">
        <v>6</v>
      </c>
      <c r="AK207" s="11">
        <v>24120</v>
      </c>
      <c r="AL207" s="11">
        <v>0</v>
      </c>
      <c r="AM207" s="11">
        <v>1.84E-2</v>
      </c>
      <c r="AN207" s="11">
        <v>43636</v>
      </c>
      <c r="AO207" s="11">
        <v>0</v>
      </c>
      <c r="AP207" s="11">
        <v>0</v>
      </c>
      <c r="AQ207" s="11">
        <v>52</v>
      </c>
      <c r="AR207" s="11">
        <v>608</v>
      </c>
      <c r="AS207" s="11">
        <v>2311.29</v>
      </c>
      <c r="AT207" s="11">
        <v>8</v>
      </c>
      <c r="AU207" s="11">
        <v>66</v>
      </c>
      <c r="AV207" s="11">
        <v>30</v>
      </c>
      <c r="AW207" s="11">
        <v>6</v>
      </c>
      <c r="AX207" s="11">
        <v>2</v>
      </c>
      <c r="AY207" s="11" t="s">
        <v>684</v>
      </c>
    </row>
    <row r="208" spans="1:51">
      <c r="A208" s="11" t="s">
        <v>120</v>
      </c>
      <c r="B208" s="11" t="s">
        <v>206</v>
      </c>
      <c r="C208" s="11" t="s">
        <v>321</v>
      </c>
      <c r="D208" s="11" t="s">
        <v>206</v>
      </c>
      <c r="E208" s="11" t="s">
        <v>659</v>
      </c>
      <c r="F208" s="150">
        <v>45755</v>
      </c>
      <c r="G208" s="11" t="s">
        <v>120</v>
      </c>
      <c r="H208" s="11">
        <v>0</v>
      </c>
      <c r="I208" s="11">
        <v>0</v>
      </c>
      <c r="J208" s="11">
        <v>0</v>
      </c>
      <c r="K208" s="11">
        <v>0</v>
      </c>
      <c r="L208" s="11">
        <v>1</v>
      </c>
      <c r="M208" s="11">
        <v>0</v>
      </c>
      <c r="N208" s="11">
        <v>1</v>
      </c>
      <c r="O208" s="11">
        <v>2</v>
      </c>
      <c r="P208" s="11">
        <v>2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10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34600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0</v>
      </c>
      <c r="AW208" s="11">
        <v>0</v>
      </c>
      <c r="AX208" s="11">
        <v>2</v>
      </c>
      <c r="AY208" s="11" t="s">
        <v>794</v>
      </c>
    </row>
    <row r="209" spans="1:51">
      <c r="A209" s="11" t="s">
        <v>118</v>
      </c>
      <c r="B209" s="11" t="s">
        <v>362</v>
      </c>
      <c r="C209" s="11" t="s">
        <v>322</v>
      </c>
      <c r="D209" s="11" t="s">
        <v>419</v>
      </c>
      <c r="E209" s="11" t="s">
        <v>539</v>
      </c>
      <c r="F209" s="150">
        <v>45846</v>
      </c>
      <c r="G209" s="11" t="s">
        <v>29</v>
      </c>
      <c r="H209" s="11">
        <v>0</v>
      </c>
      <c r="I209" s="11">
        <v>0</v>
      </c>
      <c r="J209" s="11">
        <v>0</v>
      </c>
      <c r="K209" s="11">
        <v>0</v>
      </c>
      <c r="L209" s="11">
        <v>59</v>
      </c>
      <c r="M209" s="11">
        <v>0</v>
      </c>
      <c r="N209" s="11">
        <v>1</v>
      </c>
      <c r="O209" s="11">
        <v>60</v>
      </c>
      <c r="P209" s="11">
        <v>60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12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33570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60</v>
      </c>
      <c r="AY209" s="151">
        <v>45941</v>
      </c>
    </row>
    <row r="210" spans="1:51">
      <c r="A210" s="11" t="s">
        <v>120</v>
      </c>
      <c r="B210" s="11" t="s">
        <v>286</v>
      </c>
      <c r="C210" s="11" t="s">
        <v>323</v>
      </c>
      <c r="D210" s="11" t="s">
        <v>631</v>
      </c>
      <c r="E210" s="11" t="s">
        <v>357</v>
      </c>
      <c r="F210" s="11" t="s">
        <v>748</v>
      </c>
      <c r="G210" s="11" t="s">
        <v>120</v>
      </c>
      <c r="H210" s="11">
        <v>0</v>
      </c>
      <c r="I210" s="11">
        <v>3600000</v>
      </c>
      <c r="J210" s="11">
        <v>3091062.98</v>
      </c>
      <c r="K210" s="11">
        <v>0</v>
      </c>
      <c r="L210" s="11">
        <v>149</v>
      </c>
      <c r="M210" s="11">
        <v>130</v>
      </c>
      <c r="N210" s="11">
        <v>18</v>
      </c>
      <c r="O210" s="11">
        <v>167</v>
      </c>
      <c r="P210" s="11">
        <v>37</v>
      </c>
      <c r="Q210" s="11">
        <v>2332230.62</v>
      </c>
      <c r="R210" s="11">
        <v>758832.36</v>
      </c>
      <c r="S210" s="11">
        <v>58</v>
      </c>
      <c r="T210" s="11">
        <v>18</v>
      </c>
      <c r="U210" s="11">
        <v>76</v>
      </c>
      <c r="V210" s="11">
        <v>0</v>
      </c>
      <c r="W210" s="11">
        <v>41</v>
      </c>
      <c r="X210" s="11">
        <v>73</v>
      </c>
      <c r="Y210" s="11">
        <v>73</v>
      </c>
      <c r="Z210" s="11">
        <v>3</v>
      </c>
      <c r="AA210" s="11">
        <v>23</v>
      </c>
      <c r="AB210" s="11">
        <v>0</v>
      </c>
      <c r="AC210" s="11">
        <v>0</v>
      </c>
      <c r="AD210" s="11">
        <v>0</v>
      </c>
      <c r="AE210" s="11">
        <v>0</v>
      </c>
      <c r="AF210" s="11">
        <v>432</v>
      </c>
      <c r="AG210" s="11">
        <v>528</v>
      </c>
      <c r="AH210" s="11">
        <v>74</v>
      </c>
      <c r="AI210" s="11">
        <v>41771</v>
      </c>
      <c r="AJ210" s="11">
        <v>7</v>
      </c>
      <c r="AK210" s="11">
        <v>28835</v>
      </c>
      <c r="AL210" s="11">
        <v>0</v>
      </c>
      <c r="AM210" s="11">
        <v>9.2999999999999992E-3</v>
      </c>
      <c r="AN210" s="11">
        <v>40672</v>
      </c>
      <c r="AO210" s="11">
        <v>0.86</v>
      </c>
      <c r="AP210" s="11">
        <v>0</v>
      </c>
      <c r="AQ210" s="11">
        <v>134</v>
      </c>
      <c r="AR210" s="11">
        <v>721</v>
      </c>
      <c r="AS210" s="11">
        <v>3431.12</v>
      </c>
      <c r="AT210" s="11">
        <v>18</v>
      </c>
      <c r="AU210" s="11">
        <v>26</v>
      </c>
      <c r="AV210" s="11">
        <v>76</v>
      </c>
      <c r="AW210" s="11">
        <v>56</v>
      </c>
      <c r="AX210" s="11">
        <v>35</v>
      </c>
      <c r="AY210" s="11" t="s">
        <v>684</v>
      </c>
    </row>
    <row r="211" spans="1:51">
      <c r="A211" s="11" t="s">
        <v>124</v>
      </c>
      <c r="B211" s="11" t="s">
        <v>443</v>
      </c>
      <c r="C211" s="11" t="s">
        <v>324</v>
      </c>
      <c r="D211" s="11" t="s">
        <v>517</v>
      </c>
      <c r="E211" s="11" t="s">
        <v>524</v>
      </c>
      <c r="F211" s="11" t="s">
        <v>748</v>
      </c>
      <c r="G211" s="11" t="s">
        <v>142</v>
      </c>
      <c r="H211" s="11">
        <v>0</v>
      </c>
      <c r="I211" s="11">
        <v>0</v>
      </c>
      <c r="J211" s="11">
        <v>1657345.86</v>
      </c>
      <c r="K211" s="11">
        <v>0</v>
      </c>
      <c r="L211" s="11">
        <v>65</v>
      </c>
      <c r="M211" s="11">
        <v>52</v>
      </c>
      <c r="N211" s="11">
        <v>2</v>
      </c>
      <c r="O211" s="11">
        <v>67</v>
      </c>
      <c r="P211" s="11">
        <v>15</v>
      </c>
      <c r="Q211" s="11">
        <v>1577604.26</v>
      </c>
      <c r="R211" s="11">
        <v>79741.600000000006</v>
      </c>
      <c r="S211" s="11">
        <v>19</v>
      </c>
      <c r="T211" s="11">
        <v>2</v>
      </c>
      <c r="U211" s="11">
        <v>21</v>
      </c>
      <c r="V211" s="11">
        <v>0</v>
      </c>
      <c r="W211" s="11">
        <v>47</v>
      </c>
      <c r="X211" s="11">
        <v>61</v>
      </c>
      <c r="Y211" s="11">
        <v>68</v>
      </c>
      <c r="Z211" s="11">
        <v>1</v>
      </c>
      <c r="AA211" s="11">
        <v>32</v>
      </c>
      <c r="AB211" s="11">
        <v>0</v>
      </c>
      <c r="AC211" s="11">
        <v>0</v>
      </c>
      <c r="AD211" s="11">
        <v>3</v>
      </c>
      <c r="AE211" s="11">
        <v>6</v>
      </c>
      <c r="AF211" s="11">
        <v>168</v>
      </c>
      <c r="AG211" s="11">
        <v>267</v>
      </c>
      <c r="AH211" s="11">
        <v>66</v>
      </c>
      <c r="AI211" s="11">
        <v>25111</v>
      </c>
      <c r="AJ211" s="11">
        <v>4</v>
      </c>
      <c r="AK211" s="11">
        <v>40885</v>
      </c>
      <c r="AL211" s="11">
        <v>0</v>
      </c>
      <c r="AM211" s="11">
        <v>2.47E-2</v>
      </c>
      <c r="AN211" s="11">
        <v>78921</v>
      </c>
      <c r="AO211" s="11">
        <v>0</v>
      </c>
      <c r="AP211" s="11">
        <v>0</v>
      </c>
      <c r="AQ211" s="11">
        <v>47</v>
      </c>
      <c r="AR211" s="11">
        <v>741</v>
      </c>
      <c r="AS211" s="11">
        <v>3156.54</v>
      </c>
      <c r="AT211" s="11">
        <v>2</v>
      </c>
      <c r="AU211" s="11">
        <v>61</v>
      </c>
      <c r="AV211" s="11">
        <v>21</v>
      </c>
      <c r="AW211" s="11">
        <v>33</v>
      </c>
      <c r="AX211" s="11">
        <v>13</v>
      </c>
      <c r="AY211" s="11" t="s">
        <v>684</v>
      </c>
    </row>
    <row r="212" spans="1:51">
      <c r="A212" s="11" t="s">
        <v>108</v>
      </c>
      <c r="B212" s="11" t="s">
        <v>465</v>
      </c>
      <c r="C212" s="11" t="s">
        <v>325</v>
      </c>
      <c r="D212" s="11" t="s">
        <v>621</v>
      </c>
      <c r="E212" s="11" t="s">
        <v>660</v>
      </c>
      <c r="F212" s="11" t="s">
        <v>795</v>
      </c>
      <c r="G212" s="11" t="s">
        <v>108</v>
      </c>
      <c r="H212" s="11">
        <v>0</v>
      </c>
      <c r="I212" s="11">
        <v>3770000</v>
      </c>
      <c r="J212" s="11">
        <v>771663</v>
      </c>
      <c r="K212" s="11">
        <v>0</v>
      </c>
      <c r="L212" s="11">
        <v>47</v>
      </c>
      <c r="M212" s="11">
        <v>45</v>
      </c>
      <c r="N212" s="11">
        <v>1</v>
      </c>
      <c r="O212" s="11">
        <v>48</v>
      </c>
      <c r="P212" s="11">
        <v>3</v>
      </c>
      <c r="Q212" s="11">
        <v>698991</v>
      </c>
      <c r="R212" s="11">
        <v>72672</v>
      </c>
      <c r="S212" s="11">
        <v>11</v>
      </c>
      <c r="T212" s="11">
        <v>1</v>
      </c>
      <c r="U212" s="11">
        <v>12</v>
      </c>
      <c r="V212" s="11">
        <v>0</v>
      </c>
      <c r="W212" s="11">
        <v>13</v>
      </c>
      <c r="X212" s="11">
        <v>26</v>
      </c>
      <c r="Y212" s="11">
        <v>7</v>
      </c>
      <c r="Z212" s="11">
        <v>1</v>
      </c>
      <c r="AA212" s="11">
        <v>1</v>
      </c>
      <c r="AB212" s="11">
        <v>0</v>
      </c>
      <c r="AC212" s="11">
        <v>0</v>
      </c>
      <c r="AD212" s="11">
        <v>0</v>
      </c>
      <c r="AE212" s="11">
        <v>0</v>
      </c>
      <c r="AF212" s="11">
        <v>278</v>
      </c>
      <c r="AG212" s="11">
        <v>305</v>
      </c>
      <c r="AH212" s="11">
        <v>64</v>
      </c>
      <c r="AI212" s="11">
        <v>12057</v>
      </c>
      <c r="AJ212" s="11">
        <v>5</v>
      </c>
      <c r="AK212" s="11">
        <v>36190</v>
      </c>
      <c r="AL212" s="11">
        <v>0</v>
      </c>
      <c r="AM212" s="11">
        <v>4.6899999999999997E-2</v>
      </c>
      <c r="AN212" s="11">
        <v>64305</v>
      </c>
      <c r="AO212" s="11">
        <v>0.2</v>
      </c>
      <c r="AP212" s="11">
        <v>0</v>
      </c>
      <c r="AQ212" s="11">
        <v>20</v>
      </c>
      <c r="AR212" s="11">
        <v>496</v>
      </c>
      <c r="AS212" s="11">
        <v>1830.62</v>
      </c>
      <c r="AT212" s="11">
        <v>1</v>
      </c>
      <c r="AU212" s="11">
        <v>41</v>
      </c>
      <c r="AV212" s="11">
        <v>12</v>
      </c>
      <c r="AW212" s="11">
        <v>33</v>
      </c>
      <c r="AX212" s="11">
        <v>3</v>
      </c>
      <c r="AY212" s="11" t="s">
        <v>684</v>
      </c>
    </row>
    <row r="213" spans="1:51">
      <c r="A213" s="11" t="s">
        <v>118</v>
      </c>
      <c r="B213" s="11" t="s">
        <v>362</v>
      </c>
      <c r="C213" s="11" t="s">
        <v>326</v>
      </c>
      <c r="D213" s="11" t="s">
        <v>419</v>
      </c>
      <c r="E213" s="11" t="s">
        <v>661</v>
      </c>
      <c r="F213" s="11" t="s">
        <v>795</v>
      </c>
      <c r="G213" s="11" t="s">
        <v>29</v>
      </c>
      <c r="H213" s="11">
        <v>0</v>
      </c>
      <c r="I213" s="11">
        <v>4500000</v>
      </c>
      <c r="J213" s="11">
        <v>598730.18999999994</v>
      </c>
      <c r="K213" s="11">
        <v>0</v>
      </c>
      <c r="L213" s="11">
        <v>95</v>
      </c>
      <c r="M213" s="11">
        <v>78</v>
      </c>
      <c r="N213" s="11">
        <v>0</v>
      </c>
      <c r="O213" s="11">
        <v>95</v>
      </c>
      <c r="P213" s="11">
        <v>17</v>
      </c>
      <c r="Q213" s="11">
        <v>598730.18999999994</v>
      </c>
      <c r="R213" s="11">
        <v>0</v>
      </c>
      <c r="S213" s="11">
        <v>13</v>
      </c>
      <c r="T213" s="11">
        <v>0</v>
      </c>
      <c r="U213" s="11">
        <v>13</v>
      </c>
      <c r="V213" s="11">
        <v>0</v>
      </c>
      <c r="W213" s="11">
        <v>7</v>
      </c>
      <c r="X213" s="11">
        <v>7</v>
      </c>
      <c r="Y213" s="11">
        <v>2</v>
      </c>
      <c r="Z213" s="11">
        <v>1</v>
      </c>
      <c r="AA213" s="11">
        <v>17</v>
      </c>
      <c r="AB213" s="11">
        <v>0</v>
      </c>
      <c r="AC213" s="11">
        <v>0</v>
      </c>
      <c r="AD213" s="11">
        <v>0</v>
      </c>
      <c r="AE213" s="11">
        <v>0</v>
      </c>
      <c r="AF213" s="11">
        <v>260</v>
      </c>
      <c r="AG213" s="11">
        <v>284</v>
      </c>
      <c r="AH213" s="11">
        <v>65</v>
      </c>
      <c r="AI213" s="11">
        <v>9211</v>
      </c>
      <c r="AJ213" s="11">
        <v>4</v>
      </c>
      <c r="AK213" s="11">
        <v>27260</v>
      </c>
      <c r="AL213" s="11">
        <v>0</v>
      </c>
      <c r="AM213" s="11">
        <v>4.5499999999999999E-2</v>
      </c>
      <c r="AN213" s="11">
        <v>46056</v>
      </c>
      <c r="AO213" s="11">
        <v>0.13</v>
      </c>
      <c r="AP213" s="11">
        <v>0</v>
      </c>
      <c r="AQ213" s="11">
        <v>15</v>
      </c>
      <c r="AR213" s="11">
        <v>527</v>
      </c>
      <c r="AS213" s="11">
        <v>2269.0700000000002</v>
      </c>
      <c r="AT213" s="11">
        <v>0</v>
      </c>
      <c r="AU213" s="11">
        <v>29</v>
      </c>
      <c r="AV213" s="11">
        <v>13</v>
      </c>
      <c r="AW213" s="11">
        <v>66</v>
      </c>
      <c r="AX213" s="11">
        <v>16</v>
      </c>
      <c r="AY213" s="11" t="s">
        <v>684</v>
      </c>
    </row>
    <row r="214" spans="1:51">
      <c r="A214" s="11" t="s">
        <v>124</v>
      </c>
      <c r="B214" s="11" t="s">
        <v>443</v>
      </c>
      <c r="C214" s="11" t="s">
        <v>327</v>
      </c>
      <c r="D214" s="11" t="s">
        <v>517</v>
      </c>
      <c r="E214" s="11" t="s">
        <v>537</v>
      </c>
      <c r="F214" s="150">
        <v>45939</v>
      </c>
      <c r="G214" s="11" t="s">
        <v>124</v>
      </c>
      <c r="H214" s="11">
        <v>0</v>
      </c>
      <c r="I214" s="11">
        <v>0</v>
      </c>
      <c r="J214" s="11">
        <v>1177710.94</v>
      </c>
      <c r="K214" s="11">
        <v>0</v>
      </c>
      <c r="L214" s="11">
        <v>45</v>
      </c>
      <c r="M214" s="11">
        <v>78</v>
      </c>
      <c r="N214" s="11">
        <v>47</v>
      </c>
      <c r="O214" s="11">
        <v>92</v>
      </c>
      <c r="P214" s="11">
        <v>14</v>
      </c>
      <c r="Q214" s="11">
        <v>601064.9</v>
      </c>
      <c r="R214" s="11">
        <v>576646.04</v>
      </c>
      <c r="S214" s="11">
        <v>26</v>
      </c>
      <c r="T214" s="11">
        <v>46</v>
      </c>
      <c r="U214" s="11">
        <v>72</v>
      </c>
      <c r="V214" s="11">
        <v>0</v>
      </c>
      <c r="W214" s="11">
        <v>108</v>
      </c>
      <c r="X214" s="11">
        <v>141</v>
      </c>
      <c r="Y214" s="11">
        <v>82</v>
      </c>
      <c r="Z214" s="11">
        <v>3</v>
      </c>
      <c r="AA214" s="11">
        <v>18</v>
      </c>
      <c r="AB214" s="11">
        <v>0</v>
      </c>
      <c r="AC214" s="11">
        <v>0</v>
      </c>
      <c r="AD214" s="11">
        <v>4</v>
      </c>
      <c r="AE214" s="11">
        <v>14</v>
      </c>
      <c r="AF214" s="11">
        <v>325</v>
      </c>
      <c r="AG214" s="11">
        <v>498</v>
      </c>
      <c r="AH214" s="11">
        <v>59</v>
      </c>
      <c r="AI214" s="11">
        <v>19961</v>
      </c>
      <c r="AJ214" s="11">
        <v>8</v>
      </c>
      <c r="AK214" s="11">
        <v>40885</v>
      </c>
      <c r="AL214" s="11">
        <v>0</v>
      </c>
      <c r="AM214" s="11">
        <v>3.4700000000000002E-2</v>
      </c>
      <c r="AN214" s="11">
        <v>16357</v>
      </c>
      <c r="AO214" s="11">
        <v>0</v>
      </c>
      <c r="AP214" s="11">
        <v>0</v>
      </c>
      <c r="AQ214" s="11">
        <v>118</v>
      </c>
      <c r="AR214" s="11">
        <v>540</v>
      </c>
      <c r="AS214" s="11">
        <v>2109.17</v>
      </c>
      <c r="AT214" s="11">
        <v>46</v>
      </c>
      <c r="AU214" s="11">
        <v>27</v>
      </c>
      <c r="AV214" s="11">
        <v>72</v>
      </c>
      <c r="AW214" s="11">
        <v>10</v>
      </c>
      <c r="AX214" s="11">
        <v>10</v>
      </c>
      <c r="AY214" s="11" t="s">
        <v>684</v>
      </c>
    </row>
    <row r="215" spans="1:51">
      <c r="A215" s="11" t="s">
        <v>120</v>
      </c>
      <c r="B215" s="11" t="s">
        <v>206</v>
      </c>
      <c r="C215" s="11" t="s">
        <v>328</v>
      </c>
      <c r="D215" s="11" t="s">
        <v>206</v>
      </c>
      <c r="E215" s="11" t="s">
        <v>659</v>
      </c>
      <c r="F215" s="11" t="s">
        <v>796</v>
      </c>
      <c r="G215" s="11" t="s">
        <v>120</v>
      </c>
      <c r="H215" s="11">
        <v>0</v>
      </c>
      <c r="I215" s="11">
        <v>2400000</v>
      </c>
      <c r="J215" s="11">
        <v>169219.13</v>
      </c>
      <c r="K215" s="11">
        <v>0</v>
      </c>
      <c r="L215" s="11">
        <v>36</v>
      </c>
      <c r="M215" s="11">
        <v>38</v>
      </c>
      <c r="N215" s="11">
        <v>6</v>
      </c>
      <c r="O215" s="11">
        <v>42</v>
      </c>
      <c r="P215" s="11">
        <v>4</v>
      </c>
      <c r="Q215" s="11">
        <v>112900.09</v>
      </c>
      <c r="R215" s="11">
        <v>56319.040000000001</v>
      </c>
      <c r="S215" s="11">
        <v>7</v>
      </c>
      <c r="T215" s="11">
        <v>6</v>
      </c>
      <c r="U215" s="11">
        <v>13</v>
      </c>
      <c r="V215" s="11">
        <v>0</v>
      </c>
      <c r="W215" s="11">
        <v>101</v>
      </c>
      <c r="X215" s="11">
        <v>211</v>
      </c>
      <c r="Y215" s="11">
        <v>69</v>
      </c>
      <c r="Z215" s="11">
        <v>2</v>
      </c>
      <c r="AA215" s="11">
        <v>24</v>
      </c>
      <c r="AB215" s="11">
        <v>1</v>
      </c>
      <c r="AC215" s="11">
        <v>1</v>
      </c>
      <c r="AD215" s="11">
        <v>2</v>
      </c>
      <c r="AE215" s="11">
        <v>14</v>
      </c>
      <c r="AF215" s="11">
        <v>114</v>
      </c>
      <c r="AG215" s="11">
        <v>364</v>
      </c>
      <c r="AH215" s="11">
        <v>45</v>
      </c>
      <c r="AI215" s="11">
        <v>3760</v>
      </c>
      <c r="AJ215" s="11">
        <v>8</v>
      </c>
      <c r="AK215" s="11">
        <v>32500</v>
      </c>
      <c r="AL215" s="11">
        <v>0</v>
      </c>
      <c r="AM215" s="11">
        <v>0.19209999999999999</v>
      </c>
      <c r="AN215" s="11">
        <v>13017</v>
      </c>
      <c r="AO215" s="11">
        <v>7.0000000000000007E-2</v>
      </c>
      <c r="AP215" s="11">
        <v>0</v>
      </c>
      <c r="AQ215" s="11">
        <v>17</v>
      </c>
      <c r="AR215" s="11">
        <v>376</v>
      </c>
      <c r="AS215" s="11">
        <v>567.99</v>
      </c>
      <c r="AT215" s="11">
        <v>6</v>
      </c>
      <c r="AU215" s="11">
        <v>15</v>
      </c>
      <c r="AV215" s="11">
        <v>13</v>
      </c>
      <c r="AW215" s="11">
        <v>25</v>
      </c>
      <c r="AX215" s="11">
        <v>4</v>
      </c>
      <c r="AY215" s="11" t="s">
        <v>756</v>
      </c>
    </row>
    <row r="216" spans="1:51">
      <c r="A216" s="11" t="s">
        <v>154</v>
      </c>
      <c r="B216" s="11" t="s">
        <v>370</v>
      </c>
      <c r="C216" s="11" t="s">
        <v>329</v>
      </c>
      <c r="D216" s="11" t="s">
        <v>542</v>
      </c>
      <c r="E216" s="11" t="s">
        <v>662</v>
      </c>
      <c r="F216" s="11" t="s">
        <v>797</v>
      </c>
      <c r="G216" s="11" t="s">
        <v>196</v>
      </c>
      <c r="H216" s="11">
        <v>0</v>
      </c>
      <c r="I216" s="11">
        <v>2000000</v>
      </c>
      <c r="J216" s="11">
        <v>0</v>
      </c>
      <c r="K216" s="11">
        <v>0</v>
      </c>
      <c r="L216" s="11">
        <v>18</v>
      </c>
      <c r="M216" s="11">
        <v>10</v>
      </c>
      <c r="N216" s="11">
        <v>0</v>
      </c>
      <c r="O216" s="11">
        <v>18</v>
      </c>
      <c r="P216" s="11">
        <v>8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100</v>
      </c>
      <c r="X216" s="11">
        <v>141</v>
      </c>
      <c r="Y216" s="11">
        <v>80</v>
      </c>
      <c r="Z216" s="11">
        <v>2</v>
      </c>
      <c r="AA216" s="11">
        <v>5</v>
      </c>
      <c r="AB216" s="11">
        <v>0</v>
      </c>
      <c r="AC216" s="11">
        <v>0</v>
      </c>
      <c r="AD216" s="11">
        <v>6</v>
      </c>
      <c r="AE216" s="11">
        <v>11</v>
      </c>
      <c r="AF216" s="11">
        <v>21</v>
      </c>
      <c r="AG216" s="11">
        <v>178</v>
      </c>
      <c r="AH216" s="11">
        <v>43</v>
      </c>
      <c r="AI216" s="11">
        <v>0</v>
      </c>
      <c r="AJ216" s="11">
        <v>4</v>
      </c>
      <c r="AK216" s="11">
        <v>41430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379</v>
      </c>
      <c r="AS216" s="11">
        <v>702.55</v>
      </c>
      <c r="AT216" s="11">
        <v>0</v>
      </c>
      <c r="AU216" s="11">
        <v>70</v>
      </c>
      <c r="AV216" s="11">
        <v>0</v>
      </c>
      <c r="AW216" s="11">
        <v>10</v>
      </c>
      <c r="AX216" s="11">
        <v>8</v>
      </c>
      <c r="AY216" s="11" t="s">
        <v>798</v>
      </c>
    </row>
    <row r="217" spans="1:51">
      <c r="A217" s="11" t="s">
        <v>124</v>
      </c>
      <c r="B217" s="11" t="s">
        <v>443</v>
      </c>
      <c r="C217" s="11" t="s">
        <v>330</v>
      </c>
      <c r="D217" s="11" t="s">
        <v>517</v>
      </c>
      <c r="E217" s="11" t="s">
        <v>663</v>
      </c>
      <c r="F217" s="150">
        <v>45818</v>
      </c>
      <c r="G217" s="11" t="s">
        <v>142</v>
      </c>
      <c r="H217" s="11">
        <v>0</v>
      </c>
      <c r="I217" s="11">
        <v>0</v>
      </c>
      <c r="J217" s="11">
        <v>405391.24</v>
      </c>
      <c r="K217" s="11">
        <v>0</v>
      </c>
      <c r="L217" s="11">
        <v>19</v>
      </c>
      <c r="M217" s="11">
        <v>39</v>
      </c>
      <c r="N217" s="11">
        <v>24</v>
      </c>
      <c r="O217" s="11">
        <v>43</v>
      </c>
      <c r="P217" s="11">
        <v>4</v>
      </c>
      <c r="Q217" s="11">
        <v>76016</v>
      </c>
      <c r="R217" s="11">
        <v>329375.24</v>
      </c>
      <c r="S217" s="11">
        <v>7</v>
      </c>
      <c r="T217" s="11">
        <v>24</v>
      </c>
      <c r="U217" s="11">
        <v>31</v>
      </c>
      <c r="V217" s="11">
        <v>0</v>
      </c>
      <c r="W217" s="11">
        <v>102</v>
      </c>
      <c r="X217" s="11">
        <v>213</v>
      </c>
      <c r="Y217" s="11">
        <v>38</v>
      </c>
      <c r="Z217" s="11">
        <v>2</v>
      </c>
      <c r="AA217" s="11">
        <v>10</v>
      </c>
      <c r="AB217" s="11">
        <v>1</v>
      </c>
      <c r="AC217" s="11">
        <v>1</v>
      </c>
      <c r="AD217" s="11">
        <v>1</v>
      </c>
      <c r="AE217" s="11">
        <v>1</v>
      </c>
      <c r="AF217" s="11">
        <v>158</v>
      </c>
      <c r="AG217" s="11">
        <v>383</v>
      </c>
      <c r="AH217" s="11">
        <v>67</v>
      </c>
      <c r="AI217" s="11">
        <v>6051</v>
      </c>
      <c r="AJ217" s="11">
        <v>6</v>
      </c>
      <c r="AK217" s="11">
        <v>34100</v>
      </c>
      <c r="AL217" s="11">
        <v>0</v>
      </c>
      <c r="AM217" s="11">
        <v>8.4099999999999994E-2</v>
      </c>
      <c r="AN217" s="11">
        <v>13077</v>
      </c>
      <c r="AO217" s="11">
        <v>0</v>
      </c>
      <c r="AP217" s="11">
        <v>0</v>
      </c>
      <c r="AQ217" s="11">
        <v>41</v>
      </c>
      <c r="AR217" s="11">
        <v>614</v>
      </c>
      <c r="AS217" s="11">
        <v>1947.71</v>
      </c>
      <c r="AT217" s="11">
        <v>24</v>
      </c>
      <c r="AU217" s="11">
        <v>50</v>
      </c>
      <c r="AV217" s="11">
        <v>31</v>
      </c>
      <c r="AW217" s="11">
        <v>8</v>
      </c>
      <c r="AX217" s="11">
        <v>4</v>
      </c>
      <c r="AY217" s="11" t="s">
        <v>684</v>
      </c>
    </row>
    <row r="218" spans="1:51">
      <c r="A218" s="11" t="s">
        <v>108</v>
      </c>
      <c r="B218" s="11" t="s">
        <v>465</v>
      </c>
      <c r="C218" s="11" t="s">
        <v>331</v>
      </c>
      <c r="D218" s="11" t="s">
        <v>506</v>
      </c>
      <c r="E218" s="11" t="s">
        <v>489</v>
      </c>
      <c r="F218" s="150">
        <v>45726</v>
      </c>
      <c r="G218" s="11" t="s">
        <v>317</v>
      </c>
      <c r="H218" s="11">
        <v>0</v>
      </c>
      <c r="I218" s="11">
        <v>4500000</v>
      </c>
      <c r="J218" s="11">
        <v>2374311</v>
      </c>
      <c r="K218" s="11">
        <v>0</v>
      </c>
      <c r="L218" s="11">
        <v>64</v>
      </c>
      <c r="M218" s="11">
        <v>64</v>
      </c>
      <c r="N218" s="11">
        <v>5</v>
      </c>
      <c r="O218" s="11">
        <v>69</v>
      </c>
      <c r="P218" s="11">
        <v>5</v>
      </c>
      <c r="Q218" s="11">
        <v>2216007</v>
      </c>
      <c r="R218" s="11">
        <v>158304</v>
      </c>
      <c r="S218" s="11">
        <v>43</v>
      </c>
      <c r="T218" s="11">
        <v>5</v>
      </c>
      <c r="U218" s="11">
        <v>48</v>
      </c>
      <c r="V218" s="11">
        <v>0</v>
      </c>
      <c r="W218" s="11">
        <v>7</v>
      </c>
      <c r="X218" s="11">
        <v>14</v>
      </c>
      <c r="Y218" s="11">
        <v>6</v>
      </c>
      <c r="Z218" s="11">
        <v>1</v>
      </c>
      <c r="AA218" s="11">
        <v>12</v>
      </c>
      <c r="AB218" s="11">
        <v>0</v>
      </c>
      <c r="AC218" s="11">
        <v>0</v>
      </c>
      <c r="AD218" s="11">
        <v>0</v>
      </c>
      <c r="AE218" s="11">
        <v>0</v>
      </c>
      <c r="AF218" s="11">
        <v>547</v>
      </c>
      <c r="AG218" s="11">
        <v>573</v>
      </c>
      <c r="AH218" s="11">
        <v>74</v>
      </c>
      <c r="AI218" s="11">
        <v>32085</v>
      </c>
      <c r="AJ218" s="11">
        <v>8</v>
      </c>
      <c r="AK218" s="11">
        <v>27000</v>
      </c>
      <c r="AL218" s="11">
        <v>0</v>
      </c>
      <c r="AM218" s="11">
        <v>1.14E-2</v>
      </c>
      <c r="AN218" s="11">
        <v>49465</v>
      </c>
      <c r="AO218" s="11">
        <v>0.53</v>
      </c>
      <c r="AP218" s="11">
        <v>0</v>
      </c>
      <c r="AQ218" s="11">
        <v>95</v>
      </c>
      <c r="AR218" s="11">
        <v>756</v>
      </c>
      <c r="AS218" s="11">
        <v>2581.89</v>
      </c>
      <c r="AT218" s="11">
        <v>5</v>
      </c>
      <c r="AU218" s="11">
        <v>40</v>
      </c>
      <c r="AV218" s="11">
        <v>48</v>
      </c>
      <c r="AW218" s="11">
        <v>16</v>
      </c>
      <c r="AX218" s="11">
        <v>5</v>
      </c>
      <c r="AY218" s="11" t="s">
        <v>684</v>
      </c>
    </row>
    <row r="219" spans="1:51">
      <c r="A219" s="11" t="s">
        <v>177</v>
      </c>
      <c r="B219" s="11" t="s">
        <v>458</v>
      </c>
      <c r="C219" s="11" t="s">
        <v>332</v>
      </c>
      <c r="D219" s="11" t="s">
        <v>581</v>
      </c>
      <c r="E219" s="11" t="s">
        <v>664</v>
      </c>
      <c r="F219" s="11" t="s">
        <v>777</v>
      </c>
      <c r="G219" s="11" t="s">
        <v>279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3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24115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 t="s">
        <v>720</v>
      </c>
    </row>
    <row r="220" spans="1:51">
      <c r="A220" s="11" t="s">
        <v>201</v>
      </c>
      <c r="B220" s="11" t="s">
        <v>469</v>
      </c>
      <c r="C220" s="11" t="s">
        <v>333</v>
      </c>
      <c r="D220" s="11" t="s">
        <v>470</v>
      </c>
      <c r="E220" s="11" t="s">
        <v>528</v>
      </c>
      <c r="F220" s="150">
        <v>45727</v>
      </c>
      <c r="G220" s="11" t="s">
        <v>110</v>
      </c>
      <c r="H220" s="11">
        <v>0</v>
      </c>
      <c r="I220" s="11">
        <v>4200000</v>
      </c>
      <c r="J220" s="11">
        <v>970650.3</v>
      </c>
      <c r="K220" s="11">
        <v>252706.54</v>
      </c>
      <c r="L220" s="11">
        <v>74</v>
      </c>
      <c r="M220" s="11">
        <v>71</v>
      </c>
      <c r="N220" s="11">
        <v>7</v>
      </c>
      <c r="O220" s="11">
        <v>81</v>
      </c>
      <c r="P220" s="11">
        <v>10</v>
      </c>
      <c r="Q220" s="11">
        <v>719709.6</v>
      </c>
      <c r="R220" s="11">
        <v>250940.7</v>
      </c>
      <c r="S220" s="11">
        <v>32</v>
      </c>
      <c r="T220" s="11">
        <v>7</v>
      </c>
      <c r="U220" s="11">
        <v>39</v>
      </c>
      <c r="V220" s="11">
        <v>1</v>
      </c>
      <c r="W220" s="11">
        <v>166</v>
      </c>
      <c r="X220" s="11">
        <v>197</v>
      </c>
      <c r="Y220" s="11">
        <v>102</v>
      </c>
      <c r="Z220" s="11">
        <v>2</v>
      </c>
      <c r="AA220" s="11">
        <v>37</v>
      </c>
      <c r="AB220" s="11">
        <v>2</v>
      </c>
      <c r="AC220" s="11">
        <v>5</v>
      </c>
      <c r="AD220" s="11">
        <v>4</v>
      </c>
      <c r="AE220" s="11">
        <v>5</v>
      </c>
      <c r="AF220" s="11">
        <v>208</v>
      </c>
      <c r="AG220" s="11">
        <v>452</v>
      </c>
      <c r="AH220" s="11">
        <v>70</v>
      </c>
      <c r="AI220" s="11">
        <v>13866</v>
      </c>
      <c r="AJ220" s="11">
        <v>6</v>
      </c>
      <c r="AK220" s="11">
        <v>36190</v>
      </c>
      <c r="AL220" s="11">
        <v>0</v>
      </c>
      <c r="AM220" s="11">
        <v>3.73E-2</v>
      </c>
      <c r="AN220" s="11">
        <v>24888</v>
      </c>
      <c r="AO220" s="11">
        <v>0.23</v>
      </c>
      <c r="AP220" s="11">
        <v>0</v>
      </c>
      <c r="AQ220" s="11">
        <v>63</v>
      </c>
      <c r="AR220" s="11">
        <v>735</v>
      </c>
      <c r="AS220" s="11">
        <v>2269.46</v>
      </c>
      <c r="AT220" s="11">
        <v>7</v>
      </c>
      <c r="AU220" s="11">
        <v>32</v>
      </c>
      <c r="AV220" s="11">
        <v>39</v>
      </c>
      <c r="AW220" s="11">
        <v>32</v>
      </c>
      <c r="AX220" s="11">
        <v>10</v>
      </c>
      <c r="AY220" s="11" t="s">
        <v>684</v>
      </c>
    </row>
    <row r="221" spans="1:51">
      <c r="A221" s="11" t="s">
        <v>201</v>
      </c>
      <c r="B221" s="11" t="s">
        <v>431</v>
      </c>
      <c r="C221" s="11" t="s">
        <v>334</v>
      </c>
      <c r="D221" s="11" t="s">
        <v>431</v>
      </c>
      <c r="E221" s="11" t="s">
        <v>580</v>
      </c>
      <c r="F221" s="150">
        <v>45727</v>
      </c>
      <c r="G221" s="11" t="s">
        <v>121</v>
      </c>
      <c r="H221" s="11">
        <v>0</v>
      </c>
      <c r="I221" s="11">
        <v>6000000</v>
      </c>
      <c r="J221" s="11">
        <v>1173537.1299999999</v>
      </c>
      <c r="K221" s="11">
        <v>0</v>
      </c>
      <c r="L221" s="11">
        <v>20</v>
      </c>
      <c r="M221" s="11">
        <v>49</v>
      </c>
      <c r="N221" s="11">
        <v>31</v>
      </c>
      <c r="O221" s="11">
        <v>51</v>
      </c>
      <c r="P221" s="11">
        <v>2</v>
      </c>
      <c r="Q221" s="11">
        <v>221434.7</v>
      </c>
      <c r="R221" s="11">
        <v>952102.43</v>
      </c>
      <c r="S221" s="11">
        <v>9</v>
      </c>
      <c r="T221" s="11">
        <v>31</v>
      </c>
      <c r="U221" s="11">
        <v>40</v>
      </c>
      <c r="V221" s="11">
        <v>0</v>
      </c>
      <c r="W221" s="11">
        <v>47</v>
      </c>
      <c r="X221" s="11">
        <v>75</v>
      </c>
      <c r="Y221" s="11">
        <v>17</v>
      </c>
      <c r="Z221" s="11">
        <v>5</v>
      </c>
      <c r="AA221" s="11">
        <v>48</v>
      </c>
      <c r="AB221" s="11">
        <v>0</v>
      </c>
      <c r="AC221" s="11">
        <v>0</v>
      </c>
      <c r="AD221" s="11">
        <v>21</v>
      </c>
      <c r="AE221" s="11">
        <v>65</v>
      </c>
      <c r="AF221" s="11">
        <v>153</v>
      </c>
      <c r="AG221" s="11">
        <v>341</v>
      </c>
      <c r="AH221" s="11">
        <v>72</v>
      </c>
      <c r="AI221" s="11">
        <v>16299</v>
      </c>
      <c r="AJ221" s="11">
        <v>5</v>
      </c>
      <c r="AK221" s="11">
        <v>65825</v>
      </c>
      <c r="AL221" s="11">
        <v>0</v>
      </c>
      <c r="AM221" s="11">
        <v>5.6099999999999997E-2</v>
      </c>
      <c r="AN221" s="11">
        <v>29338</v>
      </c>
      <c r="AO221" s="11">
        <v>0.2</v>
      </c>
      <c r="AP221" s="11">
        <v>0</v>
      </c>
      <c r="AQ221" s="11">
        <v>76</v>
      </c>
      <c r="AR221" s="11">
        <v>664</v>
      </c>
      <c r="AS221" s="11">
        <v>2023.28</v>
      </c>
      <c r="AT221" s="11">
        <v>31</v>
      </c>
      <c r="AU221" s="11">
        <v>41</v>
      </c>
      <c r="AV221" s="11">
        <v>40</v>
      </c>
      <c r="AW221" s="11">
        <v>9</v>
      </c>
      <c r="AX221" s="11">
        <v>2</v>
      </c>
      <c r="AY221" s="11" t="s">
        <v>684</v>
      </c>
    </row>
    <row r="222" spans="1:51">
      <c r="A222" s="11" t="s">
        <v>154</v>
      </c>
      <c r="B222" s="11" t="s">
        <v>370</v>
      </c>
      <c r="C222" s="11" t="s">
        <v>335</v>
      </c>
      <c r="D222" s="11" t="s">
        <v>542</v>
      </c>
      <c r="E222" s="11" t="s">
        <v>665</v>
      </c>
      <c r="F222" s="150">
        <v>45727</v>
      </c>
      <c r="H222" s="11">
        <v>0</v>
      </c>
      <c r="I222" s="11">
        <v>0</v>
      </c>
      <c r="J222" s="11">
        <v>0</v>
      </c>
      <c r="K222" s="11">
        <v>0</v>
      </c>
      <c r="L222" s="11">
        <v>5</v>
      </c>
      <c r="M222" s="11">
        <v>0</v>
      </c>
      <c r="N222" s="11">
        <v>0</v>
      </c>
      <c r="O222" s="11">
        <v>5</v>
      </c>
      <c r="P222" s="11">
        <v>5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21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24115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5</v>
      </c>
      <c r="AY222" s="151">
        <v>45972</v>
      </c>
    </row>
    <row r="223" spans="1:51">
      <c r="A223" s="11" t="s">
        <v>201</v>
      </c>
      <c r="B223" s="11" t="s">
        <v>469</v>
      </c>
      <c r="C223" s="11" t="s">
        <v>336</v>
      </c>
      <c r="D223" s="11" t="s">
        <v>470</v>
      </c>
      <c r="E223" s="11" t="s">
        <v>799</v>
      </c>
      <c r="F223" s="151">
        <v>45941</v>
      </c>
      <c r="G223" s="11" t="s">
        <v>211</v>
      </c>
      <c r="H223" s="11">
        <v>0</v>
      </c>
      <c r="I223" s="11">
        <v>3600000</v>
      </c>
      <c r="J223" s="11">
        <v>1302692.3799999999</v>
      </c>
      <c r="K223" s="11">
        <v>0</v>
      </c>
      <c r="L223" s="11">
        <v>17</v>
      </c>
      <c r="M223" s="11">
        <v>23</v>
      </c>
      <c r="N223" s="11">
        <v>13</v>
      </c>
      <c r="O223" s="11">
        <v>30</v>
      </c>
      <c r="P223" s="11">
        <v>7</v>
      </c>
      <c r="Q223" s="11">
        <v>127931.84</v>
      </c>
      <c r="R223" s="11">
        <v>1174760.54</v>
      </c>
      <c r="S223" s="11">
        <v>6</v>
      </c>
      <c r="T223" s="11">
        <v>13</v>
      </c>
      <c r="U223" s="11">
        <v>19</v>
      </c>
      <c r="V223" s="11">
        <v>0</v>
      </c>
      <c r="W223" s="11">
        <v>78</v>
      </c>
      <c r="X223" s="11">
        <v>124</v>
      </c>
      <c r="Y223" s="11">
        <v>42</v>
      </c>
      <c r="Z223" s="11">
        <v>1</v>
      </c>
      <c r="AA223" s="11">
        <v>18</v>
      </c>
      <c r="AB223" s="11">
        <v>0</v>
      </c>
      <c r="AC223" s="11">
        <v>0</v>
      </c>
      <c r="AD223" s="11">
        <v>0</v>
      </c>
      <c r="AE223" s="11">
        <v>0</v>
      </c>
      <c r="AF223" s="11">
        <v>53</v>
      </c>
      <c r="AG223" s="11">
        <v>195</v>
      </c>
      <c r="AH223" s="11">
        <v>59</v>
      </c>
      <c r="AI223" s="11">
        <v>22080</v>
      </c>
      <c r="AJ223" s="11">
        <v>3</v>
      </c>
      <c r="AK223" s="11">
        <v>32500</v>
      </c>
      <c r="AL223" s="11">
        <v>0</v>
      </c>
      <c r="AM223" s="11">
        <v>2.4899999999999999E-2</v>
      </c>
      <c r="AN223" s="11">
        <v>68563</v>
      </c>
      <c r="AO223" s="11">
        <v>0.36</v>
      </c>
      <c r="AP223" s="11">
        <v>0</v>
      </c>
      <c r="AQ223" s="11">
        <v>43</v>
      </c>
      <c r="AR223" s="11">
        <v>658</v>
      </c>
      <c r="AS223" s="11">
        <v>5126.7</v>
      </c>
      <c r="AT223" s="11">
        <v>13</v>
      </c>
      <c r="AU223" s="11">
        <v>223</v>
      </c>
      <c r="AV223" s="11">
        <v>19</v>
      </c>
      <c r="AW223" s="11">
        <v>6</v>
      </c>
      <c r="AX223" s="11">
        <v>5</v>
      </c>
      <c r="AY223" s="11" t="s">
        <v>684</v>
      </c>
    </row>
    <row r="224" spans="1:51">
      <c r="A224" s="11" t="s">
        <v>118</v>
      </c>
      <c r="B224" s="11" t="s">
        <v>436</v>
      </c>
      <c r="C224" s="11" t="s">
        <v>337</v>
      </c>
      <c r="D224" s="11" t="s">
        <v>499</v>
      </c>
      <c r="E224" s="11" t="s">
        <v>651</v>
      </c>
      <c r="F224" s="11" t="s">
        <v>800</v>
      </c>
      <c r="G224" s="11" t="s">
        <v>108</v>
      </c>
      <c r="H224" s="11">
        <v>0</v>
      </c>
      <c r="I224" s="11">
        <v>0</v>
      </c>
      <c r="J224" s="11">
        <v>0</v>
      </c>
      <c r="K224" s="11">
        <v>0</v>
      </c>
      <c r="L224" s="11">
        <v>6</v>
      </c>
      <c r="M224" s="11">
        <v>0</v>
      </c>
      <c r="N224" s="11">
        <v>0</v>
      </c>
      <c r="O224" s="11">
        <v>6</v>
      </c>
      <c r="P224" s="11">
        <v>6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30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48765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6</v>
      </c>
      <c r="AY224" s="11" t="s">
        <v>801</v>
      </c>
    </row>
    <row r="225" spans="1:51">
      <c r="A225" s="11" t="s">
        <v>154</v>
      </c>
      <c r="B225" s="11" t="s">
        <v>370</v>
      </c>
      <c r="C225" s="11" t="s">
        <v>338</v>
      </c>
      <c r="D225" s="11" t="s">
        <v>542</v>
      </c>
      <c r="E225" s="11" t="s">
        <v>374</v>
      </c>
      <c r="F225" s="11" t="s">
        <v>802</v>
      </c>
      <c r="G225" s="11" t="s">
        <v>196</v>
      </c>
      <c r="H225" s="11">
        <v>0</v>
      </c>
      <c r="I225" s="11">
        <v>3000000</v>
      </c>
      <c r="J225" s="11">
        <v>409895.87</v>
      </c>
      <c r="K225" s="11">
        <v>0</v>
      </c>
      <c r="L225" s="11">
        <v>36</v>
      </c>
      <c r="M225" s="11">
        <v>35</v>
      </c>
      <c r="N225" s="11">
        <v>4</v>
      </c>
      <c r="O225" s="11">
        <v>40</v>
      </c>
      <c r="P225" s="11">
        <v>5</v>
      </c>
      <c r="Q225" s="11">
        <v>136298.67000000001</v>
      </c>
      <c r="R225" s="11">
        <v>273597.2</v>
      </c>
      <c r="S225" s="11">
        <v>4</v>
      </c>
      <c r="T225" s="11">
        <v>4</v>
      </c>
      <c r="U225" s="11">
        <v>8</v>
      </c>
      <c r="V225" s="11">
        <v>0</v>
      </c>
      <c r="W225" s="11">
        <v>108</v>
      </c>
      <c r="X225" s="11">
        <v>177</v>
      </c>
      <c r="Y225" s="11">
        <v>47</v>
      </c>
      <c r="Z225" s="11">
        <v>3</v>
      </c>
      <c r="AA225" s="11">
        <v>60</v>
      </c>
      <c r="AB225" s="11">
        <v>0</v>
      </c>
      <c r="AC225" s="11">
        <v>0</v>
      </c>
      <c r="AD225" s="11">
        <v>1</v>
      </c>
      <c r="AE225" s="11">
        <v>1</v>
      </c>
      <c r="AF225" s="11">
        <v>169</v>
      </c>
      <c r="AG225" s="11">
        <v>407</v>
      </c>
      <c r="AH225" s="11">
        <v>70</v>
      </c>
      <c r="AI225" s="11">
        <v>5856</v>
      </c>
      <c r="AJ225" s="11">
        <v>6</v>
      </c>
      <c r="AK225" s="11">
        <v>37740</v>
      </c>
      <c r="AL225" s="11">
        <v>0</v>
      </c>
      <c r="AM225" s="11">
        <v>9.2100000000000001E-2</v>
      </c>
      <c r="AN225" s="11">
        <v>51237</v>
      </c>
      <c r="AO225" s="11">
        <v>0.14000000000000001</v>
      </c>
      <c r="AP225" s="11">
        <v>0</v>
      </c>
      <c r="AQ225" s="11">
        <v>16</v>
      </c>
      <c r="AR225" s="11">
        <v>621</v>
      </c>
      <c r="AS225" s="11">
        <v>1385.95</v>
      </c>
      <c r="AT225" s="11">
        <v>4</v>
      </c>
      <c r="AU225" s="11">
        <v>40</v>
      </c>
      <c r="AV225" s="11">
        <v>8</v>
      </c>
      <c r="AW225" s="11">
        <v>27</v>
      </c>
      <c r="AX225" s="11">
        <v>5</v>
      </c>
      <c r="AY225" s="11" t="s">
        <v>684</v>
      </c>
    </row>
    <row r="226" spans="1:51">
      <c r="A226" s="11" t="s">
        <v>154</v>
      </c>
      <c r="B226" s="11" t="s">
        <v>367</v>
      </c>
      <c r="C226" s="11" t="s">
        <v>339</v>
      </c>
      <c r="D226" s="11" t="s">
        <v>577</v>
      </c>
      <c r="E226" s="11" t="s">
        <v>377</v>
      </c>
      <c r="F226" s="150">
        <v>45669</v>
      </c>
      <c r="G226" s="11" t="s">
        <v>196</v>
      </c>
      <c r="H226" s="11">
        <v>0</v>
      </c>
      <c r="I226" s="11">
        <v>1800000</v>
      </c>
      <c r="J226" s="11">
        <v>576720.72</v>
      </c>
      <c r="K226" s="11">
        <v>0</v>
      </c>
      <c r="L226" s="11">
        <v>12</v>
      </c>
      <c r="M226" s="11">
        <v>18</v>
      </c>
      <c r="N226" s="11">
        <v>8</v>
      </c>
      <c r="O226" s="11">
        <v>20</v>
      </c>
      <c r="P226" s="11">
        <v>2</v>
      </c>
      <c r="Q226" s="11">
        <v>101341.21</v>
      </c>
      <c r="R226" s="11">
        <v>475379.51</v>
      </c>
      <c r="S226" s="11">
        <v>2</v>
      </c>
      <c r="T226" s="11">
        <v>8</v>
      </c>
      <c r="U226" s="11">
        <v>10</v>
      </c>
      <c r="V226" s="11">
        <v>0</v>
      </c>
      <c r="W226" s="11">
        <v>229</v>
      </c>
      <c r="X226" s="11">
        <v>432</v>
      </c>
      <c r="Y226" s="11">
        <v>66</v>
      </c>
      <c r="Z226" s="11">
        <v>3</v>
      </c>
      <c r="AA226" s="11">
        <v>21</v>
      </c>
      <c r="AB226" s="11">
        <v>0</v>
      </c>
      <c r="AC226" s="11">
        <v>0</v>
      </c>
      <c r="AD226" s="11">
        <v>2</v>
      </c>
      <c r="AE226" s="11">
        <v>10</v>
      </c>
      <c r="AF226" s="11">
        <v>81</v>
      </c>
      <c r="AG226" s="11">
        <v>544</v>
      </c>
      <c r="AH226" s="11">
        <v>69</v>
      </c>
      <c r="AI226" s="11">
        <v>8358</v>
      </c>
      <c r="AJ226" s="11">
        <v>8</v>
      </c>
      <c r="AK226" s="11">
        <v>28834</v>
      </c>
      <c r="AL226" s="11">
        <v>0</v>
      </c>
      <c r="AM226" s="11">
        <v>0.05</v>
      </c>
      <c r="AN226" s="11">
        <v>57672</v>
      </c>
      <c r="AO226" s="11">
        <v>0.32</v>
      </c>
      <c r="AP226" s="11">
        <v>0</v>
      </c>
      <c r="AQ226" s="11">
        <v>13</v>
      </c>
      <c r="AR226" s="11">
        <v>673</v>
      </c>
      <c r="AS226" s="11">
        <v>3258.35</v>
      </c>
      <c r="AT226" s="11">
        <v>8</v>
      </c>
      <c r="AU226" s="11">
        <v>181</v>
      </c>
      <c r="AV226" s="11">
        <v>10</v>
      </c>
      <c r="AW226" s="11">
        <v>10</v>
      </c>
      <c r="AX226" s="11">
        <v>0</v>
      </c>
      <c r="AY226" s="11" t="s">
        <v>684</v>
      </c>
    </row>
    <row r="227" spans="1:51">
      <c r="A227" s="11" t="s">
        <v>154</v>
      </c>
      <c r="B227" s="11" t="s">
        <v>370</v>
      </c>
      <c r="C227" s="11" t="s">
        <v>340</v>
      </c>
      <c r="D227" s="11" t="s">
        <v>542</v>
      </c>
      <c r="E227" s="11" t="s">
        <v>376</v>
      </c>
      <c r="F227" s="150">
        <v>45669</v>
      </c>
      <c r="G227" s="11" t="s">
        <v>196</v>
      </c>
      <c r="H227" s="11">
        <v>0</v>
      </c>
      <c r="I227" s="11">
        <v>1500000</v>
      </c>
      <c r="J227" s="11">
        <v>0</v>
      </c>
      <c r="K227" s="11">
        <v>0</v>
      </c>
      <c r="L227" s="11">
        <v>39</v>
      </c>
      <c r="M227" s="11">
        <v>36</v>
      </c>
      <c r="N227" s="11">
        <v>0</v>
      </c>
      <c r="O227" s="11">
        <v>39</v>
      </c>
      <c r="P227" s="11">
        <v>3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151</v>
      </c>
      <c r="X227" s="11">
        <v>278</v>
      </c>
      <c r="Y227" s="11">
        <v>20</v>
      </c>
      <c r="Z227" s="11">
        <v>2</v>
      </c>
      <c r="AA227" s="11">
        <v>4</v>
      </c>
      <c r="AB227" s="11">
        <v>0</v>
      </c>
      <c r="AC227" s="11">
        <v>0</v>
      </c>
      <c r="AD227" s="11">
        <v>4</v>
      </c>
      <c r="AE227" s="11">
        <v>5</v>
      </c>
      <c r="AF227" s="11">
        <v>66</v>
      </c>
      <c r="AG227" s="11">
        <v>353</v>
      </c>
      <c r="AH227" s="11">
        <v>69</v>
      </c>
      <c r="AI227" s="11">
        <v>0</v>
      </c>
      <c r="AJ227" s="11">
        <v>5</v>
      </c>
      <c r="AK227" s="11">
        <v>24116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622</v>
      </c>
      <c r="AS227" s="11">
        <v>2250.4899999999998</v>
      </c>
      <c r="AT227" s="11">
        <v>0</v>
      </c>
      <c r="AU227" s="11">
        <v>63</v>
      </c>
      <c r="AV227" s="11">
        <v>0</v>
      </c>
      <c r="AW227" s="11">
        <v>36</v>
      </c>
      <c r="AX227" s="11">
        <v>3</v>
      </c>
      <c r="AY227" s="11" t="s">
        <v>684</v>
      </c>
    </row>
    <row r="228" spans="1:51">
      <c r="A228" s="11" t="s">
        <v>201</v>
      </c>
      <c r="B228" s="11" t="s">
        <v>469</v>
      </c>
      <c r="C228" s="11" t="s">
        <v>341</v>
      </c>
      <c r="D228" s="11" t="s">
        <v>470</v>
      </c>
      <c r="E228" s="11" t="s">
        <v>584</v>
      </c>
      <c r="F228" s="150">
        <v>45881</v>
      </c>
      <c r="G228" s="11" t="s">
        <v>107</v>
      </c>
      <c r="H228" s="11">
        <v>0</v>
      </c>
      <c r="I228" s="11">
        <v>4500000</v>
      </c>
      <c r="J228" s="11">
        <v>1303492.42</v>
      </c>
      <c r="K228" s="11">
        <v>0</v>
      </c>
      <c r="L228" s="11">
        <v>6</v>
      </c>
      <c r="M228" s="11">
        <v>30</v>
      </c>
      <c r="N228" s="11">
        <v>24</v>
      </c>
      <c r="O228" s="11">
        <v>30</v>
      </c>
      <c r="P228" s="11">
        <v>0</v>
      </c>
      <c r="Q228" s="11">
        <v>89605.57</v>
      </c>
      <c r="R228" s="11">
        <v>1213886.8500000001</v>
      </c>
      <c r="S228" s="11">
        <v>3</v>
      </c>
      <c r="T228" s="11">
        <v>24</v>
      </c>
      <c r="U228" s="11">
        <v>27</v>
      </c>
      <c r="V228" s="11">
        <v>0</v>
      </c>
      <c r="W228" s="11">
        <v>83</v>
      </c>
      <c r="X228" s="11">
        <v>166</v>
      </c>
      <c r="Y228" s="11">
        <v>23</v>
      </c>
      <c r="Z228" s="11">
        <v>1</v>
      </c>
      <c r="AA228" s="11">
        <v>6</v>
      </c>
      <c r="AB228" s="11">
        <v>1</v>
      </c>
      <c r="AC228" s="11">
        <v>4</v>
      </c>
      <c r="AD228" s="11">
        <v>0</v>
      </c>
      <c r="AE228" s="11">
        <v>0</v>
      </c>
      <c r="AF228" s="11">
        <v>179</v>
      </c>
      <c r="AG228" s="11">
        <v>355</v>
      </c>
      <c r="AH228" s="11">
        <v>67</v>
      </c>
      <c r="AI228" s="11">
        <v>19455</v>
      </c>
      <c r="AJ228" s="11">
        <v>5</v>
      </c>
      <c r="AK228" s="11">
        <v>32500</v>
      </c>
      <c r="AL228" s="11">
        <v>0</v>
      </c>
      <c r="AM228" s="11">
        <v>2.4899999999999999E-2</v>
      </c>
      <c r="AN228" s="11">
        <v>48277</v>
      </c>
      <c r="AO228" s="11">
        <v>0.28999999999999998</v>
      </c>
      <c r="AP228" s="11">
        <v>0</v>
      </c>
      <c r="AQ228" s="11">
        <v>58</v>
      </c>
      <c r="AR228" s="11">
        <v>609</v>
      </c>
      <c r="AS228" s="11">
        <v>2705.63</v>
      </c>
      <c r="AT228" s="11">
        <v>24</v>
      </c>
      <c r="AU228" s="11">
        <v>90</v>
      </c>
      <c r="AV228" s="11">
        <v>27</v>
      </c>
      <c r="AW228" s="11">
        <v>3</v>
      </c>
      <c r="AX228" s="11">
        <v>0</v>
      </c>
      <c r="AY228" s="11" t="s">
        <v>684</v>
      </c>
    </row>
    <row r="229" spans="1:51">
      <c r="A229" s="11" t="s">
        <v>120</v>
      </c>
      <c r="B229" s="11" t="s">
        <v>206</v>
      </c>
      <c r="C229" s="11" t="s">
        <v>342</v>
      </c>
      <c r="D229" s="11" t="s">
        <v>206</v>
      </c>
      <c r="E229" s="11" t="s">
        <v>358</v>
      </c>
      <c r="F229" s="151">
        <v>45973</v>
      </c>
      <c r="G229" s="11" t="s">
        <v>120</v>
      </c>
      <c r="H229" s="11">
        <v>0</v>
      </c>
      <c r="I229" s="11">
        <v>3600000</v>
      </c>
      <c r="J229" s="11">
        <v>2415462.21</v>
      </c>
      <c r="K229" s="11">
        <v>0</v>
      </c>
      <c r="L229" s="11">
        <v>65</v>
      </c>
      <c r="M229" s="11">
        <v>70</v>
      </c>
      <c r="N229" s="11">
        <v>6</v>
      </c>
      <c r="O229" s="11">
        <v>71</v>
      </c>
      <c r="P229" s="11">
        <v>1</v>
      </c>
      <c r="Q229" s="11">
        <v>2302375.91</v>
      </c>
      <c r="R229" s="11">
        <v>113086.3</v>
      </c>
      <c r="S229" s="11">
        <v>30</v>
      </c>
      <c r="T229" s="11">
        <v>6</v>
      </c>
      <c r="U229" s="11">
        <v>36</v>
      </c>
      <c r="V229" s="11">
        <v>0</v>
      </c>
      <c r="W229" s="11">
        <v>73</v>
      </c>
      <c r="X229" s="11">
        <v>136</v>
      </c>
      <c r="Y229" s="11">
        <v>14</v>
      </c>
      <c r="Z229" s="11">
        <v>2</v>
      </c>
      <c r="AA229" s="11">
        <v>57</v>
      </c>
      <c r="AB229" s="11">
        <v>0</v>
      </c>
      <c r="AC229" s="11">
        <v>0</v>
      </c>
      <c r="AD229" s="11">
        <v>0</v>
      </c>
      <c r="AE229" s="11">
        <v>0</v>
      </c>
      <c r="AF229" s="11">
        <v>336</v>
      </c>
      <c r="AG229" s="11">
        <v>529</v>
      </c>
      <c r="AH229" s="11">
        <v>72</v>
      </c>
      <c r="AI229" s="11">
        <v>33548</v>
      </c>
      <c r="AJ229" s="11">
        <v>7</v>
      </c>
      <c r="AK229" s="11">
        <v>30405</v>
      </c>
      <c r="AL229" s="11">
        <v>0</v>
      </c>
      <c r="AM229" s="11">
        <v>1.26E-2</v>
      </c>
      <c r="AN229" s="11">
        <v>67096</v>
      </c>
      <c r="AO229" s="11">
        <v>0.67</v>
      </c>
      <c r="AP229" s="11">
        <v>0</v>
      </c>
      <c r="AQ229" s="11">
        <v>88</v>
      </c>
      <c r="AR229" s="11">
        <v>778</v>
      </c>
      <c r="AS229" s="11">
        <v>2629.45</v>
      </c>
      <c r="AT229" s="11">
        <v>6</v>
      </c>
      <c r="AU229" s="11">
        <v>38</v>
      </c>
      <c r="AV229" s="11">
        <v>36</v>
      </c>
      <c r="AW229" s="11">
        <v>34</v>
      </c>
      <c r="AX229" s="11">
        <v>1</v>
      </c>
      <c r="AY229" s="11" t="s">
        <v>684</v>
      </c>
    </row>
    <row r="230" spans="1:51">
      <c r="A230" s="11" t="s">
        <v>201</v>
      </c>
      <c r="B230" s="11" t="s">
        <v>469</v>
      </c>
      <c r="C230" s="11" t="s">
        <v>343</v>
      </c>
      <c r="D230" s="11" t="s">
        <v>470</v>
      </c>
      <c r="E230" s="11" t="s">
        <v>588</v>
      </c>
      <c r="F230" s="150">
        <v>46023</v>
      </c>
      <c r="G230" s="11" t="s">
        <v>110</v>
      </c>
      <c r="H230" s="11">
        <v>0</v>
      </c>
      <c r="I230" s="11">
        <v>4500000</v>
      </c>
      <c r="J230" s="11">
        <v>823085.16</v>
      </c>
      <c r="K230" s="11">
        <v>0</v>
      </c>
      <c r="L230" s="11">
        <v>21</v>
      </c>
      <c r="M230" s="11">
        <v>37</v>
      </c>
      <c r="N230" s="11">
        <v>17</v>
      </c>
      <c r="O230" s="11">
        <v>38</v>
      </c>
      <c r="P230" s="11">
        <v>1</v>
      </c>
      <c r="Q230" s="11">
        <v>154068.72</v>
      </c>
      <c r="R230" s="11">
        <v>669016.43999999994</v>
      </c>
      <c r="S230" s="11">
        <v>6</v>
      </c>
      <c r="T230" s="11">
        <v>17</v>
      </c>
      <c r="U230" s="11">
        <v>23</v>
      </c>
      <c r="V230" s="11">
        <v>0</v>
      </c>
      <c r="W230" s="11">
        <v>108</v>
      </c>
      <c r="X230" s="11">
        <v>211</v>
      </c>
      <c r="Y230" s="11">
        <v>1</v>
      </c>
      <c r="Z230" s="11">
        <v>2</v>
      </c>
      <c r="AA230" s="11">
        <v>24</v>
      </c>
      <c r="AB230" s="11">
        <v>0</v>
      </c>
      <c r="AC230" s="11">
        <v>0</v>
      </c>
      <c r="AD230" s="11">
        <v>0</v>
      </c>
      <c r="AE230" s="11">
        <v>0</v>
      </c>
      <c r="AF230" s="11">
        <v>135</v>
      </c>
      <c r="AG230" s="11">
        <v>370</v>
      </c>
      <c r="AH230" s="11">
        <v>72</v>
      </c>
      <c r="AI230" s="11">
        <v>11432</v>
      </c>
      <c r="AJ230" s="11">
        <v>5</v>
      </c>
      <c r="AK230" s="11">
        <v>38285</v>
      </c>
      <c r="AL230" s="11">
        <v>0</v>
      </c>
      <c r="AM230" s="11">
        <v>4.65E-2</v>
      </c>
      <c r="AN230" s="11">
        <v>35786</v>
      </c>
      <c r="AO230" s="11">
        <v>0.18</v>
      </c>
      <c r="AP230" s="11">
        <v>0</v>
      </c>
      <c r="AQ230" s="11">
        <v>34</v>
      </c>
      <c r="AR230" s="11">
        <v>738</v>
      </c>
      <c r="AS230" s="11">
        <v>3036.37</v>
      </c>
      <c r="AT230" s="11">
        <v>17</v>
      </c>
      <c r="AU230" s="11">
        <v>82</v>
      </c>
      <c r="AV230" s="11">
        <v>23</v>
      </c>
      <c r="AW230" s="11">
        <v>14</v>
      </c>
      <c r="AX230" s="11">
        <v>1</v>
      </c>
      <c r="AY230" s="11" t="s">
        <v>684</v>
      </c>
    </row>
    <row r="231" spans="1:51">
      <c r="A231" s="11" t="s">
        <v>117</v>
      </c>
      <c r="B231" s="11" t="s">
        <v>450</v>
      </c>
      <c r="C231" s="11" t="s">
        <v>344</v>
      </c>
      <c r="D231" s="11" t="s">
        <v>482</v>
      </c>
      <c r="E231" s="11" t="s">
        <v>667</v>
      </c>
      <c r="F231" s="150">
        <v>46143</v>
      </c>
      <c r="G231" s="11" t="s">
        <v>117</v>
      </c>
      <c r="H231" s="11">
        <v>0</v>
      </c>
      <c r="I231" s="11">
        <v>0</v>
      </c>
      <c r="J231" s="11">
        <v>604841.29</v>
      </c>
      <c r="K231" s="11">
        <v>0</v>
      </c>
      <c r="L231" s="11">
        <v>41</v>
      </c>
      <c r="M231" s="11">
        <v>69</v>
      </c>
      <c r="N231" s="11">
        <v>34</v>
      </c>
      <c r="O231" s="11">
        <v>75</v>
      </c>
      <c r="P231" s="11">
        <v>6</v>
      </c>
      <c r="Q231" s="11">
        <v>111763.36</v>
      </c>
      <c r="R231" s="11">
        <v>493077.93</v>
      </c>
      <c r="S231" s="11">
        <v>12</v>
      </c>
      <c r="T231" s="11">
        <v>34</v>
      </c>
      <c r="U231" s="11">
        <v>46</v>
      </c>
      <c r="V231" s="11">
        <v>0</v>
      </c>
      <c r="W231" s="11">
        <v>153</v>
      </c>
      <c r="X231" s="11">
        <v>251</v>
      </c>
      <c r="Y231" s="11">
        <v>8</v>
      </c>
      <c r="Z231" s="11">
        <v>3</v>
      </c>
      <c r="AA231" s="11">
        <v>26</v>
      </c>
      <c r="AB231" s="11">
        <v>0</v>
      </c>
      <c r="AC231" s="11">
        <v>0</v>
      </c>
      <c r="AD231" s="11">
        <v>1</v>
      </c>
      <c r="AE231" s="11">
        <v>1</v>
      </c>
      <c r="AF231" s="11">
        <v>162</v>
      </c>
      <c r="AG231" s="11">
        <v>440</v>
      </c>
      <c r="AH231" s="11">
        <v>69</v>
      </c>
      <c r="AI231" s="11">
        <v>8766</v>
      </c>
      <c r="AJ231" s="11">
        <v>6</v>
      </c>
      <c r="AK231" s="11">
        <v>46670</v>
      </c>
      <c r="AL231" s="11">
        <v>0</v>
      </c>
      <c r="AM231" s="11">
        <v>7.7200000000000005E-2</v>
      </c>
      <c r="AN231" s="11">
        <v>13149</v>
      </c>
      <c r="AO231" s="11">
        <v>0</v>
      </c>
      <c r="AP231" s="11">
        <v>0</v>
      </c>
      <c r="AQ231" s="11">
        <v>66</v>
      </c>
      <c r="AR231" s="11">
        <v>704</v>
      </c>
      <c r="AS231" s="11">
        <v>3809.94</v>
      </c>
      <c r="AT231" s="11">
        <v>34</v>
      </c>
      <c r="AU231" s="11">
        <v>55</v>
      </c>
      <c r="AV231" s="11">
        <v>46</v>
      </c>
      <c r="AW231" s="11">
        <v>23</v>
      </c>
      <c r="AX231" s="11">
        <v>6</v>
      </c>
      <c r="AY231" s="11" t="s">
        <v>684</v>
      </c>
    </row>
    <row r="232" spans="1:51">
      <c r="A232" s="11" t="s">
        <v>117</v>
      </c>
      <c r="B232" s="11" t="s">
        <v>450</v>
      </c>
      <c r="C232" s="11" t="s">
        <v>345</v>
      </c>
      <c r="D232" s="11" t="s">
        <v>482</v>
      </c>
      <c r="E232" s="11" t="s">
        <v>668</v>
      </c>
      <c r="F232" s="150">
        <v>46143</v>
      </c>
      <c r="G232" s="11" t="s">
        <v>117</v>
      </c>
      <c r="H232" s="11">
        <v>0</v>
      </c>
      <c r="I232" s="11">
        <v>0</v>
      </c>
      <c r="J232" s="11">
        <v>0</v>
      </c>
      <c r="K232" s="11">
        <v>0</v>
      </c>
      <c r="L232" s="11">
        <v>3</v>
      </c>
      <c r="M232" s="11">
        <v>3</v>
      </c>
      <c r="N232" s="11">
        <v>0</v>
      </c>
      <c r="O232" s="11">
        <v>3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51</v>
      </c>
      <c r="X232" s="11">
        <v>150</v>
      </c>
      <c r="Y232" s="11">
        <v>0</v>
      </c>
      <c r="Z232" s="11">
        <v>1</v>
      </c>
      <c r="AA232" s="11">
        <v>29</v>
      </c>
      <c r="AB232" s="11">
        <v>0</v>
      </c>
      <c r="AC232" s="11">
        <v>0</v>
      </c>
      <c r="AD232" s="11">
        <v>0</v>
      </c>
      <c r="AE232" s="11">
        <v>0</v>
      </c>
      <c r="AF232" s="11">
        <v>11</v>
      </c>
      <c r="AG232" s="11">
        <v>190</v>
      </c>
      <c r="AH232" s="11">
        <v>53</v>
      </c>
      <c r="AI232" s="11">
        <v>0</v>
      </c>
      <c r="AJ232" s="11">
        <v>4</v>
      </c>
      <c r="AK232" s="11">
        <v>26215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477</v>
      </c>
      <c r="AS232" s="11">
        <v>1900.57</v>
      </c>
      <c r="AT232" s="11">
        <v>0</v>
      </c>
      <c r="AU232" s="11">
        <v>634</v>
      </c>
      <c r="AV232" s="11">
        <v>0</v>
      </c>
      <c r="AW232" s="11">
        <v>3</v>
      </c>
      <c r="AX232" s="11">
        <v>0</v>
      </c>
      <c r="AY232" s="11" t="s">
        <v>684</v>
      </c>
    </row>
    <row r="233" spans="1:51">
      <c r="A233" s="11" t="s">
        <v>108</v>
      </c>
      <c r="B233" s="11" t="s">
        <v>460</v>
      </c>
      <c r="C233" s="11" t="s">
        <v>160</v>
      </c>
      <c r="D233" s="11" t="s">
        <v>615</v>
      </c>
      <c r="E233" s="11" t="s">
        <v>669</v>
      </c>
      <c r="F233" s="11" t="s">
        <v>803</v>
      </c>
      <c r="G233" s="11" t="s">
        <v>108</v>
      </c>
      <c r="H233" s="11">
        <v>0</v>
      </c>
      <c r="I233" s="11">
        <v>0</v>
      </c>
      <c r="J233" s="11">
        <v>0</v>
      </c>
      <c r="K233" s="11">
        <v>0</v>
      </c>
      <c r="L233" s="11">
        <v>2</v>
      </c>
      <c r="M233" s="11">
        <v>1</v>
      </c>
      <c r="N233" s="11">
        <v>0</v>
      </c>
      <c r="O233" s="11">
        <v>2</v>
      </c>
      <c r="P233" s="11">
        <v>1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3</v>
      </c>
      <c r="X233" s="11">
        <v>5</v>
      </c>
      <c r="Y233" s="11">
        <v>0</v>
      </c>
      <c r="Z233" s="11">
        <v>3</v>
      </c>
      <c r="AA233" s="11">
        <v>6</v>
      </c>
      <c r="AB233" s="11">
        <v>0</v>
      </c>
      <c r="AC233" s="11">
        <v>0</v>
      </c>
      <c r="AD233" s="11">
        <v>75</v>
      </c>
      <c r="AE233" s="11">
        <v>111</v>
      </c>
      <c r="AF233" s="11">
        <v>3</v>
      </c>
      <c r="AG233" s="11">
        <v>125</v>
      </c>
      <c r="AH233" s="11">
        <v>51</v>
      </c>
      <c r="AI233" s="11">
        <v>0</v>
      </c>
      <c r="AJ233" s="11">
        <v>2</v>
      </c>
      <c r="AK233" s="11">
        <v>195835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596</v>
      </c>
      <c r="AS233" s="11">
        <v>4501.93</v>
      </c>
      <c r="AT233" s="11">
        <v>0</v>
      </c>
      <c r="AU233" s="11">
        <v>4502</v>
      </c>
      <c r="AV233" s="11">
        <v>0</v>
      </c>
      <c r="AW233" s="11">
        <v>1</v>
      </c>
      <c r="AX233" s="11">
        <v>1</v>
      </c>
      <c r="AY233" s="11" t="s">
        <v>684</v>
      </c>
    </row>
    <row r="234" spans="1:51">
      <c r="A234" s="11" t="s">
        <v>160</v>
      </c>
      <c r="B234" s="11" t="s">
        <v>460</v>
      </c>
      <c r="C234" s="11" t="s">
        <v>346</v>
      </c>
      <c r="D234" s="11" t="s">
        <v>615</v>
      </c>
      <c r="E234" s="11" t="s">
        <v>456</v>
      </c>
      <c r="F234" s="11" t="s">
        <v>803</v>
      </c>
      <c r="G234" s="11" t="s">
        <v>160</v>
      </c>
      <c r="H234" s="11">
        <v>0</v>
      </c>
      <c r="I234" s="11">
        <v>0</v>
      </c>
      <c r="J234" s="11">
        <v>0</v>
      </c>
      <c r="K234" s="11">
        <v>0</v>
      </c>
      <c r="L234" s="11">
        <v>3</v>
      </c>
      <c r="M234" s="11">
        <v>3</v>
      </c>
      <c r="N234" s="11">
        <v>0</v>
      </c>
      <c r="O234" s="11">
        <v>3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29</v>
      </c>
      <c r="X234" s="11">
        <v>37</v>
      </c>
      <c r="Y234" s="11">
        <v>2</v>
      </c>
      <c r="Z234" s="11">
        <v>2</v>
      </c>
      <c r="AA234" s="11">
        <v>2</v>
      </c>
      <c r="AB234" s="11">
        <v>0</v>
      </c>
      <c r="AC234" s="11">
        <v>0</v>
      </c>
      <c r="AD234" s="11">
        <v>65</v>
      </c>
      <c r="AE234" s="11">
        <v>181</v>
      </c>
      <c r="AF234" s="11">
        <v>4</v>
      </c>
      <c r="AG234" s="11">
        <v>224</v>
      </c>
      <c r="AH234" s="11">
        <v>52</v>
      </c>
      <c r="AI234" s="11">
        <v>0</v>
      </c>
      <c r="AJ234" s="11">
        <v>4</v>
      </c>
      <c r="AK234" s="11">
        <v>68112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559</v>
      </c>
      <c r="AS234" s="11">
        <v>3124.4</v>
      </c>
      <c r="AT234" s="11">
        <v>0</v>
      </c>
      <c r="AU234" s="11">
        <v>1041</v>
      </c>
      <c r="AV234" s="11">
        <v>0</v>
      </c>
      <c r="AW234" s="11">
        <v>3</v>
      </c>
      <c r="AX234" s="11">
        <v>0</v>
      </c>
      <c r="AY234" s="11" t="s">
        <v>684</v>
      </c>
    </row>
    <row r="235" spans="1:51">
      <c r="A235" s="11" t="s">
        <v>118</v>
      </c>
      <c r="B235" s="11" t="s">
        <v>362</v>
      </c>
      <c r="C235" s="11" t="s">
        <v>347</v>
      </c>
      <c r="D235" s="11" t="s">
        <v>419</v>
      </c>
      <c r="E235" s="11" t="s">
        <v>670</v>
      </c>
      <c r="F235" s="11" t="s">
        <v>803</v>
      </c>
      <c r="G235" s="11" t="s">
        <v>29</v>
      </c>
      <c r="H235" s="11">
        <v>0</v>
      </c>
      <c r="I235" s="11">
        <v>0</v>
      </c>
      <c r="J235" s="11">
        <v>3270193.24</v>
      </c>
      <c r="K235" s="11">
        <v>0</v>
      </c>
      <c r="L235" s="11">
        <v>56</v>
      </c>
      <c r="M235" s="11">
        <v>59</v>
      </c>
      <c r="N235" s="11">
        <v>5</v>
      </c>
      <c r="O235" s="11">
        <v>61</v>
      </c>
      <c r="P235" s="11">
        <v>2</v>
      </c>
      <c r="Q235" s="11">
        <v>2745069.14</v>
      </c>
      <c r="R235" s="11">
        <v>525124.1</v>
      </c>
      <c r="S235" s="11">
        <v>26</v>
      </c>
      <c r="T235" s="11">
        <v>5</v>
      </c>
      <c r="U235" s="11">
        <v>31</v>
      </c>
      <c r="V235" s="11">
        <v>0</v>
      </c>
      <c r="W235" s="11">
        <v>5</v>
      </c>
      <c r="X235" s="11">
        <v>6</v>
      </c>
      <c r="Y235" s="11">
        <v>0</v>
      </c>
      <c r="Z235" s="11">
        <v>2</v>
      </c>
      <c r="AA235" s="11">
        <v>3</v>
      </c>
      <c r="AB235" s="11">
        <v>1</v>
      </c>
      <c r="AC235" s="11">
        <v>1</v>
      </c>
      <c r="AD235" s="11">
        <v>0</v>
      </c>
      <c r="AE235" s="11">
        <v>0</v>
      </c>
      <c r="AF235" s="11">
        <v>127</v>
      </c>
      <c r="AG235" s="11">
        <v>137</v>
      </c>
      <c r="AH235" s="11">
        <v>49</v>
      </c>
      <c r="AI235" s="11">
        <v>66739</v>
      </c>
      <c r="AJ235" s="11">
        <v>3</v>
      </c>
      <c r="AK235" s="11">
        <v>35650</v>
      </c>
      <c r="AL235" s="11">
        <v>0</v>
      </c>
      <c r="AM235" s="11">
        <v>1.09E-2</v>
      </c>
      <c r="AN235" s="11">
        <v>105490</v>
      </c>
      <c r="AO235" s="11">
        <v>0</v>
      </c>
      <c r="AP235" s="11">
        <v>0</v>
      </c>
      <c r="AQ235" s="11">
        <v>46</v>
      </c>
      <c r="AR235" s="11">
        <v>537</v>
      </c>
      <c r="AS235" s="11">
        <v>3958.43</v>
      </c>
      <c r="AT235" s="11">
        <v>5</v>
      </c>
      <c r="AU235" s="11">
        <v>67</v>
      </c>
      <c r="AV235" s="11">
        <v>31</v>
      </c>
      <c r="AW235" s="11">
        <v>28</v>
      </c>
      <c r="AX235" s="11">
        <v>2</v>
      </c>
      <c r="AY235" s="11" t="s">
        <v>684</v>
      </c>
    </row>
    <row r="236" spans="1:51">
      <c r="A236" s="11" t="s">
        <v>120</v>
      </c>
      <c r="B236" s="11" t="s">
        <v>206</v>
      </c>
      <c r="C236" s="11" t="s">
        <v>348</v>
      </c>
      <c r="D236" s="11" t="s">
        <v>206</v>
      </c>
      <c r="E236" s="11" t="s">
        <v>360</v>
      </c>
      <c r="F236" s="11" t="s">
        <v>804</v>
      </c>
      <c r="G236" s="11" t="s">
        <v>120</v>
      </c>
      <c r="H236" s="11">
        <v>0</v>
      </c>
      <c r="I236" s="11">
        <v>1714286</v>
      </c>
      <c r="J236" s="11">
        <v>835665.65</v>
      </c>
      <c r="K236" s="11">
        <v>0</v>
      </c>
      <c r="L236" s="11">
        <v>22</v>
      </c>
      <c r="M236" s="11">
        <v>25</v>
      </c>
      <c r="N236" s="11">
        <v>5</v>
      </c>
      <c r="O236" s="11">
        <v>27</v>
      </c>
      <c r="P236" s="11">
        <v>2</v>
      </c>
      <c r="Q236" s="11">
        <v>421509.71</v>
      </c>
      <c r="R236" s="11">
        <v>414155.94</v>
      </c>
      <c r="S236" s="11">
        <v>8</v>
      </c>
      <c r="T236" s="11">
        <v>5</v>
      </c>
      <c r="U236" s="11">
        <v>13</v>
      </c>
      <c r="V236" s="11">
        <v>0</v>
      </c>
      <c r="W236" s="11">
        <v>89</v>
      </c>
      <c r="X236" s="11">
        <v>167</v>
      </c>
      <c r="Y236" s="11">
        <v>9</v>
      </c>
      <c r="Z236" s="11">
        <v>4</v>
      </c>
      <c r="AA236" s="11">
        <v>18</v>
      </c>
      <c r="AB236" s="11">
        <v>1</v>
      </c>
      <c r="AC236" s="11">
        <v>1</v>
      </c>
      <c r="AD236" s="11">
        <v>1</v>
      </c>
      <c r="AE236" s="11">
        <v>1</v>
      </c>
      <c r="AF236" s="11">
        <v>62</v>
      </c>
      <c r="AG236" s="11">
        <v>249</v>
      </c>
      <c r="AH236" s="11">
        <v>31</v>
      </c>
      <c r="AI236" s="11">
        <v>26957</v>
      </c>
      <c r="AJ236" s="11">
        <v>8</v>
      </c>
      <c r="AK236" s="11">
        <v>31455</v>
      </c>
      <c r="AL236" s="11">
        <v>0</v>
      </c>
      <c r="AM236" s="11">
        <v>3.7600000000000001E-2</v>
      </c>
      <c r="AN236" s="11">
        <v>64282</v>
      </c>
      <c r="AO236" s="11">
        <v>0.49</v>
      </c>
      <c r="AP236" s="11">
        <v>0</v>
      </c>
      <c r="AQ236" s="11">
        <v>41</v>
      </c>
      <c r="AR236" s="11">
        <v>336</v>
      </c>
      <c r="AS236" s="11">
        <v>3694.69</v>
      </c>
      <c r="AT236" s="11">
        <v>5</v>
      </c>
      <c r="AU236" s="11">
        <v>148</v>
      </c>
      <c r="AV236" s="11">
        <v>13</v>
      </c>
      <c r="AW236" s="11">
        <v>12</v>
      </c>
      <c r="AX236" s="11">
        <v>2</v>
      </c>
      <c r="AY236" s="11" t="s">
        <v>684</v>
      </c>
    </row>
    <row r="237" spans="1:51">
      <c r="A237" s="11" t="s">
        <v>118</v>
      </c>
      <c r="B237" s="11" t="s">
        <v>436</v>
      </c>
      <c r="C237" s="11" t="s">
        <v>349</v>
      </c>
      <c r="D237" s="11" t="s">
        <v>499</v>
      </c>
      <c r="E237" s="11" t="s">
        <v>453</v>
      </c>
      <c r="F237" s="150">
        <v>46084</v>
      </c>
      <c r="G237" s="11" t="s">
        <v>108</v>
      </c>
      <c r="H237" s="11">
        <v>0</v>
      </c>
      <c r="I237" s="11">
        <v>0</v>
      </c>
      <c r="J237" s="11">
        <v>96357.7</v>
      </c>
      <c r="K237" s="11">
        <v>0</v>
      </c>
      <c r="L237" s="11">
        <v>36</v>
      </c>
      <c r="M237" s="11">
        <v>40</v>
      </c>
      <c r="N237" s="11">
        <v>6</v>
      </c>
      <c r="O237" s="11">
        <v>42</v>
      </c>
      <c r="P237" s="11">
        <v>2</v>
      </c>
      <c r="Q237" s="11">
        <v>19525</v>
      </c>
      <c r="R237" s="11">
        <v>76832.7</v>
      </c>
      <c r="S237" s="11">
        <v>3</v>
      </c>
      <c r="T237" s="11">
        <v>3</v>
      </c>
      <c r="U237" s="11">
        <v>6</v>
      </c>
      <c r="V237" s="11">
        <v>0</v>
      </c>
      <c r="W237" s="11">
        <v>63</v>
      </c>
      <c r="X237" s="11">
        <v>112</v>
      </c>
      <c r="Y237" s="11">
        <v>20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66</v>
      </c>
      <c r="AG237" s="11">
        <v>178</v>
      </c>
      <c r="AH237" s="11">
        <v>20</v>
      </c>
      <c r="AI237" s="11">
        <v>4818</v>
      </c>
      <c r="AJ237" s="11">
        <v>9</v>
      </c>
      <c r="AK237" s="11">
        <v>34620</v>
      </c>
      <c r="AL237" s="11">
        <v>0</v>
      </c>
      <c r="AM237" s="11">
        <v>0.35930000000000001</v>
      </c>
      <c r="AN237" s="11">
        <v>16060</v>
      </c>
      <c r="AO237" s="11">
        <v>0</v>
      </c>
      <c r="AP237" s="11">
        <v>0</v>
      </c>
      <c r="AQ237" s="11">
        <v>8</v>
      </c>
      <c r="AR237" s="11">
        <v>184</v>
      </c>
      <c r="AS237" s="11">
        <v>1968.64</v>
      </c>
      <c r="AT237" s="11">
        <v>3</v>
      </c>
      <c r="AU237" s="11">
        <v>49</v>
      </c>
      <c r="AV237" s="11">
        <v>6</v>
      </c>
      <c r="AW237" s="11">
        <v>34</v>
      </c>
      <c r="AX237" s="11">
        <v>2</v>
      </c>
      <c r="AY237" s="11" t="s">
        <v>684</v>
      </c>
    </row>
    <row r="238" spans="1:51">
      <c r="A238" s="11" t="s">
        <v>136</v>
      </c>
      <c r="B238" s="11" t="s">
        <v>653</v>
      </c>
      <c r="C238" s="11" t="s">
        <v>350</v>
      </c>
      <c r="D238" s="11" t="s">
        <v>421</v>
      </c>
      <c r="E238" s="11" t="s">
        <v>379</v>
      </c>
      <c r="F238" s="150">
        <v>46145</v>
      </c>
      <c r="G238" s="11" t="s">
        <v>136</v>
      </c>
      <c r="H238" s="11">
        <v>0</v>
      </c>
      <c r="I238" s="11">
        <v>700000</v>
      </c>
      <c r="J238" s="11">
        <v>50841.5</v>
      </c>
      <c r="K238" s="11">
        <v>0</v>
      </c>
      <c r="L238" s="11">
        <v>6</v>
      </c>
      <c r="M238" s="11">
        <v>7</v>
      </c>
      <c r="N238" s="11">
        <v>1</v>
      </c>
      <c r="O238" s="11">
        <v>7</v>
      </c>
      <c r="P238" s="11">
        <v>0</v>
      </c>
      <c r="Q238" s="11">
        <v>22461.5</v>
      </c>
      <c r="R238" s="11">
        <v>28380</v>
      </c>
      <c r="S238" s="11">
        <v>1</v>
      </c>
      <c r="T238" s="11">
        <v>1</v>
      </c>
      <c r="U238" s="11">
        <v>2</v>
      </c>
      <c r="V238" s="11">
        <v>0</v>
      </c>
      <c r="W238" s="11">
        <v>48</v>
      </c>
      <c r="X238" s="11">
        <v>59</v>
      </c>
      <c r="Y238" s="11">
        <v>6</v>
      </c>
      <c r="Z238" s="11">
        <v>1</v>
      </c>
      <c r="AA238" s="11">
        <v>2</v>
      </c>
      <c r="AB238" s="11">
        <v>0</v>
      </c>
      <c r="AC238" s="11">
        <v>0</v>
      </c>
      <c r="AD238" s="11">
        <v>0</v>
      </c>
      <c r="AE238" s="11">
        <v>0</v>
      </c>
      <c r="AF238" s="11">
        <v>12</v>
      </c>
      <c r="AG238" s="11">
        <v>73</v>
      </c>
      <c r="AH238" s="11">
        <v>13</v>
      </c>
      <c r="AI238" s="11">
        <v>3911</v>
      </c>
      <c r="AJ238" s="11">
        <v>6</v>
      </c>
      <c r="AK238" s="11">
        <v>27260</v>
      </c>
      <c r="AL238" s="11">
        <v>0</v>
      </c>
      <c r="AM238" s="11">
        <v>0.53620000000000001</v>
      </c>
      <c r="AN238" s="11">
        <v>25421</v>
      </c>
      <c r="AO238" s="11">
        <v>7.0000000000000007E-2</v>
      </c>
      <c r="AP238" s="11">
        <v>0</v>
      </c>
      <c r="AQ238" s="11">
        <v>2</v>
      </c>
      <c r="AR238" s="11">
        <v>123</v>
      </c>
      <c r="AS238" s="11">
        <v>628.78</v>
      </c>
      <c r="AT238" s="11">
        <v>1</v>
      </c>
      <c r="AU238" s="11">
        <v>90</v>
      </c>
      <c r="AV238" s="11">
        <v>2</v>
      </c>
      <c r="AW238" s="11">
        <v>5</v>
      </c>
      <c r="AX238" s="11">
        <v>0</v>
      </c>
      <c r="AY238" s="11" t="s">
        <v>684</v>
      </c>
    </row>
    <row r="239" spans="1:51">
      <c r="A239" s="11" t="s">
        <v>118</v>
      </c>
      <c r="B239" s="11" t="s">
        <v>362</v>
      </c>
      <c r="C239" s="11" t="s">
        <v>351</v>
      </c>
      <c r="D239" s="11" t="s">
        <v>419</v>
      </c>
      <c r="E239" s="11" t="s">
        <v>672</v>
      </c>
      <c r="F239" s="150">
        <v>46176</v>
      </c>
      <c r="G239" s="11" t="s">
        <v>219</v>
      </c>
      <c r="H239" s="11">
        <v>0</v>
      </c>
      <c r="I239" s="11">
        <v>0</v>
      </c>
      <c r="J239" s="11">
        <v>0</v>
      </c>
      <c r="K239" s="11">
        <v>0</v>
      </c>
      <c r="L239" s="11">
        <v>18</v>
      </c>
      <c r="M239" s="11">
        <v>17</v>
      </c>
      <c r="N239" s="11">
        <v>0</v>
      </c>
      <c r="O239" s="11">
        <v>18</v>
      </c>
      <c r="P239" s="11">
        <v>1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34</v>
      </c>
      <c r="X239" s="11">
        <v>59</v>
      </c>
      <c r="Y239" s="11">
        <v>6</v>
      </c>
      <c r="Z239" s="11">
        <v>3</v>
      </c>
      <c r="AA239" s="11">
        <v>4</v>
      </c>
      <c r="AB239" s="11">
        <v>0</v>
      </c>
      <c r="AC239" s="11">
        <v>0</v>
      </c>
      <c r="AD239" s="11">
        <v>0</v>
      </c>
      <c r="AE239" s="11">
        <v>0</v>
      </c>
      <c r="AF239" s="11">
        <v>29</v>
      </c>
      <c r="AG239" s="11">
        <v>92</v>
      </c>
      <c r="AH239" s="11">
        <v>18</v>
      </c>
      <c r="AI239" s="11">
        <v>0</v>
      </c>
      <c r="AJ239" s="11">
        <v>5</v>
      </c>
      <c r="AK239" s="11">
        <v>42480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135</v>
      </c>
      <c r="AS239" s="11">
        <v>589.04999999999995</v>
      </c>
      <c r="AT239" s="11">
        <v>0</v>
      </c>
      <c r="AU239" s="11">
        <v>35</v>
      </c>
      <c r="AV239" s="11">
        <v>0</v>
      </c>
      <c r="AW239" s="11">
        <v>17</v>
      </c>
      <c r="AX239" s="11">
        <v>1</v>
      </c>
      <c r="AY239" s="11" t="s">
        <v>684</v>
      </c>
    </row>
    <row r="240" spans="1:51">
      <c r="A240" s="11" t="s">
        <v>118</v>
      </c>
      <c r="B240" s="11" t="s">
        <v>362</v>
      </c>
      <c r="C240" s="11" t="s">
        <v>352</v>
      </c>
      <c r="D240" s="11" t="s">
        <v>673</v>
      </c>
      <c r="E240" s="11" t="s">
        <v>674</v>
      </c>
      <c r="F240" s="150">
        <v>46359</v>
      </c>
      <c r="G240" s="11" t="s">
        <v>144</v>
      </c>
      <c r="H240" s="11">
        <v>0</v>
      </c>
      <c r="I240" s="11">
        <v>0</v>
      </c>
      <c r="J240" s="11">
        <v>0</v>
      </c>
      <c r="K240" s="11">
        <v>0</v>
      </c>
      <c r="L240" s="11">
        <v>20</v>
      </c>
      <c r="M240" s="11">
        <v>19</v>
      </c>
      <c r="N240" s="11">
        <v>0</v>
      </c>
      <c r="O240" s="11">
        <v>20</v>
      </c>
      <c r="P240" s="11">
        <v>1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23</v>
      </c>
      <c r="X240" s="11">
        <v>30</v>
      </c>
      <c r="Y240" s="11">
        <v>4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23</v>
      </c>
      <c r="AG240" s="11">
        <v>53</v>
      </c>
      <c r="AH240" s="11">
        <v>16</v>
      </c>
      <c r="AI240" s="11">
        <v>0</v>
      </c>
      <c r="AJ240" s="11">
        <v>3</v>
      </c>
      <c r="AK240" s="11">
        <v>20000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147</v>
      </c>
      <c r="AS240" s="11">
        <v>773.05</v>
      </c>
      <c r="AT240" s="11">
        <v>0</v>
      </c>
      <c r="AU240" s="11">
        <v>41</v>
      </c>
      <c r="AV240" s="11">
        <v>0</v>
      </c>
      <c r="AW240" s="11">
        <v>19</v>
      </c>
      <c r="AX240" s="11">
        <v>1</v>
      </c>
      <c r="AY240" s="11" t="s">
        <v>684</v>
      </c>
    </row>
    <row r="241" spans="1:51">
      <c r="A241" s="11" t="s">
        <v>160</v>
      </c>
      <c r="B241" s="11" t="s">
        <v>460</v>
      </c>
      <c r="C241" s="11" t="s">
        <v>353</v>
      </c>
      <c r="D241" s="11" t="s">
        <v>615</v>
      </c>
      <c r="E241" s="11" t="s">
        <v>675</v>
      </c>
      <c r="F241" s="150">
        <v>46268</v>
      </c>
      <c r="G241" s="11" t="s">
        <v>160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8</v>
      </c>
      <c r="AE241" s="11">
        <v>25</v>
      </c>
      <c r="AF241" s="11">
        <v>0</v>
      </c>
      <c r="AG241" s="11">
        <v>25</v>
      </c>
      <c r="AH241" s="11">
        <v>11</v>
      </c>
      <c r="AI241" s="11">
        <v>0</v>
      </c>
      <c r="AJ241" s="11">
        <v>2</v>
      </c>
      <c r="AK241" s="11">
        <v>38810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150</v>
      </c>
      <c r="AS241" s="11">
        <v>318.37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 t="s">
        <v>684</v>
      </c>
    </row>
    <row r="242" spans="1:51">
      <c r="A242" s="11" t="s">
        <v>154</v>
      </c>
      <c r="B242" s="11" t="s">
        <v>370</v>
      </c>
      <c r="C242" s="11" t="s">
        <v>354</v>
      </c>
      <c r="D242" s="11" t="s">
        <v>542</v>
      </c>
      <c r="E242" s="11" t="s">
        <v>374</v>
      </c>
      <c r="F242" s="11" t="s">
        <v>805</v>
      </c>
      <c r="G242" s="11" t="s">
        <v>196</v>
      </c>
      <c r="H242" s="11">
        <v>0</v>
      </c>
      <c r="I242" s="11">
        <v>200000</v>
      </c>
      <c r="J242" s="11">
        <v>0</v>
      </c>
      <c r="K242" s="11">
        <v>0</v>
      </c>
      <c r="L242" s="11">
        <v>12</v>
      </c>
      <c r="M242" s="11">
        <v>9</v>
      </c>
      <c r="N242" s="11">
        <v>0</v>
      </c>
      <c r="O242" s="11">
        <v>12</v>
      </c>
      <c r="P242" s="11">
        <v>3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32</v>
      </c>
      <c r="X242" s="11">
        <v>32</v>
      </c>
      <c r="Y242" s="11">
        <v>30</v>
      </c>
      <c r="Z242" s="11">
        <v>1</v>
      </c>
      <c r="AA242" s="11">
        <v>1</v>
      </c>
      <c r="AB242" s="11">
        <v>0</v>
      </c>
      <c r="AC242" s="11">
        <v>0</v>
      </c>
      <c r="AD242" s="11">
        <v>1</v>
      </c>
      <c r="AE242" s="11">
        <v>1</v>
      </c>
      <c r="AF242" s="11">
        <v>9</v>
      </c>
      <c r="AG242" s="11">
        <v>43</v>
      </c>
      <c r="AH242" s="11">
        <v>7</v>
      </c>
      <c r="AI242" s="11">
        <v>0</v>
      </c>
      <c r="AJ242" s="11">
        <v>6</v>
      </c>
      <c r="AK242" s="11">
        <v>33050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68</v>
      </c>
      <c r="AS242" s="11">
        <v>909.81</v>
      </c>
      <c r="AT242" s="11">
        <v>0</v>
      </c>
      <c r="AU242" s="11">
        <v>101</v>
      </c>
      <c r="AV242" s="11">
        <v>0</v>
      </c>
      <c r="AW242" s="11">
        <v>9</v>
      </c>
      <c r="AX242" s="11">
        <v>3</v>
      </c>
      <c r="AY242" s="11" t="s">
        <v>684</v>
      </c>
    </row>
    <row r="243" spans="1:51">
      <c r="A243" s="11" t="s">
        <v>118</v>
      </c>
      <c r="B243" s="11" t="s">
        <v>362</v>
      </c>
      <c r="C243" s="11" t="s">
        <v>355</v>
      </c>
      <c r="D243" s="11" t="s">
        <v>419</v>
      </c>
      <c r="E243" s="11" t="s">
        <v>676</v>
      </c>
      <c r="F243" s="11" t="s">
        <v>806</v>
      </c>
      <c r="G243" s="11" t="s">
        <v>29</v>
      </c>
      <c r="H243" s="11">
        <v>0</v>
      </c>
      <c r="I243" s="11">
        <v>0</v>
      </c>
      <c r="J243" s="11">
        <v>0</v>
      </c>
      <c r="K243" s="11">
        <v>0</v>
      </c>
      <c r="L243" s="11">
        <v>15</v>
      </c>
      <c r="M243" s="11">
        <v>0</v>
      </c>
      <c r="N243" s="11">
        <v>0</v>
      </c>
      <c r="O243" s="11">
        <v>15</v>
      </c>
      <c r="P243" s="11">
        <v>15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3</v>
      </c>
      <c r="Z243" s="11">
        <v>1</v>
      </c>
      <c r="AA243" s="11">
        <v>1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1</v>
      </c>
      <c r="AH243" s="11">
        <v>1</v>
      </c>
      <c r="AI243" s="11">
        <v>0</v>
      </c>
      <c r="AJ243" s="11">
        <v>1</v>
      </c>
      <c r="AK243" s="11">
        <v>36715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28</v>
      </c>
      <c r="AS243" s="11">
        <v>305.61</v>
      </c>
      <c r="AT243" s="11">
        <v>0</v>
      </c>
      <c r="AU243" s="11">
        <v>0</v>
      </c>
      <c r="AV243" s="11">
        <v>0</v>
      </c>
      <c r="AW243" s="11">
        <v>0</v>
      </c>
      <c r="AX243" s="11">
        <v>15</v>
      </c>
      <c r="AY243" s="11" t="s">
        <v>684</v>
      </c>
    </row>
  </sheetData>
  <conditionalFormatting sqref="C1:C244">
    <cfRule type="expression" dxfId="6" priority="1">
      <formula>COUNTIF(C:C,C1)&gt;1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Z23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sheetData>
    <row r="1" spans="1:52">
      <c r="B1" s="149"/>
      <c r="L1" s="6"/>
    </row>
    <row r="2" spans="1:52" ht="15.75" customHeight="1">
      <c r="A2" s="11"/>
      <c r="B2" s="149"/>
      <c r="C2" s="1"/>
      <c r="D2" s="1"/>
      <c r="E2" s="1"/>
      <c r="F2" s="1"/>
      <c r="G2" s="1"/>
      <c r="H2" s="1"/>
      <c r="I2" s="1"/>
      <c r="J2" s="1">
        <f t="shared" ref="J2:K2" si="0">SUM(J4:J233)</f>
        <v>548272578.3900001</v>
      </c>
      <c r="K2" s="1">
        <f t="shared" si="0"/>
        <v>8803912.2300000004</v>
      </c>
      <c r="L2" s="1">
        <f>J2+K2</f>
        <v>557076490.62000012</v>
      </c>
      <c r="M2" s="37" t="e">
        <f>L2-#REF!</f>
        <v>#REF!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5.75" customHeight="1">
      <c r="A3" s="11" t="s">
        <v>681</v>
      </c>
      <c r="B3" s="149" t="s">
        <v>31</v>
      </c>
      <c r="C3" s="1" t="s">
        <v>6</v>
      </c>
      <c r="D3" s="1" t="s">
        <v>35</v>
      </c>
      <c r="E3" s="1" t="s">
        <v>32</v>
      </c>
      <c r="F3" s="1" t="s">
        <v>34</v>
      </c>
      <c r="G3" s="1" t="s">
        <v>682</v>
      </c>
      <c r="H3" s="1" t="s">
        <v>382</v>
      </c>
      <c r="I3" s="1" t="s">
        <v>131</v>
      </c>
      <c r="J3" s="1" t="s">
        <v>383</v>
      </c>
      <c r="K3" s="1" t="s">
        <v>384</v>
      </c>
      <c r="L3" s="1" t="s">
        <v>47</v>
      </c>
      <c r="M3" s="1" t="s">
        <v>385</v>
      </c>
      <c r="N3" s="1" t="s">
        <v>49</v>
      </c>
      <c r="O3" s="1" t="s">
        <v>52</v>
      </c>
      <c r="P3" s="1" t="s">
        <v>53</v>
      </c>
      <c r="Q3" s="1" t="s">
        <v>54</v>
      </c>
      <c r="R3" s="1" t="s">
        <v>55</v>
      </c>
      <c r="S3" s="1" t="s">
        <v>386</v>
      </c>
      <c r="T3" s="1" t="s">
        <v>387</v>
      </c>
      <c r="U3" s="1" t="s">
        <v>58</v>
      </c>
      <c r="V3" s="1" t="s">
        <v>59</v>
      </c>
      <c r="W3" s="1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  <c r="AD3" s="1" t="s">
        <v>68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388</v>
      </c>
      <c r="AJ3" s="1" t="s">
        <v>74</v>
      </c>
      <c r="AK3" s="1" t="s">
        <v>75</v>
      </c>
      <c r="AL3" s="1" t="s">
        <v>76</v>
      </c>
      <c r="AM3" s="1" t="s">
        <v>77</v>
      </c>
      <c r="AN3" s="1" t="s">
        <v>78</v>
      </c>
      <c r="AO3" s="1" t="s">
        <v>43</v>
      </c>
      <c r="AP3" s="1" t="s">
        <v>44</v>
      </c>
      <c r="AQ3" s="1" t="s">
        <v>79</v>
      </c>
      <c r="AR3" s="1" t="s">
        <v>80</v>
      </c>
      <c r="AS3" s="1" t="s">
        <v>82</v>
      </c>
      <c r="AT3" s="1" t="s">
        <v>389</v>
      </c>
      <c r="AU3" s="1" t="s">
        <v>83</v>
      </c>
      <c r="AV3" s="1" t="s">
        <v>84</v>
      </c>
      <c r="AW3" s="1" t="s">
        <v>86</v>
      </c>
      <c r="AX3" s="1" t="s">
        <v>87</v>
      </c>
      <c r="AY3" s="1" t="s">
        <v>88</v>
      </c>
      <c r="AZ3" s="1"/>
    </row>
    <row r="4" spans="1:52" ht="15.75" customHeight="1">
      <c r="A4" s="1" t="s">
        <v>118</v>
      </c>
      <c r="B4" s="11" t="s">
        <v>359</v>
      </c>
      <c r="C4" s="1" t="s">
        <v>26</v>
      </c>
      <c r="D4" s="1" t="s">
        <v>442</v>
      </c>
      <c r="E4" s="1" t="s">
        <v>477</v>
      </c>
      <c r="F4" s="104">
        <v>42826</v>
      </c>
      <c r="G4" s="1" t="s">
        <v>118</v>
      </c>
      <c r="H4" s="4">
        <v>0</v>
      </c>
      <c r="I4" s="4">
        <v>6000000</v>
      </c>
      <c r="J4" s="4">
        <v>1869308.7</v>
      </c>
      <c r="K4" s="4">
        <v>0</v>
      </c>
      <c r="L4" s="4">
        <v>92</v>
      </c>
      <c r="M4" s="4">
        <v>63</v>
      </c>
      <c r="N4" s="4">
        <v>2</v>
      </c>
      <c r="O4" s="4">
        <v>94</v>
      </c>
      <c r="P4" s="4">
        <v>31</v>
      </c>
      <c r="Q4" s="4">
        <v>1731733.5</v>
      </c>
      <c r="R4" s="4">
        <v>137575.20000000001</v>
      </c>
      <c r="S4" s="4">
        <v>38</v>
      </c>
      <c r="T4" s="4">
        <v>2</v>
      </c>
      <c r="U4" s="4">
        <v>40</v>
      </c>
      <c r="V4" s="4">
        <v>0</v>
      </c>
      <c r="W4" s="4">
        <v>1</v>
      </c>
      <c r="X4" s="4">
        <v>2</v>
      </c>
      <c r="Y4" s="4">
        <v>10</v>
      </c>
      <c r="Z4" s="4">
        <v>1</v>
      </c>
      <c r="AA4" s="4">
        <v>33</v>
      </c>
      <c r="AB4" s="4">
        <v>0</v>
      </c>
      <c r="AC4" s="4">
        <v>0</v>
      </c>
      <c r="AD4" s="4">
        <v>0</v>
      </c>
      <c r="AE4" s="4">
        <v>0</v>
      </c>
      <c r="AF4" s="4">
        <v>294</v>
      </c>
      <c r="AG4" s="4">
        <v>329</v>
      </c>
      <c r="AH4" s="4">
        <v>70</v>
      </c>
      <c r="AI4" s="4">
        <v>26704</v>
      </c>
      <c r="AJ4" s="4">
        <v>5</v>
      </c>
      <c r="AK4" s="4">
        <v>76300</v>
      </c>
      <c r="AL4" s="4">
        <v>0</v>
      </c>
      <c r="AM4" s="4">
        <v>4.0800000000000003E-2</v>
      </c>
      <c r="AN4" s="4">
        <v>46733</v>
      </c>
      <c r="AO4" s="4">
        <v>0.31</v>
      </c>
      <c r="AP4" s="4">
        <v>0</v>
      </c>
      <c r="AQ4" s="4">
        <v>71</v>
      </c>
      <c r="AR4" s="4">
        <v>571</v>
      </c>
      <c r="AS4" s="4">
        <v>2473.7399999999998</v>
      </c>
      <c r="AT4" s="4">
        <v>2</v>
      </c>
      <c r="AU4" s="4">
        <v>39</v>
      </c>
      <c r="AV4" s="4">
        <v>40</v>
      </c>
      <c r="AW4" s="4">
        <v>25</v>
      </c>
      <c r="AX4" s="4">
        <v>29</v>
      </c>
      <c r="AY4" s="1"/>
      <c r="AZ4" s="1"/>
    </row>
    <row r="5" spans="1:52" ht="15.75" customHeight="1">
      <c r="A5" s="1" t="s">
        <v>118</v>
      </c>
      <c r="B5" s="1" t="s">
        <v>362</v>
      </c>
      <c r="C5" s="1" t="s">
        <v>27</v>
      </c>
      <c r="D5" s="1" t="s">
        <v>419</v>
      </c>
      <c r="E5" s="1" t="s">
        <v>452</v>
      </c>
      <c r="F5" s="104">
        <v>41791</v>
      </c>
      <c r="G5" s="1" t="s">
        <v>118</v>
      </c>
      <c r="H5" s="4">
        <v>0</v>
      </c>
      <c r="I5" s="4">
        <v>37500000</v>
      </c>
      <c r="J5" s="4">
        <v>19353356.670000002</v>
      </c>
      <c r="K5" s="4">
        <v>0</v>
      </c>
      <c r="L5" s="4">
        <v>101</v>
      </c>
      <c r="M5" s="4">
        <v>77</v>
      </c>
      <c r="N5" s="4">
        <v>1</v>
      </c>
      <c r="O5" s="4">
        <v>102</v>
      </c>
      <c r="P5" s="4">
        <v>25</v>
      </c>
      <c r="Q5" s="4">
        <v>19353356.670000002</v>
      </c>
      <c r="R5" s="4">
        <v>0</v>
      </c>
      <c r="S5" s="4">
        <v>61</v>
      </c>
      <c r="T5" s="4">
        <v>0</v>
      </c>
      <c r="U5" s="4">
        <v>61</v>
      </c>
      <c r="V5" s="4">
        <v>0</v>
      </c>
      <c r="W5" s="4">
        <v>0</v>
      </c>
      <c r="X5" s="4">
        <v>0</v>
      </c>
      <c r="Y5" s="4">
        <v>31</v>
      </c>
      <c r="Z5" s="4">
        <v>3</v>
      </c>
      <c r="AA5" s="4">
        <v>39</v>
      </c>
      <c r="AB5" s="4">
        <v>0</v>
      </c>
      <c r="AC5" s="4">
        <v>0</v>
      </c>
      <c r="AD5" s="4">
        <v>0</v>
      </c>
      <c r="AE5" s="4">
        <v>0</v>
      </c>
      <c r="AF5" s="4">
        <v>296</v>
      </c>
      <c r="AG5" s="4">
        <v>335</v>
      </c>
      <c r="AH5" s="4">
        <v>72</v>
      </c>
      <c r="AI5" s="4">
        <v>268797</v>
      </c>
      <c r="AJ5" s="4">
        <v>5</v>
      </c>
      <c r="AK5" s="4">
        <v>87460</v>
      </c>
      <c r="AL5" s="4">
        <v>0</v>
      </c>
      <c r="AM5" s="4">
        <v>4.4999999999999997E-3</v>
      </c>
      <c r="AN5" s="4">
        <v>317268</v>
      </c>
      <c r="AO5" s="4">
        <v>0.52</v>
      </c>
      <c r="AP5" s="4">
        <v>0</v>
      </c>
      <c r="AQ5" s="4">
        <v>217</v>
      </c>
      <c r="AR5" s="4">
        <v>874</v>
      </c>
      <c r="AS5" s="4">
        <v>9720.5</v>
      </c>
      <c r="AT5" s="4">
        <v>0</v>
      </c>
      <c r="AU5" s="4">
        <v>126</v>
      </c>
      <c r="AV5" s="4">
        <v>61</v>
      </c>
      <c r="AW5" s="4">
        <v>16</v>
      </c>
      <c r="AX5" s="4">
        <v>25</v>
      </c>
      <c r="AY5" s="1"/>
      <c r="AZ5" s="1"/>
    </row>
    <row r="6" spans="1:52" ht="15.75" customHeight="1">
      <c r="A6" s="1" t="s">
        <v>118</v>
      </c>
      <c r="B6" s="1" t="s">
        <v>359</v>
      </c>
      <c r="C6" s="1" t="s">
        <v>28</v>
      </c>
      <c r="D6" s="1" t="s">
        <v>442</v>
      </c>
      <c r="E6" s="1" t="s">
        <v>444</v>
      </c>
      <c r="F6" s="48">
        <v>41563</v>
      </c>
      <c r="G6" s="1" t="s">
        <v>118</v>
      </c>
      <c r="H6" s="4">
        <v>0</v>
      </c>
      <c r="I6" s="4">
        <v>6300000</v>
      </c>
      <c r="J6" s="4">
        <v>5378052.7699999996</v>
      </c>
      <c r="K6" s="4">
        <v>0</v>
      </c>
      <c r="L6" s="4">
        <v>39</v>
      </c>
      <c r="M6" s="4">
        <v>37</v>
      </c>
      <c r="N6" s="4">
        <v>1</v>
      </c>
      <c r="O6" s="4">
        <v>40</v>
      </c>
      <c r="P6" s="4">
        <v>3</v>
      </c>
      <c r="Q6" s="4">
        <v>5363632.7699999996</v>
      </c>
      <c r="R6" s="4">
        <v>14420</v>
      </c>
      <c r="S6" s="4">
        <v>19</v>
      </c>
      <c r="T6" s="4">
        <v>1</v>
      </c>
      <c r="U6" s="4">
        <v>20</v>
      </c>
      <c r="V6" s="4">
        <v>0</v>
      </c>
      <c r="W6" s="4">
        <v>2</v>
      </c>
      <c r="X6" s="4">
        <v>2</v>
      </c>
      <c r="Y6" s="4">
        <v>31</v>
      </c>
      <c r="Z6" s="4">
        <v>1</v>
      </c>
      <c r="AA6" s="4">
        <v>2</v>
      </c>
      <c r="AB6" s="4">
        <v>0</v>
      </c>
      <c r="AC6" s="4">
        <v>0</v>
      </c>
      <c r="AD6" s="4">
        <v>0</v>
      </c>
      <c r="AE6" s="4">
        <v>0</v>
      </c>
      <c r="AF6" s="4">
        <v>192</v>
      </c>
      <c r="AG6" s="4">
        <v>196</v>
      </c>
      <c r="AH6" s="4">
        <v>71</v>
      </c>
      <c r="AI6" s="4">
        <v>75747</v>
      </c>
      <c r="AJ6" s="4">
        <v>3</v>
      </c>
      <c r="AK6" s="4">
        <v>48500</v>
      </c>
      <c r="AL6" s="4">
        <v>0</v>
      </c>
      <c r="AM6" s="4">
        <v>8.9999999999999993E-3</v>
      </c>
      <c r="AN6" s="4">
        <v>268903</v>
      </c>
      <c r="AO6" s="4">
        <v>0.85</v>
      </c>
      <c r="AP6" s="4">
        <v>0</v>
      </c>
      <c r="AQ6" s="4">
        <v>70</v>
      </c>
      <c r="AR6" s="4">
        <v>848</v>
      </c>
      <c r="AS6" s="4">
        <v>7002.83</v>
      </c>
      <c r="AT6" s="4">
        <v>1</v>
      </c>
      <c r="AU6" s="4">
        <v>189</v>
      </c>
      <c r="AV6" s="4">
        <v>20</v>
      </c>
      <c r="AW6" s="4">
        <v>17</v>
      </c>
      <c r="AX6" s="4">
        <v>3</v>
      </c>
      <c r="AY6" s="1"/>
      <c r="AZ6" s="1"/>
    </row>
    <row r="7" spans="1:52" ht="15.75" customHeight="1">
      <c r="A7" s="1" t="s">
        <v>118</v>
      </c>
      <c r="B7" s="1" t="s">
        <v>362</v>
      </c>
      <c r="C7" s="1" t="s">
        <v>29</v>
      </c>
      <c r="D7" s="1" t="s">
        <v>419</v>
      </c>
      <c r="E7" s="1" t="s">
        <v>420</v>
      </c>
      <c r="F7" s="48">
        <v>39859</v>
      </c>
      <c r="G7" s="1" t="s">
        <v>118</v>
      </c>
      <c r="H7" s="4">
        <v>0</v>
      </c>
      <c r="I7" s="4">
        <v>0</v>
      </c>
      <c r="J7" s="4">
        <v>0</v>
      </c>
      <c r="K7" s="4">
        <v>0</v>
      </c>
      <c r="L7" s="4">
        <v>194</v>
      </c>
      <c r="M7" s="4">
        <v>97</v>
      </c>
      <c r="N7" s="4">
        <v>0</v>
      </c>
      <c r="O7" s="4">
        <v>194</v>
      </c>
      <c r="P7" s="4">
        <v>97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2</v>
      </c>
      <c r="X7" s="4">
        <v>3</v>
      </c>
      <c r="Y7" s="4">
        <v>83</v>
      </c>
      <c r="Z7" s="4">
        <v>8</v>
      </c>
      <c r="AA7" s="4">
        <v>59</v>
      </c>
      <c r="AB7" s="4">
        <v>1</v>
      </c>
      <c r="AC7" s="4">
        <v>7</v>
      </c>
      <c r="AD7" s="4">
        <v>1</v>
      </c>
      <c r="AE7" s="4">
        <v>8</v>
      </c>
      <c r="AF7" s="4">
        <v>180</v>
      </c>
      <c r="AG7" s="4">
        <v>257</v>
      </c>
      <c r="AH7" s="4">
        <v>71</v>
      </c>
      <c r="AI7" s="4">
        <v>0</v>
      </c>
      <c r="AJ7" s="4">
        <v>4</v>
      </c>
      <c r="AK7" s="4">
        <v>70400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819</v>
      </c>
      <c r="AS7" s="4">
        <v>17706.14</v>
      </c>
      <c r="AT7" s="4">
        <v>0</v>
      </c>
      <c r="AU7" s="4">
        <v>183</v>
      </c>
      <c r="AV7" s="4">
        <v>0</v>
      </c>
      <c r="AW7" s="4">
        <v>97</v>
      </c>
      <c r="AX7" s="4">
        <v>97</v>
      </c>
      <c r="AY7" s="1"/>
      <c r="AZ7" s="1"/>
    </row>
    <row r="8" spans="1:52" ht="15.75" customHeight="1">
      <c r="A8" s="1" t="s">
        <v>118</v>
      </c>
      <c r="B8" s="1" t="s">
        <v>359</v>
      </c>
      <c r="C8" s="1" t="s">
        <v>33</v>
      </c>
      <c r="D8" s="1" t="s">
        <v>442</v>
      </c>
      <c r="E8" s="1" t="s">
        <v>496</v>
      </c>
      <c r="F8" s="104">
        <v>43710</v>
      </c>
      <c r="G8" s="1" t="s">
        <v>118</v>
      </c>
      <c r="H8" s="4">
        <v>0</v>
      </c>
      <c r="I8" s="4">
        <v>6000000</v>
      </c>
      <c r="J8" s="4">
        <v>4132523.62</v>
      </c>
      <c r="K8" s="4">
        <v>310987.48</v>
      </c>
      <c r="L8" s="4">
        <v>53</v>
      </c>
      <c r="M8" s="4">
        <v>47</v>
      </c>
      <c r="N8" s="4">
        <v>1</v>
      </c>
      <c r="O8" s="4">
        <v>54</v>
      </c>
      <c r="P8" s="4">
        <v>7</v>
      </c>
      <c r="Q8" s="4">
        <v>3987175.62</v>
      </c>
      <c r="R8" s="4">
        <v>145348</v>
      </c>
      <c r="S8" s="4">
        <v>45</v>
      </c>
      <c r="T8" s="4">
        <v>1</v>
      </c>
      <c r="U8" s="4">
        <v>46</v>
      </c>
      <c r="V8" s="4">
        <v>2</v>
      </c>
      <c r="W8" s="4">
        <v>2</v>
      </c>
      <c r="X8" s="4">
        <v>2</v>
      </c>
      <c r="Y8" s="4">
        <v>35</v>
      </c>
      <c r="Z8" s="4">
        <v>1</v>
      </c>
      <c r="AA8" s="4">
        <v>2</v>
      </c>
      <c r="AB8" s="4">
        <v>3</v>
      </c>
      <c r="AC8" s="4">
        <v>39</v>
      </c>
      <c r="AD8" s="4">
        <v>0</v>
      </c>
      <c r="AE8" s="4">
        <v>0</v>
      </c>
      <c r="AF8" s="4">
        <v>286</v>
      </c>
      <c r="AG8" s="4">
        <v>329</v>
      </c>
      <c r="AH8" s="4">
        <v>72</v>
      </c>
      <c r="AI8" s="4">
        <v>57396</v>
      </c>
      <c r="AJ8" s="4">
        <v>5</v>
      </c>
      <c r="AK8" s="4">
        <v>50950</v>
      </c>
      <c r="AL8" s="4">
        <v>0</v>
      </c>
      <c r="AM8" s="4">
        <v>1.23E-2</v>
      </c>
      <c r="AN8" s="4">
        <v>89837</v>
      </c>
      <c r="AO8" s="4">
        <v>0.69</v>
      </c>
      <c r="AP8" s="4">
        <v>0</v>
      </c>
      <c r="AQ8" s="4">
        <v>149</v>
      </c>
      <c r="AR8" s="4">
        <v>778</v>
      </c>
      <c r="AS8" s="4">
        <v>7659.53</v>
      </c>
      <c r="AT8" s="4">
        <v>1</v>
      </c>
      <c r="AU8" s="4">
        <v>163</v>
      </c>
      <c r="AV8" s="4">
        <v>46</v>
      </c>
      <c r="AW8" s="4">
        <v>3</v>
      </c>
      <c r="AX8" s="4">
        <v>5</v>
      </c>
      <c r="AY8" s="1"/>
      <c r="AZ8" s="1"/>
    </row>
    <row r="9" spans="1:52" ht="15.75" customHeight="1">
      <c r="A9" s="1" t="s">
        <v>118</v>
      </c>
      <c r="B9" s="1" t="s">
        <v>359</v>
      </c>
      <c r="C9" s="1" t="s">
        <v>38</v>
      </c>
      <c r="D9" s="1" t="s">
        <v>442</v>
      </c>
      <c r="E9" s="1" t="s">
        <v>455</v>
      </c>
      <c r="F9" s="108">
        <v>42125</v>
      </c>
      <c r="G9" s="1" t="s">
        <v>118</v>
      </c>
      <c r="H9" s="4">
        <v>0</v>
      </c>
      <c r="I9" s="4">
        <v>19674000</v>
      </c>
      <c r="J9" s="4">
        <v>19044185.670000002</v>
      </c>
      <c r="K9" s="4">
        <v>0</v>
      </c>
      <c r="L9" s="4">
        <v>86</v>
      </c>
      <c r="M9" s="4">
        <v>85</v>
      </c>
      <c r="N9" s="4">
        <v>1</v>
      </c>
      <c r="O9" s="4">
        <v>87</v>
      </c>
      <c r="P9" s="4">
        <v>2</v>
      </c>
      <c r="Q9" s="4">
        <v>18958125.969999999</v>
      </c>
      <c r="R9" s="4">
        <v>86059.7</v>
      </c>
      <c r="S9" s="4">
        <v>75</v>
      </c>
      <c r="T9" s="4">
        <v>1</v>
      </c>
      <c r="U9" s="4">
        <v>76</v>
      </c>
      <c r="V9" s="4">
        <v>0</v>
      </c>
      <c r="W9" s="4">
        <v>0</v>
      </c>
      <c r="X9" s="4">
        <v>0</v>
      </c>
      <c r="Y9" s="4">
        <v>2</v>
      </c>
      <c r="Z9" s="4">
        <v>5</v>
      </c>
      <c r="AA9" s="4">
        <v>30</v>
      </c>
      <c r="AB9" s="4">
        <v>0</v>
      </c>
      <c r="AC9" s="4">
        <v>0</v>
      </c>
      <c r="AD9" s="4">
        <v>0</v>
      </c>
      <c r="AE9" s="4">
        <v>0</v>
      </c>
      <c r="AF9" s="4">
        <v>401</v>
      </c>
      <c r="AG9" s="4">
        <v>431</v>
      </c>
      <c r="AH9" s="4">
        <v>75</v>
      </c>
      <c r="AI9" s="4">
        <v>253922</v>
      </c>
      <c r="AJ9" s="4">
        <v>6</v>
      </c>
      <c r="AK9" s="4">
        <v>79340</v>
      </c>
      <c r="AL9" s="4">
        <v>0</v>
      </c>
      <c r="AM9" s="4">
        <v>4.1999999999999997E-3</v>
      </c>
      <c r="AN9" s="4">
        <v>250581</v>
      </c>
      <c r="AO9" s="4">
        <v>0.97</v>
      </c>
      <c r="AP9" s="4">
        <v>0</v>
      </c>
      <c r="AQ9" s="4">
        <v>400</v>
      </c>
      <c r="AR9" s="4">
        <v>905</v>
      </c>
      <c r="AS9" s="4">
        <v>7573.11</v>
      </c>
      <c r="AT9" s="4">
        <v>1</v>
      </c>
      <c r="AU9" s="4">
        <v>89</v>
      </c>
      <c r="AV9" s="4">
        <v>76</v>
      </c>
      <c r="AW9" s="4">
        <v>11</v>
      </c>
      <c r="AX9" s="4">
        <v>0</v>
      </c>
      <c r="AY9" s="1"/>
      <c r="AZ9" s="1"/>
    </row>
    <row r="10" spans="1:52" ht="15.75" customHeight="1">
      <c r="A10" s="1" t="s">
        <v>118</v>
      </c>
      <c r="B10" s="1" t="s">
        <v>362</v>
      </c>
      <c r="C10" s="1" t="s">
        <v>45</v>
      </c>
      <c r="D10" s="1" t="s">
        <v>419</v>
      </c>
      <c r="E10" s="1" t="s">
        <v>464</v>
      </c>
      <c r="F10" s="48">
        <v>42660</v>
      </c>
      <c r="G10" s="1" t="s">
        <v>118</v>
      </c>
      <c r="H10" s="4">
        <v>0</v>
      </c>
      <c r="I10" s="4">
        <v>10149999</v>
      </c>
      <c r="J10" s="4">
        <v>8510954.8100000005</v>
      </c>
      <c r="K10" s="4">
        <v>0</v>
      </c>
      <c r="L10" s="4">
        <v>59</v>
      </c>
      <c r="M10" s="4">
        <v>45</v>
      </c>
      <c r="N10" s="4">
        <v>2</v>
      </c>
      <c r="O10" s="4">
        <v>61</v>
      </c>
      <c r="P10" s="4">
        <v>16</v>
      </c>
      <c r="Q10" s="4">
        <v>8349753.8099999996</v>
      </c>
      <c r="R10" s="4">
        <v>161201</v>
      </c>
      <c r="S10" s="4">
        <v>35</v>
      </c>
      <c r="T10" s="4">
        <v>2</v>
      </c>
      <c r="U10" s="4">
        <v>37</v>
      </c>
      <c r="V10" s="4">
        <v>0</v>
      </c>
      <c r="W10" s="4">
        <v>2</v>
      </c>
      <c r="X10" s="4">
        <v>2</v>
      </c>
      <c r="Y10" s="4">
        <v>5</v>
      </c>
      <c r="Z10" s="4">
        <v>3</v>
      </c>
      <c r="AA10" s="4">
        <v>67</v>
      </c>
      <c r="AB10" s="4">
        <v>0</v>
      </c>
      <c r="AC10" s="4">
        <v>0</v>
      </c>
      <c r="AD10" s="4">
        <v>0</v>
      </c>
      <c r="AE10" s="4">
        <v>0</v>
      </c>
      <c r="AF10" s="4">
        <v>240</v>
      </c>
      <c r="AG10" s="4">
        <v>309</v>
      </c>
      <c r="AH10" s="4">
        <v>72</v>
      </c>
      <c r="AI10" s="4">
        <v>118208</v>
      </c>
      <c r="AJ10" s="4">
        <v>4</v>
      </c>
      <c r="AK10" s="4">
        <v>48608</v>
      </c>
      <c r="AL10" s="4">
        <v>0</v>
      </c>
      <c r="AM10" s="4">
        <v>5.7000000000000002E-3</v>
      </c>
      <c r="AN10" s="4">
        <v>230026</v>
      </c>
      <c r="AO10" s="4">
        <v>0.84</v>
      </c>
      <c r="AP10" s="4">
        <v>0</v>
      </c>
      <c r="AQ10" s="4">
        <v>106</v>
      </c>
      <c r="AR10" s="4">
        <v>788</v>
      </c>
      <c r="AS10" s="4">
        <v>4654.47</v>
      </c>
      <c r="AT10" s="4">
        <v>2</v>
      </c>
      <c r="AU10" s="4">
        <v>103</v>
      </c>
      <c r="AV10" s="4">
        <v>37</v>
      </c>
      <c r="AW10" s="4">
        <v>10</v>
      </c>
      <c r="AX10" s="4">
        <v>14</v>
      </c>
      <c r="AY10" s="1"/>
      <c r="AZ10" s="1"/>
    </row>
    <row r="11" spans="1:52" ht="15.75" customHeight="1">
      <c r="A11" s="1" t="s">
        <v>118</v>
      </c>
      <c r="B11" s="1" t="s">
        <v>362</v>
      </c>
      <c r="C11" s="1" t="s">
        <v>51</v>
      </c>
      <c r="D11" s="1" t="s">
        <v>419</v>
      </c>
      <c r="E11" s="1" t="s">
        <v>439</v>
      </c>
      <c r="F11" s="104">
        <v>42826</v>
      </c>
      <c r="G11" s="1" t="s">
        <v>118</v>
      </c>
      <c r="H11" s="4">
        <v>0</v>
      </c>
      <c r="I11" s="4">
        <v>11400000</v>
      </c>
      <c r="J11" s="4">
        <v>7184086.75</v>
      </c>
      <c r="K11" s="4">
        <v>0</v>
      </c>
      <c r="L11" s="4">
        <v>133</v>
      </c>
      <c r="M11" s="4">
        <v>58</v>
      </c>
      <c r="N11" s="4">
        <v>2</v>
      </c>
      <c r="O11" s="4">
        <v>135</v>
      </c>
      <c r="P11" s="4">
        <v>77</v>
      </c>
      <c r="Q11" s="4">
        <v>7184086.75</v>
      </c>
      <c r="R11" s="4">
        <v>0</v>
      </c>
      <c r="S11" s="4">
        <v>9</v>
      </c>
      <c r="T11" s="4">
        <v>0</v>
      </c>
      <c r="U11" s="4">
        <v>9</v>
      </c>
      <c r="V11" s="4">
        <v>0</v>
      </c>
      <c r="W11" s="4">
        <v>3</v>
      </c>
      <c r="X11" s="4">
        <v>3</v>
      </c>
      <c r="Y11" s="4">
        <v>38</v>
      </c>
      <c r="Z11" s="4">
        <v>3</v>
      </c>
      <c r="AA11" s="4">
        <v>10</v>
      </c>
      <c r="AB11" s="4">
        <v>0</v>
      </c>
      <c r="AC11" s="4">
        <v>0</v>
      </c>
      <c r="AD11" s="4">
        <v>1</v>
      </c>
      <c r="AE11" s="4">
        <v>10</v>
      </c>
      <c r="AF11" s="4">
        <v>192</v>
      </c>
      <c r="AG11" s="4">
        <v>215</v>
      </c>
      <c r="AH11" s="4">
        <v>75</v>
      </c>
      <c r="AI11" s="4">
        <v>95788</v>
      </c>
      <c r="AJ11" s="4">
        <v>3</v>
      </c>
      <c r="AK11" s="4">
        <v>63250</v>
      </c>
      <c r="AL11" s="4">
        <v>0</v>
      </c>
      <c r="AM11" s="4">
        <v>8.8000000000000005E-3</v>
      </c>
      <c r="AN11" s="4">
        <v>798232</v>
      </c>
      <c r="AO11" s="4">
        <v>0.63</v>
      </c>
      <c r="AP11" s="4">
        <v>0</v>
      </c>
      <c r="AQ11" s="4">
        <v>20</v>
      </c>
      <c r="AR11" s="4">
        <v>891</v>
      </c>
      <c r="AS11" s="4">
        <v>15555.19</v>
      </c>
      <c r="AT11" s="4">
        <v>0</v>
      </c>
      <c r="AU11" s="4">
        <v>268</v>
      </c>
      <c r="AV11" s="4">
        <v>9</v>
      </c>
      <c r="AW11" s="4">
        <v>49</v>
      </c>
      <c r="AX11" s="4">
        <v>77</v>
      </c>
      <c r="AY11" s="1"/>
      <c r="AZ11" s="1"/>
    </row>
    <row r="12" spans="1:52" ht="15.75" customHeight="1">
      <c r="A12" s="1" t="s">
        <v>118</v>
      </c>
      <c r="B12" s="1" t="s">
        <v>362</v>
      </c>
      <c r="C12" s="1" t="s">
        <v>67</v>
      </c>
      <c r="D12" s="1" t="s">
        <v>419</v>
      </c>
      <c r="E12" s="1" t="s">
        <v>485</v>
      </c>
      <c r="F12" s="104">
        <v>43009</v>
      </c>
      <c r="G12" s="1" t="s">
        <v>118</v>
      </c>
      <c r="H12" s="4">
        <v>0</v>
      </c>
      <c r="I12" s="4">
        <v>0</v>
      </c>
      <c r="J12" s="4">
        <v>0</v>
      </c>
      <c r="K12" s="4">
        <v>0</v>
      </c>
      <c r="L12" s="4">
        <v>217</v>
      </c>
      <c r="M12" s="4">
        <v>96</v>
      </c>
      <c r="N12" s="4">
        <v>6</v>
      </c>
      <c r="O12" s="4">
        <v>223</v>
      </c>
      <c r="P12" s="4">
        <v>127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4</v>
      </c>
      <c r="X12" s="4">
        <v>4</v>
      </c>
      <c r="Y12" s="4">
        <v>34</v>
      </c>
      <c r="Z12" s="4">
        <v>3</v>
      </c>
      <c r="AA12" s="4">
        <v>39</v>
      </c>
      <c r="AB12" s="4">
        <v>0</v>
      </c>
      <c r="AC12" s="4">
        <v>0</v>
      </c>
      <c r="AD12" s="4">
        <v>0</v>
      </c>
      <c r="AE12" s="4">
        <v>0</v>
      </c>
      <c r="AF12" s="4">
        <v>200</v>
      </c>
      <c r="AG12" s="4">
        <v>243</v>
      </c>
      <c r="AH12" s="4">
        <v>75</v>
      </c>
      <c r="AI12" s="4">
        <v>0</v>
      </c>
      <c r="AJ12" s="4">
        <v>3</v>
      </c>
      <c r="AK12" s="4">
        <v>54455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739</v>
      </c>
      <c r="AS12" s="4">
        <v>5703.04</v>
      </c>
      <c r="AT12" s="4">
        <v>0</v>
      </c>
      <c r="AU12" s="4">
        <v>59</v>
      </c>
      <c r="AV12" s="4">
        <v>0</v>
      </c>
      <c r="AW12" s="4">
        <v>96</v>
      </c>
      <c r="AX12" s="4">
        <v>127</v>
      </c>
      <c r="AY12" s="1"/>
      <c r="AZ12" s="1"/>
    </row>
    <row r="13" spans="1:52" ht="15.75" customHeight="1">
      <c r="A13" s="1" t="s">
        <v>118</v>
      </c>
      <c r="B13" s="1" t="s">
        <v>362</v>
      </c>
      <c r="C13" s="1" t="s">
        <v>81</v>
      </c>
      <c r="D13" s="1" t="s">
        <v>419</v>
      </c>
      <c r="E13" s="1" t="s">
        <v>439</v>
      </c>
      <c r="F13" s="48">
        <v>43119</v>
      </c>
      <c r="G13" s="1" t="s">
        <v>118</v>
      </c>
      <c r="H13" s="4">
        <v>0</v>
      </c>
      <c r="I13" s="4">
        <v>11499999</v>
      </c>
      <c r="J13" s="4">
        <v>5906394.1600000001</v>
      </c>
      <c r="K13" s="4">
        <v>0</v>
      </c>
      <c r="L13" s="4">
        <v>62</v>
      </c>
      <c r="M13" s="4">
        <v>17</v>
      </c>
      <c r="N13" s="4">
        <v>0</v>
      </c>
      <c r="O13" s="4">
        <v>62</v>
      </c>
      <c r="P13" s="4">
        <v>45</v>
      </c>
      <c r="Q13" s="4">
        <v>5906394.1600000001</v>
      </c>
      <c r="R13" s="4">
        <v>0</v>
      </c>
      <c r="S13" s="4">
        <v>7</v>
      </c>
      <c r="T13" s="4">
        <v>0</v>
      </c>
      <c r="U13" s="4">
        <v>7</v>
      </c>
      <c r="V13" s="4">
        <v>0</v>
      </c>
      <c r="W13" s="4">
        <v>3</v>
      </c>
      <c r="X13" s="4">
        <v>3</v>
      </c>
      <c r="Y13" s="4">
        <v>75</v>
      </c>
      <c r="Z13" s="4">
        <v>3</v>
      </c>
      <c r="AA13" s="4">
        <v>28</v>
      </c>
      <c r="AB13" s="4">
        <v>0</v>
      </c>
      <c r="AC13" s="4">
        <v>0</v>
      </c>
      <c r="AD13" s="4">
        <v>0</v>
      </c>
      <c r="AE13" s="4">
        <v>0</v>
      </c>
      <c r="AF13" s="4">
        <v>73</v>
      </c>
      <c r="AG13" s="4">
        <v>104</v>
      </c>
      <c r="AH13" s="4">
        <v>72</v>
      </c>
      <c r="AI13" s="4">
        <v>82033</v>
      </c>
      <c r="AJ13" s="4">
        <v>1</v>
      </c>
      <c r="AK13" s="4">
        <v>56700</v>
      </c>
      <c r="AL13" s="4">
        <v>0</v>
      </c>
      <c r="AM13" s="4">
        <v>9.5999999999999992E-3</v>
      </c>
      <c r="AN13" s="4">
        <v>843771</v>
      </c>
      <c r="AO13" s="4">
        <v>0.51</v>
      </c>
      <c r="AP13" s="4">
        <v>0</v>
      </c>
      <c r="AQ13" s="4">
        <v>8</v>
      </c>
      <c r="AR13" s="4">
        <v>560</v>
      </c>
      <c r="AS13" s="4">
        <v>1409.27</v>
      </c>
      <c r="AT13" s="4">
        <v>0</v>
      </c>
      <c r="AU13" s="4">
        <v>83</v>
      </c>
      <c r="AV13" s="4">
        <v>7</v>
      </c>
      <c r="AW13" s="4">
        <v>10</v>
      </c>
      <c r="AX13" s="4">
        <v>45</v>
      </c>
      <c r="AY13" s="1"/>
      <c r="AZ13" s="1"/>
    </row>
    <row r="14" spans="1:52" ht="15.75" customHeight="1">
      <c r="A14" s="1" t="s">
        <v>118</v>
      </c>
      <c r="B14" s="1" t="s">
        <v>362</v>
      </c>
      <c r="C14" s="1" t="s">
        <v>85</v>
      </c>
      <c r="D14" s="1" t="s">
        <v>419</v>
      </c>
      <c r="E14" s="1" t="s">
        <v>420</v>
      </c>
      <c r="F14" s="48">
        <v>39859</v>
      </c>
      <c r="G14" s="1" t="s">
        <v>118</v>
      </c>
      <c r="H14" s="4">
        <v>0</v>
      </c>
      <c r="I14" s="4">
        <v>15150000</v>
      </c>
      <c r="J14" s="4">
        <v>9369047.8699999992</v>
      </c>
      <c r="K14" s="4">
        <v>0</v>
      </c>
      <c r="L14" s="4">
        <v>117</v>
      </c>
      <c r="M14" s="4">
        <v>77</v>
      </c>
      <c r="N14" s="4">
        <v>2</v>
      </c>
      <c r="O14" s="4">
        <v>119</v>
      </c>
      <c r="P14" s="4">
        <v>42</v>
      </c>
      <c r="Q14" s="4">
        <v>9230926.1099999994</v>
      </c>
      <c r="R14" s="4">
        <v>138121.76</v>
      </c>
      <c r="S14" s="4">
        <v>39</v>
      </c>
      <c r="T14" s="4">
        <v>2</v>
      </c>
      <c r="U14" s="4">
        <v>41</v>
      </c>
      <c r="V14" s="4">
        <v>0</v>
      </c>
      <c r="W14" s="4">
        <v>1</v>
      </c>
      <c r="X14" s="4">
        <v>1</v>
      </c>
      <c r="Y14" s="4">
        <v>86</v>
      </c>
      <c r="Z14" s="4">
        <v>7</v>
      </c>
      <c r="AA14" s="4">
        <v>26</v>
      </c>
      <c r="AB14" s="4">
        <v>0</v>
      </c>
      <c r="AC14" s="4">
        <v>0</v>
      </c>
      <c r="AD14" s="4">
        <v>0</v>
      </c>
      <c r="AE14" s="4">
        <v>0</v>
      </c>
      <c r="AF14" s="4">
        <v>247</v>
      </c>
      <c r="AG14" s="4">
        <v>274</v>
      </c>
      <c r="AH14" s="4">
        <v>71</v>
      </c>
      <c r="AI14" s="4">
        <v>131958</v>
      </c>
      <c r="AJ14" s="4">
        <v>4</v>
      </c>
      <c r="AK14" s="4">
        <v>60500</v>
      </c>
      <c r="AL14" s="4">
        <v>0</v>
      </c>
      <c r="AM14" s="4">
        <v>6.4999999999999997E-3</v>
      </c>
      <c r="AN14" s="4">
        <v>228513</v>
      </c>
      <c r="AO14" s="4">
        <v>0.62</v>
      </c>
      <c r="AP14" s="4">
        <v>0</v>
      </c>
      <c r="AQ14" s="4">
        <v>101</v>
      </c>
      <c r="AR14" s="4">
        <v>716</v>
      </c>
      <c r="AS14" s="4">
        <v>5293.16</v>
      </c>
      <c r="AT14" s="4">
        <v>2</v>
      </c>
      <c r="AU14" s="4">
        <v>69</v>
      </c>
      <c r="AV14" s="4">
        <v>41</v>
      </c>
      <c r="AW14" s="4">
        <v>40</v>
      </c>
      <c r="AX14" s="4">
        <v>38</v>
      </c>
      <c r="AY14" s="1"/>
      <c r="AZ14" s="1"/>
    </row>
    <row r="15" spans="1:52" ht="15.75" customHeight="1">
      <c r="A15" s="1" t="s">
        <v>118</v>
      </c>
      <c r="B15" s="1" t="s">
        <v>362</v>
      </c>
      <c r="C15" s="1" t="s">
        <v>91</v>
      </c>
      <c r="D15" s="1" t="s">
        <v>419</v>
      </c>
      <c r="E15" s="1" t="s">
        <v>439</v>
      </c>
      <c r="F15" s="104">
        <v>41159</v>
      </c>
      <c r="G15" s="1" t="s">
        <v>118</v>
      </c>
      <c r="H15" s="4">
        <v>0</v>
      </c>
      <c r="I15" s="4">
        <v>20499999</v>
      </c>
      <c r="J15" s="4">
        <v>4070824.78</v>
      </c>
      <c r="K15" s="4">
        <v>0</v>
      </c>
      <c r="L15" s="4">
        <v>153</v>
      </c>
      <c r="M15" s="4">
        <v>100</v>
      </c>
      <c r="N15" s="4">
        <v>0</v>
      </c>
      <c r="O15" s="4">
        <v>153</v>
      </c>
      <c r="P15" s="4">
        <v>53</v>
      </c>
      <c r="Q15" s="4">
        <v>4070824.78</v>
      </c>
      <c r="R15" s="4">
        <v>0</v>
      </c>
      <c r="S15" s="4">
        <v>17</v>
      </c>
      <c r="T15" s="4">
        <v>0</v>
      </c>
      <c r="U15" s="4">
        <v>17</v>
      </c>
      <c r="V15" s="4">
        <v>0</v>
      </c>
      <c r="W15" s="4">
        <v>20</v>
      </c>
      <c r="X15" s="4">
        <v>37</v>
      </c>
      <c r="Y15" s="4">
        <v>46</v>
      </c>
      <c r="Z15" s="4">
        <v>3</v>
      </c>
      <c r="AA15" s="4">
        <v>10</v>
      </c>
      <c r="AB15" s="4">
        <v>0</v>
      </c>
      <c r="AC15" s="4">
        <v>0</v>
      </c>
      <c r="AD15" s="4">
        <v>0</v>
      </c>
      <c r="AE15" s="4">
        <v>0</v>
      </c>
      <c r="AF15" s="4">
        <v>276</v>
      </c>
      <c r="AG15" s="4">
        <v>323</v>
      </c>
      <c r="AH15" s="4">
        <v>76</v>
      </c>
      <c r="AI15" s="4">
        <v>53563</v>
      </c>
      <c r="AJ15" s="4">
        <v>4</v>
      </c>
      <c r="AK15" s="4">
        <v>78125</v>
      </c>
      <c r="AL15" s="4">
        <v>0</v>
      </c>
      <c r="AM15" s="4">
        <v>1.9199999999999998E-2</v>
      </c>
      <c r="AN15" s="4">
        <v>239460</v>
      </c>
      <c r="AO15" s="4">
        <v>0.2</v>
      </c>
      <c r="AP15" s="4">
        <v>0</v>
      </c>
      <c r="AQ15" s="4">
        <v>25</v>
      </c>
      <c r="AR15" s="4">
        <v>886</v>
      </c>
      <c r="AS15" s="4">
        <v>3862.82</v>
      </c>
      <c r="AT15" s="4">
        <v>0</v>
      </c>
      <c r="AU15" s="4">
        <v>39</v>
      </c>
      <c r="AV15" s="4">
        <v>17</v>
      </c>
      <c r="AW15" s="4">
        <v>83</v>
      </c>
      <c r="AX15" s="4">
        <v>53</v>
      </c>
      <c r="AY15" s="1"/>
      <c r="AZ15" s="1"/>
    </row>
    <row r="16" spans="1:52" ht="15.75" customHeight="1">
      <c r="A16" s="1" t="s">
        <v>118</v>
      </c>
      <c r="B16" s="1" t="s">
        <v>362</v>
      </c>
      <c r="C16" s="1" t="s">
        <v>92</v>
      </c>
      <c r="D16" s="1" t="s">
        <v>419</v>
      </c>
      <c r="E16" s="1" t="s">
        <v>420</v>
      </c>
      <c r="F16" s="108">
        <v>41400</v>
      </c>
      <c r="G16" s="1" t="s">
        <v>118</v>
      </c>
      <c r="H16" s="4">
        <v>0</v>
      </c>
      <c r="I16" s="4">
        <v>25500000</v>
      </c>
      <c r="J16" s="4">
        <v>12937283.23</v>
      </c>
      <c r="K16" s="4">
        <v>0</v>
      </c>
      <c r="L16" s="4">
        <v>57</v>
      </c>
      <c r="M16" s="4">
        <v>44</v>
      </c>
      <c r="N16" s="4">
        <v>0</v>
      </c>
      <c r="O16" s="4">
        <v>57</v>
      </c>
      <c r="P16" s="4">
        <v>13</v>
      </c>
      <c r="Q16" s="4">
        <v>12937283.23</v>
      </c>
      <c r="R16" s="4">
        <v>0</v>
      </c>
      <c r="S16" s="4">
        <v>37</v>
      </c>
      <c r="T16" s="4">
        <v>0</v>
      </c>
      <c r="U16" s="4">
        <v>37</v>
      </c>
      <c r="V16" s="4">
        <v>0</v>
      </c>
      <c r="W16" s="4">
        <v>1</v>
      </c>
      <c r="X16" s="4">
        <v>1</v>
      </c>
      <c r="Y16" s="4">
        <v>17</v>
      </c>
      <c r="Z16" s="4">
        <v>2</v>
      </c>
      <c r="AA16" s="4">
        <v>32</v>
      </c>
      <c r="AB16" s="4">
        <v>0</v>
      </c>
      <c r="AC16" s="4">
        <v>0</v>
      </c>
      <c r="AD16" s="4">
        <v>0</v>
      </c>
      <c r="AE16" s="4">
        <v>0</v>
      </c>
      <c r="AF16" s="4">
        <v>426</v>
      </c>
      <c r="AG16" s="4">
        <v>459</v>
      </c>
      <c r="AH16" s="4">
        <v>58</v>
      </c>
      <c r="AI16" s="4">
        <v>223057</v>
      </c>
      <c r="AJ16" s="4">
        <v>8</v>
      </c>
      <c r="AK16" s="4">
        <v>83075</v>
      </c>
      <c r="AL16" s="4">
        <v>0</v>
      </c>
      <c r="AM16" s="4">
        <v>6.4000000000000003E-3</v>
      </c>
      <c r="AN16" s="4">
        <v>349656</v>
      </c>
      <c r="AO16" s="4">
        <v>0.51</v>
      </c>
      <c r="AP16" s="4">
        <v>0</v>
      </c>
      <c r="AQ16" s="4">
        <v>251</v>
      </c>
      <c r="AR16" s="4">
        <v>564</v>
      </c>
      <c r="AS16" s="4">
        <v>649.83000000000004</v>
      </c>
      <c r="AT16" s="4">
        <v>0</v>
      </c>
      <c r="AU16" s="4">
        <v>15</v>
      </c>
      <c r="AV16" s="4">
        <v>37</v>
      </c>
      <c r="AW16" s="4">
        <v>10</v>
      </c>
      <c r="AX16" s="4">
        <v>10</v>
      </c>
      <c r="AY16" s="1"/>
      <c r="AZ16" s="1"/>
    </row>
    <row r="17" spans="1:52" ht="15.75" customHeight="1">
      <c r="A17" s="1" t="s">
        <v>118</v>
      </c>
      <c r="B17" s="1" t="s">
        <v>372</v>
      </c>
      <c r="C17" s="1" t="s">
        <v>93</v>
      </c>
      <c r="D17" s="1" t="s">
        <v>447</v>
      </c>
      <c r="E17" s="1" t="s">
        <v>448</v>
      </c>
      <c r="F17" s="48">
        <v>41719</v>
      </c>
      <c r="G17" s="1" t="s">
        <v>118</v>
      </c>
      <c r="H17" s="4">
        <v>0</v>
      </c>
      <c r="I17" s="4">
        <v>0</v>
      </c>
      <c r="J17" s="4">
        <v>0</v>
      </c>
      <c r="K17" s="4">
        <v>0</v>
      </c>
      <c r="L17" s="4">
        <v>176</v>
      </c>
      <c r="M17" s="4">
        <v>30</v>
      </c>
      <c r="N17" s="4">
        <v>2</v>
      </c>
      <c r="O17" s="4">
        <v>178</v>
      </c>
      <c r="P17" s="4">
        <v>148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12</v>
      </c>
      <c r="X17" s="4">
        <v>14</v>
      </c>
      <c r="Y17" s="4">
        <v>270</v>
      </c>
      <c r="Z17" s="4">
        <v>12</v>
      </c>
      <c r="AA17" s="4">
        <v>57</v>
      </c>
      <c r="AB17" s="4">
        <v>4</v>
      </c>
      <c r="AC17" s="4">
        <v>10</v>
      </c>
      <c r="AD17" s="4">
        <v>1</v>
      </c>
      <c r="AE17" s="4">
        <v>5</v>
      </c>
      <c r="AF17" s="4">
        <v>39</v>
      </c>
      <c r="AG17" s="4">
        <v>125</v>
      </c>
      <c r="AH17" s="4">
        <v>68</v>
      </c>
      <c r="AI17" s="4">
        <v>0</v>
      </c>
      <c r="AJ17" s="4">
        <v>2</v>
      </c>
      <c r="AK17" s="4">
        <v>88170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627</v>
      </c>
      <c r="AS17" s="4">
        <v>3034.69</v>
      </c>
      <c r="AT17" s="4">
        <v>0</v>
      </c>
      <c r="AU17" s="4">
        <v>101</v>
      </c>
      <c r="AV17" s="4">
        <v>0</v>
      </c>
      <c r="AW17" s="4">
        <v>30</v>
      </c>
      <c r="AX17" s="4">
        <v>148</v>
      </c>
      <c r="AY17" s="1"/>
      <c r="AZ17" s="1"/>
    </row>
    <row r="18" spans="1:52" ht="15.75" customHeight="1">
      <c r="A18" s="1" t="s">
        <v>118</v>
      </c>
      <c r="B18" s="1" t="s">
        <v>375</v>
      </c>
      <c r="C18" s="1" t="s">
        <v>95</v>
      </c>
      <c r="D18" s="1" t="s">
        <v>473</v>
      </c>
      <c r="E18" s="1" t="s">
        <v>474</v>
      </c>
      <c r="F18" s="104">
        <v>42769</v>
      </c>
      <c r="G18" s="1" t="s">
        <v>119</v>
      </c>
      <c r="H18" s="4">
        <v>0</v>
      </c>
      <c r="I18" s="4">
        <v>2800000</v>
      </c>
      <c r="J18" s="4">
        <v>609331.02</v>
      </c>
      <c r="K18" s="4">
        <v>0</v>
      </c>
      <c r="L18" s="4">
        <v>44</v>
      </c>
      <c r="M18" s="4">
        <v>44</v>
      </c>
      <c r="N18" s="4">
        <v>0</v>
      </c>
      <c r="O18" s="4">
        <v>44</v>
      </c>
      <c r="P18" s="4">
        <v>0</v>
      </c>
      <c r="Q18" s="4">
        <v>609331.02</v>
      </c>
      <c r="R18" s="4">
        <v>0</v>
      </c>
      <c r="S18" s="4">
        <v>10</v>
      </c>
      <c r="T18" s="4">
        <v>0</v>
      </c>
      <c r="U18" s="4">
        <v>10</v>
      </c>
      <c r="V18" s="4">
        <v>0</v>
      </c>
      <c r="W18" s="4">
        <v>5</v>
      </c>
      <c r="X18" s="4">
        <v>6</v>
      </c>
      <c r="Y18" s="4">
        <v>73</v>
      </c>
      <c r="Z18" s="4">
        <v>1</v>
      </c>
      <c r="AA18" s="4">
        <v>2</v>
      </c>
      <c r="AB18" s="4">
        <v>0</v>
      </c>
      <c r="AC18" s="4">
        <v>0</v>
      </c>
      <c r="AD18" s="4">
        <v>0</v>
      </c>
      <c r="AE18" s="4">
        <v>0</v>
      </c>
      <c r="AF18" s="4">
        <v>239</v>
      </c>
      <c r="AG18" s="4">
        <v>247</v>
      </c>
      <c r="AH18" s="4">
        <v>49</v>
      </c>
      <c r="AI18" s="4">
        <v>12435</v>
      </c>
      <c r="AJ18" s="4">
        <v>5</v>
      </c>
      <c r="AK18" s="4">
        <v>28672</v>
      </c>
      <c r="AL18" s="4">
        <v>0</v>
      </c>
      <c r="AM18" s="4">
        <v>4.7100000000000003E-2</v>
      </c>
      <c r="AN18" s="4">
        <v>60933</v>
      </c>
      <c r="AO18" s="4">
        <v>0.22</v>
      </c>
      <c r="AP18" s="4">
        <v>0</v>
      </c>
      <c r="AQ18" s="4">
        <v>23</v>
      </c>
      <c r="AR18" s="4">
        <v>518</v>
      </c>
      <c r="AS18" s="4">
        <v>4098.3599999999997</v>
      </c>
      <c r="AT18" s="4">
        <v>0</v>
      </c>
      <c r="AU18" s="4">
        <v>93</v>
      </c>
      <c r="AV18" s="4">
        <v>10</v>
      </c>
      <c r="AW18" s="4">
        <v>34</v>
      </c>
      <c r="AX18" s="4">
        <v>0</v>
      </c>
      <c r="AY18" s="48">
        <v>45991</v>
      </c>
      <c r="AZ18" s="48"/>
    </row>
    <row r="19" spans="1:52" ht="15.75" customHeight="1">
      <c r="A19" s="1" t="s">
        <v>118</v>
      </c>
      <c r="B19" s="1" t="s">
        <v>649</v>
      </c>
      <c r="C19" s="1" t="s">
        <v>96</v>
      </c>
      <c r="D19" s="1" t="s">
        <v>486</v>
      </c>
      <c r="E19" s="1" t="s">
        <v>487</v>
      </c>
      <c r="F19" s="48">
        <v>43185</v>
      </c>
      <c r="G19" s="1" t="s">
        <v>119</v>
      </c>
      <c r="H19" s="4">
        <v>1250001</v>
      </c>
      <c r="I19" s="4">
        <v>4200000</v>
      </c>
      <c r="J19" s="4">
        <v>2098927.67</v>
      </c>
      <c r="K19" s="4">
        <v>0</v>
      </c>
      <c r="L19" s="4">
        <v>110</v>
      </c>
      <c r="M19" s="4">
        <v>98</v>
      </c>
      <c r="N19" s="4">
        <v>2</v>
      </c>
      <c r="O19" s="4">
        <v>112</v>
      </c>
      <c r="P19" s="4">
        <v>14</v>
      </c>
      <c r="Q19" s="4">
        <v>2081767.67</v>
      </c>
      <c r="R19" s="4">
        <v>17160</v>
      </c>
      <c r="S19" s="4">
        <v>34</v>
      </c>
      <c r="T19" s="4">
        <v>1</v>
      </c>
      <c r="U19" s="4">
        <v>35</v>
      </c>
      <c r="V19" s="4">
        <v>0</v>
      </c>
      <c r="W19" s="4">
        <v>8</v>
      </c>
      <c r="X19" s="4">
        <v>10</v>
      </c>
      <c r="Y19" s="4">
        <v>98</v>
      </c>
      <c r="Z19" s="4">
        <v>1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302</v>
      </c>
      <c r="AG19" s="4">
        <v>313</v>
      </c>
      <c r="AH19" s="4">
        <v>60</v>
      </c>
      <c r="AI19" s="4">
        <v>34982</v>
      </c>
      <c r="AJ19" s="4">
        <v>5</v>
      </c>
      <c r="AK19" s="4">
        <v>30085</v>
      </c>
      <c r="AL19" s="4">
        <v>0</v>
      </c>
      <c r="AM19" s="4">
        <v>1.43E-2</v>
      </c>
      <c r="AN19" s="4">
        <v>59969</v>
      </c>
      <c r="AO19" s="4">
        <v>0.5</v>
      </c>
      <c r="AP19" s="4">
        <v>0</v>
      </c>
      <c r="AQ19" s="4">
        <v>50</v>
      </c>
      <c r="AR19" s="4">
        <v>615</v>
      </c>
      <c r="AS19" s="4">
        <v>4517.6499999999996</v>
      </c>
      <c r="AT19" s="4">
        <v>1</v>
      </c>
      <c r="AU19" s="4">
        <v>46</v>
      </c>
      <c r="AV19" s="4">
        <v>35</v>
      </c>
      <c r="AW19" s="4">
        <v>63</v>
      </c>
      <c r="AX19" s="4">
        <v>14</v>
      </c>
      <c r="AY19" s="1"/>
      <c r="AZ19" s="1"/>
    </row>
    <row r="20" spans="1:52" ht="15.75" customHeight="1">
      <c r="A20" s="1" t="s">
        <v>118</v>
      </c>
      <c r="B20" s="1" t="s">
        <v>375</v>
      </c>
      <c r="C20" s="1" t="s">
        <v>97</v>
      </c>
      <c r="D20" s="1" t="s">
        <v>473</v>
      </c>
      <c r="E20" s="1" t="s">
        <v>492</v>
      </c>
      <c r="F20" s="48">
        <v>43424</v>
      </c>
      <c r="G20" s="1" t="s">
        <v>119</v>
      </c>
      <c r="H20" s="4">
        <v>2499999</v>
      </c>
      <c r="I20" s="4">
        <v>6300000</v>
      </c>
      <c r="J20" s="4">
        <v>3186335.05</v>
      </c>
      <c r="K20" s="4">
        <v>0</v>
      </c>
      <c r="L20" s="4">
        <v>128</v>
      </c>
      <c r="M20" s="4">
        <v>67</v>
      </c>
      <c r="N20" s="4">
        <v>1</v>
      </c>
      <c r="O20" s="4">
        <v>129</v>
      </c>
      <c r="P20" s="4">
        <v>62</v>
      </c>
      <c r="Q20" s="4">
        <v>3169497.85</v>
      </c>
      <c r="R20" s="4">
        <v>16837.2</v>
      </c>
      <c r="S20" s="4">
        <v>73</v>
      </c>
      <c r="T20" s="4">
        <v>1</v>
      </c>
      <c r="U20" s="4">
        <v>74</v>
      </c>
      <c r="V20" s="4">
        <v>0</v>
      </c>
      <c r="W20" s="4">
        <v>2</v>
      </c>
      <c r="X20" s="4">
        <v>4</v>
      </c>
      <c r="Y20" s="4">
        <v>16</v>
      </c>
      <c r="Z20" s="4">
        <v>5</v>
      </c>
      <c r="AA20" s="4">
        <v>30</v>
      </c>
      <c r="AB20" s="4">
        <v>3</v>
      </c>
      <c r="AC20" s="4">
        <v>17</v>
      </c>
      <c r="AD20" s="4">
        <v>0</v>
      </c>
      <c r="AE20" s="4">
        <v>0</v>
      </c>
      <c r="AF20" s="4">
        <v>304</v>
      </c>
      <c r="AG20" s="4">
        <v>355</v>
      </c>
      <c r="AH20" s="4">
        <v>72</v>
      </c>
      <c r="AI20" s="4">
        <v>44255</v>
      </c>
      <c r="AJ20" s="4">
        <v>5</v>
      </c>
      <c r="AK20" s="4">
        <v>28985</v>
      </c>
      <c r="AL20" s="4">
        <v>0</v>
      </c>
      <c r="AM20" s="4">
        <v>9.1000000000000004E-3</v>
      </c>
      <c r="AN20" s="4">
        <v>43059</v>
      </c>
      <c r="AO20" s="4">
        <v>0.51</v>
      </c>
      <c r="AP20" s="4">
        <v>0</v>
      </c>
      <c r="AQ20" s="4">
        <v>167</v>
      </c>
      <c r="AR20" s="4">
        <v>571</v>
      </c>
      <c r="AS20" s="4">
        <v>4071.45</v>
      </c>
      <c r="AT20" s="4">
        <v>1</v>
      </c>
      <c r="AU20" s="4">
        <v>61</v>
      </c>
      <c r="AV20" s="4">
        <v>74</v>
      </c>
      <c r="AW20" s="4">
        <v>26</v>
      </c>
      <c r="AX20" s="4">
        <v>29</v>
      </c>
      <c r="AY20" s="1"/>
      <c r="AZ20" s="1"/>
    </row>
    <row r="21" spans="1:52" ht="15.75" customHeight="1">
      <c r="A21" s="1" t="s">
        <v>124</v>
      </c>
      <c r="B21" s="1" t="s">
        <v>443</v>
      </c>
      <c r="C21" s="1" t="s">
        <v>98</v>
      </c>
      <c r="D21" s="1" t="s">
        <v>479</v>
      </c>
      <c r="E21" s="1" t="s">
        <v>480</v>
      </c>
      <c r="F21" s="48">
        <v>42926</v>
      </c>
      <c r="G21" s="1" t="s">
        <v>124</v>
      </c>
      <c r="H21" s="4">
        <v>0</v>
      </c>
      <c r="I21" s="4">
        <v>6000000</v>
      </c>
      <c r="J21" s="4">
        <v>4798018.26</v>
      </c>
      <c r="K21" s="4">
        <v>0</v>
      </c>
      <c r="L21" s="4">
        <v>156</v>
      </c>
      <c r="M21" s="4">
        <v>80</v>
      </c>
      <c r="N21" s="4">
        <v>2</v>
      </c>
      <c r="O21" s="4">
        <v>158</v>
      </c>
      <c r="P21" s="4">
        <v>78</v>
      </c>
      <c r="Q21" s="4">
        <v>4759753.8600000003</v>
      </c>
      <c r="R21" s="4">
        <v>38264.400000000001</v>
      </c>
      <c r="S21" s="4">
        <v>60</v>
      </c>
      <c r="T21" s="4">
        <v>1</v>
      </c>
      <c r="U21" s="4">
        <v>61</v>
      </c>
      <c r="V21" s="4">
        <v>0</v>
      </c>
      <c r="W21" s="4">
        <v>3</v>
      </c>
      <c r="X21" s="4">
        <v>4</v>
      </c>
      <c r="Y21" s="4">
        <v>56</v>
      </c>
      <c r="Z21" s="4">
        <v>3</v>
      </c>
      <c r="AA21" s="4">
        <v>31</v>
      </c>
      <c r="AB21" s="4">
        <v>0</v>
      </c>
      <c r="AC21" s="4">
        <v>0</v>
      </c>
      <c r="AD21" s="4">
        <v>0</v>
      </c>
      <c r="AE21" s="4">
        <v>0</v>
      </c>
      <c r="AF21" s="4">
        <v>196</v>
      </c>
      <c r="AG21" s="4">
        <v>231</v>
      </c>
      <c r="AH21" s="4">
        <v>73</v>
      </c>
      <c r="AI21" s="4">
        <v>65726</v>
      </c>
      <c r="AJ21" s="4">
        <v>3</v>
      </c>
      <c r="AK21" s="4">
        <v>44575</v>
      </c>
      <c r="AL21" s="4">
        <v>0</v>
      </c>
      <c r="AM21" s="4">
        <v>9.2999999999999992E-3</v>
      </c>
      <c r="AN21" s="4">
        <v>78656</v>
      </c>
      <c r="AO21" s="4">
        <v>0.8</v>
      </c>
      <c r="AP21" s="4">
        <v>0</v>
      </c>
      <c r="AQ21" s="4">
        <v>164</v>
      </c>
      <c r="AR21" s="4">
        <v>553</v>
      </c>
      <c r="AS21" s="4">
        <v>6716.42</v>
      </c>
      <c r="AT21" s="4">
        <v>1</v>
      </c>
      <c r="AU21" s="4">
        <v>84</v>
      </c>
      <c r="AV21" s="4">
        <v>61</v>
      </c>
      <c r="AW21" s="4">
        <v>26</v>
      </c>
      <c r="AX21" s="4">
        <v>71</v>
      </c>
      <c r="AY21" s="1"/>
      <c r="AZ21" s="1"/>
    </row>
    <row r="22" spans="1:52" ht="15.75" customHeight="1">
      <c r="A22" s="1" t="s">
        <v>117</v>
      </c>
      <c r="B22" s="1" t="s">
        <v>450</v>
      </c>
      <c r="C22" s="1" t="s">
        <v>99</v>
      </c>
      <c r="D22" s="1" t="s">
        <v>482</v>
      </c>
      <c r="E22" s="1" t="s">
        <v>483</v>
      </c>
      <c r="F22" s="48">
        <v>42993</v>
      </c>
      <c r="G22" s="1" t="s">
        <v>117</v>
      </c>
      <c r="H22" s="4">
        <v>0</v>
      </c>
      <c r="I22" s="4">
        <v>3750000</v>
      </c>
      <c r="J22" s="4">
        <v>3068264.98</v>
      </c>
      <c r="K22" s="4">
        <v>0</v>
      </c>
      <c r="L22" s="4">
        <v>139</v>
      </c>
      <c r="M22" s="4">
        <v>88</v>
      </c>
      <c r="N22" s="4">
        <v>2</v>
      </c>
      <c r="O22" s="4">
        <v>141</v>
      </c>
      <c r="P22" s="4">
        <v>53</v>
      </c>
      <c r="Q22" s="4">
        <v>2807017.98</v>
      </c>
      <c r="R22" s="4">
        <v>261247</v>
      </c>
      <c r="S22" s="4">
        <v>74</v>
      </c>
      <c r="T22" s="4">
        <v>2</v>
      </c>
      <c r="U22" s="4">
        <v>76</v>
      </c>
      <c r="V22" s="4">
        <v>0</v>
      </c>
      <c r="W22" s="4">
        <v>122</v>
      </c>
      <c r="X22" s="4">
        <v>137</v>
      </c>
      <c r="Y22" s="4">
        <v>565</v>
      </c>
      <c r="Z22" s="4">
        <v>8</v>
      </c>
      <c r="AA22" s="4">
        <v>74</v>
      </c>
      <c r="AB22" s="4">
        <v>0</v>
      </c>
      <c r="AC22" s="4">
        <v>0</v>
      </c>
      <c r="AD22" s="4">
        <v>0</v>
      </c>
      <c r="AE22" s="4">
        <v>0</v>
      </c>
      <c r="AF22" s="4">
        <v>171</v>
      </c>
      <c r="AG22" s="4">
        <v>382</v>
      </c>
      <c r="AH22" s="4">
        <v>74</v>
      </c>
      <c r="AI22" s="4">
        <v>41463</v>
      </c>
      <c r="AJ22" s="4">
        <v>5</v>
      </c>
      <c r="AK22" s="4">
        <v>51335</v>
      </c>
      <c r="AL22" s="4">
        <v>0</v>
      </c>
      <c r="AM22" s="4">
        <v>1.67E-2</v>
      </c>
      <c r="AN22" s="4">
        <v>40372</v>
      </c>
      <c r="AO22" s="4">
        <v>0.82</v>
      </c>
      <c r="AP22" s="4">
        <v>0</v>
      </c>
      <c r="AQ22" s="4">
        <v>155</v>
      </c>
      <c r="AR22" s="4">
        <v>705</v>
      </c>
      <c r="AS22" s="4">
        <v>7545.52</v>
      </c>
      <c r="AT22" s="4">
        <v>2</v>
      </c>
      <c r="AU22" s="4">
        <v>86</v>
      </c>
      <c r="AV22" s="4">
        <v>76</v>
      </c>
      <c r="AW22" s="4">
        <v>27</v>
      </c>
      <c r="AX22" s="4">
        <v>38</v>
      </c>
      <c r="AY22" s="1"/>
      <c r="AZ22" s="1"/>
    </row>
    <row r="23" spans="1:52" ht="15.75" customHeight="1">
      <c r="A23" s="1" t="s">
        <v>118</v>
      </c>
      <c r="B23" s="1" t="s">
        <v>362</v>
      </c>
      <c r="C23" s="1" t="s">
        <v>103</v>
      </c>
      <c r="D23" s="1" t="s">
        <v>419</v>
      </c>
      <c r="E23" s="1" t="s">
        <v>490</v>
      </c>
      <c r="F23" s="104">
        <v>43255</v>
      </c>
      <c r="G23" s="1" t="s">
        <v>118</v>
      </c>
      <c r="H23" s="4">
        <v>0</v>
      </c>
      <c r="I23" s="4">
        <v>15999999</v>
      </c>
      <c r="J23" s="4">
        <v>8670249.75</v>
      </c>
      <c r="K23" s="4">
        <v>0</v>
      </c>
      <c r="L23" s="4">
        <v>148</v>
      </c>
      <c r="M23" s="4">
        <v>97</v>
      </c>
      <c r="N23" s="4">
        <v>0</v>
      </c>
      <c r="O23" s="4">
        <v>148</v>
      </c>
      <c r="P23" s="4">
        <v>51</v>
      </c>
      <c r="Q23" s="4">
        <v>8670249.75</v>
      </c>
      <c r="R23" s="4">
        <v>0</v>
      </c>
      <c r="S23" s="4">
        <v>31</v>
      </c>
      <c r="T23" s="4">
        <v>0</v>
      </c>
      <c r="U23" s="4">
        <v>31</v>
      </c>
      <c r="V23" s="4">
        <v>0</v>
      </c>
      <c r="W23" s="4">
        <v>5</v>
      </c>
      <c r="X23" s="4">
        <v>5</v>
      </c>
      <c r="Y23" s="4">
        <v>44</v>
      </c>
      <c r="Z23" s="4">
        <v>3</v>
      </c>
      <c r="AA23" s="4">
        <v>25</v>
      </c>
      <c r="AB23" s="4">
        <v>0</v>
      </c>
      <c r="AC23" s="4">
        <v>0</v>
      </c>
      <c r="AD23" s="4">
        <v>0</v>
      </c>
      <c r="AE23" s="4">
        <v>0</v>
      </c>
      <c r="AF23" s="4">
        <v>229</v>
      </c>
      <c r="AG23" s="4">
        <v>259</v>
      </c>
      <c r="AH23" s="4">
        <v>75</v>
      </c>
      <c r="AI23" s="4">
        <v>115603</v>
      </c>
      <c r="AJ23" s="4">
        <v>3</v>
      </c>
      <c r="AK23" s="4">
        <v>46670</v>
      </c>
      <c r="AL23" s="4">
        <v>0</v>
      </c>
      <c r="AM23" s="4">
        <v>5.4000000000000003E-3</v>
      </c>
      <c r="AN23" s="4">
        <v>279685</v>
      </c>
      <c r="AO23" s="4">
        <v>0.54</v>
      </c>
      <c r="AP23" s="4">
        <v>0</v>
      </c>
      <c r="AQ23" s="4">
        <v>75</v>
      </c>
      <c r="AR23" s="4">
        <v>802</v>
      </c>
      <c r="AS23" s="4">
        <v>3795.22</v>
      </c>
      <c r="AT23" s="4">
        <v>0</v>
      </c>
      <c r="AU23" s="4">
        <v>39</v>
      </c>
      <c r="AV23" s="4">
        <v>31</v>
      </c>
      <c r="AW23" s="4">
        <v>69</v>
      </c>
      <c r="AX23" s="4">
        <v>48</v>
      </c>
      <c r="AY23" s="1"/>
      <c r="AZ23" s="1"/>
    </row>
    <row r="24" spans="1:52" ht="15.75" customHeight="1">
      <c r="A24" s="1" t="s">
        <v>201</v>
      </c>
      <c r="B24" s="1" t="s">
        <v>431</v>
      </c>
      <c r="C24" s="1" t="s">
        <v>104</v>
      </c>
      <c r="D24" s="1" t="s">
        <v>432</v>
      </c>
      <c r="E24" s="1" t="s">
        <v>433</v>
      </c>
      <c r="F24" s="104">
        <v>41004</v>
      </c>
      <c r="G24" s="1" t="s">
        <v>121</v>
      </c>
      <c r="H24" s="4">
        <v>900000</v>
      </c>
      <c r="I24" s="4">
        <v>11600001</v>
      </c>
      <c r="J24" s="4">
        <v>11687188.15</v>
      </c>
      <c r="K24" s="4">
        <v>943805.74</v>
      </c>
      <c r="L24" s="4">
        <v>66</v>
      </c>
      <c r="M24" s="4">
        <v>50</v>
      </c>
      <c r="N24" s="4">
        <v>1</v>
      </c>
      <c r="O24" s="4">
        <v>67</v>
      </c>
      <c r="P24" s="4">
        <v>17</v>
      </c>
      <c r="Q24" s="4">
        <v>11292261.17</v>
      </c>
      <c r="R24" s="4">
        <v>394926.98</v>
      </c>
      <c r="S24" s="4">
        <v>44</v>
      </c>
      <c r="T24" s="4">
        <v>1</v>
      </c>
      <c r="U24" s="4">
        <v>45</v>
      </c>
      <c r="V24" s="4">
        <v>6</v>
      </c>
      <c r="W24" s="4">
        <v>7</v>
      </c>
      <c r="X24" s="4">
        <v>10</v>
      </c>
      <c r="Y24" s="4">
        <v>25</v>
      </c>
      <c r="Z24" s="4">
        <v>10</v>
      </c>
      <c r="AA24" s="4">
        <v>104</v>
      </c>
      <c r="AB24" s="4">
        <v>8</v>
      </c>
      <c r="AC24" s="4">
        <v>36</v>
      </c>
      <c r="AD24" s="4">
        <v>1</v>
      </c>
      <c r="AE24" s="4">
        <v>1</v>
      </c>
      <c r="AF24" s="4">
        <v>159</v>
      </c>
      <c r="AG24" s="4">
        <v>310</v>
      </c>
      <c r="AH24" s="4">
        <v>64</v>
      </c>
      <c r="AI24" s="4">
        <v>182612</v>
      </c>
      <c r="AJ24" s="4">
        <v>5</v>
      </c>
      <c r="AK24" s="4">
        <v>30096</v>
      </c>
      <c r="AL24" s="4">
        <v>0</v>
      </c>
      <c r="AM24" s="4">
        <v>2.5999999999999999E-3</v>
      </c>
      <c r="AN24" s="4">
        <v>259715</v>
      </c>
      <c r="AO24" s="4">
        <v>1.01</v>
      </c>
      <c r="AP24" s="4">
        <v>1.05</v>
      </c>
      <c r="AQ24" s="4">
        <v>162</v>
      </c>
      <c r="AR24" s="4">
        <v>506</v>
      </c>
      <c r="AS24" s="4">
        <v>4359.95</v>
      </c>
      <c r="AT24" s="4">
        <v>1</v>
      </c>
      <c r="AU24" s="4">
        <v>87</v>
      </c>
      <c r="AV24" s="4">
        <v>45</v>
      </c>
      <c r="AW24" s="4">
        <v>10</v>
      </c>
      <c r="AX24" s="4">
        <v>12</v>
      </c>
      <c r="AY24" s="1"/>
      <c r="AZ24" s="1"/>
    </row>
    <row r="25" spans="1:52" ht="15.75" customHeight="1">
      <c r="A25" s="1" t="s">
        <v>201</v>
      </c>
      <c r="B25" s="1" t="s">
        <v>431</v>
      </c>
      <c r="C25" s="1" t="s">
        <v>105</v>
      </c>
      <c r="D25" s="1" t="s">
        <v>431</v>
      </c>
      <c r="E25" s="1" t="s">
        <v>541</v>
      </c>
      <c r="F25" s="104">
        <v>45323</v>
      </c>
      <c r="G25" s="1" t="s">
        <v>121</v>
      </c>
      <c r="H25" s="4">
        <v>1200000</v>
      </c>
      <c r="I25" s="4">
        <v>6300000</v>
      </c>
      <c r="J25" s="4">
        <v>5034335.62</v>
      </c>
      <c r="K25" s="4">
        <v>225839.39</v>
      </c>
      <c r="L25" s="4">
        <v>133</v>
      </c>
      <c r="M25" s="4">
        <v>99</v>
      </c>
      <c r="N25" s="4">
        <v>5</v>
      </c>
      <c r="O25" s="4">
        <v>138</v>
      </c>
      <c r="P25" s="4">
        <v>39</v>
      </c>
      <c r="Q25" s="4">
        <v>4719846.2699999996</v>
      </c>
      <c r="R25" s="4">
        <v>314489.34999999998</v>
      </c>
      <c r="S25" s="4">
        <v>56</v>
      </c>
      <c r="T25" s="4">
        <v>5</v>
      </c>
      <c r="U25" s="4">
        <v>61</v>
      </c>
      <c r="V25" s="4">
        <v>2</v>
      </c>
      <c r="W25" s="4">
        <v>35</v>
      </c>
      <c r="X25" s="4">
        <v>38</v>
      </c>
      <c r="Y25" s="4">
        <v>126</v>
      </c>
      <c r="Z25" s="4">
        <v>6</v>
      </c>
      <c r="AA25" s="4">
        <v>55</v>
      </c>
      <c r="AB25" s="4">
        <v>4</v>
      </c>
      <c r="AC25" s="4">
        <v>7</v>
      </c>
      <c r="AD25" s="4">
        <v>0</v>
      </c>
      <c r="AE25" s="4">
        <v>0</v>
      </c>
      <c r="AF25" s="4">
        <v>335</v>
      </c>
      <c r="AG25" s="4">
        <v>435</v>
      </c>
      <c r="AH25" s="4">
        <v>70</v>
      </c>
      <c r="AI25" s="4">
        <v>71919</v>
      </c>
      <c r="AJ25" s="4">
        <v>6</v>
      </c>
      <c r="AK25" s="4">
        <v>30646</v>
      </c>
      <c r="AL25" s="4">
        <v>0</v>
      </c>
      <c r="AM25" s="4">
        <v>6.1000000000000004E-3</v>
      </c>
      <c r="AN25" s="4">
        <v>82530</v>
      </c>
      <c r="AO25" s="4">
        <v>0.8</v>
      </c>
      <c r="AP25" s="4">
        <v>0.19</v>
      </c>
      <c r="AQ25" s="4">
        <v>114</v>
      </c>
      <c r="AR25" s="4">
        <v>659</v>
      </c>
      <c r="AS25" s="4">
        <v>4894.5600000000004</v>
      </c>
      <c r="AT25" s="4">
        <v>5</v>
      </c>
      <c r="AU25" s="4">
        <v>49</v>
      </c>
      <c r="AV25" s="4">
        <v>61</v>
      </c>
      <c r="AW25" s="4">
        <v>43</v>
      </c>
      <c r="AX25" s="4">
        <v>34</v>
      </c>
      <c r="AY25" s="1"/>
      <c r="AZ25" s="1"/>
    </row>
    <row r="26" spans="1:52" ht="15.75" customHeight="1">
      <c r="A26" s="1" t="s">
        <v>201</v>
      </c>
      <c r="B26" s="1" t="s">
        <v>431</v>
      </c>
      <c r="C26" s="1" t="s">
        <v>106</v>
      </c>
      <c r="D26" s="1" t="s">
        <v>431</v>
      </c>
      <c r="E26" s="1" t="s">
        <v>459</v>
      </c>
      <c r="F26" s="104">
        <v>42530</v>
      </c>
      <c r="G26" s="1" t="s">
        <v>121</v>
      </c>
      <c r="H26" s="4">
        <v>1500000</v>
      </c>
      <c r="I26" s="4">
        <v>7875000</v>
      </c>
      <c r="J26" s="4">
        <v>3654863.95</v>
      </c>
      <c r="K26" s="4">
        <v>0</v>
      </c>
      <c r="L26" s="4">
        <v>94</v>
      </c>
      <c r="M26" s="4">
        <v>63</v>
      </c>
      <c r="N26" s="4">
        <v>5</v>
      </c>
      <c r="O26" s="4">
        <v>99</v>
      </c>
      <c r="P26" s="4">
        <v>36</v>
      </c>
      <c r="Q26" s="4">
        <v>3435446.25</v>
      </c>
      <c r="R26" s="4">
        <v>219417.7</v>
      </c>
      <c r="S26" s="4">
        <v>18</v>
      </c>
      <c r="T26" s="4">
        <v>2</v>
      </c>
      <c r="U26" s="4">
        <v>20</v>
      </c>
      <c r="V26" s="4">
        <v>0</v>
      </c>
      <c r="W26" s="4">
        <v>31</v>
      </c>
      <c r="X26" s="4">
        <v>35</v>
      </c>
      <c r="Y26" s="4">
        <v>159</v>
      </c>
      <c r="Z26" s="4">
        <v>4</v>
      </c>
      <c r="AA26" s="4">
        <v>27</v>
      </c>
      <c r="AB26" s="4">
        <v>0</v>
      </c>
      <c r="AC26" s="4">
        <v>0</v>
      </c>
      <c r="AD26" s="4">
        <v>0</v>
      </c>
      <c r="AE26" s="4">
        <v>0</v>
      </c>
      <c r="AF26" s="4">
        <v>169</v>
      </c>
      <c r="AG26" s="4">
        <v>231</v>
      </c>
      <c r="AH26" s="4">
        <v>68</v>
      </c>
      <c r="AI26" s="4">
        <v>53748</v>
      </c>
      <c r="AJ26" s="4">
        <v>3</v>
      </c>
      <c r="AK26" s="4">
        <v>33802</v>
      </c>
      <c r="AL26" s="4">
        <v>0</v>
      </c>
      <c r="AM26" s="4">
        <v>9.1999999999999998E-3</v>
      </c>
      <c r="AN26" s="4">
        <v>182743</v>
      </c>
      <c r="AO26" s="4">
        <v>0.46</v>
      </c>
      <c r="AP26" s="4">
        <v>0</v>
      </c>
      <c r="AQ26" s="4">
        <v>30</v>
      </c>
      <c r="AR26" s="4">
        <v>587</v>
      </c>
      <c r="AS26" s="4">
        <v>3673.85</v>
      </c>
      <c r="AT26" s="4">
        <v>2</v>
      </c>
      <c r="AU26" s="4">
        <v>58</v>
      </c>
      <c r="AV26" s="4">
        <v>20</v>
      </c>
      <c r="AW26" s="4">
        <v>47</v>
      </c>
      <c r="AX26" s="4">
        <v>32</v>
      </c>
      <c r="AY26" s="1"/>
      <c r="AZ26" s="1"/>
    </row>
    <row r="27" spans="1:52" ht="15.75" customHeight="1">
      <c r="A27" s="1" t="s">
        <v>201</v>
      </c>
      <c r="B27" s="1" t="s">
        <v>469</v>
      </c>
      <c r="C27" s="1" t="s">
        <v>107</v>
      </c>
      <c r="D27" s="1" t="s">
        <v>470</v>
      </c>
      <c r="E27" s="1" t="s">
        <v>471</v>
      </c>
      <c r="F27" s="48">
        <v>42720</v>
      </c>
      <c r="G27" s="1" t="s">
        <v>121</v>
      </c>
      <c r="H27" s="4">
        <v>1257000</v>
      </c>
      <c r="I27" s="4">
        <v>8118000</v>
      </c>
      <c r="J27" s="4">
        <v>5778531.2400000002</v>
      </c>
      <c r="K27" s="4">
        <v>925576.96</v>
      </c>
      <c r="L27" s="4">
        <v>82</v>
      </c>
      <c r="M27" s="4">
        <v>66</v>
      </c>
      <c r="N27" s="4">
        <v>5</v>
      </c>
      <c r="O27" s="4">
        <v>87</v>
      </c>
      <c r="P27" s="4">
        <v>21</v>
      </c>
      <c r="Q27" s="4">
        <v>4679692.37</v>
      </c>
      <c r="R27" s="4">
        <v>1098838.8700000001</v>
      </c>
      <c r="S27" s="4">
        <v>45</v>
      </c>
      <c r="T27" s="4">
        <v>5</v>
      </c>
      <c r="U27" s="4">
        <v>50</v>
      </c>
      <c r="V27" s="4">
        <v>4</v>
      </c>
      <c r="W27" s="4">
        <v>20</v>
      </c>
      <c r="X27" s="4">
        <v>26</v>
      </c>
      <c r="Y27" s="4">
        <v>180</v>
      </c>
      <c r="Z27" s="4">
        <v>3</v>
      </c>
      <c r="AA27" s="4">
        <v>19</v>
      </c>
      <c r="AB27" s="4">
        <v>4</v>
      </c>
      <c r="AC27" s="4">
        <v>11</v>
      </c>
      <c r="AD27" s="4">
        <v>1</v>
      </c>
      <c r="AE27" s="4">
        <v>11</v>
      </c>
      <c r="AF27" s="4">
        <v>211</v>
      </c>
      <c r="AG27" s="4">
        <v>278</v>
      </c>
      <c r="AH27" s="4">
        <v>74</v>
      </c>
      <c r="AI27" s="4">
        <v>78088</v>
      </c>
      <c r="AJ27" s="4">
        <v>4</v>
      </c>
      <c r="AK27" s="4">
        <v>31584</v>
      </c>
      <c r="AL27" s="4">
        <v>0</v>
      </c>
      <c r="AM27" s="4">
        <v>5.4999999999999997E-3</v>
      </c>
      <c r="AN27" s="4">
        <v>115571</v>
      </c>
      <c r="AO27" s="4">
        <v>0.71</v>
      </c>
      <c r="AP27" s="4">
        <v>0.74</v>
      </c>
      <c r="AQ27" s="4">
        <v>148</v>
      </c>
      <c r="AR27" s="4">
        <v>499</v>
      </c>
      <c r="AS27" s="4">
        <v>3960.17</v>
      </c>
      <c r="AT27" s="4">
        <v>5</v>
      </c>
      <c r="AU27" s="4">
        <v>60</v>
      </c>
      <c r="AV27" s="4">
        <v>50</v>
      </c>
      <c r="AW27" s="4">
        <v>24</v>
      </c>
      <c r="AX27" s="4">
        <v>13</v>
      </c>
      <c r="AY27" s="1"/>
      <c r="AZ27" s="1"/>
    </row>
    <row r="28" spans="1:52" ht="15.75" customHeight="1">
      <c r="A28" s="1" t="s">
        <v>201</v>
      </c>
      <c r="B28" s="1" t="s">
        <v>469</v>
      </c>
      <c r="C28" s="1" t="s">
        <v>110</v>
      </c>
      <c r="D28" s="1" t="s">
        <v>470</v>
      </c>
      <c r="E28" s="1" t="s">
        <v>491</v>
      </c>
      <c r="F28" s="104">
        <v>43315</v>
      </c>
      <c r="G28" s="1" t="s">
        <v>121</v>
      </c>
      <c r="H28" s="4">
        <v>900000</v>
      </c>
      <c r="I28" s="4">
        <v>11600001</v>
      </c>
      <c r="J28" s="4">
        <v>11774295.380000001</v>
      </c>
      <c r="K28" s="4">
        <v>218639.41</v>
      </c>
      <c r="L28" s="4">
        <v>113</v>
      </c>
      <c r="M28" s="4">
        <v>95</v>
      </c>
      <c r="N28" s="4">
        <v>4</v>
      </c>
      <c r="O28" s="4">
        <v>117</v>
      </c>
      <c r="P28" s="4">
        <v>22</v>
      </c>
      <c r="Q28" s="4">
        <v>11482741.98</v>
      </c>
      <c r="R28" s="4">
        <v>291553.40000000002</v>
      </c>
      <c r="S28" s="4">
        <v>77</v>
      </c>
      <c r="T28" s="4">
        <v>4</v>
      </c>
      <c r="U28" s="4">
        <v>81</v>
      </c>
      <c r="V28" s="4">
        <v>2</v>
      </c>
      <c r="W28" s="4">
        <v>1</v>
      </c>
      <c r="X28" s="4">
        <v>1</v>
      </c>
      <c r="Y28" s="4">
        <v>20</v>
      </c>
      <c r="Z28" s="4">
        <v>5</v>
      </c>
      <c r="AA28" s="4">
        <v>15</v>
      </c>
      <c r="AB28" s="4">
        <v>0</v>
      </c>
      <c r="AC28" s="4">
        <v>0</v>
      </c>
      <c r="AD28" s="4">
        <v>1</v>
      </c>
      <c r="AE28" s="4">
        <v>1</v>
      </c>
      <c r="AF28" s="4">
        <v>335</v>
      </c>
      <c r="AG28" s="4">
        <v>352</v>
      </c>
      <c r="AH28" s="4">
        <v>73</v>
      </c>
      <c r="AI28" s="4">
        <v>161292</v>
      </c>
      <c r="AJ28" s="4">
        <v>5</v>
      </c>
      <c r="AK28" s="4">
        <v>29362</v>
      </c>
      <c r="AL28" s="4">
        <v>0</v>
      </c>
      <c r="AM28" s="4">
        <v>2.5000000000000001E-3</v>
      </c>
      <c r="AN28" s="4">
        <v>145362</v>
      </c>
      <c r="AO28" s="4">
        <v>1.02</v>
      </c>
      <c r="AP28" s="4">
        <v>0.24</v>
      </c>
      <c r="AQ28" s="4">
        <v>328</v>
      </c>
      <c r="AR28" s="4">
        <v>535</v>
      </c>
      <c r="AS28" s="4">
        <v>4323.75</v>
      </c>
      <c r="AT28" s="4">
        <v>4</v>
      </c>
      <c r="AU28" s="4">
        <v>46</v>
      </c>
      <c r="AV28" s="4">
        <v>81</v>
      </c>
      <c r="AW28" s="4">
        <v>17</v>
      </c>
      <c r="AX28" s="4">
        <v>19</v>
      </c>
      <c r="AY28" s="1"/>
      <c r="AZ28" s="1"/>
    </row>
    <row r="29" spans="1:52" ht="15.75" customHeight="1">
      <c r="A29" s="1" t="s">
        <v>118</v>
      </c>
      <c r="B29" s="1" t="s">
        <v>436</v>
      </c>
      <c r="C29" s="1" t="s">
        <v>111</v>
      </c>
      <c r="D29" s="1" t="s">
        <v>494</v>
      </c>
      <c r="E29" s="1" t="s">
        <v>437</v>
      </c>
      <c r="F29" s="104">
        <v>43557</v>
      </c>
      <c r="G29" s="1"/>
      <c r="H29" s="4">
        <v>0</v>
      </c>
      <c r="I29" s="4">
        <v>5000001</v>
      </c>
      <c r="J29" s="4">
        <v>2592237.67</v>
      </c>
      <c r="K29" s="4">
        <v>0</v>
      </c>
      <c r="L29" s="4">
        <v>148</v>
      </c>
      <c r="M29" s="4">
        <v>113</v>
      </c>
      <c r="N29" s="4">
        <v>4</v>
      </c>
      <c r="O29" s="4">
        <v>152</v>
      </c>
      <c r="P29" s="4">
        <v>39</v>
      </c>
      <c r="Q29" s="4">
        <v>2472962.4700000002</v>
      </c>
      <c r="R29" s="4">
        <v>119275.2</v>
      </c>
      <c r="S29" s="4">
        <v>56</v>
      </c>
      <c r="T29" s="4">
        <v>4</v>
      </c>
      <c r="U29" s="4">
        <v>60</v>
      </c>
      <c r="V29" s="4">
        <v>0</v>
      </c>
      <c r="W29" s="4">
        <v>24</v>
      </c>
      <c r="X29" s="4">
        <v>33</v>
      </c>
      <c r="Y29" s="4">
        <v>34</v>
      </c>
      <c r="Z29" s="4">
        <v>4</v>
      </c>
      <c r="AA29" s="4">
        <v>20</v>
      </c>
      <c r="AB29" s="4">
        <v>0</v>
      </c>
      <c r="AC29" s="4">
        <v>0</v>
      </c>
      <c r="AD29" s="4">
        <v>0</v>
      </c>
      <c r="AE29" s="4">
        <v>0</v>
      </c>
      <c r="AF29" s="4">
        <v>376</v>
      </c>
      <c r="AG29" s="4">
        <v>429</v>
      </c>
      <c r="AH29" s="4">
        <v>76</v>
      </c>
      <c r="AI29" s="4">
        <v>34108</v>
      </c>
      <c r="AJ29" s="4">
        <v>6</v>
      </c>
      <c r="AK29" s="4">
        <v>27164</v>
      </c>
      <c r="AL29" s="4">
        <v>0</v>
      </c>
      <c r="AM29" s="4">
        <v>1.0500000000000001E-2</v>
      </c>
      <c r="AN29" s="4">
        <v>43204</v>
      </c>
      <c r="AO29" s="4">
        <v>0.52</v>
      </c>
      <c r="AP29" s="4">
        <v>0</v>
      </c>
      <c r="AQ29" s="4">
        <v>133</v>
      </c>
      <c r="AR29" s="4">
        <v>804</v>
      </c>
      <c r="AS29" s="4">
        <v>6824.91</v>
      </c>
      <c r="AT29" s="4">
        <v>4</v>
      </c>
      <c r="AU29" s="4">
        <v>60</v>
      </c>
      <c r="AV29" s="4">
        <v>60</v>
      </c>
      <c r="AW29" s="4">
        <v>61</v>
      </c>
      <c r="AX29" s="4">
        <v>31</v>
      </c>
      <c r="AY29" s="1"/>
      <c r="AZ29" s="1"/>
    </row>
    <row r="30" spans="1:52" ht="15.75" customHeight="1">
      <c r="A30" s="1" t="s">
        <v>118</v>
      </c>
      <c r="B30" s="1" t="s">
        <v>359</v>
      </c>
      <c r="C30" s="1" t="s">
        <v>112</v>
      </c>
      <c r="D30" s="1" t="s">
        <v>442</v>
      </c>
      <c r="E30" s="1" t="s">
        <v>493</v>
      </c>
      <c r="F30" s="104">
        <v>43556</v>
      </c>
      <c r="G30" s="1" t="s">
        <v>118</v>
      </c>
      <c r="H30" s="4">
        <v>0</v>
      </c>
      <c r="I30" s="4">
        <v>6000000</v>
      </c>
      <c r="J30" s="4">
        <v>5485215.6900000004</v>
      </c>
      <c r="K30" s="4">
        <v>0</v>
      </c>
      <c r="L30" s="4">
        <v>74</v>
      </c>
      <c r="M30" s="4">
        <v>63</v>
      </c>
      <c r="N30" s="4">
        <v>1</v>
      </c>
      <c r="O30" s="4">
        <v>75</v>
      </c>
      <c r="P30" s="4">
        <v>12</v>
      </c>
      <c r="Q30" s="4">
        <v>5485215.6900000004</v>
      </c>
      <c r="R30" s="4">
        <v>0</v>
      </c>
      <c r="S30" s="4">
        <v>35</v>
      </c>
      <c r="T30" s="4">
        <v>0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2</v>
      </c>
      <c r="AA30" s="4">
        <v>12</v>
      </c>
      <c r="AB30" s="4">
        <v>0</v>
      </c>
      <c r="AC30" s="4">
        <v>0</v>
      </c>
      <c r="AD30" s="4">
        <v>0</v>
      </c>
      <c r="AE30" s="4">
        <v>0</v>
      </c>
      <c r="AF30" s="4">
        <v>345</v>
      </c>
      <c r="AG30" s="4">
        <v>357</v>
      </c>
      <c r="AH30" s="4">
        <v>75</v>
      </c>
      <c r="AI30" s="4">
        <v>73136</v>
      </c>
      <c r="AJ30" s="4">
        <v>5</v>
      </c>
      <c r="AK30" s="4">
        <v>39070</v>
      </c>
      <c r="AL30" s="4">
        <v>0</v>
      </c>
      <c r="AM30" s="4">
        <v>7.1000000000000004E-3</v>
      </c>
      <c r="AN30" s="4">
        <v>156720</v>
      </c>
      <c r="AO30" s="4">
        <v>0.91</v>
      </c>
      <c r="AP30" s="4">
        <v>0</v>
      </c>
      <c r="AQ30" s="4">
        <v>74</v>
      </c>
      <c r="AR30" s="4">
        <v>574</v>
      </c>
      <c r="AS30" s="4">
        <v>2702.12</v>
      </c>
      <c r="AT30" s="4">
        <v>0</v>
      </c>
      <c r="AU30" s="4">
        <v>43</v>
      </c>
      <c r="AV30" s="4">
        <v>35</v>
      </c>
      <c r="AW30" s="4">
        <v>28</v>
      </c>
      <c r="AX30" s="4">
        <v>12</v>
      </c>
      <c r="AY30" s="1"/>
      <c r="AZ30" s="1"/>
    </row>
    <row r="31" spans="1:52" ht="15.6">
      <c r="A31" s="1" t="s">
        <v>118</v>
      </c>
      <c r="B31" s="1" t="s">
        <v>372</v>
      </c>
      <c r="C31" s="1" t="s">
        <v>113</v>
      </c>
      <c r="D31" s="1" t="s">
        <v>447</v>
      </c>
      <c r="E31" s="1" t="s">
        <v>495</v>
      </c>
      <c r="F31" s="104">
        <v>43647</v>
      </c>
      <c r="G31" s="1" t="s">
        <v>93</v>
      </c>
      <c r="H31" s="4">
        <v>0</v>
      </c>
      <c r="I31" s="4">
        <v>18750000</v>
      </c>
      <c r="J31" s="4">
        <v>16808827.559999999</v>
      </c>
      <c r="K31" s="4">
        <v>0</v>
      </c>
      <c r="L31" s="4">
        <v>103</v>
      </c>
      <c r="M31" s="4">
        <v>93</v>
      </c>
      <c r="N31" s="4">
        <v>1</v>
      </c>
      <c r="O31" s="4">
        <v>104</v>
      </c>
      <c r="P31" s="4">
        <v>11</v>
      </c>
      <c r="Q31" s="4">
        <v>15797989.67</v>
      </c>
      <c r="R31" s="4">
        <v>1010837.89</v>
      </c>
      <c r="S31" s="4">
        <v>57</v>
      </c>
      <c r="T31" s="4">
        <v>1</v>
      </c>
      <c r="U31" s="4">
        <v>58</v>
      </c>
      <c r="V31" s="4">
        <v>0</v>
      </c>
      <c r="W31" s="4">
        <v>12</v>
      </c>
      <c r="X31" s="4">
        <v>12</v>
      </c>
      <c r="Y31" s="4">
        <v>35</v>
      </c>
      <c r="Z31" s="4">
        <v>1</v>
      </c>
      <c r="AA31" s="4">
        <v>19</v>
      </c>
      <c r="AB31" s="4">
        <v>0</v>
      </c>
      <c r="AC31" s="4">
        <v>0</v>
      </c>
      <c r="AD31" s="4">
        <v>0</v>
      </c>
      <c r="AE31" s="4">
        <v>0</v>
      </c>
      <c r="AF31" s="4">
        <v>326</v>
      </c>
      <c r="AG31" s="4">
        <v>357</v>
      </c>
      <c r="AH31" s="4">
        <v>71</v>
      </c>
      <c r="AI31" s="4">
        <v>236744</v>
      </c>
      <c r="AJ31" s="4">
        <v>5</v>
      </c>
      <c r="AK31" s="4">
        <v>32605</v>
      </c>
      <c r="AL31" s="4">
        <v>0</v>
      </c>
      <c r="AM31" s="4">
        <v>1.9E-3</v>
      </c>
      <c r="AN31" s="4">
        <v>289807</v>
      </c>
      <c r="AO31" s="4">
        <v>0.9</v>
      </c>
      <c r="AP31" s="4">
        <v>0</v>
      </c>
      <c r="AQ31" s="4">
        <v>183</v>
      </c>
      <c r="AR31" s="4">
        <v>762</v>
      </c>
      <c r="AS31" s="4">
        <v>6185.78</v>
      </c>
      <c r="AT31" s="4">
        <v>1</v>
      </c>
      <c r="AU31" s="4">
        <v>67</v>
      </c>
      <c r="AV31" s="4">
        <v>58</v>
      </c>
      <c r="AW31" s="4">
        <v>35</v>
      </c>
      <c r="AX31" s="4">
        <v>11</v>
      </c>
      <c r="AY31" s="1"/>
      <c r="AZ31" s="1"/>
    </row>
    <row r="32" spans="1:52" ht="15.6">
      <c r="A32" s="1" t="s">
        <v>118</v>
      </c>
      <c r="B32" s="1" t="s">
        <v>484</v>
      </c>
      <c r="C32" s="1" t="s">
        <v>114</v>
      </c>
      <c r="D32" s="1" t="s">
        <v>497</v>
      </c>
      <c r="E32" s="1" t="s">
        <v>498</v>
      </c>
      <c r="F32" s="104">
        <v>43710</v>
      </c>
      <c r="G32" s="1" t="s">
        <v>118</v>
      </c>
      <c r="H32" s="4">
        <v>0</v>
      </c>
      <c r="I32" s="4">
        <v>4500000</v>
      </c>
      <c r="J32" s="4">
        <v>2537853.1</v>
      </c>
      <c r="K32" s="4">
        <v>0</v>
      </c>
      <c r="L32" s="4">
        <v>79</v>
      </c>
      <c r="M32" s="4">
        <v>58</v>
      </c>
      <c r="N32" s="4">
        <v>5</v>
      </c>
      <c r="O32" s="4">
        <v>84</v>
      </c>
      <c r="P32" s="4">
        <v>26</v>
      </c>
      <c r="Q32" s="4">
        <v>2297167.14</v>
      </c>
      <c r="R32" s="4">
        <v>240685.96</v>
      </c>
      <c r="S32" s="4">
        <v>31</v>
      </c>
      <c r="T32" s="4">
        <v>5</v>
      </c>
      <c r="U32" s="4">
        <v>36</v>
      </c>
      <c r="V32" s="4">
        <v>0</v>
      </c>
      <c r="W32" s="4">
        <v>8</v>
      </c>
      <c r="X32" s="4">
        <v>13</v>
      </c>
      <c r="Y32" s="4">
        <v>70</v>
      </c>
      <c r="Z32" s="4">
        <v>2</v>
      </c>
      <c r="AA32" s="4">
        <v>38</v>
      </c>
      <c r="AB32" s="4">
        <v>0</v>
      </c>
      <c r="AC32" s="4">
        <v>0</v>
      </c>
      <c r="AD32" s="4">
        <v>0</v>
      </c>
      <c r="AE32" s="4">
        <v>0</v>
      </c>
      <c r="AF32" s="4">
        <v>204</v>
      </c>
      <c r="AG32" s="4">
        <v>255</v>
      </c>
      <c r="AH32" s="4">
        <v>68</v>
      </c>
      <c r="AI32" s="4">
        <v>37321</v>
      </c>
      <c r="AJ32" s="4">
        <v>4</v>
      </c>
      <c r="AK32" s="4">
        <v>28050</v>
      </c>
      <c r="AL32" s="4">
        <v>0</v>
      </c>
      <c r="AM32" s="4">
        <v>1.11E-2</v>
      </c>
      <c r="AN32" s="4">
        <v>70496</v>
      </c>
      <c r="AO32" s="4">
        <v>0.56000000000000005</v>
      </c>
      <c r="AP32" s="4">
        <v>0</v>
      </c>
      <c r="AQ32" s="4">
        <v>104</v>
      </c>
      <c r="AR32" s="4">
        <v>647</v>
      </c>
      <c r="AS32" s="4">
        <v>2999.47</v>
      </c>
      <c r="AT32" s="4">
        <v>5</v>
      </c>
      <c r="AU32" s="4">
        <v>52</v>
      </c>
      <c r="AV32" s="4">
        <v>36</v>
      </c>
      <c r="AW32" s="4">
        <v>24</v>
      </c>
      <c r="AX32" s="4">
        <v>24</v>
      </c>
      <c r="AY32" s="1"/>
      <c r="AZ32" s="1"/>
    </row>
    <row r="33" spans="1:52" ht="15.6">
      <c r="A33" s="1" t="s">
        <v>118</v>
      </c>
      <c r="B33" s="1" t="s">
        <v>436</v>
      </c>
      <c r="C33" s="1" t="s">
        <v>116</v>
      </c>
      <c r="D33" s="1" t="s">
        <v>499</v>
      </c>
      <c r="E33" s="1" t="s">
        <v>500</v>
      </c>
      <c r="F33" s="104">
        <v>44046</v>
      </c>
      <c r="G33" s="1"/>
      <c r="H33" s="4">
        <v>0</v>
      </c>
      <c r="I33" s="4">
        <v>5874999</v>
      </c>
      <c r="J33" s="4">
        <v>3906202.85</v>
      </c>
      <c r="K33" s="4">
        <v>0</v>
      </c>
      <c r="L33" s="4">
        <v>109</v>
      </c>
      <c r="M33" s="4">
        <v>107</v>
      </c>
      <c r="N33" s="4">
        <v>1</v>
      </c>
      <c r="O33" s="4">
        <v>110</v>
      </c>
      <c r="P33" s="4">
        <v>3</v>
      </c>
      <c r="Q33" s="4">
        <v>3728574.85</v>
      </c>
      <c r="R33" s="4">
        <v>177628</v>
      </c>
      <c r="S33" s="4">
        <v>66</v>
      </c>
      <c r="T33" s="4">
        <v>1</v>
      </c>
      <c r="U33" s="4">
        <v>67</v>
      </c>
      <c r="V33" s="4">
        <v>0</v>
      </c>
      <c r="W33" s="4">
        <v>3</v>
      </c>
      <c r="X33" s="4">
        <v>8</v>
      </c>
      <c r="Y33" s="4">
        <v>1</v>
      </c>
      <c r="Z33" s="4">
        <v>1</v>
      </c>
      <c r="AA33" s="4">
        <v>2</v>
      </c>
      <c r="AB33" s="4">
        <v>0</v>
      </c>
      <c r="AC33" s="4">
        <v>0</v>
      </c>
      <c r="AD33" s="4">
        <v>0</v>
      </c>
      <c r="AE33" s="4">
        <v>0</v>
      </c>
      <c r="AF33" s="4">
        <v>501</v>
      </c>
      <c r="AG33" s="4">
        <v>511</v>
      </c>
      <c r="AH33" s="4">
        <v>74</v>
      </c>
      <c r="AI33" s="4">
        <v>52787</v>
      </c>
      <c r="AJ33" s="4">
        <v>7</v>
      </c>
      <c r="AK33" s="4">
        <v>32483</v>
      </c>
      <c r="AL33" s="4">
        <v>0</v>
      </c>
      <c r="AM33" s="4">
        <v>8.3000000000000001E-3</v>
      </c>
      <c r="AN33" s="4">
        <v>58302</v>
      </c>
      <c r="AO33" s="4">
        <v>0.66</v>
      </c>
      <c r="AP33" s="4">
        <v>0</v>
      </c>
      <c r="AQ33" s="4">
        <v>160</v>
      </c>
      <c r="AR33" s="4">
        <v>830</v>
      </c>
      <c r="AS33" s="4">
        <v>7603.4</v>
      </c>
      <c r="AT33" s="4">
        <v>1</v>
      </c>
      <c r="AU33" s="4">
        <v>71</v>
      </c>
      <c r="AV33" s="4">
        <v>67</v>
      </c>
      <c r="AW33" s="4">
        <v>41</v>
      </c>
      <c r="AX33" s="4">
        <v>2</v>
      </c>
      <c r="AY33" s="1"/>
      <c r="AZ33" s="1"/>
    </row>
    <row r="34" spans="1:52" ht="15.6">
      <c r="A34" s="1" t="s">
        <v>118</v>
      </c>
      <c r="B34" s="1" t="s">
        <v>649</v>
      </c>
      <c r="C34" s="1" t="s">
        <v>119</v>
      </c>
      <c r="D34" s="1" t="s">
        <v>567</v>
      </c>
      <c r="E34" s="1" t="s">
        <v>519</v>
      </c>
      <c r="F34" s="104">
        <v>45264</v>
      </c>
      <c r="G34" s="1" t="s">
        <v>118</v>
      </c>
      <c r="H34" s="4">
        <v>0</v>
      </c>
      <c r="I34" s="4">
        <v>0</v>
      </c>
      <c r="J34" s="4">
        <v>0</v>
      </c>
      <c r="K34" s="4">
        <v>0</v>
      </c>
      <c r="L34" s="4">
        <v>319</v>
      </c>
      <c r="M34" s="4">
        <v>75</v>
      </c>
      <c r="N34" s="4">
        <v>12</v>
      </c>
      <c r="O34" s="4">
        <v>331</v>
      </c>
      <c r="P34" s="4">
        <v>256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32</v>
      </c>
      <c r="X34" s="4">
        <v>41</v>
      </c>
      <c r="Y34" s="4">
        <v>158</v>
      </c>
      <c r="Z34" s="4">
        <v>3</v>
      </c>
      <c r="AA34" s="4">
        <v>17</v>
      </c>
      <c r="AB34" s="4">
        <v>1</v>
      </c>
      <c r="AC34" s="4">
        <v>1</v>
      </c>
      <c r="AD34" s="4">
        <v>1</v>
      </c>
      <c r="AE34" s="4">
        <v>1</v>
      </c>
      <c r="AF34" s="4">
        <v>158</v>
      </c>
      <c r="AG34" s="4">
        <v>218</v>
      </c>
      <c r="AH34" s="4">
        <v>68</v>
      </c>
      <c r="AI34" s="4">
        <v>0</v>
      </c>
      <c r="AJ34" s="4">
        <v>3</v>
      </c>
      <c r="AK34" s="1"/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804</v>
      </c>
      <c r="AS34" s="4">
        <v>3393.65</v>
      </c>
      <c r="AT34" s="4">
        <v>0</v>
      </c>
      <c r="AU34" s="4">
        <v>45</v>
      </c>
      <c r="AV34" s="4">
        <v>0</v>
      </c>
      <c r="AW34" s="4">
        <v>75</v>
      </c>
      <c r="AX34" s="4">
        <v>256</v>
      </c>
      <c r="AY34" s="1"/>
      <c r="AZ34" s="1"/>
    </row>
    <row r="35" spans="1:52" ht="15.6">
      <c r="A35" s="1" t="s">
        <v>118</v>
      </c>
      <c r="B35" s="1" t="s">
        <v>372</v>
      </c>
      <c r="C35" s="1" t="s">
        <v>122</v>
      </c>
      <c r="D35" s="1" t="s">
        <v>447</v>
      </c>
      <c r="E35" s="1" t="s">
        <v>503</v>
      </c>
      <c r="F35" s="104">
        <v>44166</v>
      </c>
      <c r="G35" s="1" t="s">
        <v>138</v>
      </c>
      <c r="H35" s="4">
        <v>0</v>
      </c>
      <c r="I35" s="4">
        <v>4500000</v>
      </c>
      <c r="J35" s="4">
        <v>2660740.0299999998</v>
      </c>
      <c r="K35" s="4">
        <v>0</v>
      </c>
      <c r="L35" s="4">
        <v>44</v>
      </c>
      <c r="M35" s="4">
        <v>44</v>
      </c>
      <c r="N35" s="4">
        <v>2</v>
      </c>
      <c r="O35" s="4">
        <v>46</v>
      </c>
      <c r="P35" s="4">
        <v>2</v>
      </c>
      <c r="Q35" s="4">
        <v>1977516.05</v>
      </c>
      <c r="R35" s="4">
        <v>683223.98</v>
      </c>
      <c r="S35" s="4">
        <v>15</v>
      </c>
      <c r="T35" s="4">
        <v>2</v>
      </c>
      <c r="U35" s="4">
        <v>17</v>
      </c>
      <c r="V35" s="4">
        <v>0</v>
      </c>
      <c r="W35" s="4">
        <v>0</v>
      </c>
      <c r="X35" s="4">
        <v>0</v>
      </c>
      <c r="Y35" s="4">
        <v>34</v>
      </c>
      <c r="Z35" s="4">
        <v>2</v>
      </c>
      <c r="AA35" s="4">
        <v>17</v>
      </c>
      <c r="AB35" s="4">
        <v>0</v>
      </c>
      <c r="AC35" s="4">
        <v>0</v>
      </c>
      <c r="AD35" s="4">
        <v>0</v>
      </c>
      <c r="AE35" s="4">
        <v>0</v>
      </c>
      <c r="AF35" s="4">
        <v>226</v>
      </c>
      <c r="AG35" s="4">
        <v>243</v>
      </c>
      <c r="AH35" s="4">
        <v>71</v>
      </c>
      <c r="AI35" s="4">
        <v>37475</v>
      </c>
      <c r="AJ35" s="4">
        <v>3</v>
      </c>
      <c r="AK35" s="4">
        <v>27200</v>
      </c>
      <c r="AL35" s="4">
        <v>0</v>
      </c>
      <c r="AM35" s="4">
        <v>1.0200000000000001E-2</v>
      </c>
      <c r="AN35" s="4">
        <v>156514</v>
      </c>
      <c r="AO35" s="4">
        <v>0.59</v>
      </c>
      <c r="AP35" s="4">
        <v>0</v>
      </c>
      <c r="AQ35" s="4">
        <v>29</v>
      </c>
      <c r="AR35" s="4">
        <v>557</v>
      </c>
      <c r="AS35" s="4">
        <v>2355.9299999999998</v>
      </c>
      <c r="AT35" s="4">
        <v>2</v>
      </c>
      <c r="AU35" s="4">
        <v>54</v>
      </c>
      <c r="AV35" s="4">
        <v>17</v>
      </c>
      <c r="AW35" s="4">
        <v>27</v>
      </c>
      <c r="AX35" s="4">
        <v>2</v>
      </c>
      <c r="AY35" s="1"/>
      <c r="AZ35" s="1"/>
    </row>
    <row r="36" spans="1:52" ht="15.6">
      <c r="A36" s="1" t="s">
        <v>201</v>
      </c>
      <c r="B36" s="1" t="s">
        <v>438</v>
      </c>
      <c r="C36" s="1" t="s">
        <v>123</v>
      </c>
      <c r="D36" s="1" t="s">
        <v>504</v>
      </c>
      <c r="E36" s="1" t="s">
        <v>505</v>
      </c>
      <c r="F36" s="48">
        <v>44207</v>
      </c>
      <c r="G36" s="1" t="s">
        <v>121</v>
      </c>
      <c r="H36" s="4">
        <v>0</v>
      </c>
      <c r="I36" s="4">
        <v>0</v>
      </c>
      <c r="J36" s="4">
        <v>0</v>
      </c>
      <c r="K36" s="4">
        <v>0</v>
      </c>
      <c r="L36" s="4">
        <v>70</v>
      </c>
      <c r="M36" s="4">
        <v>0</v>
      </c>
      <c r="N36" s="4">
        <v>1</v>
      </c>
      <c r="O36" s="4">
        <v>71</v>
      </c>
      <c r="P36" s="4">
        <v>71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74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33839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71</v>
      </c>
      <c r="AY36" s="48">
        <v>45777</v>
      </c>
      <c r="AZ36" s="48"/>
    </row>
    <row r="37" spans="1:52" ht="15.6">
      <c r="A37" s="1" t="s">
        <v>108</v>
      </c>
      <c r="B37" s="1" t="s">
        <v>465</v>
      </c>
      <c r="C37" s="1" t="s">
        <v>126</v>
      </c>
      <c r="D37" s="1" t="s">
        <v>506</v>
      </c>
      <c r="E37" s="1" t="s">
        <v>605</v>
      </c>
      <c r="F37" s="104">
        <v>45474</v>
      </c>
      <c r="G37" s="1" t="s">
        <v>108</v>
      </c>
      <c r="H37" s="4">
        <v>0</v>
      </c>
      <c r="I37" s="4">
        <v>4125000</v>
      </c>
      <c r="J37" s="4">
        <v>1462773.6</v>
      </c>
      <c r="K37" s="4">
        <v>0</v>
      </c>
      <c r="L37" s="4">
        <v>81</v>
      </c>
      <c r="M37" s="4">
        <v>42</v>
      </c>
      <c r="N37" s="4">
        <v>1</v>
      </c>
      <c r="O37" s="4">
        <v>82</v>
      </c>
      <c r="P37" s="4">
        <v>40</v>
      </c>
      <c r="Q37" s="4">
        <v>1417629.6</v>
      </c>
      <c r="R37" s="4">
        <v>45144</v>
      </c>
      <c r="S37" s="4">
        <v>21</v>
      </c>
      <c r="T37" s="4">
        <v>1</v>
      </c>
      <c r="U37" s="4">
        <v>22</v>
      </c>
      <c r="V37" s="4">
        <v>0</v>
      </c>
      <c r="W37" s="4">
        <v>1</v>
      </c>
      <c r="X37" s="4">
        <v>1</v>
      </c>
      <c r="Y37" s="4">
        <v>23</v>
      </c>
      <c r="Z37" s="4">
        <v>3</v>
      </c>
      <c r="AA37" s="4">
        <v>4</v>
      </c>
      <c r="AB37" s="4">
        <v>0</v>
      </c>
      <c r="AC37" s="4">
        <v>0</v>
      </c>
      <c r="AD37" s="4">
        <v>0</v>
      </c>
      <c r="AE37" s="4">
        <v>0</v>
      </c>
      <c r="AF37" s="4">
        <v>361</v>
      </c>
      <c r="AG37" s="4">
        <v>366</v>
      </c>
      <c r="AH37" s="4">
        <v>64</v>
      </c>
      <c r="AI37" s="4">
        <v>22856</v>
      </c>
      <c r="AJ37" s="4">
        <v>6</v>
      </c>
      <c r="AK37" s="1"/>
      <c r="AL37" s="4">
        <v>0</v>
      </c>
      <c r="AM37" s="4">
        <v>0</v>
      </c>
      <c r="AN37" s="4">
        <v>66490</v>
      </c>
      <c r="AO37" s="4">
        <v>0.35</v>
      </c>
      <c r="AP37" s="4">
        <v>0</v>
      </c>
      <c r="AQ37" s="4">
        <v>43</v>
      </c>
      <c r="AR37" s="4">
        <v>514</v>
      </c>
      <c r="AS37" s="4">
        <v>3298.17</v>
      </c>
      <c r="AT37" s="4">
        <v>1</v>
      </c>
      <c r="AU37" s="4">
        <v>79</v>
      </c>
      <c r="AV37" s="4">
        <v>22</v>
      </c>
      <c r="AW37" s="4">
        <v>21</v>
      </c>
      <c r="AX37" s="4">
        <v>39</v>
      </c>
      <c r="AY37" s="1"/>
      <c r="AZ37" s="1"/>
    </row>
    <row r="38" spans="1:52" ht="15.6">
      <c r="A38" s="1" t="s">
        <v>108</v>
      </c>
      <c r="B38" s="1" t="s">
        <v>465</v>
      </c>
      <c r="C38" s="1" t="s">
        <v>128</v>
      </c>
      <c r="D38" s="1" t="s">
        <v>506</v>
      </c>
      <c r="E38" s="1" t="s">
        <v>507</v>
      </c>
      <c r="F38" s="48">
        <v>44224</v>
      </c>
      <c r="G38" s="1" t="s">
        <v>108</v>
      </c>
      <c r="H38" s="4">
        <v>0</v>
      </c>
      <c r="I38" s="4">
        <v>0</v>
      </c>
      <c r="J38" s="4">
        <v>0</v>
      </c>
      <c r="K38" s="4">
        <v>0</v>
      </c>
      <c r="L38" s="4">
        <v>146</v>
      </c>
      <c r="M38" s="4">
        <v>0</v>
      </c>
      <c r="N38" s="4">
        <v>1</v>
      </c>
      <c r="O38" s="4">
        <v>147</v>
      </c>
      <c r="P38" s="4">
        <v>147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45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35543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147</v>
      </c>
      <c r="AY38" s="48">
        <v>45774</v>
      </c>
      <c r="AZ38" s="48"/>
    </row>
    <row r="39" spans="1:52" ht="15.6">
      <c r="A39" s="1" t="s">
        <v>118</v>
      </c>
      <c r="B39" s="1" t="s">
        <v>468</v>
      </c>
      <c r="C39" s="1" t="s">
        <v>132</v>
      </c>
      <c r="D39" s="1" t="s">
        <v>509</v>
      </c>
      <c r="E39" s="1" t="s">
        <v>510</v>
      </c>
      <c r="F39" s="104">
        <v>44228</v>
      </c>
      <c r="G39" s="1" t="s">
        <v>118</v>
      </c>
      <c r="H39" s="4">
        <v>0</v>
      </c>
      <c r="I39" s="4">
        <v>10500000</v>
      </c>
      <c r="J39" s="4">
        <v>4656551.46</v>
      </c>
      <c r="K39" s="4">
        <v>0</v>
      </c>
      <c r="L39" s="4">
        <v>79</v>
      </c>
      <c r="M39" s="4">
        <v>64</v>
      </c>
      <c r="N39" s="4">
        <v>2</v>
      </c>
      <c r="O39" s="4">
        <v>81</v>
      </c>
      <c r="P39" s="4">
        <v>17</v>
      </c>
      <c r="Q39" s="4">
        <v>4600366.91</v>
      </c>
      <c r="R39" s="4">
        <v>56184.55</v>
      </c>
      <c r="S39" s="4">
        <v>33</v>
      </c>
      <c r="T39" s="4">
        <v>2</v>
      </c>
      <c r="U39" s="4">
        <v>35</v>
      </c>
      <c r="V39" s="4">
        <v>0</v>
      </c>
      <c r="W39" s="4">
        <v>15</v>
      </c>
      <c r="X39" s="4">
        <v>18</v>
      </c>
      <c r="Y39" s="4">
        <v>131</v>
      </c>
      <c r="Z39" s="4">
        <v>1</v>
      </c>
      <c r="AA39" s="4">
        <v>60</v>
      </c>
      <c r="AB39" s="4">
        <v>0</v>
      </c>
      <c r="AC39" s="4">
        <v>0</v>
      </c>
      <c r="AD39" s="4">
        <v>0</v>
      </c>
      <c r="AE39" s="4">
        <v>0</v>
      </c>
      <c r="AF39" s="4">
        <v>178</v>
      </c>
      <c r="AG39" s="4">
        <v>256</v>
      </c>
      <c r="AH39" s="4">
        <v>76</v>
      </c>
      <c r="AI39" s="4">
        <v>61270</v>
      </c>
      <c r="AJ39" s="4">
        <v>3</v>
      </c>
      <c r="AK39" s="4">
        <v>40500</v>
      </c>
      <c r="AL39" s="4">
        <v>0</v>
      </c>
      <c r="AM39" s="4">
        <v>8.6999999999999994E-3</v>
      </c>
      <c r="AN39" s="4">
        <v>133044</v>
      </c>
      <c r="AO39" s="4">
        <v>0.44</v>
      </c>
      <c r="AP39" s="4">
        <v>0</v>
      </c>
      <c r="AQ39" s="4">
        <v>65</v>
      </c>
      <c r="AR39" s="4">
        <v>744</v>
      </c>
      <c r="AS39" s="4">
        <v>3069.42</v>
      </c>
      <c r="AT39" s="4">
        <v>2</v>
      </c>
      <c r="AU39" s="4">
        <v>48</v>
      </c>
      <c r="AV39" s="4">
        <v>35</v>
      </c>
      <c r="AW39" s="4">
        <v>30</v>
      </c>
      <c r="AX39" s="4">
        <v>16</v>
      </c>
      <c r="AY39" s="1"/>
      <c r="AZ39" s="1"/>
    </row>
    <row r="40" spans="1:52" ht="15.6">
      <c r="A40" s="1" t="s">
        <v>118</v>
      </c>
      <c r="B40" s="1" t="s">
        <v>484</v>
      </c>
      <c r="C40" s="1" t="s">
        <v>133</v>
      </c>
      <c r="D40" s="1" t="s">
        <v>529</v>
      </c>
      <c r="E40" s="1" t="s">
        <v>530</v>
      </c>
      <c r="F40" s="104">
        <v>44868</v>
      </c>
      <c r="G40" s="1" t="s">
        <v>118</v>
      </c>
      <c r="H40" s="4">
        <v>0</v>
      </c>
      <c r="I40" s="4">
        <v>4500000</v>
      </c>
      <c r="J40" s="4">
        <v>2370898.4500000002</v>
      </c>
      <c r="K40" s="4">
        <v>0</v>
      </c>
      <c r="L40" s="4">
        <v>69</v>
      </c>
      <c r="M40" s="4">
        <v>57</v>
      </c>
      <c r="N40" s="4">
        <v>3</v>
      </c>
      <c r="O40" s="4">
        <v>72</v>
      </c>
      <c r="P40" s="4">
        <v>15</v>
      </c>
      <c r="Q40" s="4">
        <v>2093981.13</v>
      </c>
      <c r="R40" s="4">
        <v>276917.32</v>
      </c>
      <c r="S40" s="4">
        <v>24</v>
      </c>
      <c r="T40" s="4">
        <v>3</v>
      </c>
      <c r="U40" s="4">
        <v>27</v>
      </c>
      <c r="V40" s="4">
        <v>0</v>
      </c>
      <c r="W40" s="4">
        <v>15</v>
      </c>
      <c r="X40" s="4">
        <v>21</v>
      </c>
      <c r="Y40" s="4">
        <v>36</v>
      </c>
      <c r="Z40" s="4">
        <v>1</v>
      </c>
      <c r="AA40" s="4">
        <v>21</v>
      </c>
      <c r="AB40" s="4">
        <v>0</v>
      </c>
      <c r="AC40" s="4">
        <v>0</v>
      </c>
      <c r="AD40" s="4">
        <v>0</v>
      </c>
      <c r="AE40" s="4">
        <v>0</v>
      </c>
      <c r="AF40" s="4">
        <v>191</v>
      </c>
      <c r="AG40" s="4">
        <v>233</v>
      </c>
      <c r="AH40" s="4">
        <v>69</v>
      </c>
      <c r="AI40" s="4">
        <v>34361</v>
      </c>
      <c r="AJ40" s="4">
        <v>3</v>
      </c>
      <c r="AK40" s="4">
        <v>31625</v>
      </c>
      <c r="AL40" s="4">
        <v>0</v>
      </c>
      <c r="AM40" s="4">
        <v>1.3299999999999999E-2</v>
      </c>
      <c r="AN40" s="4">
        <v>87811</v>
      </c>
      <c r="AO40" s="4">
        <v>0.53</v>
      </c>
      <c r="AP40" s="4">
        <v>0</v>
      </c>
      <c r="AQ40" s="4">
        <v>52</v>
      </c>
      <c r="AR40" s="4">
        <v>559</v>
      </c>
      <c r="AS40" s="4">
        <v>1331.43</v>
      </c>
      <c r="AT40" s="4">
        <v>3</v>
      </c>
      <c r="AU40" s="4">
        <v>23</v>
      </c>
      <c r="AV40" s="4">
        <v>27</v>
      </c>
      <c r="AW40" s="4">
        <v>35</v>
      </c>
      <c r="AX40" s="4">
        <v>10</v>
      </c>
      <c r="AY40" s="1"/>
      <c r="AZ40" s="1"/>
    </row>
    <row r="41" spans="1:52" ht="15.6">
      <c r="A41" s="1" t="s">
        <v>201</v>
      </c>
      <c r="B41" s="1" t="s">
        <v>438</v>
      </c>
      <c r="C41" s="1" t="s">
        <v>134</v>
      </c>
      <c r="D41" s="1" t="s">
        <v>504</v>
      </c>
      <c r="E41" s="1" t="s">
        <v>511</v>
      </c>
      <c r="F41" s="48">
        <v>44245</v>
      </c>
      <c r="G41" s="1" t="s">
        <v>121</v>
      </c>
      <c r="H41" s="4">
        <v>0</v>
      </c>
      <c r="I41" s="4">
        <v>6999999</v>
      </c>
      <c r="J41" s="4">
        <v>3634711.48</v>
      </c>
      <c r="K41" s="4">
        <v>0</v>
      </c>
      <c r="L41" s="4">
        <v>114</v>
      </c>
      <c r="M41" s="4">
        <v>81</v>
      </c>
      <c r="N41" s="4">
        <v>2</v>
      </c>
      <c r="O41" s="4">
        <v>116</v>
      </c>
      <c r="P41" s="4">
        <v>35</v>
      </c>
      <c r="Q41" s="4">
        <v>3505099.48</v>
      </c>
      <c r="R41" s="4">
        <v>129612</v>
      </c>
      <c r="S41" s="4">
        <v>43</v>
      </c>
      <c r="T41" s="4">
        <v>2</v>
      </c>
      <c r="U41" s="4">
        <v>45</v>
      </c>
      <c r="V41" s="4">
        <v>0</v>
      </c>
      <c r="W41" s="4">
        <v>11</v>
      </c>
      <c r="X41" s="4">
        <v>14</v>
      </c>
      <c r="Y41" s="4">
        <v>130</v>
      </c>
      <c r="Z41" s="4">
        <v>2</v>
      </c>
      <c r="AA41" s="4">
        <v>8</v>
      </c>
      <c r="AB41" s="4">
        <v>0</v>
      </c>
      <c r="AC41" s="4">
        <v>0</v>
      </c>
      <c r="AD41" s="4">
        <v>0</v>
      </c>
      <c r="AE41" s="4">
        <v>0</v>
      </c>
      <c r="AF41" s="4">
        <v>250</v>
      </c>
      <c r="AG41" s="4">
        <v>272</v>
      </c>
      <c r="AH41" s="4">
        <v>73</v>
      </c>
      <c r="AI41" s="4">
        <v>49791</v>
      </c>
      <c r="AJ41" s="4">
        <v>4</v>
      </c>
      <c r="AK41" s="4">
        <v>31852</v>
      </c>
      <c r="AL41" s="4">
        <v>0</v>
      </c>
      <c r="AM41" s="4">
        <v>8.8000000000000005E-3</v>
      </c>
      <c r="AN41" s="4">
        <v>80771</v>
      </c>
      <c r="AO41" s="4">
        <v>0.52</v>
      </c>
      <c r="AP41" s="4">
        <v>0</v>
      </c>
      <c r="AQ41" s="4">
        <v>92</v>
      </c>
      <c r="AR41" s="4">
        <v>741</v>
      </c>
      <c r="AS41" s="4">
        <v>6145.42</v>
      </c>
      <c r="AT41" s="4">
        <v>2</v>
      </c>
      <c r="AU41" s="4">
        <v>76</v>
      </c>
      <c r="AV41" s="4">
        <v>45</v>
      </c>
      <c r="AW41" s="4">
        <v>44</v>
      </c>
      <c r="AX41" s="4">
        <v>27</v>
      </c>
      <c r="AY41" s="1"/>
      <c r="AZ41" s="1"/>
    </row>
    <row r="42" spans="1:52" ht="15.6">
      <c r="A42" s="1" t="s">
        <v>201</v>
      </c>
      <c r="B42" s="1" t="s">
        <v>431</v>
      </c>
      <c r="C42" s="1" t="s">
        <v>135</v>
      </c>
      <c r="D42" s="1" t="s">
        <v>431</v>
      </c>
      <c r="E42" s="1" t="s">
        <v>513</v>
      </c>
      <c r="F42" s="48">
        <v>44247</v>
      </c>
      <c r="G42" s="1" t="s">
        <v>121</v>
      </c>
      <c r="H42" s="4">
        <v>0</v>
      </c>
      <c r="I42" s="4">
        <v>9999999</v>
      </c>
      <c r="J42" s="4">
        <v>7247298.0499999998</v>
      </c>
      <c r="K42" s="4">
        <v>0</v>
      </c>
      <c r="L42" s="4">
        <v>117</v>
      </c>
      <c r="M42" s="4">
        <v>64</v>
      </c>
      <c r="N42" s="4">
        <v>6</v>
      </c>
      <c r="O42" s="4">
        <v>123</v>
      </c>
      <c r="P42" s="4">
        <v>59</v>
      </c>
      <c r="Q42" s="4">
        <v>6857183.0999999996</v>
      </c>
      <c r="R42" s="4">
        <v>390114.95</v>
      </c>
      <c r="S42" s="4">
        <v>57</v>
      </c>
      <c r="T42" s="4">
        <v>5</v>
      </c>
      <c r="U42" s="4">
        <v>62</v>
      </c>
      <c r="V42" s="4">
        <v>0</v>
      </c>
      <c r="W42" s="4">
        <v>2</v>
      </c>
      <c r="X42" s="4">
        <v>2</v>
      </c>
      <c r="Y42" s="4">
        <v>44</v>
      </c>
      <c r="Z42" s="4">
        <v>3</v>
      </c>
      <c r="AA42" s="4">
        <v>47</v>
      </c>
      <c r="AB42" s="4">
        <v>0</v>
      </c>
      <c r="AC42" s="4">
        <v>0</v>
      </c>
      <c r="AD42" s="4">
        <v>1</v>
      </c>
      <c r="AE42" s="4">
        <v>1</v>
      </c>
      <c r="AF42" s="4">
        <v>244</v>
      </c>
      <c r="AG42" s="4">
        <v>294</v>
      </c>
      <c r="AH42" s="4">
        <v>74</v>
      </c>
      <c r="AI42" s="4">
        <v>97936</v>
      </c>
      <c r="AJ42" s="4">
        <v>4</v>
      </c>
      <c r="AK42" s="4">
        <v>37917</v>
      </c>
      <c r="AL42" s="4">
        <v>0</v>
      </c>
      <c r="AM42" s="4">
        <v>5.1999999999999998E-3</v>
      </c>
      <c r="AN42" s="4">
        <v>116892</v>
      </c>
      <c r="AO42" s="4">
        <v>0.72</v>
      </c>
      <c r="AP42" s="4">
        <v>0</v>
      </c>
      <c r="AQ42" s="4">
        <v>219</v>
      </c>
      <c r="AR42" s="4">
        <v>770</v>
      </c>
      <c r="AS42" s="4">
        <v>4664.6899999999996</v>
      </c>
      <c r="AT42" s="4">
        <v>5</v>
      </c>
      <c r="AU42" s="4">
        <v>73</v>
      </c>
      <c r="AV42" s="4">
        <v>62</v>
      </c>
      <c r="AW42" s="4">
        <v>18</v>
      </c>
      <c r="AX42" s="4">
        <v>43</v>
      </c>
      <c r="AY42" s="1"/>
      <c r="AZ42" s="1"/>
    </row>
    <row r="43" spans="1:52" ht="15.6">
      <c r="A43" s="1" t="s">
        <v>118</v>
      </c>
      <c r="B43" s="1" t="s">
        <v>372</v>
      </c>
      <c r="C43" s="1" t="s">
        <v>138</v>
      </c>
      <c r="D43" s="1" t="s">
        <v>447</v>
      </c>
      <c r="E43" s="1" t="s">
        <v>514</v>
      </c>
      <c r="F43" s="48">
        <v>44396</v>
      </c>
      <c r="G43" s="1" t="s">
        <v>118</v>
      </c>
      <c r="H43" s="4">
        <v>0</v>
      </c>
      <c r="I43" s="4">
        <v>7500000</v>
      </c>
      <c r="J43" s="4">
        <v>9048097.1600000001</v>
      </c>
      <c r="K43" s="4">
        <v>0</v>
      </c>
      <c r="L43" s="4">
        <v>259</v>
      </c>
      <c r="M43" s="4">
        <v>135</v>
      </c>
      <c r="N43" s="4">
        <v>8</v>
      </c>
      <c r="O43" s="4">
        <v>267</v>
      </c>
      <c r="P43" s="4">
        <v>132</v>
      </c>
      <c r="Q43" s="4">
        <v>8677312.9299999997</v>
      </c>
      <c r="R43" s="4">
        <v>370784.23</v>
      </c>
      <c r="S43" s="4">
        <v>59</v>
      </c>
      <c r="T43" s="4">
        <v>7</v>
      </c>
      <c r="U43" s="4">
        <v>66</v>
      </c>
      <c r="V43" s="4">
        <v>0</v>
      </c>
      <c r="W43" s="4">
        <v>58</v>
      </c>
      <c r="X43" s="4">
        <v>58</v>
      </c>
      <c r="Y43" s="4">
        <v>478</v>
      </c>
      <c r="Z43" s="4">
        <v>3</v>
      </c>
      <c r="AA43" s="4">
        <v>24</v>
      </c>
      <c r="AB43" s="4">
        <v>0</v>
      </c>
      <c r="AC43" s="4">
        <v>0</v>
      </c>
      <c r="AD43" s="4">
        <v>1</v>
      </c>
      <c r="AE43" s="4">
        <v>1</v>
      </c>
      <c r="AF43" s="4">
        <v>228</v>
      </c>
      <c r="AG43" s="4">
        <v>311</v>
      </c>
      <c r="AH43" s="4">
        <v>70</v>
      </c>
      <c r="AI43" s="4">
        <v>129259</v>
      </c>
      <c r="AJ43" s="4">
        <v>4</v>
      </c>
      <c r="AK43" s="4">
        <v>49690</v>
      </c>
      <c r="AL43" s="4">
        <v>0</v>
      </c>
      <c r="AM43" s="4">
        <v>5.4999999999999997E-3</v>
      </c>
      <c r="AN43" s="4">
        <v>137092</v>
      </c>
      <c r="AO43" s="4">
        <v>1.21</v>
      </c>
      <c r="AP43" s="4">
        <v>0</v>
      </c>
      <c r="AQ43" s="4">
        <v>101</v>
      </c>
      <c r="AR43" s="4">
        <v>730</v>
      </c>
      <c r="AS43" s="4">
        <v>4458.84</v>
      </c>
      <c r="AT43" s="4">
        <v>7</v>
      </c>
      <c r="AU43" s="4">
        <v>33</v>
      </c>
      <c r="AV43" s="4">
        <v>66</v>
      </c>
      <c r="AW43" s="4">
        <v>75</v>
      </c>
      <c r="AX43" s="4">
        <v>126</v>
      </c>
      <c r="AY43" s="1"/>
      <c r="AZ43" s="1"/>
    </row>
    <row r="44" spans="1:52" ht="15.6">
      <c r="A44" s="1" t="s">
        <v>118</v>
      </c>
      <c r="B44" s="1" t="s">
        <v>468</v>
      </c>
      <c r="C44" s="1" t="s">
        <v>140</v>
      </c>
      <c r="D44" s="1" t="s">
        <v>515</v>
      </c>
      <c r="E44" s="1" t="s">
        <v>516</v>
      </c>
      <c r="F44" s="48">
        <v>44424</v>
      </c>
      <c r="G44" s="1" t="s">
        <v>118</v>
      </c>
      <c r="H44" s="4">
        <v>0</v>
      </c>
      <c r="I44" s="4">
        <v>22250001</v>
      </c>
      <c r="J44" s="4">
        <v>13718433.560000001</v>
      </c>
      <c r="K44" s="4">
        <v>0</v>
      </c>
      <c r="L44" s="4">
        <v>85</v>
      </c>
      <c r="M44" s="4">
        <v>74</v>
      </c>
      <c r="N44" s="4">
        <v>0</v>
      </c>
      <c r="O44" s="4">
        <v>85</v>
      </c>
      <c r="P44" s="4">
        <v>11</v>
      </c>
      <c r="Q44" s="4">
        <v>13718433.560000001</v>
      </c>
      <c r="R44" s="4">
        <v>0</v>
      </c>
      <c r="S44" s="4">
        <v>57</v>
      </c>
      <c r="T44" s="4">
        <v>0</v>
      </c>
      <c r="U44" s="4">
        <v>57</v>
      </c>
      <c r="V44" s="4">
        <v>0</v>
      </c>
      <c r="W44" s="4">
        <v>5</v>
      </c>
      <c r="X44" s="4">
        <v>8</v>
      </c>
      <c r="Y44" s="4">
        <v>50</v>
      </c>
      <c r="Z44" s="4">
        <v>1</v>
      </c>
      <c r="AA44" s="4">
        <v>32</v>
      </c>
      <c r="AB44" s="4">
        <v>0</v>
      </c>
      <c r="AC44" s="4">
        <v>0</v>
      </c>
      <c r="AD44" s="4">
        <v>0</v>
      </c>
      <c r="AE44" s="4">
        <v>0</v>
      </c>
      <c r="AF44" s="4">
        <v>286</v>
      </c>
      <c r="AG44" s="4">
        <v>326</v>
      </c>
      <c r="AH44" s="4">
        <v>71</v>
      </c>
      <c r="AI44" s="4">
        <v>193217</v>
      </c>
      <c r="AJ44" s="4">
        <v>5</v>
      </c>
      <c r="AK44" s="4">
        <v>51393</v>
      </c>
      <c r="AL44" s="4">
        <v>0</v>
      </c>
      <c r="AM44" s="4">
        <v>3.7000000000000002E-3</v>
      </c>
      <c r="AN44" s="4">
        <v>240674</v>
      </c>
      <c r="AO44" s="4">
        <v>0.62</v>
      </c>
      <c r="AP44" s="4">
        <v>0</v>
      </c>
      <c r="AQ44" s="4">
        <v>151</v>
      </c>
      <c r="AR44" s="4">
        <v>707</v>
      </c>
      <c r="AS44" s="4">
        <v>5115.17</v>
      </c>
      <c r="AT44" s="4">
        <v>0</v>
      </c>
      <c r="AU44" s="4">
        <v>69</v>
      </c>
      <c r="AV44" s="4">
        <v>57</v>
      </c>
      <c r="AW44" s="4">
        <v>18</v>
      </c>
      <c r="AX44" s="4">
        <v>10</v>
      </c>
      <c r="AY44" s="1"/>
      <c r="AZ44" s="1"/>
    </row>
    <row r="45" spans="1:52" ht="15.6">
      <c r="A45" s="1" t="s">
        <v>124</v>
      </c>
      <c r="B45" s="1" t="s">
        <v>443</v>
      </c>
      <c r="C45" s="1" t="s">
        <v>142</v>
      </c>
      <c r="D45" s="1" t="s">
        <v>517</v>
      </c>
      <c r="E45" s="1" t="s">
        <v>518</v>
      </c>
      <c r="F45" s="48">
        <v>44459</v>
      </c>
      <c r="G45" s="1" t="s">
        <v>124</v>
      </c>
      <c r="H45" s="4">
        <v>0</v>
      </c>
      <c r="I45" s="4">
        <v>5400000</v>
      </c>
      <c r="J45" s="4">
        <v>455636.08</v>
      </c>
      <c r="K45" s="4">
        <v>0</v>
      </c>
      <c r="L45" s="4">
        <v>105</v>
      </c>
      <c r="M45" s="4">
        <v>48</v>
      </c>
      <c r="N45" s="4">
        <v>1</v>
      </c>
      <c r="O45" s="4">
        <v>106</v>
      </c>
      <c r="P45" s="4">
        <v>58</v>
      </c>
      <c r="Q45" s="4">
        <v>455636.08</v>
      </c>
      <c r="R45" s="4">
        <v>0</v>
      </c>
      <c r="S45" s="4">
        <v>11</v>
      </c>
      <c r="T45" s="4">
        <v>0</v>
      </c>
      <c r="U45" s="4">
        <v>11</v>
      </c>
      <c r="V45" s="4">
        <v>0</v>
      </c>
      <c r="W45" s="4">
        <v>9</v>
      </c>
      <c r="X45" s="4">
        <v>9</v>
      </c>
      <c r="Y45" s="4">
        <v>66</v>
      </c>
      <c r="Z45" s="4">
        <v>8</v>
      </c>
      <c r="AA45" s="4">
        <v>59</v>
      </c>
      <c r="AB45" s="4">
        <v>0</v>
      </c>
      <c r="AC45" s="4">
        <v>0</v>
      </c>
      <c r="AD45" s="4">
        <v>4</v>
      </c>
      <c r="AE45" s="4">
        <v>8</v>
      </c>
      <c r="AF45" s="4">
        <v>74</v>
      </c>
      <c r="AG45" s="4">
        <v>150</v>
      </c>
      <c r="AH45" s="4">
        <v>74</v>
      </c>
      <c r="AI45" s="4">
        <v>6157</v>
      </c>
      <c r="AJ45" s="4">
        <v>2</v>
      </c>
      <c r="AK45" s="4">
        <v>49585</v>
      </c>
      <c r="AL45" s="4">
        <v>0</v>
      </c>
      <c r="AM45" s="4">
        <v>0.10879999999999999</v>
      </c>
      <c r="AN45" s="4">
        <v>41421</v>
      </c>
      <c r="AO45" s="4">
        <v>7.0000000000000007E-2</v>
      </c>
      <c r="AP45" s="4">
        <v>0</v>
      </c>
      <c r="AQ45" s="4">
        <v>11</v>
      </c>
      <c r="AR45" s="4">
        <v>724</v>
      </c>
      <c r="AS45" s="4">
        <v>4810.8599999999997</v>
      </c>
      <c r="AT45" s="4">
        <v>0</v>
      </c>
      <c r="AU45" s="4">
        <v>100</v>
      </c>
      <c r="AV45" s="4">
        <v>11</v>
      </c>
      <c r="AW45" s="4">
        <v>44</v>
      </c>
      <c r="AX45" s="4">
        <v>51</v>
      </c>
      <c r="AY45" s="1"/>
      <c r="AZ45" s="1"/>
    </row>
    <row r="46" spans="1:52" ht="15.6">
      <c r="A46" s="1" t="s">
        <v>118</v>
      </c>
      <c r="B46" s="1" t="s">
        <v>375</v>
      </c>
      <c r="C46" s="1" t="s">
        <v>143</v>
      </c>
      <c r="D46" s="1" t="s">
        <v>473</v>
      </c>
      <c r="E46" s="1" t="s">
        <v>587</v>
      </c>
      <c r="F46" s="104">
        <v>45444</v>
      </c>
      <c r="G46" s="1" t="s">
        <v>119</v>
      </c>
      <c r="H46" s="4">
        <v>0</v>
      </c>
      <c r="I46" s="4">
        <v>0</v>
      </c>
      <c r="J46" s="4">
        <v>0</v>
      </c>
      <c r="K46" s="4">
        <v>0</v>
      </c>
      <c r="L46" s="4">
        <v>27</v>
      </c>
      <c r="M46" s="4">
        <v>0</v>
      </c>
      <c r="N46" s="4">
        <v>0</v>
      </c>
      <c r="O46" s="4">
        <v>27</v>
      </c>
      <c r="P46" s="4">
        <v>27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170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27000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27</v>
      </c>
      <c r="AY46" s="48">
        <v>45853</v>
      </c>
      <c r="AZ46" s="48"/>
    </row>
    <row r="47" spans="1:52" ht="15.6">
      <c r="A47" s="1" t="s">
        <v>118</v>
      </c>
      <c r="B47" s="1" t="s">
        <v>484</v>
      </c>
      <c r="C47" s="1" t="s">
        <v>144</v>
      </c>
      <c r="D47" s="1" t="s">
        <v>497</v>
      </c>
      <c r="E47" s="1" t="s">
        <v>520</v>
      </c>
      <c r="F47" s="104">
        <v>44501</v>
      </c>
      <c r="G47" s="1" t="s">
        <v>118</v>
      </c>
      <c r="H47" s="4">
        <v>0</v>
      </c>
      <c r="I47" s="4">
        <v>13500000</v>
      </c>
      <c r="J47" s="4">
        <v>10179767.550000001</v>
      </c>
      <c r="K47" s="4">
        <v>0</v>
      </c>
      <c r="L47" s="4">
        <v>108</v>
      </c>
      <c r="M47" s="4">
        <v>87</v>
      </c>
      <c r="N47" s="4">
        <v>1</v>
      </c>
      <c r="O47" s="4">
        <v>109</v>
      </c>
      <c r="P47" s="4">
        <v>22</v>
      </c>
      <c r="Q47" s="4">
        <v>9927622.5500000007</v>
      </c>
      <c r="R47" s="4">
        <v>252145</v>
      </c>
      <c r="S47" s="4">
        <v>30</v>
      </c>
      <c r="T47" s="4">
        <v>1</v>
      </c>
      <c r="U47" s="4">
        <v>31</v>
      </c>
      <c r="V47" s="4">
        <v>0</v>
      </c>
      <c r="W47" s="4">
        <v>8</v>
      </c>
      <c r="X47" s="4">
        <v>11</v>
      </c>
      <c r="Y47" s="4">
        <v>136</v>
      </c>
      <c r="Z47" s="4">
        <v>1</v>
      </c>
      <c r="AA47" s="4">
        <v>1</v>
      </c>
      <c r="AB47" s="4">
        <v>0</v>
      </c>
      <c r="AC47" s="4">
        <v>0</v>
      </c>
      <c r="AD47" s="4">
        <v>0</v>
      </c>
      <c r="AE47" s="4">
        <v>0</v>
      </c>
      <c r="AF47" s="4">
        <v>522</v>
      </c>
      <c r="AG47" s="4">
        <v>534</v>
      </c>
      <c r="AH47" s="4">
        <v>76</v>
      </c>
      <c r="AI47" s="4">
        <v>133944</v>
      </c>
      <c r="AJ47" s="4">
        <v>7</v>
      </c>
      <c r="AK47" s="4">
        <v>58700</v>
      </c>
      <c r="AL47" s="4">
        <v>0</v>
      </c>
      <c r="AM47" s="4">
        <v>5.7999999999999996E-3</v>
      </c>
      <c r="AN47" s="4">
        <v>328380</v>
      </c>
      <c r="AO47" s="4">
        <v>0.75</v>
      </c>
      <c r="AP47" s="4">
        <v>0</v>
      </c>
      <c r="AQ47" s="4">
        <v>71</v>
      </c>
      <c r="AR47" s="4">
        <v>677</v>
      </c>
      <c r="AS47" s="4">
        <v>3624.77</v>
      </c>
      <c r="AT47" s="4">
        <v>1</v>
      </c>
      <c r="AU47" s="4">
        <v>42</v>
      </c>
      <c r="AV47" s="4">
        <v>31</v>
      </c>
      <c r="AW47" s="4">
        <v>57</v>
      </c>
      <c r="AX47" s="4">
        <v>21</v>
      </c>
      <c r="AY47" s="1"/>
      <c r="AZ47" s="1"/>
    </row>
    <row r="48" spans="1:52" ht="15.6">
      <c r="A48" s="1" t="s">
        <v>201</v>
      </c>
      <c r="B48" s="1" t="s">
        <v>481</v>
      </c>
      <c r="C48" s="1" t="s">
        <v>145</v>
      </c>
      <c r="D48" s="1" t="s">
        <v>517</v>
      </c>
      <c r="E48" s="1" t="s">
        <v>521</v>
      </c>
      <c r="F48" s="104">
        <v>44501</v>
      </c>
      <c r="G48" s="1" t="s">
        <v>121</v>
      </c>
      <c r="H48" s="4">
        <v>0</v>
      </c>
      <c r="I48" s="4">
        <v>5280000</v>
      </c>
      <c r="J48" s="4">
        <v>2411377.38</v>
      </c>
      <c r="K48" s="4">
        <v>0</v>
      </c>
      <c r="L48" s="4">
        <v>76</v>
      </c>
      <c r="M48" s="4">
        <v>70</v>
      </c>
      <c r="N48" s="4">
        <v>2</v>
      </c>
      <c r="O48" s="4">
        <v>78</v>
      </c>
      <c r="P48" s="4">
        <v>8</v>
      </c>
      <c r="Q48" s="4">
        <v>2339165.98</v>
      </c>
      <c r="R48" s="4">
        <v>72211.399999999994</v>
      </c>
      <c r="S48" s="4">
        <v>37</v>
      </c>
      <c r="T48" s="4">
        <v>2</v>
      </c>
      <c r="U48" s="4">
        <v>39</v>
      </c>
      <c r="V48" s="4">
        <v>0</v>
      </c>
      <c r="W48" s="4">
        <v>28</v>
      </c>
      <c r="X48" s="4">
        <v>37</v>
      </c>
      <c r="Y48" s="4">
        <v>274</v>
      </c>
      <c r="Z48" s="4">
        <v>1</v>
      </c>
      <c r="AA48" s="4">
        <v>1</v>
      </c>
      <c r="AB48" s="4">
        <v>0</v>
      </c>
      <c r="AC48" s="4">
        <v>0</v>
      </c>
      <c r="AD48" s="4">
        <v>0</v>
      </c>
      <c r="AE48" s="4">
        <v>0</v>
      </c>
      <c r="AF48" s="4">
        <v>278</v>
      </c>
      <c r="AG48" s="4">
        <v>316</v>
      </c>
      <c r="AH48" s="4">
        <v>73</v>
      </c>
      <c r="AI48" s="4">
        <v>33033</v>
      </c>
      <c r="AJ48" s="4">
        <v>4</v>
      </c>
      <c r="AK48" s="4">
        <v>28500</v>
      </c>
      <c r="AL48" s="4">
        <v>0</v>
      </c>
      <c r="AM48" s="4">
        <v>1.18E-2</v>
      </c>
      <c r="AN48" s="4">
        <v>61830</v>
      </c>
      <c r="AO48" s="4">
        <v>0.46</v>
      </c>
      <c r="AP48" s="4">
        <v>0</v>
      </c>
      <c r="AQ48" s="4">
        <v>94</v>
      </c>
      <c r="AR48" s="4">
        <v>904</v>
      </c>
      <c r="AS48" s="4">
        <v>5612.78</v>
      </c>
      <c r="AT48" s="4">
        <v>2</v>
      </c>
      <c r="AU48" s="4">
        <v>80</v>
      </c>
      <c r="AV48" s="4">
        <v>39</v>
      </c>
      <c r="AW48" s="4">
        <v>32</v>
      </c>
      <c r="AX48" s="4">
        <v>7</v>
      </c>
      <c r="AY48" s="1"/>
      <c r="AZ48" s="1"/>
    </row>
    <row r="49" spans="1:52" ht="15.6">
      <c r="A49" s="1" t="s">
        <v>118</v>
      </c>
      <c r="B49" s="1" t="s">
        <v>436</v>
      </c>
      <c r="C49" s="1" t="s">
        <v>146</v>
      </c>
      <c r="D49" s="1" t="s">
        <v>499</v>
      </c>
      <c r="E49" s="1" t="s">
        <v>522</v>
      </c>
      <c r="F49" s="104">
        <v>44508</v>
      </c>
      <c r="G49" s="1"/>
      <c r="H49" s="4">
        <v>0</v>
      </c>
      <c r="I49" s="4">
        <v>0</v>
      </c>
      <c r="J49" s="4">
        <v>0</v>
      </c>
      <c r="K49" s="4">
        <v>0</v>
      </c>
      <c r="L49" s="4">
        <v>95</v>
      </c>
      <c r="M49" s="4">
        <v>0</v>
      </c>
      <c r="N49" s="4">
        <v>0</v>
      </c>
      <c r="O49" s="4">
        <v>95</v>
      </c>
      <c r="P49" s="4">
        <v>95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96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31355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95</v>
      </c>
      <c r="AY49" s="48">
        <v>45759</v>
      </c>
      <c r="AZ49" s="48"/>
    </row>
    <row r="50" spans="1:52" ht="15.6">
      <c r="A50" s="1" t="s">
        <v>201</v>
      </c>
      <c r="B50" s="1" t="s">
        <v>431</v>
      </c>
      <c r="C50" s="1" t="s">
        <v>147</v>
      </c>
      <c r="D50" s="1" t="s">
        <v>431</v>
      </c>
      <c r="E50" s="1" t="s">
        <v>523</v>
      </c>
      <c r="F50" s="48">
        <v>44511</v>
      </c>
      <c r="G50" s="1" t="s">
        <v>121</v>
      </c>
      <c r="H50" s="4">
        <v>600000</v>
      </c>
      <c r="I50" s="4">
        <v>5900001</v>
      </c>
      <c r="J50" s="4">
        <v>2914757.34</v>
      </c>
      <c r="K50" s="4">
        <v>1344984.65</v>
      </c>
      <c r="L50" s="4">
        <v>81</v>
      </c>
      <c r="M50" s="4">
        <v>63</v>
      </c>
      <c r="N50" s="4">
        <v>0</v>
      </c>
      <c r="O50" s="4">
        <v>81</v>
      </c>
      <c r="P50" s="4">
        <v>18</v>
      </c>
      <c r="Q50" s="4">
        <v>2914757.34</v>
      </c>
      <c r="R50" s="4">
        <v>0</v>
      </c>
      <c r="S50" s="4">
        <v>38</v>
      </c>
      <c r="T50" s="4">
        <v>0</v>
      </c>
      <c r="U50" s="4">
        <v>38</v>
      </c>
      <c r="V50" s="4">
        <v>6</v>
      </c>
      <c r="W50" s="4">
        <v>1</v>
      </c>
      <c r="X50" s="4">
        <v>1</v>
      </c>
      <c r="Y50" s="4">
        <v>70</v>
      </c>
      <c r="Z50" s="4">
        <v>3</v>
      </c>
      <c r="AA50" s="4">
        <v>19</v>
      </c>
      <c r="AB50" s="4">
        <v>5</v>
      </c>
      <c r="AC50" s="4">
        <v>25</v>
      </c>
      <c r="AD50" s="4">
        <v>4</v>
      </c>
      <c r="AE50" s="4">
        <v>9</v>
      </c>
      <c r="AF50" s="4">
        <v>207</v>
      </c>
      <c r="AG50" s="4">
        <v>261</v>
      </c>
      <c r="AH50" s="4">
        <v>75</v>
      </c>
      <c r="AI50" s="4">
        <v>38863</v>
      </c>
      <c r="AJ50" s="4">
        <v>3</v>
      </c>
      <c r="AK50" s="4">
        <v>31231</v>
      </c>
      <c r="AL50" s="4">
        <v>0</v>
      </c>
      <c r="AM50" s="4">
        <v>1.0699999999999999E-2</v>
      </c>
      <c r="AN50" s="4">
        <v>76704</v>
      </c>
      <c r="AO50" s="4">
        <v>0.49</v>
      </c>
      <c r="AP50" s="4">
        <v>2.2400000000000002</v>
      </c>
      <c r="AQ50" s="4">
        <v>66</v>
      </c>
      <c r="AR50" s="4">
        <v>584</v>
      </c>
      <c r="AS50" s="4">
        <v>3448.91</v>
      </c>
      <c r="AT50" s="4">
        <v>0</v>
      </c>
      <c r="AU50" s="4">
        <v>55</v>
      </c>
      <c r="AV50" s="4">
        <v>38</v>
      </c>
      <c r="AW50" s="4">
        <v>26</v>
      </c>
      <c r="AX50" s="4">
        <v>17</v>
      </c>
      <c r="AY50" s="1"/>
      <c r="AZ50" s="1"/>
    </row>
    <row r="51" spans="1:52" ht="15.6">
      <c r="A51" s="1" t="s">
        <v>124</v>
      </c>
      <c r="B51" s="1" t="s">
        <v>443</v>
      </c>
      <c r="C51" s="1" t="s">
        <v>148</v>
      </c>
      <c r="D51" s="1" t="s">
        <v>517</v>
      </c>
      <c r="E51" s="1" t="s">
        <v>537</v>
      </c>
      <c r="F51" s="108">
        <v>45778</v>
      </c>
      <c r="G51" s="1" t="s">
        <v>124</v>
      </c>
      <c r="H51" s="4">
        <v>0</v>
      </c>
      <c r="I51" s="4">
        <v>3600000</v>
      </c>
      <c r="J51" s="4">
        <v>3683757.58</v>
      </c>
      <c r="K51" s="4">
        <v>0</v>
      </c>
      <c r="L51" s="4">
        <v>83</v>
      </c>
      <c r="M51" s="4">
        <v>62</v>
      </c>
      <c r="N51" s="4">
        <v>12</v>
      </c>
      <c r="O51" s="4">
        <v>95</v>
      </c>
      <c r="P51" s="4">
        <v>33</v>
      </c>
      <c r="Q51" s="4">
        <v>3093705.15</v>
      </c>
      <c r="R51" s="4">
        <v>590052.43000000005</v>
      </c>
      <c r="S51" s="4">
        <v>35</v>
      </c>
      <c r="T51" s="4">
        <v>9</v>
      </c>
      <c r="U51" s="4">
        <v>44</v>
      </c>
      <c r="V51" s="4">
        <v>0</v>
      </c>
      <c r="W51" s="4">
        <v>71</v>
      </c>
      <c r="X51" s="4">
        <v>108</v>
      </c>
      <c r="Y51" s="4">
        <v>106</v>
      </c>
      <c r="Z51" s="4">
        <v>7</v>
      </c>
      <c r="AA51" s="4">
        <v>32</v>
      </c>
      <c r="AB51" s="4">
        <v>2</v>
      </c>
      <c r="AC51" s="4">
        <v>11</v>
      </c>
      <c r="AD51" s="4">
        <v>2</v>
      </c>
      <c r="AE51" s="4">
        <v>3</v>
      </c>
      <c r="AF51" s="4">
        <v>194</v>
      </c>
      <c r="AG51" s="4">
        <v>348</v>
      </c>
      <c r="AH51" s="4">
        <v>70</v>
      </c>
      <c r="AI51" s="4">
        <v>52625</v>
      </c>
      <c r="AJ51" s="4">
        <v>5</v>
      </c>
      <c r="AK51" s="4">
        <v>47173</v>
      </c>
      <c r="AL51" s="4">
        <v>0</v>
      </c>
      <c r="AM51" s="4">
        <v>1.2800000000000001E-2</v>
      </c>
      <c r="AN51" s="4">
        <v>83722</v>
      </c>
      <c r="AO51" s="4">
        <v>1.02</v>
      </c>
      <c r="AP51" s="4">
        <v>0</v>
      </c>
      <c r="AQ51" s="4">
        <v>84</v>
      </c>
      <c r="AR51" s="4">
        <v>570</v>
      </c>
      <c r="AS51" s="4">
        <v>3431</v>
      </c>
      <c r="AT51" s="4">
        <v>9</v>
      </c>
      <c r="AU51" s="4">
        <v>55</v>
      </c>
      <c r="AV51" s="4">
        <v>44</v>
      </c>
      <c r="AW51" s="4">
        <v>23</v>
      </c>
      <c r="AX51" s="4">
        <v>28</v>
      </c>
      <c r="AY51" s="1"/>
      <c r="AZ51" s="1"/>
    </row>
    <row r="52" spans="1:52" ht="15.6">
      <c r="A52" s="1" t="s">
        <v>124</v>
      </c>
      <c r="B52" s="1" t="s">
        <v>443</v>
      </c>
      <c r="C52" s="1" t="s">
        <v>149</v>
      </c>
      <c r="D52" s="1" t="s">
        <v>517</v>
      </c>
      <c r="E52" s="1" t="s">
        <v>524</v>
      </c>
      <c r="F52" s="48">
        <v>44635</v>
      </c>
      <c r="G52" s="1" t="s">
        <v>124</v>
      </c>
      <c r="H52" s="4">
        <v>0</v>
      </c>
      <c r="I52" s="4">
        <v>0</v>
      </c>
      <c r="J52" s="4">
        <v>0</v>
      </c>
      <c r="K52" s="4">
        <v>0</v>
      </c>
      <c r="L52" s="4">
        <v>117</v>
      </c>
      <c r="M52" s="4">
        <v>0</v>
      </c>
      <c r="N52" s="4">
        <v>0</v>
      </c>
      <c r="O52" s="4">
        <v>117</v>
      </c>
      <c r="P52" s="4">
        <v>117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128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38000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117</v>
      </c>
      <c r="AY52" s="104">
        <v>45754</v>
      </c>
      <c r="AZ52" s="104"/>
    </row>
    <row r="53" spans="1:52" ht="15.6">
      <c r="A53" s="1" t="s">
        <v>201</v>
      </c>
      <c r="B53" s="1" t="s">
        <v>469</v>
      </c>
      <c r="C53" s="1" t="s">
        <v>150</v>
      </c>
      <c r="D53" s="1" t="s">
        <v>470</v>
      </c>
      <c r="E53" s="1" t="s">
        <v>525</v>
      </c>
      <c r="F53" s="48">
        <v>44662</v>
      </c>
      <c r="G53" s="1" t="s">
        <v>110</v>
      </c>
      <c r="H53" s="4">
        <v>300000</v>
      </c>
      <c r="I53" s="4">
        <v>4899999</v>
      </c>
      <c r="J53" s="4">
        <v>3193258.99</v>
      </c>
      <c r="K53" s="4">
        <v>0</v>
      </c>
      <c r="L53" s="4">
        <v>53</v>
      </c>
      <c r="M53" s="4">
        <v>49</v>
      </c>
      <c r="N53" s="4">
        <v>6</v>
      </c>
      <c r="O53" s="4">
        <v>59</v>
      </c>
      <c r="P53" s="4">
        <v>10</v>
      </c>
      <c r="Q53" s="4">
        <v>2918364.6</v>
      </c>
      <c r="R53" s="4">
        <v>274894.39</v>
      </c>
      <c r="S53" s="4">
        <v>27</v>
      </c>
      <c r="T53" s="4">
        <v>6</v>
      </c>
      <c r="U53" s="4">
        <v>33</v>
      </c>
      <c r="V53" s="4">
        <v>0</v>
      </c>
      <c r="W53" s="4">
        <v>95</v>
      </c>
      <c r="X53" s="4">
        <v>127</v>
      </c>
      <c r="Y53" s="4">
        <v>400</v>
      </c>
      <c r="Z53" s="4">
        <v>1</v>
      </c>
      <c r="AA53" s="4">
        <v>21</v>
      </c>
      <c r="AB53" s="4">
        <v>0</v>
      </c>
      <c r="AC53" s="4">
        <v>0</v>
      </c>
      <c r="AD53" s="4">
        <v>2</v>
      </c>
      <c r="AE53" s="4">
        <v>5</v>
      </c>
      <c r="AF53" s="4">
        <v>216</v>
      </c>
      <c r="AG53" s="4">
        <v>369</v>
      </c>
      <c r="AH53" s="4">
        <v>75</v>
      </c>
      <c r="AI53" s="4">
        <v>42577</v>
      </c>
      <c r="AJ53" s="4">
        <v>5</v>
      </c>
      <c r="AK53" s="4">
        <v>33718</v>
      </c>
      <c r="AL53" s="4">
        <v>0</v>
      </c>
      <c r="AM53" s="4">
        <v>1.06E-2</v>
      </c>
      <c r="AN53" s="4">
        <v>96765</v>
      </c>
      <c r="AO53" s="4">
        <v>0.65</v>
      </c>
      <c r="AP53" s="4">
        <v>0</v>
      </c>
      <c r="AQ53" s="4">
        <v>56</v>
      </c>
      <c r="AR53" s="4">
        <v>597</v>
      </c>
      <c r="AS53" s="4">
        <v>4697.3599999999997</v>
      </c>
      <c r="AT53" s="4">
        <v>6</v>
      </c>
      <c r="AU53" s="4">
        <v>96</v>
      </c>
      <c r="AV53" s="4">
        <v>33</v>
      </c>
      <c r="AW53" s="4">
        <v>16</v>
      </c>
      <c r="AX53" s="4">
        <v>10</v>
      </c>
      <c r="AY53" s="1"/>
      <c r="AZ53" s="1"/>
    </row>
    <row r="54" spans="1:52" ht="15.6">
      <c r="A54" s="1" t="s">
        <v>154</v>
      </c>
      <c r="B54" s="1" t="s">
        <v>370</v>
      </c>
      <c r="C54" s="1" t="s">
        <v>151</v>
      </c>
      <c r="D54" s="1" t="s">
        <v>542</v>
      </c>
      <c r="E54" s="1" t="s">
        <v>640</v>
      </c>
      <c r="F54" s="108">
        <v>45778</v>
      </c>
      <c r="G54" s="1" t="s">
        <v>196</v>
      </c>
      <c r="H54" s="4">
        <v>0</v>
      </c>
      <c r="I54" s="4">
        <v>0</v>
      </c>
      <c r="J54" s="4">
        <v>0</v>
      </c>
      <c r="K54" s="4">
        <v>0</v>
      </c>
      <c r="L54" s="4">
        <v>58</v>
      </c>
      <c r="M54" s="4">
        <v>0</v>
      </c>
      <c r="N54" s="4">
        <v>0</v>
      </c>
      <c r="O54" s="4">
        <v>58</v>
      </c>
      <c r="P54" s="4">
        <v>58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99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50860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58</v>
      </c>
      <c r="AY54" s="48">
        <v>45899</v>
      </c>
      <c r="AZ54" s="48"/>
    </row>
    <row r="55" spans="1:52" ht="15.6">
      <c r="A55" s="1" t="s">
        <v>136</v>
      </c>
      <c r="B55" s="1" t="s">
        <v>653</v>
      </c>
      <c r="C55" s="1" t="s">
        <v>152</v>
      </c>
      <c r="D55" s="1" t="s">
        <v>421</v>
      </c>
      <c r="E55" s="1" t="s">
        <v>526</v>
      </c>
      <c r="F55" s="108">
        <v>44684</v>
      </c>
      <c r="G55" s="1" t="s">
        <v>136</v>
      </c>
      <c r="H55" s="4">
        <v>999999</v>
      </c>
      <c r="I55" s="4">
        <v>6000000</v>
      </c>
      <c r="J55" s="4">
        <v>3385317.87</v>
      </c>
      <c r="K55" s="4">
        <v>448818.22</v>
      </c>
      <c r="L55" s="4">
        <v>30</v>
      </c>
      <c r="M55" s="4">
        <v>0</v>
      </c>
      <c r="N55" s="4">
        <v>0</v>
      </c>
      <c r="O55" s="4">
        <v>30</v>
      </c>
      <c r="P55" s="4">
        <v>30</v>
      </c>
      <c r="Q55" s="4">
        <v>3385317.87</v>
      </c>
      <c r="R55" s="4">
        <v>0</v>
      </c>
      <c r="S55" s="4">
        <v>12</v>
      </c>
      <c r="T55" s="4">
        <v>0</v>
      </c>
      <c r="U55" s="4">
        <v>12</v>
      </c>
      <c r="V55" s="4">
        <v>1</v>
      </c>
      <c r="W55" s="4">
        <v>0</v>
      </c>
      <c r="X55" s="4">
        <v>0</v>
      </c>
      <c r="Y55" s="4">
        <v>106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34394</v>
      </c>
      <c r="AL55" s="4">
        <v>0</v>
      </c>
      <c r="AM55" s="4">
        <v>1.0200000000000001E-2</v>
      </c>
      <c r="AN55" s="4">
        <v>282110</v>
      </c>
      <c r="AO55" s="4">
        <v>0.56000000000000005</v>
      </c>
      <c r="AP55" s="4">
        <v>0.45</v>
      </c>
      <c r="AQ55" s="4">
        <v>23</v>
      </c>
      <c r="AR55" s="4">
        <v>0</v>
      </c>
      <c r="AS55" s="4">
        <v>0</v>
      </c>
      <c r="AT55" s="4">
        <v>0</v>
      </c>
      <c r="AU55" s="4">
        <v>0</v>
      </c>
      <c r="AV55" s="4">
        <v>12</v>
      </c>
      <c r="AW55" s="4">
        <v>0</v>
      </c>
      <c r="AX55" s="4">
        <v>18</v>
      </c>
      <c r="AY55" s="1"/>
      <c r="AZ55" s="1"/>
    </row>
    <row r="56" spans="1:52" ht="15.6">
      <c r="A56" s="1" t="s">
        <v>124</v>
      </c>
      <c r="B56" s="1" t="s">
        <v>443</v>
      </c>
      <c r="C56" s="1" t="s">
        <v>153</v>
      </c>
      <c r="D56" s="1" t="s">
        <v>517</v>
      </c>
      <c r="E56" s="1" t="s">
        <v>527</v>
      </c>
      <c r="F56" s="115">
        <v>44697</v>
      </c>
      <c r="G56" s="1" t="s">
        <v>142</v>
      </c>
      <c r="H56" s="4">
        <v>0</v>
      </c>
      <c r="I56" s="4">
        <v>3600000</v>
      </c>
      <c r="J56" s="4">
        <v>1927790.69</v>
      </c>
      <c r="K56" s="4">
        <v>0</v>
      </c>
      <c r="L56" s="4">
        <v>80</v>
      </c>
      <c r="M56" s="4">
        <v>49</v>
      </c>
      <c r="N56" s="4">
        <v>0</v>
      </c>
      <c r="O56" s="4">
        <v>80</v>
      </c>
      <c r="P56" s="4">
        <v>31</v>
      </c>
      <c r="Q56" s="4">
        <v>1927790.69</v>
      </c>
      <c r="R56" s="4">
        <v>0</v>
      </c>
      <c r="S56" s="4">
        <v>21</v>
      </c>
      <c r="T56" s="4">
        <v>0</v>
      </c>
      <c r="U56" s="4">
        <v>21</v>
      </c>
      <c r="V56" s="4">
        <v>0</v>
      </c>
      <c r="W56" s="4">
        <v>2</v>
      </c>
      <c r="X56" s="4">
        <v>2</v>
      </c>
      <c r="Y56" s="4">
        <v>294</v>
      </c>
      <c r="Z56" s="4">
        <v>3</v>
      </c>
      <c r="AA56" s="4">
        <v>5</v>
      </c>
      <c r="AB56" s="4">
        <v>0</v>
      </c>
      <c r="AC56" s="4">
        <v>0</v>
      </c>
      <c r="AD56" s="4">
        <v>0</v>
      </c>
      <c r="AE56" s="4">
        <v>0</v>
      </c>
      <c r="AF56" s="4">
        <v>262</v>
      </c>
      <c r="AG56" s="4">
        <v>269</v>
      </c>
      <c r="AH56" s="4">
        <v>65</v>
      </c>
      <c r="AI56" s="4">
        <v>29658</v>
      </c>
      <c r="AJ56" s="4">
        <v>4</v>
      </c>
      <c r="AK56" s="4">
        <v>36720</v>
      </c>
      <c r="AL56" s="4">
        <v>0</v>
      </c>
      <c r="AM56" s="4">
        <v>1.9E-2</v>
      </c>
      <c r="AN56" s="4">
        <v>91800</v>
      </c>
      <c r="AO56" s="4">
        <v>0.54</v>
      </c>
      <c r="AP56" s="4">
        <v>0</v>
      </c>
      <c r="AQ56" s="4">
        <v>81</v>
      </c>
      <c r="AR56" s="4">
        <v>564</v>
      </c>
      <c r="AS56" s="4">
        <v>4065.54</v>
      </c>
      <c r="AT56" s="4">
        <v>0</v>
      </c>
      <c r="AU56" s="4">
        <v>83</v>
      </c>
      <c r="AV56" s="4">
        <v>21</v>
      </c>
      <c r="AW56" s="4">
        <v>28</v>
      </c>
      <c r="AX56" s="4">
        <v>31</v>
      </c>
      <c r="AY56" s="1"/>
      <c r="AZ56" s="1"/>
    </row>
    <row r="57" spans="1:52" ht="15.6">
      <c r="A57" s="1" t="s">
        <v>108</v>
      </c>
      <c r="B57" s="1" t="s">
        <v>465</v>
      </c>
      <c r="C57" s="1" t="s">
        <v>156</v>
      </c>
      <c r="D57" s="1" t="s">
        <v>506</v>
      </c>
      <c r="E57" s="1" t="s">
        <v>461</v>
      </c>
      <c r="F57" s="115">
        <v>44693</v>
      </c>
      <c r="G57" s="1" t="s">
        <v>317</v>
      </c>
      <c r="H57" s="4">
        <v>0</v>
      </c>
      <c r="I57" s="4">
        <v>4000000</v>
      </c>
      <c r="J57" s="4">
        <v>3116045.99</v>
      </c>
      <c r="K57" s="4">
        <v>0</v>
      </c>
      <c r="L57" s="4">
        <v>74</v>
      </c>
      <c r="M57" s="4">
        <v>44</v>
      </c>
      <c r="N57" s="4">
        <v>2</v>
      </c>
      <c r="O57" s="4">
        <v>76</v>
      </c>
      <c r="P57" s="4">
        <v>32</v>
      </c>
      <c r="Q57" s="4">
        <v>3033839.99</v>
      </c>
      <c r="R57" s="4">
        <v>82206</v>
      </c>
      <c r="S57" s="4">
        <v>26</v>
      </c>
      <c r="T57" s="4">
        <v>1</v>
      </c>
      <c r="U57" s="4">
        <v>27</v>
      </c>
      <c r="V57" s="4">
        <v>0</v>
      </c>
      <c r="W57" s="4">
        <v>10</v>
      </c>
      <c r="X57" s="4">
        <v>11</v>
      </c>
      <c r="Y57" s="4">
        <v>39</v>
      </c>
      <c r="Z57" s="4">
        <v>1</v>
      </c>
      <c r="AA57" s="4">
        <v>6</v>
      </c>
      <c r="AB57" s="4">
        <v>0</v>
      </c>
      <c r="AC57" s="4">
        <v>0</v>
      </c>
      <c r="AD57" s="4">
        <v>0</v>
      </c>
      <c r="AE57" s="4">
        <v>0</v>
      </c>
      <c r="AF57" s="4">
        <v>324</v>
      </c>
      <c r="AG57" s="4">
        <v>341</v>
      </c>
      <c r="AH57" s="4">
        <v>72</v>
      </c>
      <c r="AI57" s="4">
        <v>43278</v>
      </c>
      <c r="AJ57" s="4">
        <v>5</v>
      </c>
      <c r="AK57" s="4">
        <v>34025</v>
      </c>
      <c r="AL57" s="4">
        <v>0</v>
      </c>
      <c r="AM57" s="4">
        <v>1.09E-2</v>
      </c>
      <c r="AN57" s="4">
        <v>115409</v>
      </c>
      <c r="AO57" s="4">
        <v>0.78</v>
      </c>
      <c r="AP57" s="4">
        <v>0</v>
      </c>
      <c r="AQ57" s="4">
        <v>67</v>
      </c>
      <c r="AR57" s="4">
        <v>709</v>
      </c>
      <c r="AS57" s="4">
        <v>2983.39</v>
      </c>
      <c r="AT57" s="4">
        <v>1</v>
      </c>
      <c r="AU57" s="4">
        <v>68</v>
      </c>
      <c r="AV57" s="4">
        <v>27</v>
      </c>
      <c r="AW57" s="4">
        <v>18</v>
      </c>
      <c r="AX57" s="4">
        <v>31</v>
      </c>
      <c r="AY57" s="1"/>
      <c r="AZ57" s="1"/>
    </row>
    <row r="58" spans="1:52" ht="15.6">
      <c r="A58" s="1" t="s">
        <v>118</v>
      </c>
      <c r="B58" s="1" t="s">
        <v>375</v>
      </c>
      <c r="C58" s="1" t="s">
        <v>157</v>
      </c>
      <c r="D58" s="1" t="s">
        <v>473</v>
      </c>
      <c r="E58" s="1" t="s">
        <v>502</v>
      </c>
      <c r="F58" s="104">
        <v>44743</v>
      </c>
      <c r="G58" s="1" t="s">
        <v>119</v>
      </c>
      <c r="H58" s="4">
        <v>0</v>
      </c>
      <c r="I58" s="4">
        <v>3600000</v>
      </c>
      <c r="J58" s="4">
        <v>913340.63</v>
      </c>
      <c r="K58" s="4">
        <v>0</v>
      </c>
      <c r="L58" s="4">
        <v>76</v>
      </c>
      <c r="M58" s="4">
        <v>69</v>
      </c>
      <c r="N58" s="4">
        <v>0</v>
      </c>
      <c r="O58" s="4">
        <v>76</v>
      </c>
      <c r="P58" s="4">
        <v>7</v>
      </c>
      <c r="Q58" s="4">
        <v>913340.63</v>
      </c>
      <c r="R58" s="4">
        <v>0</v>
      </c>
      <c r="S58" s="4">
        <v>27</v>
      </c>
      <c r="T58" s="4">
        <v>0</v>
      </c>
      <c r="U58" s="4">
        <v>27</v>
      </c>
      <c r="V58" s="4">
        <v>0</v>
      </c>
      <c r="W58" s="4">
        <v>15</v>
      </c>
      <c r="X58" s="4">
        <v>42</v>
      </c>
      <c r="Y58" s="4">
        <v>158</v>
      </c>
      <c r="Z58" s="4">
        <v>1</v>
      </c>
      <c r="AA58" s="4">
        <v>5</v>
      </c>
      <c r="AB58" s="4">
        <v>0</v>
      </c>
      <c r="AC58" s="4">
        <v>0</v>
      </c>
      <c r="AD58" s="4">
        <v>0</v>
      </c>
      <c r="AE58" s="4">
        <v>0</v>
      </c>
      <c r="AF58" s="4">
        <v>327</v>
      </c>
      <c r="AG58" s="4">
        <v>374</v>
      </c>
      <c r="AH58" s="4">
        <v>75</v>
      </c>
      <c r="AI58" s="4">
        <v>12178</v>
      </c>
      <c r="AJ58" s="4">
        <v>5</v>
      </c>
      <c r="AK58" s="4">
        <v>30425</v>
      </c>
      <c r="AL58" s="4">
        <v>0</v>
      </c>
      <c r="AM58" s="4">
        <v>3.3300000000000003E-2</v>
      </c>
      <c r="AN58" s="4">
        <v>33827</v>
      </c>
      <c r="AO58" s="4">
        <v>0.25</v>
      </c>
      <c r="AP58" s="4">
        <v>0</v>
      </c>
      <c r="AQ58" s="4">
        <v>46</v>
      </c>
      <c r="AR58" s="4">
        <v>895</v>
      </c>
      <c r="AS58" s="4">
        <v>5303.26</v>
      </c>
      <c r="AT58" s="4">
        <v>0</v>
      </c>
      <c r="AU58" s="4">
        <v>77</v>
      </c>
      <c r="AV58" s="4">
        <v>27</v>
      </c>
      <c r="AW58" s="4">
        <v>43</v>
      </c>
      <c r="AX58" s="4">
        <v>6</v>
      </c>
      <c r="AY58" s="1"/>
      <c r="AZ58" s="1"/>
    </row>
    <row r="59" spans="1:52" ht="15.6">
      <c r="A59" s="1" t="s">
        <v>117</v>
      </c>
      <c r="B59" s="1" t="s">
        <v>450</v>
      </c>
      <c r="C59" s="1" t="s">
        <v>158</v>
      </c>
      <c r="D59" s="1" t="s">
        <v>482</v>
      </c>
      <c r="E59" s="1" t="s">
        <v>628</v>
      </c>
      <c r="F59" s="48">
        <v>45638</v>
      </c>
      <c r="G59" s="1" t="s">
        <v>117</v>
      </c>
      <c r="H59" s="4">
        <v>0</v>
      </c>
      <c r="I59" s="4">
        <v>3125001</v>
      </c>
      <c r="J59" s="4">
        <v>0</v>
      </c>
      <c r="K59" s="4">
        <v>0</v>
      </c>
      <c r="L59" s="4">
        <v>97</v>
      </c>
      <c r="M59" s="4">
        <v>2</v>
      </c>
      <c r="N59" s="4">
        <v>0</v>
      </c>
      <c r="O59" s="4">
        <v>97</v>
      </c>
      <c r="P59" s="4">
        <v>95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76</v>
      </c>
      <c r="X59" s="4">
        <v>136</v>
      </c>
      <c r="Y59" s="4">
        <v>214</v>
      </c>
      <c r="Z59" s="4">
        <v>2</v>
      </c>
      <c r="AA59" s="4">
        <v>45</v>
      </c>
      <c r="AB59" s="4">
        <v>0</v>
      </c>
      <c r="AC59" s="4">
        <v>0</v>
      </c>
      <c r="AD59" s="4">
        <v>0</v>
      </c>
      <c r="AE59" s="4">
        <v>0</v>
      </c>
      <c r="AF59" s="4">
        <v>3</v>
      </c>
      <c r="AG59" s="4">
        <v>184</v>
      </c>
      <c r="AH59" s="4">
        <v>66</v>
      </c>
      <c r="AI59" s="4">
        <v>0</v>
      </c>
      <c r="AJ59" s="4">
        <v>3</v>
      </c>
      <c r="AK59" s="4">
        <v>47720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696</v>
      </c>
      <c r="AS59" s="4">
        <v>1585.37</v>
      </c>
      <c r="AT59" s="4">
        <v>0</v>
      </c>
      <c r="AU59" s="4">
        <v>793</v>
      </c>
      <c r="AV59" s="4">
        <v>0</v>
      </c>
      <c r="AW59" s="4">
        <v>2</v>
      </c>
      <c r="AX59" s="4">
        <v>95</v>
      </c>
      <c r="AY59" s="1"/>
      <c r="AZ59" s="1"/>
    </row>
    <row r="60" spans="1:52" ht="15.6">
      <c r="A60" s="1" t="s">
        <v>201</v>
      </c>
      <c r="B60" s="1" t="s">
        <v>469</v>
      </c>
      <c r="C60" s="1" t="s">
        <v>159</v>
      </c>
      <c r="D60" s="1" t="s">
        <v>470</v>
      </c>
      <c r="E60" s="1" t="s">
        <v>528</v>
      </c>
      <c r="F60" s="104">
        <v>44805</v>
      </c>
      <c r="G60" s="1" t="s">
        <v>110</v>
      </c>
      <c r="H60" s="4">
        <v>0</v>
      </c>
      <c r="I60" s="4">
        <v>0</v>
      </c>
      <c r="J60" s="4">
        <v>0</v>
      </c>
      <c r="K60" s="4">
        <v>0</v>
      </c>
      <c r="L60" s="4">
        <v>78</v>
      </c>
      <c r="M60" s="4">
        <v>0</v>
      </c>
      <c r="N60" s="4">
        <v>10</v>
      </c>
      <c r="O60" s="4">
        <v>88</v>
      </c>
      <c r="P60" s="4">
        <v>88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378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31260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88</v>
      </c>
      <c r="AY60" s="48">
        <v>45913</v>
      </c>
      <c r="AZ60" s="48"/>
    </row>
    <row r="61" spans="1:52" ht="15.6">
      <c r="A61" s="1" t="s">
        <v>120</v>
      </c>
      <c r="B61" s="1" t="s">
        <v>206</v>
      </c>
      <c r="C61" s="1" t="s">
        <v>139</v>
      </c>
      <c r="D61" s="1" t="s">
        <v>206</v>
      </c>
      <c r="E61" s="1" t="s">
        <v>141</v>
      </c>
      <c r="F61" s="104">
        <v>44809</v>
      </c>
      <c r="G61" s="1" t="s">
        <v>120</v>
      </c>
      <c r="H61" s="4">
        <v>0</v>
      </c>
      <c r="I61" s="4">
        <v>5400000</v>
      </c>
      <c r="J61" s="4">
        <v>5127304.5999999996</v>
      </c>
      <c r="K61" s="4">
        <v>0</v>
      </c>
      <c r="L61" s="4">
        <v>100</v>
      </c>
      <c r="M61" s="4">
        <v>80</v>
      </c>
      <c r="N61" s="4">
        <v>2</v>
      </c>
      <c r="O61" s="4">
        <v>102</v>
      </c>
      <c r="P61" s="4">
        <v>22</v>
      </c>
      <c r="Q61" s="4">
        <v>4994398.2</v>
      </c>
      <c r="R61" s="4">
        <v>132906.4</v>
      </c>
      <c r="S61" s="4">
        <v>66</v>
      </c>
      <c r="T61" s="4">
        <v>2</v>
      </c>
      <c r="U61" s="4">
        <v>68</v>
      </c>
      <c r="V61" s="4">
        <v>0</v>
      </c>
      <c r="W61" s="4">
        <v>15</v>
      </c>
      <c r="X61" s="4">
        <v>27</v>
      </c>
      <c r="Y61" s="4">
        <v>200</v>
      </c>
      <c r="Z61" s="4">
        <v>6</v>
      </c>
      <c r="AA61" s="4">
        <v>58</v>
      </c>
      <c r="AB61" s="4">
        <v>0</v>
      </c>
      <c r="AC61" s="4">
        <v>0</v>
      </c>
      <c r="AD61" s="4">
        <v>0</v>
      </c>
      <c r="AE61" s="4">
        <v>0</v>
      </c>
      <c r="AF61" s="4">
        <v>363</v>
      </c>
      <c r="AG61" s="4">
        <v>448</v>
      </c>
      <c r="AH61" s="4">
        <v>72</v>
      </c>
      <c r="AI61" s="4">
        <v>71213</v>
      </c>
      <c r="AJ61" s="4">
        <v>6</v>
      </c>
      <c r="AK61" s="4">
        <v>33717</v>
      </c>
      <c r="AL61" s="4">
        <v>0</v>
      </c>
      <c r="AM61" s="4">
        <v>6.6E-3</v>
      </c>
      <c r="AN61" s="4">
        <v>75402</v>
      </c>
      <c r="AO61" s="4">
        <v>0.95</v>
      </c>
      <c r="AP61" s="4">
        <v>0</v>
      </c>
      <c r="AQ61" s="4">
        <v>260</v>
      </c>
      <c r="AR61" s="4">
        <v>690</v>
      </c>
      <c r="AS61" s="4">
        <v>2735.98</v>
      </c>
      <c r="AT61" s="4">
        <v>2</v>
      </c>
      <c r="AU61" s="4">
        <v>34</v>
      </c>
      <c r="AV61" s="4">
        <v>68</v>
      </c>
      <c r="AW61" s="4">
        <v>17</v>
      </c>
      <c r="AX61" s="4">
        <v>17</v>
      </c>
      <c r="AY61" s="1"/>
      <c r="AZ61" s="1"/>
    </row>
    <row r="62" spans="1:52" ht="15.6">
      <c r="A62" s="1" t="s">
        <v>124</v>
      </c>
      <c r="B62" s="1" t="s">
        <v>443</v>
      </c>
      <c r="C62" s="1" t="s">
        <v>162</v>
      </c>
      <c r="D62" s="1" t="s">
        <v>517</v>
      </c>
      <c r="E62" s="1" t="s">
        <v>503</v>
      </c>
      <c r="F62" s="48">
        <v>44825</v>
      </c>
      <c r="G62" s="1" t="s">
        <v>124</v>
      </c>
      <c r="H62" s="4">
        <v>0</v>
      </c>
      <c r="I62" s="4">
        <v>5400000</v>
      </c>
      <c r="J62" s="4">
        <v>3573922.16</v>
      </c>
      <c r="K62" s="4">
        <v>0</v>
      </c>
      <c r="L62" s="4">
        <v>96</v>
      </c>
      <c r="M62" s="4">
        <v>87</v>
      </c>
      <c r="N62" s="4">
        <v>4</v>
      </c>
      <c r="O62" s="4">
        <v>100</v>
      </c>
      <c r="P62" s="4">
        <v>13</v>
      </c>
      <c r="Q62" s="4">
        <v>3456950.96</v>
      </c>
      <c r="R62" s="4">
        <v>116971.2</v>
      </c>
      <c r="S62" s="4">
        <v>40</v>
      </c>
      <c r="T62" s="4">
        <v>3</v>
      </c>
      <c r="U62" s="4">
        <v>43</v>
      </c>
      <c r="V62" s="4">
        <v>0</v>
      </c>
      <c r="W62" s="4">
        <v>23</v>
      </c>
      <c r="X62" s="4">
        <v>31</v>
      </c>
      <c r="Y62" s="4">
        <v>154</v>
      </c>
      <c r="Z62" s="4">
        <v>1</v>
      </c>
      <c r="AA62" s="4">
        <v>21</v>
      </c>
      <c r="AB62" s="4">
        <v>0</v>
      </c>
      <c r="AC62" s="4">
        <v>0</v>
      </c>
      <c r="AD62" s="4">
        <v>0</v>
      </c>
      <c r="AE62" s="4">
        <v>0</v>
      </c>
      <c r="AF62" s="4">
        <v>357</v>
      </c>
      <c r="AG62" s="4">
        <v>409</v>
      </c>
      <c r="AH62" s="4">
        <v>74</v>
      </c>
      <c r="AI62" s="4">
        <v>48296</v>
      </c>
      <c r="AJ62" s="4">
        <v>6</v>
      </c>
      <c r="AK62" s="4">
        <v>45000</v>
      </c>
      <c r="AL62" s="4">
        <v>0</v>
      </c>
      <c r="AM62" s="4">
        <v>1.26E-2</v>
      </c>
      <c r="AN62" s="4">
        <v>83114</v>
      </c>
      <c r="AO62" s="4">
        <v>0.66</v>
      </c>
      <c r="AP62" s="4">
        <v>0</v>
      </c>
      <c r="AQ62" s="4">
        <v>115</v>
      </c>
      <c r="AR62" s="4">
        <v>754</v>
      </c>
      <c r="AS62" s="4">
        <v>5549.01</v>
      </c>
      <c r="AT62" s="4">
        <v>3</v>
      </c>
      <c r="AU62" s="4">
        <v>64</v>
      </c>
      <c r="AV62" s="4">
        <v>43</v>
      </c>
      <c r="AW62" s="4">
        <v>46</v>
      </c>
      <c r="AX62" s="4">
        <v>11</v>
      </c>
      <c r="AY62" s="1"/>
      <c r="AZ62" s="1"/>
    </row>
    <row r="63" spans="1:52" ht="15.6">
      <c r="A63" s="1" t="s">
        <v>201</v>
      </c>
      <c r="B63" s="1" t="s">
        <v>431</v>
      </c>
      <c r="C63" s="1" t="s">
        <v>164</v>
      </c>
      <c r="D63" s="1" t="s">
        <v>431</v>
      </c>
      <c r="E63" s="1" t="s">
        <v>531</v>
      </c>
      <c r="F63" s="48">
        <v>44911</v>
      </c>
      <c r="G63" s="1"/>
      <c r="H63" s="4">
        <v>0</v>
      </c>
      <c r="I63" s="4">
        <v>5000001</v>
      </c>
      <c r="J63" s="4">
        <v>5488494.7599999998</v>
      </c>
      <c r="K63" s="4">
        <v>0</v>
      </c>
      <c r="L63" s="4">
        <v>242</v>
      </c>
      <c r="M63" s="4">
        <v>158</v>
      </c>
      <c r="N63" s="4">
        <v>17</v>
      </c>
      <c r="O63" s="4">
        <v>259</v>
      </c>
      <c r="P63" s="4">
        <v>101</v>
      </c>
      <c r="Q63" s="4">
        <v>4634579.7</v>
      </c>
      <c r="R63" s="4">
        <v>853915.06</v>
      </c>
      <c r="S63" s="4">
        <v>137</v>
      </c>
      <c r="T63" s="4">
        <v>17</v>
      </c>
      <c r="U63" s="4">
        <v>154</v>
      </c>
      <c r="V63" s="4">
        <v>0</v>
      </c>
      <c r="W63" s="4">
        <v>16</v>
      </c>
      <c r="X63" s="4">
        <v>19</v>
      </c>
      <c r="Y63" s="4">
        <v>152</v>
      </c>
      <c r="Z63" s="4">
        <v>2</v>
      </c>
      <c r="AA63" s="4">
        <v>46</v>
      </c>
      <c r="AB63" s="4">
        <v>0</v>
      </c>
      <c r="AC63" s="4">
        <v>0</v>
      </c>
      <c r="AD63" s="4">
        <v>0</v>
      </c>
      <c r="AE63" s="4">
        <v>0</v>
      </c>
      <c r="AF63" s="4">
        <v>456</v>
      </c>
      <c r="AG63" s="4">
        <v>521</v>
      </c>
      <c r="AH63" s="4">
        <v>74</v>
      </c>
      <c r="AI63" s="4">
        <v>74169</v>
      </c>
      <c r="AJ63" s="4">
        <v>7</v>
      </c>
      <c r="AK63" s="4">
        <v>27951</v>
      </c>
      <c r="AL63" s="4">
        <v>0</v>
      </c>
      <c r="AM63" s="4">
        <v>5.1000000000000004E-3</v>
      </c>
      <c r="AN63" s="4">
        <v>35640</v>
      </c>
      <c r="AO63" s="4">
        <v>1.1000000000000001</v>
      </c>
      <c r="AP63" s="4">
        <v>0</v>
      </c>
      <c r="AQ63" s="4">
        <v>336</v>
      </c>
      <c r="AR63" s="4">
        <v>503</v>
      </c>
      <c r="AS63" s="4">
        <v>4547.3900000000003</v>
      </c>
      <c r="AT63" s="4">
        <v>17</v>
      </c>
      <c r="AU63" s="4">
        <v>29</v>
      </c>
      <c r="AV63" s="4">
        <v>154</v>
      </c>
      <c r="AW63" s="4">
        <v>39</v>
      </c>
      <c r="AX63" s="4">
        <v>66</v>
      </c>
      <c r="AY63" s="1"/>
      <c r="AZ63" s="1"/>
    </row>
    <row r="64" spans="1:52" ht="15.6">
      <c r="A64" s="1" t="s">
        <v>117</v>
      </c>
      <c r="B64" s="1" t="s">
        <v>450</v>
      </c>
      <c r="C64" s="1" t="s">
        <v>165</v>
      </c>
      <c r="D64" s="1" t="s">
        <v>482</v>
      </c>
      <c r="E64" s="1" t="s">
        <v>532</v>
      </c>
      <c r="F64" s="104">
        <v>44928</v>
      </c>
      <c r="G64" s="1" t="s">
        <v>117</v>
      </c>
      <c r="H64" s="4">
        <v>0</v>
      </c>
      <c r="I64" s="4">
        <v>833333</v>
      </c>
      <c r="J64" s="4">
        <v>261505.03</v>
      </c>
      <c r="K64" s="4">
        <v>0</v>
      </c>
      <c r="L64" s="4">
        <v>82</v>
      </c>
      <c r="M64" s="4">
        <v>61</v>
      </c>
      <c r="N64" s="4">
        <v>2</v>
      </c>
      <c r="O64" s="4">
        <v>84</v>
      </c>
      <c r="P64" s="4">
        <v>23</v>
      </c>
      <c r="Q64" s="4">
        <v>243855.73</v>
      </c>
      <c r="R64" s="4">
        <v>17649.3</v>
      </c>
      <c r="S64" s="4">
        <v>16</v>
      </c>
      <c r="T64" s="4">
        <v>2</v>
      </c>
      <c r="U64" s="4">
        <v>18</v>
      </c>
      <c r="V64" s="4">
        <v>0</v>
      </c>
      <c r="W64" s="4">
        <v>27</v>
      </c>
      <c r="X64" s="4">
        <v>31</v>
      </c>
      <c r="Y64" s="4">
        <v>204</v>
      </c>
      <c r="Z64" s="4">
        <v>3</v>
      </c>
      <c r="AA64" s="4">
        <v>12</v>
      </c>
      <c r="AB64" s="4">
        <v>0</v>
      </c>
      <c r="AC64" s="4">
        <v>0</v>
      </c>
      <c r="AD64" s="4">
        <v>0</v>
      </c>
      <c r="AE64" s="4">
        <v>0</v>
      </c>
      <c r="AF64" s="4">
        <v>81</v>
      </c>
      <c r="AG64" s="4">
        <v>124</v>
      </c>
      <c r="AH64" s="4">
        <v>31</v>
      </c>
      <c r="AI64" s="4">
        <v>8436</v>
      </c>
      <c r="AJ64" s="4">
        <v>4</v>
      </c>
      <c r="AK64" s="4">
        <v>49500</v>
      </c>
      <c r="AL64" s="4">
        <v>0</v>
      </c>
      <c r="AM64" s="4">
        <v>0.1893</v>
      </c>
      <c r="AN64" s="4">
        <v>14528</v>
      </c>
      <c r="AO64" s="4">
        <v>0.31</v>
      </c>
      <c r="AP64" s="4">
        <v>0</v>
      </c>
      <c r="AQ64" s="4">
        <v>21</v>
      </c>
      <c r="AR64" s="4">
        <v>287</v>
      </c>
      <c r="AS64" s="4">
        <v>2112.77</v>
      </c>
      <c r="AT64" s="4">
        <v>2</v>
      </c>
      <c r="AU64" s="4">
        <v>35</v>
      </c>
      <c r="AV64" s="4">
        <v>18</v>
      </c>
      <c r="AW64" s="4">
        <v>45</v>
      </c>
      <c r="AX64" s="4">
        <v>21</v>
      </c>
      <c r="AY64" s="48">
        <v>45971</v>
      </c>
      <c r="AZ64" s="48"/>
    </row>
    <row r="65" spans="1:52" ht="15.6">
      <c r="A65" s="1" t="s">
        <v>118</v>
      </c>
      <c r="B65" s="1" t="s">
        <v>375</v>
      </c>
      <c r="C65" s="1" t="s">
        <v>166</v>
      </c>
      <c r="D65" s="1" t="s">
        <v>473</v>
      </c>
      <c r="E65" s="1" t="s">
        <v>508</v>
      </c>
      <c r="F65" s="48">
        <v>44953</v>
      </c>
      <c r="G65" s="1" t="s">
        <v>119</v>
      </c>
      <c r="H65" s="4">
        <v>0</v>
      </c>
      <c r="I65" s="4">
        <v>4200000</v>
      </c>
      <c r="J65" s="4">
        <v>1782978.1</v>
      </c>
      <c r="K65" s="4">
        <v>0</v>
      </c>
      <c r="L65" s="4">
        <v>142</v>
      </c>
      <c r="M65" s="4">
        <v>125</v>
      </c>
      <c r="N65" s="4">
        <v>0</v>
      </c>
      <c r="O65" s="4">
        <v>142</v>
      </c>
      <c r="P65" s="4">
        <v>17</v>
      </c>
      <c r="Q65" s="4">
        <v>1782978.1</v>
      </c>
      <c r="R65" s="4">
        <v>0</v>
      </c>
      <c r="S65" s="4">
        <v>79</v>
      </c>
      <c r="T65" s="4">
        <v>0</v>
      </c>
      <c r="U65" s="4">
        <v>79</v>
      </c>
      <c r="V65" s="4">
        <v>0</v>
      </c>
      <c r="W65" s="4">
        <v>2</v>
      </c>
      <c r="X65" s="4">
        <v>3</v>
      </c>
      <c r="Y65" s="4">
        <v>43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524</v>
      </c>
      <c r="AG65" s="4">
        <v>527</v>
      </c>
      <c r="AH65" s="4">
        <v>70</v>
      </c>
      <c r="AI65" s="4">
        <v>25471</v>
      </c>
      <c r="AJ65" s="4">
        <v>8</v>
      </c>
      <c r="AK65" s="4">
        <v>31778</v>
      </c>
      <c r="AL65" s="4">
        <v>0</v>
      </c>
      <c r="AM65" s="4">
        <v>1.78E-2</v>
      </c>
      <c r="AN65" s="4">
        <v>22569</v>
      </c>
      <c r="AO65" s="4">
        <v>0.42</v>
      </c>
      <c r="AP65" s="4">
        <v>0</v>
      </c>
      <c r="AQ65" s="4">
        <v>158</v>
      </c>
      <c r="AR65" s="4">
        <v>752</v>
      </c>
      <c r="AS65" s="4">
        <v>4594.75</v>
      </c>
      <c r="AT65" s="4">
        <v>0</v>
      </c>
      <c r="AU65" s="4">
        <v>37</v>
      </c>
      <c r="AV65" s="4">
        <v>79</v>
      </c>
      <c r="AW65" s="4">
        <v>46</v>
      </c>
      <c r="AX65" s="4">
        <v>17</v>
      </c>
      <c r="AY65" s="1"/>
      <c r="AZ65" s="1"/>
    </row>
    <row r="66" spans="1:52" ht="15.6">
      <c r="A66" s="1" t="s">
        <v>118</v>
      </c>
      <c r="B66" s="1" t="s">
        <v>362</v>
      </c>
      <c r="C66" s="1" t="s">
        <v>167</v>
      </c>
      <c r="D66" s="1" t="s">
        <v>419</v>
      </c>
      <c r="E66" s="1" t="s">
        <v>533</v>
      </c>
      <c r="F66" s="104">
        <v>44958</v>
      </c>
      <c r="G66" s="1" t="s">
        <v>67</v>
      </c>
      <c r="H66" s="4">
        <v>0</v>
      </c>
      <c r="I66" s="4">
        <v>12000000</v>
      </c>
      <c r="J66" s="4">
        <v>10995562.35</v>
      </c>
      <c r="K66" s="4">
        <v>0</v>
      </c>
      <c r="L66" s="4">
        <v>69</v>
      </c>
      <c r="M66" s="4">
        <v>67</v>
      </c>
      <c r="N66" s="4">
        <v>3</v>
      </c>
      <c r="O66" s="4">
        <v>72</v>
      </c>
      <c r="P66" s="4">
        <v>5</v>
      </c>
      <c r="Q66" s="4">
        <v>10708711.35</v>
      </c>
      <c r="R66" s="4">
        <v>286851</v>
      </c>
      <c r="S66" s="4">
        <v>46</v>
      </c>
      <c r="T66" s="4">
        <v>2</v>
      </c>
      <c r="U66" s="4">
        <v>48</v>
      </c>
      <c r="V66" s="4">
        <v>0</v>
      </c>
      <c r="W66" s="4">
        <v>0</v>
      </c>
      <c r="X66" s="4">
        <v>0</v>
      </c>
      <c r="Y66" s="4">
        <v>61</v>
      </c>
      <c r="Z66" s="4">
        <v>1</v>
      </c>
      <c r="AA66" s="4">
        <v>7</v>
      </c>
      <c r="AB66" s="4">
        <v>0</v>
      </c>
      <c r="AC66" s="4">
        <v>0</v>
      </c>
      <c r="AD66" s="4">
        <v>0</v>
      </c>
      <c r="AE66" s="4">
        <v>0</v>
      </c>
      <c r="AF66" s="4">
        <v>326</v>
      </c>
      <c r="AG66" s="4">
        <v>333</v>
      </c>
      <c r="AH66" s="4">
        <v>73</v>
      </c>
      <c r="AI66" s="4">
        <v>150624</v>
      </c>
      <c r="AJ66" s="4">
        <v>5</v>
      </c>
      <c r="AK66" s="4">
        <v>24116</v>
      </c>
      <c r="AL66" s="4">
        <v>0</v>
      </c>
      <c r="AM66" s="4">
        <v>2.2000000000000001E-3</v>
      </c>
      <c r="AN66" s="4">
        <v>229074</v>
      </c>
      <c r="AO66" s="4">
        <v>0.92</v>
      </c>
      <c r="AP66" s="4">
        <v>0</v>
      </c>
      <c r="AQ66" s="4">
        <v>115</v>
      </c>
      <c r="AR66" s="4">
        <v>816</v>
      </c>
      <c r="AS66" s="4">
        <v>3319.39</v>
      </c>
      <c r="AT66" s="4">
        <v>2</v>
      </c>
      <c r="AU66" s="4">
        <v>50</v>
      </c>
      <c r="AV66" s="4">
        <v>48</v>
      </c>
      <c r="AW66" s="4">
        <v>20</v>
      </c>
      <c r="AX66" s="4">
        <v>4</v>
      </c>
      <c r="AY66" s="1"/>
      <c r="AZ66" s="1"/>
    </row>
    <row r="67" spans="1:52" ht="15.6">
      <c r="A67" s="1" t="s">
        <v>154</v>
      </c>
      <c r="B67" s="1" t="s">
        <v>370</v>
      </c>
      <c r="C67" s="1" t="s">
        <v>168</v>
      </c>
      <c r="D67" s="1" t="s">
        <v>608</v>
      </c>
      <c r="E67" s="1" t="s">
        <v>609</v>
      </c>
      <c r="F67" s="48">
        <v>45488</v>
      </c>
      <c r="G67" s="1" t="s">
        <v>196</v>
      </c>
      <c r="H67" s="4">
        <v>0</v>
      </c>
      <c r="I67" s="4">
        <v>0</v>
      </c>
      <c r="J67" s="4">
        <v>0</v>
      </c>
      <c r="K67" s="4">
        <v>0</v>
      </c>
      <c r="L67" s="4">
        <v>40</v>
      </c>
      <c r="M67" s="4">
        <v>0</v>
      </c>
      <c r="N67" s="4">
        <v>0</v>
      </c>
      <c r="O67" s="4">
        <v>40</v>
      </c>
      <c r="P67" s="4">
        <v>40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655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32500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40</v>
      </c>
      <c r="AY67" s="104">
        <v>45875</v>
      </c>
      <c r="AZ67" s="104"/>
    </row>
    <row r="68" spans="1:52" ht="15.6">
      <c r="A68" s="1" t="s">
        <v>154</v>
      </c>
      <c r="B68" s="1" t="s">
        <v>370</v>
      </c>
      <c r="C68" s="1" t="s">
        <v>169</v>
      </c>
      <c r="D68" s="1" t="s">
        <v>542</v>
      </c>
      <c r="E68" s="1" t="s">
        <v>644</v>
      </c>
      <c r="F68" s="115">
        <v>45789</v>
      </c>
      <c r="G68" s="1" t="s">
        <v>196</v>
      </c>
      <c r="H68" s="4">
        <v>0</v>
      </c>
      <c r="I68" s="4">
        <v>0</v>
      </c>
      <c r="J68" s="4">
        <v>0</v>
      </c>
      <c r="K68" s="4">
        <v>0</v>
      </c>
      <c r="L68" s="4">
        <v>63</v>
      </c>
      <c r="M68" s="4">
        <v>0</v>
      </c>
      <c r="N68" s="4">
        <v>0</v>
      </c>
      <c r="O68" s="4">
        <v>63</v>
      </c>
      <c r="P68" s="4">
        <v>63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304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30400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63</v>
      </c>
      <c r="AY68" s="48">
        <v>45930</v>
      </c>
      <c r="AZ68" s="48"/>
    </row>
    <row r="69" spans="1:52" ht="15.6">
      <c r="A69" s="1" t="s">
        <v>120</v>
      </c>
      <c r="B69" s="1" t="s">
        <v>163</v>
      </c>
      <c r="C69" s="1" t="s">
        <v>170</v>
      </c>
      <c r="D69" s="1" t="s">
        <v>534</v>
      </c>
      <c r="E69" s="1" t="s">
        <v>163</v>
      </c>
      <c r="F69" s="104">
        <v>44994</v>
      </c>
      <c r="G69" s="1" t="s">
        <v>120</v>
      </c>
      <c r="H69" s="4">
        <v>600000</v>
      </c>
      <c r="I69" s="4">
        <v>4500000</v>
      </c>
      <c r="J69" s="4">
        <v>1320864.95</v>
      </c>
      <c r="K69" s="4">
        <v>383474.38</v>
      </c>
      <c r="L69" s="4">
        <v>85</v>
      </c>
      <c r="M69" s="4">
        <v>59</v>
      </c>
      <c r="N69" s="4">
        <v>0</v>
      </c>
      <c r="O69" s="4">
        <v>85</v>
      </c>
      <c r="P69" s="4">
        <v>26</v>
      </c>
      <c r="Q69" s="4">
        <v>1320864.95</v>
      </c>
      <c r="R69" s="4">
        <v>0</v>
      </c>
      <c r="S69" s="4">
        <v>28</v>
      </c>
      <c r="T69" s="4">
        <v>0</v>
      </c>
      <c r="U69" s="4">
        <v>28</v>
      </c>
      <c r="V69" s="4">
        <v>3</v>
      </c>
      <c r="W69" s="4">
        <v>5</v>
      </c>
      <c r="X69" s="4">
        <v>9</v>
      </c>
      <c r="Y69" s="4">
        <v>126</v>
      </c>
      <c r="Z69" s="4">
        <v>3</v>
      </c>
      <c r="AA69" s="4">
        <v>36</v>
      </c>
      <c r="AB69" s="4">
        <v>7</v>
      </c>
      <c r="AC69" s="4">
        <v>62</v>
      </c>
      <c r="AD69" s="4">
        <v>2</v>
      </c>
      <c r="AE69" s="4">
        <v>20</v>
      </c>
      <c r="AF69" s="4">
        <v>314</v>
      </c>
      <c r="AG69" s="4">
        <v>441</v>
      </c>
      <c r="AH69" s="4">
        <v>71</v>
      </c>
      <c r="AI69" s="4">
        <v>18604</v>
      </c>
      <c r="AJ69" s="4">
        <v>6</v>
      </c>
      <c r="AK69" s="4">
        <v>26418</v>
      </c>
      <c r="AL69" s="4">
        <v>0</v>
      </c>
      <c r="AM69" s="4">
        <v>0.02</v>
      </c>
      <c r="AN69" s="4">
        <v>47174</v>
      </c>
      <c r="AO69" s="4">
        <v>0.28999999999999998</v>
      </c>
      <c r="AP69" s="4">
        <v>0.64</v>
      </c>
      <c r="AQ69" s="4">
        <v>51</v>
      </c>
      <c r="AR69" s="4">
        <v>768</v>
      </c>
      <c r="AS69" s="4">
        <v>2856.23</v>
      </c>
      <c r="AT69" s="4">
        <v>0</v>
      </c>
      <c r="AU69" s="4">
        <v>48</v>
      </c>
      <c r="AV69" s="4">
        <v>28</v>
      </c>
      <c r="AW69" s="4">
        <v>31</v>
      </c>
      <c r="AX69" s="4">
        <v>26</v>
      </c>
      <c r="AY69" s="1"/>
      <c r="AZ69" s="1"/>
    </row>
    <row r="70" spans="1:52" ht="15.6">
      <c r="A70" s="1" t="s">
        <v>201</v>
      </c>
      <c r="B70" s="1" t="s">
        <v>431</v>
      </c>
      <c r="C70" s="1" t="s">
        <v>171</v>
      </c>
      <c r="D70" s="1" t="s">
        <v>431</v>
      </c>
      <c r="E70" s="1" t="s">
        <v>535</v>
      </c>
      <c r="F70" s="48">
        <v>45000</v>
      </c>
      <c r="G70" s="1" t="s">
        <v>121</v>
      </c>
      <c r="H70" s="4">
        <v>0</v>
      </c>
      <c r="I70" s="4">
        <v>0</v>
      </c>
      <c r="J70" s="4">
        <v>0</v>
      </c>
      <c r="K70" s="4">
        <v>0</v>
      </c>
      <c r="L70" s="4">
        <v>34</v>
      </c>
      <c r="M70" s="4">
        <v>0</v>
      </c>
      <c r="N70" s="4">
        <v>0</v>
      </c>
      <c r="O70" s="4">
        <v>34</v>
      </c>
      <c r="P70" s="4">
        <v>34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108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32669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34</v>
      </c>
      <c r="AY70" s="48">
        <v>45900</v>
      </c>
      <c r="AZ70" s="48"/>
    </row>
    <row r="71" spans="1:52" ht="15.6">
      <c r="A71" s="1" t="s">
        <v>154</v>
      </c>
      <c r="B71" s="1" t="s">
        <v>367</v>
      </c>
      <c r="C71" s="1" t="s">
        <v>172</v>
      </c>
      <c r="D71" s="1" t="s">
        <v>577</v>
      </c>
      <c r="E71" s="1" t="s">
        <v>636</v>
      </c>
      <c r="F71" s="48">
        <v>45735</v>
      </c>
      <c r="G71" s="1" t="s">
        <v>196</v>
      </c>
      <c r="H71" s="4">
        <v>0</v>
      </c>
      <c r="I71" s="4">
        <v>0</v>
      </c>
      <c r="J71" s="4">
        <v>0</v>
      </c>
      <c r="K71" s="4">
        <v>0</v>
      </c>
      <c r="L71" s="4">
        <v>32</v>
      </c>
      <c r="M71" s="4">
        <v>0</v>
      </c>
      <c r="N71" s="4">
        <v>3</v>
      </c>
      <c r="O71" s="4">
        <v>35</v>
      </c>
      <c r="P71" s="4">
        <v>35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255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25165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35</v>
      </c>
      <c r="AY71" s="48">
        <v>45853</v>
      </c>
      <c r="AZ71" s="48"/>
    </row>
    <row r="72" spans="1:52" ht="15.6">
      <c r="A72" s="1" t="s">
        <v>118</v>
      </c>
      <c r="B72" s="1" t="s">
        <v>468</v>
      </c>
      <c r="C72" s="1" t="s">
        <v>173</v>
      </c>
      <c r="D72" s="1" t="s">
        <v>509</v>
      </c>
      <c r="E72" s="1" t="s">
        <v>536</v>
      </c>
      <c r="F72" s="48">
        <v>45040</v>
      </c>
      <c r="G72" s="1" t="s">
        <v>118</v>
      </c>
      <c r="H72" s="4">
        <v>0</v>
      </c>
      <c r="I72" s="4">
        <v>4500000</v>
      </c>
      <c r="J72" s="4">
        <v>3107969.6</v>
      </c>
      <c r="K72" s="4">
        <v>0</v>
      </c>
      <c r="L72" s="4">
        <v>36</v>
      </c>
      <c r="M72" s="4">
        <v>33</v>
      </c>
      <c r="N72" s="4">
        <v>0</v>
      </c>
      <c r="O72" s="4">
        <v>36</v>
      </c>
      <c r="P72" s="4">
        <v>3</v>
      </c>
      <c r="Q72" s="4">
        <v>3107969.6</v>
      </c>
      <c r="R72" s="4">
        <v>0</v>
      </c>
      <c r="S72" s="4">
        <v>16</v>
      </c>
      <c r="T72" s="4">
        <v>0</v>
      </c>
      <c r="U72" s="4">
        <v>16</v>
      </c>
      <c r="V72" s="4">
        <v>0</v>
      </c>
      <c r="W72" s="4">
        <v>23</v>
      </c>
      <c r="X72" s="4">
        <v>39</v>
      </c>
      <c r="Y72" s="4">
        <v>94</v>
      </c>
      <c r="Z72" s="4">
        <v>1</v>
      </c>
      <c r="AA72" s="4">
        <v>3</v>
      </c>
      <c r="AB72" s="4">
        <v>0</v>
      </c>
      <c r="AC72" s="4">
        <v>0</v>
      </c>
      <c r="AD72" s="4">
        <v>0</v>
      </c>
      <c r="AE72" s="4">
        <v>0</v>
      </c>
      <c r="AF72" s="4">
        <v>406</v>
      </c>
      <c r="AG72" s="4">
        <v>448</v>
      </c>
      <c r="AH72" s="4">
        <v>75</v>
      </c>
      <c r="AI72" s="4">
        <v>41440</v>
      </c>
      <c r="AJ72" s="4">
        <v>6</v>
      </c>
      <c r="AK72" s="4">
        <v>36400</v>
      </c>
      <c r="AL72" s="4">
        <v>0</v>
      </c>
      <c r="AM72" s="4">
        <v>1.17E-2</v>
      </c>
      <c r="AN72" s="4">
        <v>194248</v>
      </c>
      <c r="AO72" s="4">
        <v>0.69</v>
      </c>
      <c r="AP72" s="4">
        <v>0</v>
      </c>
      <c r="AQ72" s="4">
        <v>37</v>
      </c>
      <c r="AR72" s="4">
        <v>605</v>
      </c>
      <c r="AS72" s="4">
        <v>4429.1499999999996</v>
      </c>
      <c r="AT72" s="4">
        <v>0</v>
      </c>
      <c r="AU72" s="4">
        <v>134</v>
      </c>
      <c r="AV72" s="4">
        <v>16</v>
      </c>
      <c r="AW72" s="4">
        <v>17</v>
      </c>
      <c r="AX72" s="4">
        <v>3</v>
      </c>
      <c r="AY72" s="1"/>
      <c r="AZ72" s="1"/>
    </row>
    <row r="73" spans="1:52" ht="15.6">
      <c r="A73" s="1" t="s">
        <v>118</v>
      </c>
      <c r="B73" s="1" t="s">
        <v>362</v>
      </c>
      <c r="C73" s="1" t="s">
        <v>174</v>
      </c>
      <c r="D73" s="1" t="s">
        <v>419</v>
      </c>
      <c r="E73" s="1" t="s">
        <v>490</v>
      </c>
      <c r="F73" s="48">
        <v>45040</v>
      </c>
      <c r="G73" s="1" t="s">
        <v>103</v>
      </c>
      <c r="H73" s="4">
        <v>0</v>
      </c>
      <c r="I73" s="4">
        <v>1500000</v>
      </c>
      <c r="J73" s="4">
        <v>0</v>
      </c>
      <c r="K73" s="4">
        <v>0</v>
      </c>
      <c r="L73" s="4">
        <v>76</v>
      </c>
      <c r="M73" s="4">
        <v>47</v>
      </c>
      <c r="N73" s="4">
        <v>0</v>
      </c>
      <c r="O73" s="4">
        <v>76</v>
      </c>
      <c r="P73" s="4">
        <v>29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51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101</v>
      </c>
      <c r="AG73" s="4">
        <v>101</v>
      </c>
      <c r="AH73" s="4">
        <v>22</v>
      </c>
      <c r="AI73" s="4">
        <v>0</v>
      </c>
      <c r="AJ73" s="4">
        <v>5</v>
      </c>
      <c r="AK73" s="4">
        <v>25690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176</v>
      </c>
      <c r="AS73" s="4">
        <v>655.23</v>
      </c>
      <c r="AT73" s="4">
        <v>0</v>
      </c>
      <c r="AU73" s="4">
        <v>14</v>
      </c>
      <c r="AV73" s="4">
        <v>0</v>
      </c>
      <c r="AW73" s="4">
        <v>47</v>
      </c>
      <c r="AX73" s="4">
        <v>29</v>
      </c>
      <c r="AY73" s="48">
        <v>45961</v>
      </c>
      <c r="AZ73" s="48"/>
    </row>
    <row r="74" spans="1:52" ht="15.6">
      <c r="A74" s="1" t="s">
        <v>124</v>
      </c>
      <c r="B74" s="1" t="s">
        <v>443</v>
      </c>
      <c r="C74" s="1" t="s">
        <v>175</v>
      </c>
      <c r="D74" s="1" t="s">
        <v>517</v>
      </c>
      <c r="E74" s="1" t="s">
        <v>518</v>
      </c>
      <c r="F74" s="108">
        <v>45047</v>
      </c>
      <c r="G74" s="1" t="s">
        <v>142</v>
      </c>
      <c r="H74" s="4">
        <v>0</v>
      </c>
      <c r="I74" s="4">
        <v>3600000</v>
      </c>
      <c r="J74" s="4">
        <v>1427990.05</v>
      </c>
      <c r="K74" s="4">
        <v>0</v>
      </c>
      <c r="L74" s="4">
        <v>116</v>
      </c>
      <c r="M74" s="4">
        <v>80</v>
      </c>
      <c r="N74" s="4">
        <v>2</v>
      </c>
      <c r="O74" s="4">
        <v>118</v>
      </c>
      <c r="P74" s="4">
        <v>38</v>
      </c>
      <c r="Q74" s="4">
        <v>1180603.3500000001</v>
      </c>
      <c r="R74" s="4">
        <v>247386.7</v>
      </c>
      <c r="S74" s="4">
        <v>55</v>
      </c>
      <c r="T74" s="4">
        <v>2</v>
      </c>
      <c r="U74" s="4">
        <v>57</v>
      </c>
      <c r="V74" s="4">
        <v>0</v>
      </c>
      <c r="W74" s="4">
        <v>2</v>
      </c>
      <c r="X74" s="4">
        <v>2</v>
      </c>
      <c r="Y74" s="4">
        <v>167</v>
      </c>
      <c r="Z74" s="4">
        <v>2</v>
      </c>
      <c r="AA74" s="4">
        <v>16</v>
      </c>
      <c r="AB74" s="4">
        <v>0</v>
      </c>
      <c r="AC74" s="4">
        <v>0</v>
      </c>
      <c r="AD74" s="4">
        <v>0</v>
      </c>
      <c r="AE74" s="4">
        <v>0</v>
      </c>
      <c r="AF74" s="4">
        <v>330</v>
      </c>
      <c r="AG74" s="4">
        <v>348</v>
      </c>
      <c r="AH74" s="4">
        <v>73</v>
      </c>
      <c r="AI74" s="4">
        <v>19562</v>
      </c>
      <c r="AJ74" s="4">
        <v>5</v>
      </c>
      <c r="AK74" s="4">
        <v>37990</v>
      </c>
      <c r="AL74" s="4">
        <v>0</v>
      </c>
      <c r="AM74" s="4">
        <v>2.6599999999999999E-2</v>
      </c>
      <c r="AN74" s="4">
        <v>25052</v>
      </c>
      <c r="AO74" s="4">
        <v>0.4</v>
      </c>
      <c r="AP74" s="4">
        <v>0</v>
      </c>
      <c r="AQ74" s="4">
        <v>130</v>
      </c>
      <c r="AR74" s="4">
        <v>717</v>
      </c>
      <c r="AS74" s="4">
        <v>3305.29</v>
      </c>
      <c r="AT74" s="4">
        <v>2</v>
      </c>
      <c r="AU74" s="4">
        <v>41</v>
      </c>
      <c r="AV74" s="4">
        <v>57</v>
      </c>
      <c r="AW74" s="4">
        <v>24</v>
      </c>
      <c r="AX74" s="4">
        <v>37</v>
      </c>
      <c r="AY74" s="1"/>
      <c r="AZ74" s="1"/>
    </row>
    <row r="75" spans="1:52" ht="15.6">
      <c r="A75" s="1" t="s">
        <v>124</v>
      </c>
      <c r="B75" s="1" t="s">
        <v>443</v>
      </c>
      <c r="C75" s="1" t="s">
        <v>176</v>
      </c>
      <c r="D75" s="1" t="s">
        <v>517</v>
      </c>
      <c r="E75" s="1" t="s">
        <v>537</v>
      </c>
      <c r="F75" s="108">
        <v>45047</v>
      </c>
      <c r="G75" s="1" t="s">
        <v>124</v>
      </c>
      <c r="H75" s="4">
        <v>0</v>
      </c>
      <c r="I75" s="4">
        <v>0</v>
      </c>
      <c r="J75" s="4">
        <v>0</v>
      </c>
      <c r="K75" s="4">
        <v>0</v>
      </c>
      <c r="L75" s="4">
        <v>36</v>
      </c>
      <c r="M75" s="4">
        <v>0</v>
      </c>
      <c r="N75" s="4">
        <v>0</v>
      </c>
      <c r="O75" s="4">
        <v>36</v>
      </c>
      <c r="P75" s="4">
        <v>36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123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37335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36</v>
      </c>
      <c r="AY75" s="108">
        <v>45785</v>
      </c>
      <c r="AZ75" s="108"/>
    </row>
    <row r="76" spans="1:52" ht="15.6">
      <c r="A76" s="1" t="s">
        <v>118</v>
      </c>
      <c r="B76" s="1" t="s">
        <v>436</v>
      </c>
      <c r="C76" s="1" t="s">
        <v>178</v>
      </c>
      <c r="D76" s="1" t="s">
        <v>499</v>
      </c>
      <c r="E76" s="1" t="s">
        <v>437</v>
      </c>
      <c r="F76" s="108">
        <v>45054</v>
      </c>
      <c r="G76" s="1" t="s">
        <v>111</v>
      </c>
      <c r="H76" s="4">
        <v>0</v>
      </c>
      <c r="I76" s="4">
        <v>0</v>
      </c>
      <c r="J76" s="4">
        <v>0</v>
      </c>
      <c r="K76" s="4">
        <v>0</v>
      </c>
      <c r="L76" s="4">
        <v>89</v>
      </c>
      <c r="M76" s="4">
        <v>0</v>
      </c>
      <c r="N76" s="4">
        <v>0</v>
      </c>
      <c r="O76" s="4">
        <v>89</v>
      </c>
      <c r="P76" s="4">
        <v>89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10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34422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89</v>
      </c>
      <c r="AY76" s="115">
        <v>45801</v>
      </c>
      <c r="AZ76" s="115"/>
    </row>
    <row r="77" spans="1:52" ht="15.6">
      <c r="A77" s="1" t="s">
        <v>118</v>
      </c>
      <c r="B77" s="1" t="s">
        <v>362</v>
      </c>
      <c r="C77" s="1" t="s">
        <v>179</v>
      </c>
      <c r="D77" s="1" t="s">
        <v>419</v>
      </c>
      <c r="E77" s="1" t="s">
        <v>538</v>
      </c>
      <c r="F77" s="108">
        <v>45047</v>
      </c>
      <c r="G77" s="1" t="s">
        <v>81</v>
      </c>
      <c r="H77" s="4">
        <v>0</v>
      </c>
      <c r="I77" s="4">
        <v>4500000</v>
      </c>
      <c r="J77" s="4">
        <v>3265536.6</v>
      </c>
      <c r="K77" s="4">
        <v>0</v>
      </c>
      <c r="L77" s="4">
        <v>50</v>
      </c>
      <c r="M77" s="4">
        <v>42</v>
      </c>
      <c r="N77" s="4">
        <v>2</v>
      </c>
      <c r="O77" s="4">
        <v>52</v>
      </c>
      <c r="P77" s="4">
        <v>10</v>
      </c>
      <c r="Q77" s="4">
        <v>3049458.6</v>
      </c>
      <c r="R77" s="4">
        <v>216078</v>
      </c>
      <c r="S77" s="4">
        <v>15</v>
      </c>
      <c r="T77" s="4">
        <v>1</v>
      </c>
      <c r="U77" s="4">
        <v>16</v>
      </c>
      <c r="V77" s="4">
        <v>0</v>
      </c>
      <c r="W77" s="4">
        <v>24</v>
      </c>
      <c r="X77" s="4">
        <v>51</v>
      </c>
      <c r="Y77" s="4">
        <v>199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404</v>
      </c>
      <c r="AG77" s="4">
        <v>455</v>
      </c>
      <c r="AH77" s="4">
        <v>74</v>
      </c>
      <c r="AI77" s="4">
        <v>44129</v>
      </c>
      <c r="AJ77" s="4">
        <v>6</v>
      </c>
      <c r="AK77" s="4">
        <v>31500</v>
      </c>
      <c r="AL77" s="4">
        <v>0</v>
      </c>
      <c r="AM77" s="4">
        <v>9.5999999999999992E-3</v>
      </c>
      <c r="AN77" s="4">
        <v>204096</v>
      </c>
      <c r="AO77" s="4">
        <v>0.73</v>
      </c>
      <c r="AP77" s="4">
        <v>0</v>
      </c>
      <c r="AQ77" s="4">
        <v>28</v>
      </c>
      <c r="AR77" s="4">
        <v>726</v>
      </c>
      <c r="AS77" s="4">
        <v>6073.34</v>
      </c>
      <c r="AT77" s="4">
        <v>1</v>
      </c>
      <c r="AU77" s="4">
        <v>145</v>
      </c>
      <c r="AV77" s="4">
        <v>16</v>
      </c>
      <c r="AW77" s="4">
        <v>26</v>
      </c>
      <c r="AX77" s="4">
        <v>10</v>
      </c>
      <c r="AY77" s="1"/>
      <c r="AZ77" s="1"/>
    </row>
    <row r="78" spans="1:52" ht="15.6">
      <c r="A78" s="1" t="s">
        <v>118</v>
      </c>
      <c r="B78" s="1" t="s">
        <v>362</v>
      </c>
      <c r="C78" s="1" t="s">
        <v>181</v>
      </c>
      <c r="D78" s="1" t="s">
        <v>419</v>
      </c>
      <c r="E78" s="1" t="s">
        <v>538</v>
      </c>
      <c r="F78" s="108">
        <v>45047</v>
      </c>
      <c r="G78" s="1" t="s">
        <v>81</v>
      </c>
      <c r="H78" s="4">
        <v>0</v>
      </c>
      <c r="I78" s="4">
        <v>4500000</v>
      </c>
      <c r="J78" s="4">
        <v>2527203.35</v>
      </c>
      <c r="K78" s="4">
        <v>0</v>
      </c>
      <c r="L78" s="4">
        <v>57</v>
      </c>
      <c r="M78" s="4">
        <v>40</v>
      </c>
      <c r="N78" s="4">
        <v>1</v>
      </c>
      <c r="O78" s="4">
        <v>58</v>
      </c>
      <c r="P78" s="4">
        <v>18</v>
      </c>
      <c r="Q78" s="4">
        <v>2480194.5499999998</v>
      </c>
      <c r="R78" s="4">
        <v>47008.800000000003</v>
      </c>
      <c r="S78" s="4">
        <v>1</v>
      </c>
      <c r="T78" s="4">
        <v>1</v>
      </c>
      <c r="U78" s="4">
        <v>2</v>
      </c>
      <c r="V78" s="4">
        <v>0</v>
      </c>
      <c r="W78" s="4">
        <v>21</v>
      </c>
      <c r="X78" s="4">
        <v>29</v>
      </c>
      <c r="Y78" s="4">
        <v>256</v>
      </c>
      <c r="Z78" s="4">
        <v>1</v>
      </c>
      <c r="AA78" s="4">
        <v>4</v>
      </c>
      <c r="AB78" s="4">
        <v>0</v>
      </c>
      <c r="AC78" s="4">
        <v>0</v>
      </c>
      <c r="AD78" s="4">
        <v>0</v>
      </c>
      <c r="AE78" s="4">
        <v>0</v>
      </c>
      <c r="AF78" s="4">
        <v>292</v>
      </c>
      <c r="AG78" s="4">
        <v>325</v>
      </c>
      <c r="AH78" s="4">
        <v>74</v>
      </c>
      <c r="AI78" s="4">
        <v>34151</v>
      </c>
      <c r="AJ78" s="4">
        <v>4</v>
      </c>
      <c r="AK78" s="4">
        <v>26000</v>
      </c>
      <c r="AL78" s="4">
        <v>0</v>
      </c>
      <c r="AM78" s="4">
        <v>1.03E-2</v>
      </c>
      <c r="AN78" s="4">
        <v>1263602</v>
      </c>
      <c r="AO78" s="4">
        <v>0.56000000000000005</v>
      </c>
      <c r="AP78" s="4">
        <v>0</v>
      </c>
      <c r="AQ78" s="4">
        <v>13</v>
      </c>
      <c r="AR78" s="4">
        <v>566</v>
      </c>
      <c r="AS78" s="4">
        <v>3416.7</v>
      </c>
      <c r="AT78" s="4">
        <v>1</v>
      </c>
      <c r="AU78" s="4">
        <v>85</v>
      </c>
      <c r="AV78" s="4">
        <v>2</v>
      </c>
      <c r="AW78" s="4">
        <v>38</v>
      </c>
      <c r="AX78" s="4">
        <v>18</v>
      </c>
      <c r="AY78" s="1"/>
      <c r="AZ78" s="1"/>
    </row>
    <row r="79" spans="1:52" ht="15.6">
      <c r="A79" s="1" t="s">
        <v>118</v>
      </c>
      <c r="B79" s="1" t="s">
        <v>362</v>
      </c>
      <c r="C79" s="1" t="s">
        <v>183</v>
      </c>
      <c r="D79" s="1" t="s">
        <v>419</v>
      </c>
      <c r="E79" s="1" t="s">
        <v>540</v>
      </c>
      <c r="F79" s="108">
        <v>45048</v>
      </c>
      <c r="G79" s="1" t="s">
        <v>45</v>
      </c>
      <c r="H79" s="4">
        <v>0</v>
      </c>
      <c r="I79" s="4">
        <v>4500000</v>
      </c>
      <c r="J79" s="4">
        <v>2910884.54</v>
      </c>
      <c r="K79" s="4">
        <v>0</v>
      </c>
      <c r="L79" s="4">
        <v>54</v>
      </c>
      <c r="M79" s="4">
        <v>53</v>
      </c>
      <c r="N79" s="4">
        <v>1</v>
      </c>
      <c r="O79" s="4">
        <v>55</v>
      </c>
      <c r="P79" s="4">
        <v>2</v>
      </c>
      <c r="Q79" s="4">
        <v>2887206.62</v>
      </c>
      <c r="R79" s="4">
        <v>23677.919999999998</v>
      </c>
      <c r="S79" s="4">
        <v>38</v>
      </c>
      <c r="T79" s="4">
        <v>1</v>
      </c>
      <c r="U79" s="4">
        <v>39</v>
      </c>
      <c r="V79" s="4">
        <v>0</v>
      </c>
      <c r="W79" s="4">
        <v>0</v>
      </c>
      <c r="X79" s="4">
        <v>0</v>
      </c>
      <c r="Y79" s="4">
        <v>1</v>
      </c>
      <c r="Z79" s="4">
        <v>2</v>
      </c>
      <c r="AA79" s="4">
        <v>61</v>
      </c>
      <c r="AB79" s="4">
        <v>0</v>
      </c>
      <c r="AC79" s="4">
        <v>0</v>
      </c>
      <c r="AD79" s="4">
        <v>0</v>
      </c>
      <c r="AE79" s="4">
        <v>0</v>
      </c>
      <c r="AF79" s="4">
        <v>337</v>
      </c>
      <c r="AG79" s="4">
        <v>398</v>
      </c>
      <c r="AH79" s="4">
        <v>70</v>
      </c>
      <c r="AI79" s="4">
        <v>41584</v>
      </c>
      <c r="AJ79" s="4">
        <v>6</v>
      </c>
      <c r="AK79" s="4">
        <v>26000</v>
      </c>
      <c r="AL79" s="4">
        <v>0</v>
      </c>
      <c r="AM79" s="4">
        <v>8.8999999999999999E-3</v>
      </c>
      <c r="AN79" s="4">
        <v>74638</v>
      </c>
      <c r="AO79" s="4">
        <v>0.65</v>
      </c>
      <c r="AP79" s="4">
        <v>0</v>
      </c>
      <c r="AQ79" s="4">
        <v>66</v>
      </c>
      <c r="AR79" s="4">
        <v>643</v>
      </c>
      <c r="AS79" s="4">
        <v>4606.3599999999997</v>
      </c>
      <c r="AT79" s="4">
        <v>1</v>
      </c>
      <c r="AU79" s="4">
        <v>87</v>
      </c>
      <c r="AV79" s="4">
        <v>39</v>
      </c>
      <c r="AW79" s="4">
        <v>16</v>
      </c>
      <c r="AX79" s="4">
        <v>0</v>
      </c>
      <c r="AY79" s="1"/>
      <c r="AZ79" s="1"/>
    </row>
    <row r="80" spans="1:52" ht="15.6">
      <c r="A80" s="1" t="s">
        <v>118</v>
      </c>
      <c r="B80" s="1" t="s">
        <v>362</v>
      </c>
      <c r="C80" s="1" t="s">
        <v>184</v>
      </c>
      <c r="D80" s="1" t="s">
        <v>419</v>
      </c>
      <c r="E80" s="1" t="s">
        <v>539</v>
      </c>
      <c r="F80" s="108">
        <v>45047</v>
      </c>
      <c r="G80" s="1" t="s">
        <v>29</v>
      </c>
      <c r="H80" s="4">
        <v>0</v>
      </c>
      <c r="I80" s="4">
        <v>0</v>
      </c>
      <c r="J80" s="4">
        <v>0</v>
      </c>
      <c r="K80" s="4">
        <v>0</v>
      </c>
      <c r="L80" s="4">
        <v>114</v>
      </c>
      <c r="M80" s="4">
        <v>0</v>
      </c>
      <c r="N80" s="4">
        <v>0</v>
      </c>
      <c r="O80" s="4">
        <v>114</v>
      </c>
      <c r="P80" s="4">
        <v>114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50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25167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114</v>
      </c>
      <c r="AY80" s="48">
        <v>45869</v>
      </c>
      <c r="AZ80" s="48"/>
    </row>
    <row r="81" spans="1:52" ht="15.6">
      <c r="A81" s="1" t="s">
        <v>154</v>
      </c>
      <c r="B81" s="1" t="s">
        <v>367</v>
      </c>
      <c r="C81" s="1" t="s">
        <v>185</v>
      </c>
      <c r="D81" s="1" t="s">
        <v>577</v>
      </c>
      <c r="E81" s="1" t="s">
        <v>723</v>
      </c>
      <c r="F81" s="115">
        <v>45428</v>
      </c>
      <c r="G81" s="1" t="s">
        <v>196</v>
      </c>
      <c r="H81" s="4">
        <v>0</v>
      </c>
      <c r="I81" s="4">
        <v>1000000</v>
      </c>
      <c r="J81" s="4">
        <v>0</v>
      </c>
      <c r="K81" s="4">
        <v>0</v>
      </c>
      <c r="L81" s="4">
        <v>71</v>
      </c>
      <c r="M81" s="4">
        <v>24</v>
      </c>
      <c r="N81" s="4">
        <v>0</v>
      </c>
      <c r="O81" s="4">
        <v>71</v>
      </c>
      <c r="P81" s="4">
        <v>47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103</v>
      </c>
      <c r="X81" s="4">
        <v>152</v>
      </c>
      <c r="Y81" s="4">
        <v>224</v>
      </c>
      <c r="Z81" s="4">
        <v>7</v>
      </c>
      <c r="AA81" s="4">
        <v>42</v>
      </c>
      <c r="AB81" s="4">
        <v>0</v>
      </c>
      <c r="AC81" s="4">
        <v>0</v>
      </c>
      <c r="AD81" s="4">
        <v>8</v>
      </c>
      <c r="AE81" s="4">
        <v>8</v>
      </c>
      <c r="AF81" s="4">
        <v>56</v>
      </c>
      <c r="AG81" s="4">
        <v>258</v>
      </c>
      <c r="AH81" s="4">
        <v>72</v>
      </c>
      <c r="AI81" s="4">
        <v>0</v>
      </c>
      <c r="AJ81" s="4">
        <v>4</v>
      </c>
      <c r="AK81" s="4">
        <v>29880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579</v>
      </c>
      <c r="AS81" s="4">
        <v>5631.56</v>
      </c>
      <c r="AT81" s="4">
        <v>0</v>
      </c>
      <c r="AU81" s="4">
        <v>235</v>
      </c>
      <c r="AV81" s="4">
        <v>0</v>
      </c>
      <c r="AW81" s="4">
        <v>24</v>
      </c>
      <c r="AX81" s="4">
        <v>47</v>
      </c>
      <c r="AY81" s="1"/>
      <c r="AZ81" s="1"/>
    </row>
    <row r="82" spans="1:52" ht="15.6">
      <c r="A82" s="1" t="s">
        <v>118</v>
      </c>
      <c r="B82" s="1" t="s">
        <v>362</v>
      </c>
      <c r="C82" s="1" t="s">
        <v>186</v>
      </c>
      <c r="D82" s="1" t="s">
        <v>419</v>
      </c>
      <c r="E82" s="1" t="s">
        <v>538</v>
      </c>
      <c r="F82" s="115">
        <v>45056</v>
      </c>
      <c r="G82" s="1" t="s">
        <v>81</v>
      </c>
      <c r="H82" s="4">
        <v>0</v>
      </c>
      <c r="I82" s="4">
        <v>4500000</v>
      </c>
      <c r="J82" s="4">
        <v>3988920.54</v>
      </c>
      <c r="K82" s="4">
        <v>0</v>
      </c>
      <c r="L82" s="4">
        <v>68</v>
      </c>
      <c r="M82" s="4">
        <v>54</v>
      </c>
      <c r="N82" s="4">
        <v>2</v>
      </c>
      <c r="O82" s="4">
        <v>70</v>
      </c>
      <c r="P82" s="4">
        <v>16</v>
      </c>
      <c r="Q82" s="4">
        <v>3694047.38</v>
      </c>
      <c r="R82" s="4">
        <v>294873.15999999997</v>
      </c>
      <c r="S82" s="4">
        <v>17</v>
      </c>
      <c r="T82" s="4">
        <v>2</v>
      </c>
      <c r="U82" s="4">
        <v>19</v>
      </c>
      <c r="V82" s="4">
        <v>0</v>
      </c>
      <c r="W82" s="4">
        <v>72</v>
      </c>
      <c r="X82" s="4">
        <v>115</v>
      </c>
      <c r="Y82" s="4">
        <v>234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329</v>
      </c>
      <c r="AG82" s="4">
        <v>444</v>
      </c>
      <c r="AH82" s="4">
        <v>70</v>
      </c>
      <c r="AI82" s="4">
        <v>56985</v>
      </c>
      <c r="AJ82" s="4">
        <v>6</v>
      </c>
      <c r="AK82" s="4">
        <v>24850</v>
      </c>
      <c r="AL82" s="4">
        <v>0</v>
      </c>
      <c r="AM82" s="4">
        <v>6.1999999999999998E-3</v>
      </c>
      <c r="AN82" s="4">
        <v>209943</v>
      </c>
      <c r="AO82" s="4">
        <v>0.89</v>
      </c>
      <c r="AP82" s="4">
        <v>0</v>
      </c>
      <c r="AQ82" s="4">
        <v>29</v>
      </c>
      <c r="AR82" s="4">
        <v>734</v>
      </c>
      <c r="AS82" s="4">
        <v>3654.29</v>
      </c>
      <c r="AT82" s="4">
        <v>2</v>
      </c>
      <c r="AU82" s="4">
        <v>68</v>
      </c>
      <c r="AV82" s="4">
        <v>19</v>
      </c>
      <c r="AW82" s="4">
        <v>35</v>
      </c>
      <c r="AX82" s="4">
        <v>16</v>
      </c>
      <c r="AY82" s="1"/>
      <c r="AZ82" s="1"/>
    </row>
    <row r="83" spans="1:52" ht="15.6">
      <c r="A83" s="1" t="s">
        <v>118</v>
      </c>
      <c r="B83" s="1" t="s">
        <v>372</v>
      </c>
      <c r="C83" s="1" t="s">
        <v>187</v>
      </c>
      <c r="D83" s="1" t="s">
        <v>447</v>
      </c>
      <c r="E83" s="1" t="s">
        <v>514</v>
      </c>
      <c r="F83" s="115">
        <v>45058</v>
      </c>
      <c r="G83" s="1" t="s">
        <v>138</v>
      </c>
      <c r="H83" s="4">
        <v>0</v>
      </c>
      <c r="I83" s="4">
        <v>4000000</v>
      </c>
      <c r="J83" s="4">
        <v>1140899.83</v>
      </c>
      <c r="K83" s="4">
        <v>0</v>
      </c>
      <c r="L83" s="4">
        <v>117</v>
      </c>
      <c r="M83" s="4">
        <v>71</v>
      </c>
      <c r="N83" s="4">
        <v>5</v>
      </c>
      <c r="O83" s="4">
        <v>122</v>
      </c>
      <c r="P83" s="4">
        <v>51</v>
      </c>
      <c r="Q83" s="4">
        <v>1052336.3</v>
      </c>
      <c r="R83" s="4">
        <v>88563.53</v>
      </c>
      <c r="S83" s="4">
        <v>13</v>
      </c>
      <c r="T83" s="4">
        <v>2</v>
      </c>
      <c r="U83" s="4">
        <v>15</v>
      </c>
      <c r="V83" s="4">
        <v>0</v>
      </c>
      <c r="W83" s="4">
        <v>8</v>
      </c>
      <c r="X83" s="4">
        <v>8</v>
      </c>
      <c r="Y83" s="4">
        <v>376</v>
      </c>
      <c r="Z83" s="4">
        <v>1</v>
      </c>
      <c r="AA83" s="4">
        <v>16</v>
      </c>
      <c r="AB83" s="4">
        <v>0</v>
      </c>
      <c r="AC83" s="4">
        <v>0</v>
      </c>
      <c r="AD83" s="4">
        <v>0</v>
      </c>
      <c r="AE83" s="4">
        <v>0</v>
      </c>
      <c r="AF83" s="4">
        <v>91</v>
      </c>
      <c r="AG83" s="4">
        <v>115</v>
      </c>
      <c r="AH83" s="4">
        <v>28</v>
      </c>
      <c r="AI83" s="4">
        <v>40746</v>
      </c>
      <c r="AJ83" s="4">
        <v>4</v>
      </c>
      <c r="AK83" s="4">
        <v>30770</v>
      </c>
      <c r="AL83" s="4">
        <v>0</v>
      </c>
      <c r="AM83" s="4">
        <v>2.7E-2</v>
      </c>
      <c r="AN83" s="4">
        <v>76060</v>
      </c>
      <c r="AO83" s="4">
        <v>0.28999999999999998</v>
      </c>
      <c r="AP83" s="4">
        <v>0</v>
      </c>
      <c r="AQ83" s="4">
        <v>20</v>
      </c>
      <c r="AR83" s="4">
        <v>264</v>
      </c>
      <c r="AS83" s="4">
        <v>828.73</v>
      </c>
      <c r="AT83" s="4">
        <v>2</v>
      </c>
      <c r="AU83" s="4">
        <v>12</v>
      </c>
      <c r="AV83" s="4">
        <v>15</v>
      </c>
      <c r="AW83" s="4">
        <v>58</v>
      </c>
      <c r="AX83" s="4">
        <v>49</v>
      </c>
      <c r="AY83" s="48">
        <v>45981</v>
      </c>
      <c r="AZ83" s="48"/>
    </row>
    <row r="84" spans="1:52" ht="15.6">
      <c r="A84" s="1" t="s">
        <v>154</v>
      </c>
      <c r="B84" s="1" t="s">
        <v>370</v>
      </c>
      <c r="C84" s="1" t="s">
        <v>188</v>
      </c>
      <c r="D84" s="1" t="s">
        <v>542</v>
      </c>
      <c r="E84" s="1" t="s">
        <v>369</v>
      </c>
      <c r="F84" s="115">
        <v>45061</v>
      </c>
      <c r="G84" s="1" t="s">
        <v>196</v>
      </c>
      <c r="H84" s="4">
        <v>0</v>
      </c>
      <c r="I84" s="4">
        <v>4500000</v>
      </c>
      <c r="J84" s="4">
        <v>2932646.57</v>
      </c>
      <c r="K84" s="4">
        <v>0</v>
      </c>
      <c r="L84" s="4">
        <v>123</v>
      </c>
      <c r="M84" s="4">
        <v>91</v>
      </c>
      <c r="N84" s="4">
        <v>0</v>
      </c>
      <c r="O84" s="4">
        <v>123</v>
      </c>
      <c r="P84" s="4">
        <v>32</v>
      </c>
      <c r="Q84" s="4">
        <v>2932646.57</v>
      </c>
      <c r="R84" s="4">
        <v>0</v>
      </c>
      <c r="S84" s="4">
        <v>35</v>
      </c>
      <c r="T84" s="4">
        <v>0</v>
      </c>
      <c r="U84" s="4">
        <v>35</v>
      </c>
      <c r="V84" s="4">
        <v>0</v>
      </c>
      <c r="W84" s="4">
        <v>30</v>
      </c>
      <c r="X84" s="4">
        <v>40</v>
      </c>
      <c r="Y84" s="4">
        <v>469</v>
      </c>
      <c r="Z84" s="4">
        <v>2</v>
      </c>
      <c r="AA84" s="4">
        <v>21</v>
      </c>
      <c r="AB84" s="4">
        <v>0</v>
      </c>
      <c r="AC84" s="4">
        <v>0</v>
      </c>
      <c r="AD84" s="4">
        <v>1</v>
      </c>
      <c r="AE84" s="4">
        <v>5</v>
      </c>
      <c r="AF84" s="4">
        <v>361</v>
      </c>
      <c r="AG84" s="4">
        <v>427</v>
      </c>
      <c r="AH84" s="4">
        <v>69</v>
      </c>
      <c r="AI84" s="4">
        <v>42502</v>
      </c>
      <c r="AJ84" s="4">
        <v>6</v>
      </c>
      <c r="AK84" s="4">
        <v>34135</v>
      </c>
      <c r="AL84" s="4">
        <v>0</v>
      </c>
      <c r="AM84" s="4">
        <v>1.1599999999999999E-2</v>
      </c>
      <c r="AN84" s="4">
        <v>83790</v>
      </c>
      <c r="AO84" s="4">
        <v>0.65</v>
      </c>
      <c r="AP84" s="4">
        <v>0</v>
      </c>
      <c r="AQ84" s="4">
        <v>62</v>
      </c>
      <c r="AR84" s="4">
        <v>718</v>
      </c>
      <c r="AS84" s="4">
        <v>5632.89</v>
      </c>
      <c r="AT84" s="4">
        <v>0</v>
      </c>
      <c r="AU84" s="4">
        <v>62</v>
      </c>
      <c r="AV84" s="4">
        <v>35</v>
      </c>
      <c r="AW84" s="4">
        <v>56</v>
      </c>
      <c r="AX84" s="4">
        <v>32</v>
      </c>
      <c r="AY84" s="1"/>
      <c r="AZ84" s="1"/>
    </row>
    <row r="85" spans="1:52" ht="15.6">
      <c r="A85" s="1" t="s">
        <v>118</v>
      </c>
      <c r="B85" s="1" t="s">
        <v>362</v>
      </c>
      <c r="C85" s="1" t="s">
        <v>189</v>
      </c>
      <c r="D85" s="1" t="s">
        <v>419</v>
      </c>
      <c r="E85" s="1" t="s">
        <v>544</v>
      </c>
      <c r="F85" s="115">
        <v>45069</v>
      </c>
      <c r="G85" s="1" t="s">
        <v>51</v>
      </c>
      <c r="H85" s="4">
        <v>0</v>
      </c>
      <c r="I85" s="4">
        <v>4500000</v>
      </c>
      <c r="J85" s="4">
        <v>1676965.46</v>
      </c>
      <c r="K85" s="4">
        <v>0</v>
      </c>
      <c r="L85" s="4">
        <v>46</v>
      </c>
      <c r="M85" s="4">
        <v>40</v>
      </c>
      <c r="N85" s="4">
        <v>1</v>
      </c>
      <c r="O85" s="4">
        <v>47</v>
      </c>
      <c r="P85" s="4">
        <v>7</v>
      </c>
      <c r="Q85" s="4">
        <v>1676965.46</v>
      </c>
      <c r="R85" s="4">
        <v>0</v>
      </c>
      <c r="S85" s="4">
        <v>13</v>
      </c>
      <c r="T85" s="4">
        <v>0</v>
      </c>
      <c r="U85" s="4">
        <v>13</v>
      </c>
      <c r="V85" s="4">
        <v>0</v>
      </c>
      <c r="W85" s="4">
        <v>4</v>
      </c>
      <c r="X85" s="4">
        <v>5</v>
      </c>
      <c r="Y85" s="4">
        <v>92</v>
      </c>
      <c r="Z85" s="4">
        <v>1</v>
      </c>
      <c r="AA85" s="4">
        <v>1</v>
      </c>
      <c r="AB85" s="4">
        <v>0</v>
      </c>
      <c r="AC85" s="4">
        <v>0</v>
      </c>
      <c r="AD85" s="4">
        <v>0</v>
      </c>
      <c r="AE85" s="4">
        <v>0</v>
      </c>
      <c r="AF85" s="4">
        <v>335</v>
      </c>
      <c r="AG85" s="4">
        <v>341</v>
      </c>
      <c r="AH85" s="4">
        <v>71</v>
      </c>
      <c r="AI85" s="4">
        <v>23619</v>
      </c>
      <c r="AJ85" s="4">
        <v>5</v>
      </c>
      <c r="AK85" s="4">
        <v>29042</v>
      </c>
      <c r="AL85" s="4">
        <v>0</v>
      </c>
      <c r="AM85" s="4">
        <v>1.7299999999999999E-2</v>
      </c>
      <c r="AN85" s="4">
        <v>128997</v>
      </c>
      <c r="AO85" s="4">
        <v>0.37</v>
      </c>
      <c r="AP85" s="4">
        <v>0</v>
      </c>
      <c r="AQ85" s="4">
        <v>29</v>
      </c>
      <c r="AR85" s="4">
        <v>796</v>
      </c>
      <c r="AS85" s="4">
        <v>4198.34</v>
      </c>
      <c r="AT85" s="4">
        <v>0</v>
      </c>
      <c r="AU85" s="4">
        <v>105</v>
      </c>
      <c r="AV85" s="4">
        <v>13</v>
      </c>
      <c r="AW85" s="4">
        <v>27</v>
      </c>
      <c r="AX85" s="4">
        <v>7</v>
      </c>
      <c r="AY85" s="1"/>
      <c r="AZ85" s="1"/>
    </row>
    <row r="86" spans="1:52" ht="15.6">
      <c r="A86" s="1" t="s">
        <v>118</v>
      </c>
      <c r="B86" s="1" t="s">
        <v>362</v>
      </c>
      <c r="C86" s="1" t="s">
        <v>190</v>
      </c>
      <c r="D86" s="1" t="s">
        <v>419</v>
      </c>
      <c r="E86" s="1" t="s">
        <v>539</v>
      </c>
      <c r="F86" s="115">
        <v>45069</v>
      </c>
      <c r="G86" s="1" t="s">
        <v>29</v>
      </c>
      <c r="H86" s="4">
        <v>0</v>
      </c>
      <c r="I86" s="4">
        <v>4500000</v>
      </c>
      <c r="J86" s="4">
        <v>4183562.02</v>
      </c>
      <c r="K86" s="4">
        <v>0</v>
      </c>
      <c r="L86" s="4">
        <v>129</v>
      </c>
      <c r="M86" s="4">
        <v>102</v>
      </c>
      <c r="N86" s="4">
        <v>0</v>
      </c>
      <c r="O86" s="4">
        <v>129</v>
      </c>
      <c r="P86" s="4">
        <v>27</v>
      </c>
      <c r="Q86" s="4">
        <v>4183562.02</v>
      </c>
      <c r="R86" s="4">
        <v>0</v>
      </c>
      <c r="S86" s="4">
        <v>83</v>
      </c>
      <c r="T86" s="4">
        <v>0</v>
      </c>
      <c r="U86" s="4">
        <v>83</v>
      </c>
      <c r="V86" s="4">
        <v>0</v>
      </c>
      <c r="W86" s="4">
        <v>0</v>
      </c>
      <c r="X86" s="4">
        <v>0</v>
      </c>
      <c r="Y86" s="4">
        <v>74</v>
      </c>
      <c r="Z86" s="4">
        <v>1</v>
      </c>
      <c r="AA86" s="4">
        <v>28</v>
      </c>
      <c r="AB86" s="4">
        <v>0</v>
      </c>
      <c r="AC86" s="4">
        <v>0</v>
      </c>
      <c r="AD86" s="4">
        <v>0</v>
      </c>
      <c r="AE86" s="4">
        <v>0</v>
      </c>
      <c r="AF86" s="4">
        <v>352</v>
      </c>
      <c r="AG86" s="4">
        <v>380</v>
      </c>
      <c r="AH86" s="4">
        <v>71</v>
      </c>
      <c r="AI86" s="4">
        <v>58923</v>
      </c>
      <c r="AJ86" s="4">
        <v>5</v>
      </c>
      <c r="AK86" s="4">
        <v>25212</v>
      </c>
      <c r="AL86" s="4">
        <v>0</v>
      </c>
      <c r="AM86" s="4">
        <v>6.0000000000000001E-3</v>
      </c>
      <c r="AN86" s="4">
        <v>50404</v>
      </c>
      <c r="AO86" s="4">
        <v>0.93</v>
      </c>
      <c r="AP86" s="4">
        <v>0</v>
      </c>
      <c r="AQ86" s="4">
        <v>170</v>
      </c>
      <c r="AR86" s="4">
        <v>773</v>
      </c>
      <c r="AS86" s="4">
        <v>4217.55</v>
      </c>
      <c r="AT86" s="4">
        <v>0</v>
      </c>
      <c r="AU86" s="4">
        <v>41</v>
      </c>
      <c r="AV86" s="4">
        <v>83</v>
      </c>
      <c r="AW86" s="4">
        <v>24</v>
      </c>
      <c r="AX86" s="4">
        <v>22</v>
      </c>
      <c r="AY86" s="1"/>
      <c r="AZ86" s="1"/>
    </row>
    <row r="87" spans="1:52" ht="15.6">
      <c r="A87" s="1" t="s">
        <v>118</v>
      </c>
      <c r="B87" s="1" t="s">
        <v>375</v>
      </c>
      <c r="C87" s="1" t="s">
        <v>191</v>
      </c>
      <c r="D87" s="1" t="s">
        <v>473</v>
      </c>
      <c r="E87" s="1" t="s">
        <v>545</v>
      </c>
      <c r="F87" s="115">
        <v>45071</v>
      </c>
      <c r="G87" s="1" t="s">
        <v>119</v>
      </c>
      <c r="H87" s="4">
        <v>0</v>
      </c>
      <c r="I87" s="4">
        <v>0</v>
      </c>
      <c r="J87" s="4">
        <v>0</v>
      </c>
      <c r="K87" s="4">
        <v>0</v>
      </c>
      <c r="L87" s="4">
        <v>57</v>
      </c>
      <c r="M87" s="4">
        <v>0</v>
      </c>
      <c r="N87" s="4">
        <v>0</v>
      </c>
      <c r="O87" s="4">
        <v>57</v>
      </c>
      <c r="P87" s="4">
        <v>57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217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37094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57</v>
      </c>
      <c r="AY87" s="115">
        <v>45808</v>
      </c>
      <c r="AZ87" s="115"/>
    </row>
    <row r="88" spans="1:52" ht="15.6">
      <c r="A88" s="1" t="s">
        <v>136</v>
      </c>
      <c r="B88" s="1" t="s">
        <v>653</v>
      </c>
      <c r="C88" s="1" t="s">
        <v>192</v>
      </c>
      <c r="D88" s="1" t="s">
        <v>421</v>
      </c>
      <c r="E88" s="1" t="s">
        <v>422</v>
      </c>
      <c r="F88" s="115">
        <v>45068</v>
      </c>
      <c r="G88" s="1" t="s">
        <v>136</v>
      </c>
      <c r="H88" s="4">
        <v>375000</v>
      </c>
      <c r="I88" s="4">
        <v>6000000</v>
      </c>
      <c r="J88" s="4">
        <v>1361577.8</v>
      </c>
      <c r="K88" s="4">
        <v>1298463.8</v>
      </c>
      <c r="L88" s="4">
        <v>48</v>
      </c>
      <c r="M88" s="4">
        <v>26</v>
      </c>
      <c r="N88" s="4">
        <v>0</v>
      </c>
      <c r="O88" s="4">
        <v>48</v>
      </c>
      <c r="P88" s="4">
        <v>22</v>
      </c>
      <c r="Q88" s="4">
        <v>1361577.8</v>
      </c>
      <c r="R88" s="4">
        <v>0</v>
      </c>
      <c r="S88" s="4">
        <v>15</v>
      </c>
      <c r="T88" s="4">
        <v>0</v>
      </c>
      <c r="U88" s="4">
        <v>15</v>
      </c>
      <c r="V88" s="4">
        <v>9</v>
      </c>
      <c r="W88" s="4">
        <v>5</v>
      </c>
      <c r="X88" s="4">
        <v>12</v>
      </c>
      <c r="Y88" s="4">
        <v>150</v>
      </c>
      <c r="Z88" s="4">
        <v>6</v>
      </c>
      <c r="AA88" s="4">
        <v>26</v>
      </c>
      <c r="AB88" s="4">
        <v>15</v>
      </c>
      <c r="AC88" s="4">
        <v>95</v>
      </c>
      <c r="AD88" s="4">
        <v>4</v>
      </c>
      <c r="AE88" s="4">
        <v>5</v>
      </c>
      <c r="AF88" s="4">
        <v>92</v>
      </c>
      <c r="AG88" s="4">
        <v>230</v>
      </c>
      <c r="AH88" s="4">
        <v>77</v>
      </c>
      <c r="AI88" s="4">
        <v>17683</v>
      </c>
      <c r="AJ88" s="4">
        <v>3</v>
      </c>
      <c r="AK88" s="4">
        <v>34661</v>
      </c>
      <c r="AL88" s="4">
        <v>0</v>
      </c>
      <c r="AM88" s="4">
        <v>2.5499999999999998E-2</v>
      </c>
      <c r="AN88" s="4">
        <v>90772</v>
      </c>
      <c r="AO88" s="4">
        <v>0.23</v>
      </c>
      <c r="AP88" s="4">
        <v>3.46</v>
      </c>
      <c r="AQ88" s="4">
        <v>25</v>
      </c>
      <c r="AR88" s="4">
        <v>637</v>
      </c>
      <c r="AS88" s="4">
        <v>3407.49</v>
      </c>
      <c r="AT88" s="4">
        <v>0</v>
      </c>
      <c r="AU88" s="4">
        <v>131</v>
      </c>
      <c r="AV88" s="4">
        <v>15</v>
      </c>
      <c r="AW88" s="4">
        <v>11</v>
      </c>
      <c r="AX88" s="4">
        <v>22</v>
      </c>
      <c r="AY88" s="1"/>
      <c r="AZ88" s="1"/>
    </row>
    <row r="89" spans="1:52" ht="15.6">
      <c r="A89" s="1" t="s">
        <v>154</v>
      </c>
      <c r="B89" s="1" t="s">
        <v>370</v>
      </c>
      <c r="C89" s="1" t="s">
        <v>193</v>
      </c>
      <c r="D89" s="1" t="s">
        <v>542</v>
      </c>
      <c r="E89" s="1" t="s">
        <v>369</v>
      </c>
      <c r="F89" s="104">
        <v>45079</v>
      </c>
      <c r="G89" s="1" t="s">
        <v>196</v>
      </c>
      <c r="H89" s="4">
        <v>0</v>
      </c>
      <c r="I89" s="4">
        <v>0</v>
      </c>
      <c r="J89" s="4">
        <v>0</v>
      </c>
      <c r="K89" s="4">
        <v>0</v>
      </c>
      <c r="L89" s="4">
        <v>80</v>
      </c>
      <c r="M89" s="4">
        <v>0</v>
      </c>
      <c r="N89" s="4">
        <v>1</v>
      </c>
      <c r="O89" s="4">
        <v>81</v>
      </c>
      <c r="P89" s="4">
        <v>81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620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35853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81</v>
      </c>
      <c r="AY89" s="115">
        <v>45794</v>
      </c>
      <c r="AZ89" s="115"/>
    </row>
    <row r="90" spans="1:52" ht="15.6">
      <c r="A90" s="1" t="s">
        <v>154</v>
      </c>
      <c r="B90" s="1" t="s">
        <v>367</v>
      </c>
      <c r="C90" s="1" t="s">
        <v>194</v>
      </c>
      <c r="D90" s="1" t="s">
        <v>577</v>
      </c>
      <c r="E90" s="1" t="s">
        <v>583</v>
      </c>
      <c r="F90" s="115">
        <v>45428</v>
      </c>
      <c r="G90" s="1" t="s">
        <v>196</v>
      </c>
      <c r="H90" s="4">
        <v>0</v>
      </c>
      <c r="I90" s="4">
        <v>3000000</v>
      </c>
      <c r="J90" s="4">
        <v>1545325.35</v>
      </c>
      <c r="K90" s="4">
        <v>0</v>
      </c>
      <c r="L90" s="4">
        <v>91</v>
      </c>
      <c r="M90" s="4">
        <v>70</v>
      </c>
      <c r="N90" s="4">
        <v>3</v>
      </c>
      <c r="O90" s="4">
        <v>94</v>
      </c>
      <c r="P90" s="4">
        <v>24</v>
      </c>
      <c r="Q90" s="4">
        <v>1487662.17</v>
      </c>
      <c r="R90" s="4">
        <v>57663.18</v>
      </c>
      <c r="S90" s="4">
        <v>26</v>
      </c>
      <c r="T90" s="4">
        <v>3</v>
      </c>
      <c r="U90" s="4">
        <v>29</v>
      </c>
      <c r="V90" s="4">
        <v>0</v>
      </c>
      <c r="W90" s="4">
        <v>43</v>
      </c>
      <c r="X90" s="4">
        <v>67</v>
      </c>
      <c r="Y90" s="4">
        <v>476</v>
      </c>
      <c r="Z90" s="4">
        <v>3</v>
      </c>
      <c r="AA90" s="4">
        <v>44</v>
      </c>
      <c r="AB90" s="4">
        <v>0</v>
      </c>
      <c r="AC90" s="4">
        <v>0</v>
      </c>
      <c r="AD90" s="4">
        <v>0</v>
      </c>
      <c r="AE90" s="4">
        <v>0</v>
      </c>
      <c r="AF90" s="4">
        <v>304</v>
      </c>
      <c r="AG90" s="4">
        <v>415</v>
      </c>
      <c r="AH90" s="4">
        <v>70</v>
      </c>
      <c r="AI90" s="4">
        <v>22076</v>
      </c>
      <c r="AJ90" s="4">
        <v>6</v>
      </c>
      <c r="AK90" s="4">
        <v>26526</v>
      </c>
      <c r="AL90" s="4">
        <v>0</v>
      </c>
      <c r="AM90" s="4">
        <v>1.72E-2</v>
      </c>
      <c r="AN90" s="4">
        <v>53287</v>
      </c>
      <c r="AO90" s="4">
        <v>0.52</v>
      </c>
      <c r="AP90" s="4">
        <v>0</v>
      </c>
      <c r="AQ90" s="4">
        <v>59</v>
      </c>
      <c r="AR90" s="4">
        <v>724</v>
      </c>
      <c r="AS90" s="4">
        <v>5298.75</v>
      </c>
      <c r="AT90" s="4">
        <v>3</v>
      </c>
      <c r="AU90" s="4">
        <v>76</v>
      </c>
      <c r="AV90" s="4">
        <v>29</v>
      </c>
      <c r="AW90" s="4">
        <v>43</v>
      </c>
      <c r="AX90" s="4">
        <v>22</v>
      </c>
      <c r="AY90" s="1"/>
      <c r="AZ90" s="1"/>
    </row>
    <row r="91" spans="1:52" ht="15.6">
      <c r="A91" s="1" t="s">
        <v>201</v>
      </c>
      <c r="B91" s="1" t="s">
        <v>431</v>
      </c>
      <c r="C91" s="1" t="s">
        <v>195</v>
      </c>
      <c r="D91" s="1" t="s">
        <v>431</v>
      </c>
      <c r="E91" s="1" t="s">
        <v>541</v>
      </c>
      <c r="F91" s="104">
        <v>45080</v>
      </c>
      <c r="G91" s="1" t="s">
        <v>121</v>
      </c>
      <c r="H91" s="4">
        <v>1200000</v>
      </c>
      <c r="I91" s="4">
        <v>6300000</v>
      </c>
      <c r="J91" s="4">
        <v>3683478.12</v>
      </c>
      <c r="K91" s="4">
        <v>1056986.24</v>
      </c>
      <c r="L91" s="4">
        <v>132</v>
      </c>
      <c r="M91" s="4">
        <v>98</v>
      </c>
      <c r="N91" s="4">
        <v>2</v>
      </c>
      <c r="O91" s="4">
        <v>134</v>
      </c>
      <c r="P91" s="4">
        <v>36</v>
      </c>
      <c r="Q91" s="4">
        <v>3683478.12</v>
      </c>
      <c r="R91" s="4">
        <v>0</v>
      </c>
      <c r="S91" s="4">
        <v>29</v>
      </c>
      <c r="T91" s="4">
        <v>0</v>
      </c>
      <c r="U91" s="4">
        <v>29</v>
      </c>
      <c r="V91" s="4">
        <v>2</v>
      </c>
      <c r="W91" s="4">
        <v>45</v>
      </c>
      <c r="X91" s="4">
        <v>58</v>
      </c>
      <c r="Y91" s="4">
        <v>279</v>
      </c>
      <c r="Z91" s="4">
        <v>6</v>
      </c>
      <c r="AA91" s="4">
        <v>37</v>
      </c>
      <c r="AB91" s="4">
        <v>8</v>
      </c>
      <c r="AC91" s="4">
        <v>25</v>
      </c>
      <c r="AD91" s="4">
        <v>0</v>
      </c>
      <c r="AE91" s="4">
        <v>0</v>
      </c>
      <c r="AF91" s="4">
        <v>387</v>
      </c>
      <c r="AG91" s="4">
        <v>507</v>
      </c>
      <c r="AH91" s="4">
        <v>74</v>
      </c>
      <c r="AI91" s="4">
        <v>49777</v>
      </c>
      <c r="AJ91" s="4">
        <v>7</v>
      </c>
      <c r="AK91" s="4">
        <v>31981</v>
      </c>
      <c r="AL91" s="4">
        <v>0</v>
      </c>
      <c r="AM91" s="4">
        <v>8.6999999999999994E-3</v>
      </c>
      <c r="AN91" s="4">
        <v>127016</v>
      </c>
      <c r="AO91" s="4">
        <v>0.57999999999999996</v>
      </c>
      <c r="AP91" s="4">
        <v>0.88</v>
      </c>
      <c r="AQ91" s="4">
        <v>71</v>
      </c>
      <c r="AR91" s="4">
        <v>797</v>
      </c>
      <c r="AS91" s="4">
        <v>6981.28</v>
      </c>
      <c r="AT91" s="4">
        <v>0</v>
      </c>
      <c r="AU91" s="4">
        <v>71</v>
      </c>
      <c r="AV91" s="4">
        <v>29</v>
      </c>
      <c r="AW91" s="4">
        <v>70</v>
      </c>
      <c r="AX91" s="4">
        <v>35</v>
      </c>
      <c r="AY91" s="1"/>
      <c r="AZ91" s="1"/>
    </row>
    <row r="92" spans="1:52" ht="15.6">
      <c r="A92" s="1" t="s">
        <v>118</v>
      </c>
      <c r="B92" s="1" t="s">
        <v>362</v>
      </c>
      <c r="C92" s="1" t="s">
        <v>197</v>
      </c>
      <c r="D92" s="1" t="s">
        <v>419</v>
      </c>
      <c r="E92" s="1" t="s">
        <v>547</v>
      </c>
      <c r="F92" s="104">
        <v>45084</v>
      </c>
      <c r="G92" s="1" t="s">
        <v>29</v>
      </c>
      <c r="H92" s="4">
        <v>0</v>
      </c>
      <c r="I92" s="4">
        <v>0</v>
      </c>
      <c r="J92" s="4">
        <v>0</v>
      </c>
      <c r="K92" s="4">
        <v>0</v>
      </c>
      <c r="L92" s="4">
        <v>91</v>
      </c>
      <c r="M92" s="4">
        <v>0</v>
      </c>
      <c r="N92" s="4">
        <v>0</v>
      </c>
      <c r="O92" s="4">
        <v>91</v>
      </c>
      <c r="P92" s="4">
        <v>91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183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25850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91</v>
      </c>
      <c r="AY92" s="48">
        <v>45869</v>
      </c>
      <c r="AZ92" s="48"/>
    </row>
    <row r="93" spans="1:52" ht="15.6">
      <c r="A93" s="1" t="s">
        <v>118</v>
      </c>
      <c r="B93" s="1" t="s">
        <v>484</v>
      </c>
      <c r="C93" s="1" t="s">
        <v>199</v>
      </c>
      <c r="D93" s="1" t="s">
        <v>548</v>
      </c>
      <c r="E93" s="1" t="s">
        <v>549</v>
      </c>
      <c r="F93" s="104">
        <v>45108</v>
      </c>
      <c r="G93" s="1" t="s">
        <v>118</v>
      </c>
      <c r="H93" s="4">
        <v>0</v>
      </c>
      <c r="I93" s="4">
        <v>4500000</v>
      </c>
      <c r="J93" s="4">
        <v>2538081.66</v>
      </c>
      <c r="K93" s="4">
        <v>0</v>
      </c>
      <c r="L93" s="4">
        <v>73</v>
      </c>
      <c r="M93" s="4">
        <v>67</v>
      </c>
      <c r="N93" s="4">
        <v>1</v>
      </c>
      <c r="O93" s="4">
        <v>74</v>
      </c>
      <c r="P93" s="4">
        <v>7</v>
      </c>
      <c r="Q93" s="4">
        <v>2486186.86</v>
      </c>
      <c r="R93" s="4">
        <v>51894.8</v>
      </c>
      <c r="S93" s="4">
        <v>20</v>
      </c>
      <c r="T93" s="4">
        <v>1</v>
      </c>
      <c r="U93" s="4">
        <v>21</v>
      </c>
      <c r="V93" s="4">
        <v>0</v>
      </c>
      <c r="W93" s="4">
        <v>33</v>
      </c>
      <c r="X93" s="4">
        <v>54</v>
      </c>
      <c r="Y93" s="4">
        <v>279</v>
      </c>
      <c r="Z93" s="4">
        <v>1</v>
      </c>
      <c r="AA93" s="4">
        <v>1</v>
      </c>
      <c r="AB93" s="4">
        <v>0</v>
      </c>
      <c r="AC93" s="4">
        <v>0</v>
      </c>
      <c r="AD93" s="4">
        <v>0</v>
      </c>
      <c r="AE93" s="4">
        <v>0</v>
      </c>
      <c r="AF93" s="4">
        <v>346</v>
      </c>
      <c r="AG93" s="4">
        <v>401</v>
      </c>
      <c r="AH93" s="4">
        <v>70</v>
      </c>
      <c r="AI93" s="4">
        <v>36258</v>
      </c>
      <c r="AJ93" s="4">
        <v>6</v>
      </c>
      <c r="AK93" s="4">
        <v>27680</v>
      </c>
      <c r="AL93" s="4">
        <v>0</v>
      </c>
      <c r="AM93" s="4">
        <v>1.09E-2</v>
      </c>
      <c r="AN93" s="4">
        <v>120861</v>
      </c>
      <c r="AO93" s="4">
        <v>0.56000000000000005</v>
      </c>
      <c r="AP93" s="4">
        <v>0</v>
      </c>
      <c r="AQ93" s="4">
        <v>27</v>
      </c>
      <c r="AR93" s="4">
        <v>747</v>
      </c>
      <c r="AS93" s="4">
        <v>6470.05</v>
      </c>
      <c r="AT93" s="4">
        <v>1</v>
      </c>
      <c r="AU93" s="4">
        <v>97</v>
      </c>
      <c r="AV93" s="4">
        <v>21</v>
      </c>
      <c r="AW93" s="4">
        <v>47</v>
      </c>
      <c r="AX93" s="4">
        <v>6</v>
      </c>
      <c r="AY93" s="1"/>
      <c r="AZ93" s="1"/>
    </row>
    <row r="94" spans="1:52" ht="15.6">
      <c r="A94" s="1" t="s">
        <v>118</v>
      </c>
      <c r="B94" s="1" t="s">
        <v>362</v>
      </c>
      <c r="C94" s="1" t="s">
        <v>200</v>
      </c>
      <c r="D94" s="1" t="s">
        <v>419</v>
      </c>
      <c r="E94" s="1" t="s">
        <v>551</v>
      </c>
      <c r="F94" s="104">
        <v>45108</v>
      </c>
      <c r="G94" s="1" t="s">
        <v>67</v>
      </c>
      <c r="H94" s="4">
        <v>0</v>
      </c>
      <c r="I94" s="4">
        <v>12000000</v>
      </c>
      <c r="J94" s="4">
        <v>9159061.3699999992</v>
      </c>
      <c r="K94" s="4">
        <v>0</v>
      </c>
      <c r="L94" s="4">
        <v>147</v>
      </c>
      <c r="M94" s="4">
        <v>61</v>
      </c>
      <c r="N94" s="4">
        <v>1</v>
      </c>
      <c r="O94" s="4">
        <v>148</v>
      </c>
      <c r="P94" s="4">
        <v>87</v>
      </c>
      <c r="Q94" s="4">
        <v>9075221.2100000009</v>
      </c>
      <c r="R94" s="4">
        <v>83840.160000000003</v>
      </c>
      <c r="S94" s="4">
        <v>33</v>
      </c>
      <c r="T94" s="4">
        <v>1</v>
      </c>
      <c r="U94" s="4">
        <v>34</v>
      </c>
      <c r="V94" s="4">
        <v>0</v>
      </c>
      <c r="W94" s="4">
        <v>0</v>
      </c>
      <c r="X94" s="4">
        <v>0</v>
      </c>
      <c r="Y94" s="4">
        <v>69</v>
      </c>
      <c r="Z94" s="4">
        <v>1</v>
      </c>
      <c r="AA94" s="4">
        <v>13</v>
      </c>
      <c r="AB94" s="4">
        <v>0</v>
      </c>
      <c r="AC94" s="4">
        <v>0</v>
      </c>
      <c r="AD94" s="4">
        <v>0</v>
      </c>
      <c r="AE94" s="4">
        <v>0</v>
      </c>
      <c r="AF94" s="4">
        <v>427</v>
      </c>
      <c r="AG94" s="4">
        <v>440</v>
      </c>
      <c r="AH94" s="4">
        <v>75</v>
      </c>
      <c r="AI94" s="4">
        <v>122121</v>
      </c>
      <c r="AJ94" s="4">
        <v>6</v>
      </c>
      <c r="AK94" s="4">
        <v>20520</v>
      </c>
      <c r="AL94" s="4">
        <v>0</v>
      </c>
      <c r="AM94" s="4">
        <v>2.2000000000000001E-3</v>
      </c>
      <c r="AN94" s="4">
        <v>269384</v>
      </c>
      <c r="AO94" s="4">
        <v>0.76</v>
      </c>
      <c r="AP94" s="4">
        <v>0</v>
      </c>
      <c r="AQ94" s="4">
        <v>59</v>
      </c>
      <c r="AR94" s="4">
        <v>750</v>
      </c>
      <c r="AS94" s="4">
        <v>3161.95</v>
      </c>
      <c r="AT94" s="4">
        <v>1</v>
      </c>
      <c r="AU94" s="4">
        <v>52</v>
      </c>
      <c r="AV94" s="4">
        <v>34</v>
      </c>
      <c r="AW94" s="4">
        <v>27</v>
      </c>
      <c r="AX94" s="4">
        <v>87</v>
      </c>
      <c r="AY94" s="1"/>
      <c r="AZ94" s="1"/>
    </row>
    <row r="95" spans="1:52" ht="15.6">
      <c r="A95" s="1" t="s">
        <v>118</v>
      </c>
      <c r="B95" s="1" t="s">
        <v>362</v>
      </c>
      <c r="C95" s="1" t="s">
        <v>202</v>
      </c>
      <c r="D95" s="1" t="s">
        <v>419</v>
      </c>
      <c r="E95" s="1" t="s">
        <v>490</v>
      </c>
      <c r="F95" s="48">
        <v>45117</v>
      </c>
      <c r="G95" s="1" t="s">
        <v>51</v>
      </c>
      <c r="H95" s="4">
        <v>0</v>
      </c>
      <c r="I95" s="4">
        <v>4500000</v>
      </c>
      <c r="J95" s="4">
        <v>4002381.31</v>
      </c>
      <c r="K95" s="4">
        <v>0</v>
      </c>
      <c r="L95" s="4">
        <v>73</v>
      </c>
      <c r="M95" s="4">
        <v>56</v>
      </c>
      <c r="N95" s="4">
        <v>3</v>
      </c>
      <c r="O95" s="4">
        <v>76</v>
      </c>
      <c r="P95" s="4">
        <v>20</v>
      </c>
      <c r="Q95" s="4">
        <v>3858527.35</v>
      </c>
      <c r="R95" s="4">
        <v>143853.96</v>
      </c>
      <c r="S95" s="4">
        <v>27</v>
      </c>
      <c r="T95" s="4">
        <v>3</v>
      </c>
      <c r="U95" s="4">
        <v>30</v>
      </c>
      <c r="V95" s="4">
        <v>0</v>
      </c>
      <c r="W95" s="4">
        <v>8</v>
      </c>
      <c r="X95" s="4">
        <v>18</v>
      </c>
      <c r="Y95" s="4">
        <v>65</v>
      </c>
      <c r="Z95" s="4">
        <v>1</v>
      </c>
      <c r="AA95" s="4">
        <v>1</v>
      </c>
      <c r="AB95" s="4">
        <v>0</v>
      </c>
      <c r="AC95" s="4">
        <v>0</v>
      </c>
      <c r="AD95" s="4">
        <v>0</v>
      </c>
      <c r="AE95" s="4">
        <v>0</v>
      </c>
      <c r="AF95" s="4">
        <v>398</v>
      </c>
      <c r="AG95" s="4">
        <v>417</v>
      </c>
      <c r="AH95" s="4">
        <v>76</v>
      </c>
      <c r="AI95" s="4">
        <v>52663</v>
      </c>
      <c r="AJ95" s="4">
        <v>5</v>
      </c>
      <c r="AK95" s="4">
        <v>24356</v>
      </c>
      <c r="AL95" s="4">
        <v>0</v>
      </c>
      <c r="AM95" s="4">
        <v>6.1000000000000004E-3</v>
      </c>
      <c r="AN95" s="4">
        <v>133413</v>
      </c>
      <c r="AO95" s="4">
        <v>0.89</v>
      </c>
      <c r="AP95" s="4">
        <v>0</v>
      </c>
      <c r="AQ95" s="4">
        <v>92</v>
      </c>
      <c r="AR95" s="4">
        <v>824</v>
      </c>
      <c r="AS95" s="4">
        <v>4764.5</v>
      </c>
      <c r="AT95" s="4">
        <v>3</v>
      </c>
      <c r="AU95" s="4">
        <v>85</v>
      </c>
      <c r="AV95" s="4">
        <v>30</v>
      </c>
      <c r="AW95" s="4">
        <v>28</v>
      </c>
      <c r="AX95" s="4">
        <v>18</v>
      </c>
      <c r="AY95" s="1"/>
      <c r="AZ95" s="1"/>
    </row>
    <row r="96" spans="1:52" ht="15.6">
      <c r="A96" s="1" t="s">
        <v>201</v>
      </c>
      <c r="B96" s="1" t="s">
        <v>481</v>
      </c>
      <c r="C96" s="1" t="s">
        <v>203</v>
      </c>
      <c r="D96" s="1" t="s">
        <v>517</v>
      </c>
      <c r="E96" s="1" t="s">
        <v>550</v>
      </c>
      <c r="F96" s="48">
        <v>45124</v>
      </c>
      <c r="G96" s="1" t="s">
        <v>121</v>
      </c>
      <c r="H96" s="4">
        <v>0</v>
      </c>
      <c r="I96" s="4">
        <v>4950000</v>
      </c>
      <c r="J96" s="4">
        <v>1944826.27</v>
      </c>
      <c r="K96" s="4">
        <v>0</v>
      </c>
      <c r="L96" s="4">
        <v>42</v>
      </c>
      <c r="M96" s="4">
        <v>33</v>
      </c>
      <c r="N96" s="4">
        <v>1</v>
      </c>
      <c r="O96" s="4">
        <v>43</v>
      </c>
      <c r="P96" s="4">
        <v>10</v>
      </c>
      <c r="Q96" s="4">
        <v>1760043.87</v>
      </c>
      <c r="R96" s="4">
        <v>184782.4</v>
      </c>
      <c r="S96" s="4">
        <v>23</v>
      </c>
      <c r="T96" s="4">
        <v>1</v>
      </c>
      <c r="U96" s="4">
        <v>24</v>
      </c>
      <c r="V96" s="4">
        <v>0</v>
      </c>
      <c r="W96" s="4">
        <v>107</v>
      </c>
      <c r="X96" s="4">
        <v>175</v>
      </c>
      <c r="Y96" s="4">
        <v>240</v>
      </c>
      <c r="Z96" s="4">
        <v>1</v>
      </c>
      <c r="AA96" s="4">
        <v>1</v>
      </c>
      <c r="AB96" s="4">
        <v>0</v>
      </c>
      <c r="AC96" s="4">
        <v>0</v>
      </c>
      <c r="AD96" s="4">
        <v>0</v>
      </c>
      <c r="AE96" s="4">
        <v>0</v>
      </c>
      <c r="AF96" s="4">
        <v>115</v>
      </c>
      <c r="AG96" s="4">
        <v>291</v>
      </c>
      <c r="AH96" s="4">
        <v>68</v>
      </c>
      <c r="AI96" s="4">
        <v>28600</v>
      </c>
      <c r="AJ96" s="4">
        <v>4</v>
      </c>
      <c r="AK96" s="4">
        <v>26500</v>
      </c>
      <c r="AL96" s="4">
        <v>0</v>
      </c>
      <c r="AM96" s="4">
        <v>1.3599999999999999E-2</v>
      </c>
      <c r="AN96" s="4">
        <v>81034</v>
      </c>
      <c r="AO96" s="4">
        <v>0.39</v>
      </c>
      <c r="AP96" s="4">
        <v>0</v>
      </c>
      <c r="AQ96" s="4">
        <v>62</v>
      </c>
      <c r="AR96" s="4">
        <v>761</v>
      </c>
      <c r="AS96" s="4">
        <v>3941.88</v>
      </c>
      <c r="AT96" s="4">
        <v>1</v>
      </c>
      <c r="AU96" s="4">
        <v>119</v>
      </c>
      <c r="AV96" s="4">
        <v>24</v>
      </c>
      <c r="AW96" s="4">
        <v>9</v>
      </c>
      <c r="AX96" s="4">
        <v>10</v>
      </c>
      <c r="AY96" s="1"/>
      <c r="AZ96" s="1"/>
    </row>
    <row r="97" spans="1:52" ht="15.6">
      <c r="A97" s="1" t="s">
        <v>201</v>
      </c>
      <c r="B97" s="1" t="s">
        <v>431</v>
      </c>
      <c r="C97" s="1" t="s">
        <v>204</v>
      </c>
      <c r="D97" s="1" t="s">
        <v>431</v>
      </c>
      <c r="E97" s="1" t="s">
        <v>543</v>
      </c>
      <c r="F97" s="48">
        <v>45121</v>
      </c>
      <c r="G97" s="1" t="s">
        <v>104</v>
      </c>
      <c r="H97" s="4">
        <v>0</v>
      </c>
      <c r="I97" s="4">
        <v>6624999</v>
      </c>
      <c r="J97" s="4">
        <v>6696473.3899999997</v>
      </c>
      <c r="K97" s="4">
        <v>0</v>
      </c>
      <c r="L97" s="4">
        <v>69</v>
      </c>
      <c r="M97" s="4">
        <v>61</v>
      </c>
      <c r="N97" s="4">
        <v>2</v>
      </c>
      <c r="O97" s="4">
        <v>71</v>
      </c>
      <c r="P97" s="4">
        <v>10</v>
      </c>
      <c r="Q97" s="4">
        <v>6381870.0899999999</v>
      </c>
      <c r="R97" s="4">
        <v>314603.3</v>
      </c>
      <c r="S97" s="4">
        <v>40</v>
      </c>
      <c r="T97" s="4">
        <v>2</v>
      </c>
      <c r="U97" s="4">
        <v>42</v>
      </c>
      <c r="V97" s="4">
        <v>0</v>
      </c>
      <c r="W97" s="4">
        <v>24</v>
      </c>
      <c r="X97" s="4">
        <v>37</v>
      </c>
      <c r="Y97" s="4">
        <v>74</v>
      </c>
      <c r="Z97" s="4">
        <v>1</v>
      </c>
      <c r="AA97" s="4">
        <v>7</v>
      </c>
      <c r="AB97" s="4">
        <v>0</v>
      </c>
      <c r="AC97" s="4">
        <v>0</v>
      </c>
      <c r="AD97" s="4">
        <v>0</v>
      </c>
      <c r="AE97" s="4">
        <v>0</v>
      </c>
      <c r="AF97" s="4">
        <v>219</v>
      </c>
      <c r="AG97" s="4">
        <v>263</v>
      </c>
      <c r="AH97" s="4">
        <v>72</v>
      </c>
      <c r="AI97" s="4">
        <v>93007</v>
      </c>
      <c r="AJ97" s="4">
        <v>4</v>
      </c>
      <c r="AK97" s="4">
        <v>34946</v>
      </c>
      <c r="AL97" s="4">
        <v>0</v>
      </c>
      <c r="AM97" s="4">
        <v>5.1999999999999998E-3</v>
      </c>
      <c r="AN97" s="4">
        <v>159440</v>
      </c>
      <c r="AO97" s="4">
        <v>1.01</v>
      </c>
      <c r="AP97" s="4">
        <v>0</v>
      </c>
      <c r="AQ97" s="4">
        <v>65</v>
      </c>
      <c r="AR97" s="4">
        <v>623</v>
      </c>
      <c r="AS97" s="4">
        <v>2901.76</v>
      </c>
      <c r="AT97" s="4">
        <v>2</v>
      </c>
      <c r="AU97" s="4">
        <v>48</v>
      </c>
      <c r="AV97" s="4">
        <v>42</v>
      </c>
      <c r="AW97" s="4">
        <v>20</v>
      </c>
      <c r="AX97" s="4">
        <v>9</v>
      </c>
      <c r="AY97" s="1"/>
      <c r="AZ97" s="1"/>
    </row>
    <row r="98" spans="1:52" ht="15.6">
      <c r="A98" s="1" t="s">
        <v>201</v>
      </c>
      <c r="B98" s="1" t="s">
        <v>431</v>
      </c>
      <c r="C98" s="1" t="s">
        <v>205</v>
      </c>
      <c r="D98" s="1" t="s">
        <v>431</v>
      </c>
      <c r="E98" s="1" t="s">
        <v>546</v>
      </c>
      <c r="F98" s="48">
        <v>45122</v>
      </c>
      <c r="G98" s="1" t="s">
        <v>104</v>
      </c>
      <c r="H98" s="4">
        <v>0</v>
      </c>
      <c r="I98" s="4">
        <v>5375001</v>
      </c>
      <c r="J98" s="4">
        <v>3059636.97</v>
      </c>
      <c r="K98" s="4">
        <v>0</v>
      </c>
      <c r="L98" s="4">
        <v>57</v>
      </c>
      <c r="M98" s="4">
        <v>44</v>
      </c>
      <c r="N98" s="4">
        <v>2</v>
      </c>
      <c r="O98" s="4">
        <v>59</v>
      </c>
      <c r="P98" s="4">
        <v>15</v>
      </c>
      <c r="Q98" s="4">
        <v>3014110.05</v>
      </c>
      <c r="R98" s="4">
        <v>45526.92</v>
      </c>
      <c r="S98" s="4">
        <v>32</v>
      </c>
      <c r="T98" s="4">
        <v>2</v>
      </c>
      <c r="U98" s="4">
        <v>34</v>
      </c>
      <c r="V98" s="4">
        <v>0</v>
      </c>
      <c r="W98" s="4">
        <v>58</v>
      </c>
      <c r="X98" s="4">
        <v>79</v>
      </c>
      <c r="Y98" s="4">
        <v>315</v>
      </c>
      <c r="Z98" s="4">
        <v>1</v>
      </c>
      <c r="AA98" s="4">
        <v>1</v>
      </c>
      <c r="AB98" s="4">
        <v>0</v>
      </c>
      <c r="AC98" s="4">
        <v>0</v>
      </c>
      <c r="AD98" s="4">
        <v>1</v>
      </c>
      <c r="AE98" s="4">
        <v>1</v>
      </c>
      <c r="AF98" s="4">
        <v>401</v>
      </c>
      <c r="AG98" s="4">
        <v>482</v>
      </c>
      <c r="AH98" s="4">
        <v>70</v>
      </c>
      <c r="AI98" s="4">
        <v>43709</v>
      </c>
      <c r="AJ98" s="4">
        <v>7</v>
      </c>
      <c r="AK98" s="4">
        <v>30785</v>
      </c>
      <c r="AL98" s="4">
        <v>0</v>
      </c>
      <c r="AM98" s="4">
        <v>1.01E-2</v>
      </c>
      <c r="AN98" s="4">
        <v>89989</v>
      </c>
      <c r="AO98" s="4">
        <v>0.56999999999999995</v>
      </c>
      <c r="AP98" s="4">
        <v>0</v>
      </c>
      <c r="AQ98" s="4">
        <v>88</v>
      </c>
      <c r="AR98" s="4">
        <v>497</v>
      </c>
      <c r="AS98" s="4">
        <v>3268.09</v>
      </c>
      <c r="AT98" s="4">
        <v>2</v>
      </c>
      <c r="AU98" s="4">
        <v>74</v>
      </c>
      <c r="AV98" s="4">
        <v>34</v>
      </c>
      <c r="AW98" s="4">
        <v>12</v>
      </c>
      <c r="AX98" s="4">
        <v>13</v>
      </c>
      <c r="AY98" s="1"/>
      <c r="AZ98" s="1"/>
    </row>
    <row r="99" spans="1:52" ht="15.6">
      <c r="A99" s="1" t="s">
        <v>201</v>
      </c>
      <c r="B99" s="1" t="s">
        <v>469</v>
      </c>
      <c r="C99" s="1" t="s">
        <v>208</v>
      </c>
      <c r="D99" s="1" t="s">
        <v>432</v>
      </c>
      <c r="E99" s="1" t="s">
        <v>552</v>
      </c>
      <c r="F99" s="104">
        <v>45145</v>
      </c>
      <c r="G99" s="1" t="s">
        <v>110</v>
      </c>
      <c r="H99" s="4">
        <v>0</v>
      </c>
      <c r="I99" s="4">
        <v>5499999</v>
      </c>
      <c r="J99" s="4">
        <v>2456164.7999999998</v>
      </c>
      <c r="K99" s="4">
        <v>136605.10999999999</v>
      </c>
      <c r="L99" s="4">
        <v>71</v>
      </c>
      <c r="M99" s="4">
        <v>59</v>
      </c>
      <c r="N99" s="4">
        <v>0</v>
      </c>
      <c r="O99" s="4">
        <v>71</v>
      </c>
      <c r="P99" s="4">
        <v>12</v>
      </c>
      <c r="Q99" s="4">
        <v>2456164.7999999998</v>
      </c>
      <c r="R99" s="4">
        <v>0</v>
      </c>
      <c r="S99" s="4">
        <v>31</v>
      </c>
      <c r="T99" s="4">
        <v>0</v>
      </c>
      <c r="U99" s="4">
        <v>31</v>
      </c>
      <c r="V99" s="4">
        <v>1</v>
      </c>
      <c r="W99" s="4">
        <v>25</v>
      </c>
      <c r="X99" s="4">
        <v>35</v>
      </c>
      <c r="Y99" s="4">
        <v>195</v>
      </c>
      <c r="Z99" s="4">
        <v>1</v>
      </c>
      <c r="AA99" s="4">
        <v>16</v>
      </c>
      <c r="AB99" s="4">
        <v>1</v>
      </c>
      <c r="AC99" s="4">
        <v>3</v>
      </c>
      <c r="AD99" s="4">
        <v>0</v>
      </c>
      <c r="AE99" s="4">
        <v>0</v>
      </c>
      <c r="AF99" s="4">
        <v>240</v>
      </c>
      <c r="AG99" s="4">
        <v>294</v>
      </c>
      <c r="AH99" s="4">
        <v>71</v>
      </c>
      <c r="AI99" s="4">
        <v>34594</v>
      </c>
      <c r="AJ99" s="4">
        <v>4</v>
      </c>
      <c r="AK99" s="4">
        <v>33259</v>
      </c>
      <c r="AL99" s="4">
        <v>0</v>
      </c>
      <c r="AM99" s="4">
        <v>1.35E-2</v>
      </c>
      <c r="AN99" s="4">
        <v>79231</v>
      </c>
      <c r="AO99" s="4">
        <v>0.45</v>
      </c>
      <c r="AP99" s="4">
        <v>0</v>
      </c>
      <c r="AQ99" s="4">
        <v>118</v>
      </c>
      <c r="AR99" s="4">
        <v>663</v>
      </c>
      <c r="AS99" s="4">
        <v>4098.07</v>
      </c>
      <c r="AT99" s="4">
        <v>0</v>
      </c>
      <c r="AU99" s="4">
        <v>69</v>
      </c>
      <c r="AV99" s="4">
        <v>31</v>
      </c>
      <c r="AW99" s="4">
        <v>29</v>
      </c>
      <c r="AX99" s="4">
        <v>11</v>
      </c>
      <c r="AY99" s="1"/>
      <c r="AZ99" s="1"/>
    </row>
    <row r="100" spans="1:52" ht="15.6">
      <c r="A100" s="1" t="s">
        <v>118</v>
      </c>
      <c r="B100" s="1" t="s">
        <v>362</v>
      </c>
      <c r="C100" s="1" t="s">
        <v>210</v>
      </c>
      <c r="D100" s="1" t="s">
        <v>419</v>
      </c>
      <c r="E100" s="1" t="s">
        <v>553</v>
      </c>
      <c r="F100" s="48">
        <v>45148</v>
      </c>
      <c r="G100" s="1" t="s">
        <v>29</v>
      </c>
      <c r="H100" s="4">
        <v>0</v>
      </c>
      <c r="I100" s="4">
        <v>5199999</v>
      </c>
      <c r="J100" s="4">
        <v>2886513.97</v>
      </c>
      <c r="K100" s="4">
        <v>0</v>
      </c>
      <c r="L100" s="4">
        <v>101</v>
      </c>
      <c r="M100" s="4">
        <v>93</v>
      </c>
      <c r="N100" s="4">
        <v>0</v>
      </c>
      <c r="O100" s="4">
        <v>101</v>
      </c>
      <c r="P100" s="4">
        <v>8</v>
      </c>
      <c r="Q100" s="4">
        <v>2886513.97</v>
      </c>
      <c r="R100" s="4">
        <v>0</v>
      </c>
      <c r="S100" s="4">
        <v>40</v>
      </c>
      <c r="T100" s="4">
        <v>0</v>
      </c>
      <c r="U100" s="4">
        <v>40</v>
      </c>
      <c r="V100" s="4">
        <v>0</v>
      </c>
      <c r="W100" s="4">
        <v>36</v>
      </c>
      <c r="X100" s="4">
        <v>44</v>
      </c>
      <c r="Y100" s="4">
        <v>219</v>
      </c>
      <c r="Z100" s="4">
        <v>2</v>
      </c>
      <c r="AA100" s="4">
        <v>22</v>
      </c>
      <c r="AB100" s="4">
        <v>0</v>
      </c>
      <c r="AC100" s="4">
        <v>0</v>
      </c>
      <c r="AD100" s="4">
        <v>0</v>
      </c>
      <c r="AE100" s="4">
        <v>0</v>
      </c>
      <c r="AF100" s="4">
        <v>302</v>
      </c>
      <c r="AG100" s="4">
        <v>368</v>
      </c>
      <c r="AH100" s="4">
        <v>64</v>
      </c>
      <c r="AI100" s="4">
        <v>45102</v>
      </c>
      <c r="AJ100" s="4">
        <v>6</v>
      </c>
      <c r="AK100" s="4">
        <v>26870</v>
      </c>
      <c r="AL100" s="4">
        <v>0</v>
      </c>
      <c r="AM100" s="4">
        <v>9.2999999999999992E-3</v>
      </c>
      <c r="AN100" s="4">
        <v>72163</v>
      </c>
      <c r="AO100" s="4">
        <v>0.56000000000000005</v>
      </c>
      <c r="AP100" s="4">
        <v>0</v>
      </c>
      <c r="AQ100" s="4">
        <v>61</v>
      </c>
      <c r="AR100" s="4">
        <v>726</v>
      </c>
      <c r="AS100" s="4">
        <v>5037.79</v>
      </c>
      <c r="AT100" s="4">
        <v>0</v>
      </c>
      <c r="AU100" s="4">
        <v>54</v>
      </c>
      <c r="AV100" s="4">
        <v>40</v>
      </c>
      <c r="AW100" s="4">
        <v>53</v>
      </c>
      <c r="AX100" s="4">
        <v>8</v>
      </c>
      <c r="AY100" s="48">
        <v>46022</v>
      </c>
      <c r="AZ100" s="48"/>
    </row>
    <row r="101" spans="1:52" ht="15.6">
      <c r="A101" s="1" t="s">
        <v>201</v>
      </c>
      <c r="B101" s="1" t="s">
        <v>469</v>
      </c>
      <c r="C101" s="1" t="s">
        <v>211</v>
      </c>
      <c r="D101" s="1" t="s">
        <v>470</v>
      </c>
      <c r="E101" s="1" t="s">
        <v>471</v>
      </c>
      <c r="F101" s="48">
        <v>45152</v>
      </c>
      <c r="G101" s="1" t="s">
        <v>110</v>
      </c>
      <c r="H101" s="4">
        <v>0</v>
      </c>
      <c r="I101" s="4">
        <v>6000000</v>
      </c>
      <c r="J101" s="4">
        <v>5686697.6299999999</v>
      </c>
      <c r="K101" s="4">
        <v>0</v>
      </c>
      <c r="L101" s="4">
        <v>120</v>
      </c>
      <c r="M101" s="4">
        <v>86</v>
      </c>
      <c r="N101" s="4">
        <v>6</v>
      </c>
      <c r="O101" s="4">
        <v>126</v>
      </c>
      <c r="P101" s="4">
        <v>40</v>
      </c>
      <c r="Q101" s="4">
        <v>5186126.41</v>
      </c>
      <c r="R101" s="4">
        <v>500571.22</v>
      </c>
      <c r="S101" s="4">
        <v>65</v>
      </c>
      <c r="T101" s="4">
        <v>5</v>
      </c>
      <c r="U101" s="4">
        <v>70</v>
      </c>
      <c r="V101" s="4">
        <v>0</v>
      </c>
      <c r="W101" s="4">
        <v>32</v>
      </c>
      <c r="X101" s="4">
        <v>36</v>
      </c>
      <c r="Y101" s="4">
        <v>266</v>
      </c>
      <c r="Z101" s="4">
        <v>4</v>
      </c>
      <c r="AA101" s="4">
        <v>25</v>
      </c>
      <c r="AB101" s="4">
        <v>0</v>
      </c>
      <c r="AC101" s="4">
        <v>0</v>
      </c>
      <c r="AD101" s="4">
        <v>1</v>
      </c>
      <c r="AE101" s="4">
        <v>14</v>
      </c>
      <c r="AF101" s="4">
        <v>200</v>
      </c>
      <c r="AG101" s="4">
        <v>275</v>
      </c>
      <c r="AH101" s="4">
        <v>72</v>
      </c>
      <c r="AI101" s="4">
        <v>78982</v>
      </c>
      <c r="AJ101" s="4">
        <v>4</v>
      </c>
      <c r="AK101" s="4">
        <v>34708</v>
      </c>
      <c r="AL101" s="4">
        <v>0</v>
      </c>
      <c r="AM101" s="4">
        <v>6.1000000000000004E-3</v>
      </c>
      <c r="AN101" s="4">
        <v>81239</v>
      </c>
      <c r="AO101" s="4">
        <v>0.95</v>
      </c>
      <c r="AP101" s="4">
        <v>0</v>
      </c>
      <c r="AQ101" s="4">
        <v>278</v>
      </c>
      <c r="AR101" s="4">
        <v>628</v>
      </c>
      <c r="AS101" s="4">
        <v>4087.32</v>
      </c>
      <c r="AT101" s="4">
        <v>5</v>
      </c>
      <c r="AU101" s="4">
        <v>48</v>
      </c>
      <c r="AV101" s="4">
        <v>70</v>
      </c>
      <c r="AW101" s="4">
        <v>25</v>
      </c>
      <c r="AX101" s="4">
        <v>31</v>
      </c>
      <c r="AY101" s="1"/>
      <c r="AZ101" s="1"/>
    </row>
    <row r="102" spans="1:52" ht="15.6">
      <c r="A102" s="1" t="s">
        <v>124</v>
      </c>
      <c r="B102" s="1" t="s">
        <v>443</v>
      </c>
      <c r="C102" s="1" t="s">
        <v>212</v>
      </c>
      <c r="D102" s="1" t="s">
        <v>517</v>
      </c>
      <c r="E102" s="1" t="s">
        <v>554</v>
      </c>
      <c r="F102" s="48">
        <v>45159</v>
      </c>
      <c r="G102" s="1" t="s">
        <v>124</v>
      </c>
      <c r="H102" s="4">
        <v>0</v>
      </c>
      <c r="I102" s="4">
        <v>4500000</v>
      </c>
      <c r="J102" s="4">
        <v>3097125.1</v>
      </c>
      <c r="K102" s="4">
        <v>0</v>
      </c>
      <c r="L102" s="4">
        <v>72</v>
      </c>
      <c r="M102" s="4">
        <v>61</v>
      </c>
      <c r="N102" s="4">
        <v>1</v>
      </c>
      <c r="O102" s="4">
        <v>73</v>
      </c>
      <c r="P102" s="4">
        <v>12</v>
      </c>
      <c r="Q102" s="4">
        <v>3086484.46</v>
      </c>
      <c r="R102" s="4">
        <v>10640.64</v>
      </c>
      <c r="S102" s="4">
        <v>37</v>
      </c>
      <c r="T102" s="4">
        <v>1</v>
      </c>
      <c r="U102" s="4">
        <v>38</v>
      </c>
      <c r="V102" s="4">
        <v>0</v>
      </c>
      <c r="W102" s="4">
        <v>22</v>
      </c>
      <c r="X102" s="4">
        <v>33</v>
      </c>
      <c r="Y102" s="4">
        <v>163</v>
      </c>
      <c r="Z102" s="4">
        <v>1</v>
      </c>
      <c r="AA102" s="4">
        <v>4</v>
      </c>
      <c r="AB102" s="4">
        <v>0</v>
      </c>
      <c r="AC102" s="4">
        <v>0</v>
      </c>
      <c r="AD102" s="4">
        <v>0</v>
      </c>
      <c r="AE102" s="4">
        <v>0</v>
      </c>
      <c r="AF102" s="4">
        <v>350</v>
      </c>
      <c r="AG102" s="4">
        <v>387</v>
      </c>
      <c r="AH102" s="4">
        <v>75</v>
      </c>
      <c r="AI102" s="4">
        <v>41295</v>
      </c>
      <c r="AJ102" s="4">
        <v>5</v>
      </c>
      <c r="AK102" s="4">
        <v>30195</v>
      </c>
      <c r="AL102" s="4">
        <v>0</v>
      </c>
      <c r="AM102" s="4">
        <v>9.7000000000000003E-3</v>
      </c>
      <c r="AN102" s="4">
        <v>81503</v>
      </c>
      <c r="AO102" s="4">
        <v>0.69</v>
      </c>
      <c r="AP102" s="4">
        <v>0</v>
      </c>
      <c r="AQ102" s="4">
        <v>91</v>
      </c>
      <c r="AR102" s="4">
        <v>790</v>
      </c>
      <c r="AS102" s="4">
        <v>5922.13</v>
      </c>
      <c r="AT102" s="4">
        <v>1</v>
      </c>
      <c r="AU102" s="4">
        <v>97</v>
      </c>
      <c r="AV102" s="4">
        <v>38</v>
      </c>
      <c r="AW102" s="4">
        <v>25</v>
      </c>
      <c r="AX102" s="4">
        <v>10</v>
      </c>
      <c r="AY102" s="1"/>
      <c r="AZ102" s="1"/>
    </row>
    <row r="103" spans="1:52" ht="15.6">
      <c r="A103" s="1" t="s">
        <v>118</v>
      </c>
      <c r="B103" s="1" t="s">
        <v>468</v>
      </c>
      <c r="C103" s="1" t="s">
        <v>213</v>
      </c>
      <c r="D103" s="1" t="s">
        <v>515</v>
      </c>
      <c r="E103" s="1" t="s">
        <v>555</v>
      </c>
      <c r="F103" s="104">
        <v>45170</v>
      </c>
      <c r="G103" s="1" t="s">
        <v>118</v>
      </c>
      <c r="H103" s="4">
        <v>0</v>
      </c>
      <c r="I103" s="4">
        <v>0</v>
      </c>
      <c r="J103" s="4">
        <v>0</v>
      </c>
      <c r="K103" s="4">
        <v>0</v>
      </c>
      <c r="L103" s="4">
        <v>215</v>
      </c>
      <c r="M103" s="4">
        <v>89</v>
      </c>
      <c r="N103" s="4">
        <v>6</v>
      </c>
      <c r="O103" s="4">
        <v>221</v>
      </c>
      <c r="P103" s="4">
        <v>132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14</v>
      </c>
      <c r="X103" s="4">
        <v>16</v>
      </c>
      <c r="Y103" s="4">
        <v>78</v>
      </c>
      <c r="Z103" s="4">
        <v>4</v>
      </c>
      <c r="AA103" s="4">
        <v>44</v>
      </c>
      <c r="AB103" s="4">
        <v>0</v>
      </c>
      <c r="AC103" s="4">
        <v>0</v>
      </c>
      <c r="AD103" s="4">
        <v>0</v>
      </c>
      <c r="AE103" s="4">
        <v>0</v>
      </c>
      <c r="AF103" s="4">
        <v>147</v>
      </c>
      <c r="AG103" s="4">
        <v>207</v>
      </c>
      <c r="AH103" s="4">
        <v>64</v>
      </c>
      <c r="AI103" s="4">
        <v>0</v>
      </c>
      <c r="AJ103" s="4">
        <v>3</v>
      </c>
      <c r="AK103" s="4">
        <v>95640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598</v>
      </c>
      <c r="AS103" s="4">
        <v>3603.13</v>
      </c>
      <c r="AT103" s="4">
        <v>0</v>
      </c>
      <c r="AU103" s="4">
        <v>40</v>
      </c>
      <c r="AV103" s="4">
        <v>0</v>
      </c>
      <c r="AW103" s="4">
        <v>89</v>
      </c>
      <c r="AX103" s="4">
        <v>132</v>
      </c>
      <c r="AY103" s="1"/>
      <c r="AZ103" s="1"/>
    </row>
    <row r="104" spans="1:52" ht="15.6">
      <c r="A104" s="1" t="s">
        <v>201</v>
      </c>
      <c r="B104" s="1" t="s">
        <v>431</v>
      </c>
      <c r="C104" s="1" t="s">
        <v>214</v>
      </c>
      <c r="D104" s="1" t="s">
        <v>556</v>
      </c>
      <c r="E104" s="1" t="s">
        <v>557</v>
      </c>
      <c r="F104" s="104">
        <v>45171</v>
      </c>
      <c r="G104" s="1" t="s">
        <v>121</v>
      </c>
      <c r="H104" s="4">
        <v>0</v>
      </c>
      <c r="I104" s="4">
        <v>2000000</v>
      </c>
      <c r="J104" s="4">
        <v>95477.06</v>
      </c>
      <c r="K104" s="4">
        <v>0</v>
      </c>
      <c r="L104" s="4">
        <v>28</v>
      </c>
      <c r="M104" s="4">
        <v>22</v>
      </c>
      <c r="N104" s="4">
        <v>6</v>
      </c>
      <c r="O104" s="4">
        <v>34</v>
      </c>
      <c r="P104" s="4">
        <v>12</v>
      </c>
      <c r="Q104" s="4">
        <v>95477.06</v>
      </c>
      <c r="R104" s="4">
        <v>0</v>
      </c>
      <c r="S104" s="4">
        <v>6</v>
      </c>
      <c r="T104" s="4">
        <v>0</v>
      </c>
      <c r="U104" s="4">
        <v>6</v>
      </c>
      <c r="V104" s="4">
        <v>0</v>
      </c>
      <c r="W104" s="4">
        <v>23</v>
      </c>
      <c r="X104" s="4">
        <v>28</v>
      </c>
      <c r="Y104" s="4">
        <v>230</v>
      </c>
      <c r="Z104" s="4">
        <v>3</v>
      </c>
      <c r="AA104" s="4">
        <v>24</v>
      </c>
      <c r="AB104" s="4">
        <v>0</v>
      </c>
      <c r="AC104" s="4">
        <v>0</v>
      </c>
      <c r="AD104" s="4">
        <v>12</v>
      </c>
      <c r="AE104" s="4">
        <v>31</v>
      </c>
      <c r="AF104" s="4">
        <v>129</v>
      </c>
      <c r="AG104" s="4">
        <v>212</v>
      </c>
      <c r="AH104" s="4">
        <v>48</v>
      </c>
      <c r="AI104" s="4">
        <v>1989</v>
      </c>
      <c r="AJ104" s="4">
        <v>4</v>
      </c>
      <c r="AK104" s="4">
        <v>34940</v>
      </c>
      <c r="AL104" s="4">
        <v>0</v>
      </c>
      <c r="AM104" s="4">
        <v>0.36599999999999999</v>
      </c>
      <c r="AN104" s="4">
        <v>15913</v>
      </c>
      <c r="AO104" s="4">
        <v>0.05</v>
      </c>
      <c r="AP104" s="4">
        <v>0</v>
      </c>
      <c r="AQ104" s="4">
        <v>9</v>
      </c>
      <c r="AR104" s="4">
        <v>432</v>
      </c>
      <c r="AS104" s="4">
        <v>1820.91</v>
      </c>
      <c r="AT104" s="4">
        <v>0</v>
      </c>
      <c r="AU104" s="4">
        <v>83</v>
      </c>
      <c r="AV104" s="4">
        <v>6</v>
      </c>
      <c r="AW104" s="4">
        <v>16</v>
      </c>
      <c r="AX104" s="4">
        <v>12</v>
      </c>
      <c r="AY104" s="48">
        <v>45991</v>
      </c>
      <c r="AZ104" s="48"/>
    </row>
    <row r="105" spans="1:52" ht="15.6">
      <c r="A105" s="1" t="s">
        <v>118</v>
      </c>
      <c r="B105" s="1" t="s">
        <v>468</v>
      </c>
      <c r="C105" s="1" t="s">
        <v>215</v>
      </c>
      <c r="D105" s="1" t="s">
        <v>509</v>
      </c>
      <c r="E105" s="1" t="s">
        <v>558</v>
      </c>
      <c r="F105" s="48">
        <v>45184</v>
      </c>
      <c r="G105" s="1" t="s">
        <v>118</v>
      </c>
      <c r="H105" s="4">
        <v>0</v>
      </c>
      <c r="I105" s="4">
        <v>5574999</v>
      </c>
      <c r="J105" s="4">
        <v>4546754.71</v>
      </c>
      <c r="K105" s="4">
        <v>0</v>
      </c>
      <c r="L105" s="4">
        <v>49</v>
      </c>
      <c r="M105" s="4">
        <v>43</v>
      </c>
      <c r="N105" s="4">
        <v>5</v>
      </c>
      <c r="O105" s="4">
        <v>54</v>
      </c>
      <c r="P105" s="4">
        <v>11</v>
      </c>
      <c r="Q105" s="4">
        <v>3592692.79</v>
      </c>
      <c r="R105" s="4">
        <v>954061.92</v>
      </c>
      <c r="S105" s="4">
        <v>14</v>
      </c>
      <c r="T105" s="4">
        <v>5</v>
      </c>
      <c r="U105" s="4">
        <v>19</v>
      </c>
      <c r="V105" s="4">
        <v>0</v>
      </c>
      <c r="W105" s="4">
        <v>22</v>
      </c>
      <c r="X105" s="4">
        <v>27</v>
      </c>
      <c r="Y105" s="4">
        <v>118</v>
      </c>
      <c r="Z105" s="4">
        <v>1</v>
      </c>
      <c r="AA105" s="4">
        <v>5</v>
      </c>
      <c r="AB105" s="4">
        <v>0</v>
      </c>
      <c r="AC105" s="4">
        <v>0</v>
      </c>
      <c r="AD105" s="4">
        <v>0</v>
      </c>
      <c r="AE105" s="4">
        <v>0</v>
      </c>
      <c r="AF105" s="4">
        <v>227</v>
      </c>
      <c r="AG105" s="4">
        <v>259</v>
      </c>
      <c r="AH105" s="4">
        <v>77</v>
      </c>
      <c r="AI105" s="4">
        <v>59049</v>
      </c>
      <c r="AJ105" s="4">
        <v>3</v>
      </c>
      <c r="AK105" s="4">
        <v>36400</v>
      </c>
      <c r="AL105" s="4">
        <v>0</v>
      </c>
      <c r="AM105" s="4">
        <v>8.0000000000000002E-3</v>
      </c>
      <c r="AN105" s="4">
        <v>239303</v>
      </c>
      <c r="AO105" s="4">
        <v>0.82</v>
      </c>
      <c r="AP105" s="4">
        <v>0</v>
      </c>
      <c r="AQ105" s="4">
        <v>38</v>
      </c>
      <c r="AR105" s="4">
        <v>660</v>
      </c>
      <c r="AS105" s="4">
        <v>3605.78</v>
      </c>
      <c r="AT105" s="4">
        <v>5</v>
      </c>
      <c r="AU105" s="4">
        <v>84</v>
      </c>
      <c r="AV105" s="4">
        <v>19</v>
      </c>
      <c r="AW105" s="4">
        <v>24</v>
      </c>
      <c r="AX105" s="4">
        <v>11</v>
      </c>
      <c r="AY105" s="1"/>
      <c r="AZ105" s="1"/>
    </row>
    <row r="106" spans="1:52" ht="15.6">
      <c r="A106" s="1" t="s">
        <v>118</v>
      </c>
      <c r="B106" s="1" t="s">
        <v>372</v>
      </c>
      <c r="C106" s="1" t="s">
        <v>216</v>
      </c>
      <c r="D106" s="1" t="s">
        <v>356</v>
      </c>
      <c r="E106" s="1" t="s">
        <v>291</v>
      </c>
      <c r="F106" s="48">
        <v>45182</v>
      </c>
      <c r="G106" s="1" t="s">
        <v>120</v>
      </c>
      <c r="H106" s="4">
        <v>0</v>
      </c>
      <c r="I106" s="4">
        <v>0</v>
      </c>
      <c r="J106" s="4">
        <v>0</v>
      </c>
      <c r="K106" s="4">
        <v>0</v>
      </c>
      <c r="L106" s="4">
        <v>46</v>
      </c>
      <c r="M106" s="4">
        <v>0</v>
      </c>
      <c r="N106" s="4">
        <v>0</v>
      </c>
      <c r="O106" s="4">
        <v>46</v>
      </c>
      <c r="P106" s="4">
        <v>46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89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1"/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46</v>
      </c>
      <c r="AY106" s="108">
        <v>45421</v>
      </c>
      <c r="AZ106" s="108"/>
    </row>
    <row r="107" spans="1:52" ht="15.6">
      <c r="A107" s="1" t="s">
        <v>201</v>
      </c>
      <c r="B107" s="1" t="s">
        <v>431</v>
      </c>
      <c r="C107" s="1" t="s">
        <v>217</v>
      </c>
      <c r="D107" s="1" t="s">
        <v>431</v>
      </c>
      <c r="E107" s="1" t="s">
        <v>531</v>
      </c>
      <c r="F107" s="48">
        <v>45187</v>
      </c>
      <c r="G107" s="1" t="s">
        <v>121</v>
      </c>
      <c r="H107" s="4">
        <v>0</v>
      </c>
      <c r="I107" s="4">
        <v>5499999</v>
      </c>
      <c r="J107" s="4">
        <v>3538715.91</v>
      </c>
      <c r="K107" s="4">
        <v>0</v>
      </c>
      <c r="L107" s="4">
        <v>141</v>
      </c>
      <c r="M107" s="4">
        <v>95</v>
      </c>
      <c r="N107" s="4">
        <v>11</v>
      </c>
      <c r="O107" s="4">
        <v>152</v>
      </c>
      <c r="P107" s="4">
        <v>57</v>
      </c>
      <c r="Q107" s="4">
        <v>3334881</v>
      </c>
      <c r="R107" s="4">
        <v>203834.91</v>
      </c>
      <c r="S107" s="4">
        <v>62</v>
      </c>
      <c r="T107" s="4">
        <v>7</v>
      </c>
      <c r="U107" s="4">
        <v>69</v>
      </c>
      <c r="V107" s="4">
        <v>0</v>
      </c>
      <c r="W107" s="4">
        <v>18</v>
      </c>
      <c r="X107" s="4">
        <v>22</v>
      </c>
      <c r="Y107" s="4">
        <v>214</v>
      </c>
      <c r="Z107" s="4">
        <v>2</v>
      </c>
      <c r="AA107" s="4">
        <v>32</v>
      </c>
      <c r="AB107" s="4">
        <v>0</v>
      </c>
      <c r="AC107" s="4">
        <v>0</v>
      </c>
      <c r="AD107" s="4">
        <v>0</v>
      </c>
      <c r="AE107" s="4">
        <v>0</v>
      </c>
      <c r="AF107" s="4">
        <v>333</v>
      </c>
      <c r="AG107" s="4">
        <v>387</v>
      </c>
      <c r="AH107" s="4">
        <v>74</v>
      </c>
      <c r="AI107" s="4">
        <v>47820</v>
      </c>
      <c r="AJ107" s="4">
        <v>5</v>
      </c>
      <c r="AK107" s="4">
        <v>32670</v>
      </c>
      <c r="AL107" s="4">
        <v>0</v>
      </c>
      <c r="AM107" s="4">
        <v>9.1999999999999998E-3</v>
      </c>
      <c r="AN107" s="4">
        <v>51286</v>
      </c>
      <c r="AO107" s="4">
        <v>0.64</v>
      </c>
      <c r="AP107" s="4">
        <v>0</v>
      </c>
      <c r="AQ107" s="4">
        <v>164</v>
      </c>
      <c r="AR107" s="4">
        <v>632</v>
      </c>
      <c r="AS107" s="4">
        <v>2860.12</v>
      </c>
      <c r="AT107" s="4">
        <v>7</v>
      </c>
      <c r="AU107" s="4">
        <v>30</v>
      </c>
      <c r="AV107" s="4">
        <v>69</v>
      </c>
      <c r="AW107" s="4">
        <v>32</v>
      </c>
      <c r="AX107" s="4">
        <v>51</v>
      </c>
      <c r="AY107" s="1"/>
      <c r="AZ107" s="1"/>
    </row>
    <row r="108" spans="1:52" ht="15.6">
      <c r="A108" s="1" t="s">
        <v>118</v>
      </c>
      <c r="B108" s="1" t="s">
        <v>362</v>
      </c>
      <c r="C108" s="1" t="s">
        <v>218</v>
      </c>
      <c r="D108" s="1" t="s">
        <v>559</v>
      </c>
      <c r="E108" s="1" t="s">
        <v>560</v>
      </c>
      <c r="F108" s="104">
        <v>45202</v>
      </c>
      <c r="G108" s="1" t="s">
        <v>91</v>
      </c>
      <c r="H108" s="4">
        <v>0</v>
      </c>
      <c r="I108" s="4">
        <v>1500000</v>
      </c>
      <c r="J108" s="4">
        <v>0</v>
      </c>
      <c r="K108" s="4">
        <v>0</v>
      </c>
      <c r="L108" s="4">
        <v>54</v>
      </c>
      <c r="M108" s="4">
        <v>14</v>
      </c>
      <c r="N108" s="4">
        <v>0</v>
      </c>
      <c r="O108" s="4">
        <v>54</v>
      </c>
      <c r="P108" s="4">
        <v>40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76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30</v>
      </c>
      <c r="AG108" s="4">
        <v>30</v>
      </c>
      <c r="AH108" s="4">
        <v>6</v>
      </c>
      <c r="AI108" s="4">
        <v>0</v>
      </c>
      <c r="AJ108" s="4">
        <v>5</v>
      </c>
      <c r="AK108" s="4">
        <v>25325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66</v>
      </c>
      <c r="AS108" s="4">
        <v>41.39</v>
      </c>
      <c r="AT108" s="4">
        <v>0</v>
      </c>
      <c r="AU108" s="4">
        <v>3</v>
      </c>
      <c r="AV108" s="4">
        <v>0</v>
      </c>
      <c r="AW108" s="4">
        <v>14</v>
      </c>
      <c r="AX108" s="4">
        <v>40</v>
      </c>
      <c r="AY108" s="48">
        <v>45943</v>
      </c>
      <c r="AZ108" s="48"/>
    </row>
    <row r="109" spans="1:52" ht="15.6">
      <c r="A109" s="1" t="s">
        <v>118</v>
      </c>
      <c r="B109" s="1" t="s">
        <v>362</v>
      </c>
      <c r="C109" s="1" t="s">
        <v>219</v>
      </c>
      <c r="D109" s="1" t="s">
        <v>419</v>
      </c>
      <c r="E109" s="1" t="s">
        <v>539</v>
      </c>
      <c r="F109" s="104">
        <v>45202</v>
      </c>
      <c r="G109" s="1" t="s">
        <v>118</v>
      </c>
      <c r="H109" s="4">
        <v>0</v>
      </c>
      <c r="I109" s="4">
        <v>0</v>
      </c>
      <c r="J109" s="4">
        <v>0</v>
      </c>
      <c r="K109" s="4">
        <v>0</v>
      </c>
      <c r="L109" s="4">
        <v>183</v>
      </c>
      <c r="M109" s="4">
        <v>76</v>
      </c>
      <c r="N109" s="4">
        <v>5</v>
      </c>
      <c r="O109" s="4">
        <v>188</v>
      </c>
      <c r="P109" s="4">
        <v>112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12</v>
      </c>
      <c r="X109" s="4">
        <v>17</v>
      </c>
      <c r="Y109" s="4">
        <v>28</v>
      </c>
      <c r="Z109" s="4">
        <v>21</v>
      </c>
      <c r="AA109" s="4">
        <v>44</v>
      </c>
      <c r="AB109" s="4">
        <v>1</v>
      </c>
      <c r="AC109" s="4">
        <v>1</v>
      </c>
      <c r="AD109" s="4">
        <v>0</v>
      </c>
      <c r="AE109" s="4">
        <v>0</v>
      </c>
      <c r="AF109" s="4">
        <v>131</v>
      </c>
      <c r="AG109" s="4">
        <v>193</v>
      </c>
      <c r="AH109" s="4">
        <v>75</v>
      </c>
      <c r="AI109" s="4">
        <v>0</v>
      </c>
      <c r="AJ109" s="4">
        <v>3</v>
      </c>
      <c r="AK109" s="4">
        <v>93820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768</v>
      </c>
      <c r="AS109" s="4">
        <v>5581.23</v>
      </c>
      <c r="AT109" s="4">
        <v>0</v>
      </c>
      <c r="AU109" s="4">
        <v>73</v>
      </c>
      <c r="AV109" s="4">
        <v>0</v>
      </c>
      <c r="AW109" s="4">
        <v>76</v>
      </c>
      <c r="AX109" s="4">
        <v>112</v>
      </c>
      <c r="AY109" s="1"/>
      <c r="AZ109" s="1"/>
    </row>
    <row r="110" spans="1:52" ht="15.6">
      <c r="A110" s="1" t="s">
        <v>136</v>
      </c>
      <c r="B110" s="1" t="s">
        <v>653</v>
      </c>
      <c r="C110" s="1" t="s">
        <v>220</v>
      </c>
      <c r="D110" s="1" t="s">
        <v>421</v>
      </c>
      <c r="E110" s="1" t="s">
        <v>424</v>
      </c>
      <c r="F110" s="104">
        <v>45208</v>
      </c>
      <c r="G110" s="1" t="s">
        <v>136</v>
      </c>
      <c r="H110" s="4">
        <v>500001</v>
      </c>
      <c r="I110" s="4">
        <v>3000000</v>
      </c>
      <c r="J110" s="4">
        <v>952695.51</v>
      </c>
      <c r="K110" s="4">
        <v>0</v>
      </c>
      <c r="L110" s="4">
        <v>21</v>
      </c>
      <c r="M110" s="4">
        <v>23</v>
      </c>
      <c r="N110" s="4">
        <v>4</v>
      </c>
      <c r="O110" s="4">
        <v>25</v>
      </c>
      <c r="P110" s="4">
        <v>2</v>
      </c>
      <c r="Q110" s="4">
        <v>753292.41</v>
      </c>
      <c r="R110" s="4">
        <v>199403.1</v>
      </c>
      <c r="S110" s="4">
        <v>9</v>
      </c>
      <c r="T110" s="4">
        <v>4</v>
      </c>
      <c r="U110" s="4">
        <v>13</v>
      </c>
      <c r="V110" s="4">
        <v>0</v>
      </c>
      <c r="W110" s="4">
        <v>10</v>
      </c>
      <c r="X110" s="4">
        <v>20</v>
      </c>
      <c r="Y110" s="4">
        <v>111</v>
      </c>
      <c r="Z110" s="4">
        <v>1</v>
      </c>
      <c r="AA110" s="4">
        <v>26</v>
      </c>
      <c r="AB110" s="4">
        <v>1</v>
      </c>
      <c r="AC110" s="4">
        <v>1</v>
      </c>
      <c r="AD110" s="4">
        <v>0</v>
      </c>
      <c r="AE110" s="4">
        <v>0</v>
      </c>
      <c r="AF110" s="4">
        <v>254</v>
      </c>
      <c r="AG110" s="4">
        <v>301</v>
      </c>
      <c r="AH110" s="4">
        <v>69</v>
      </c>
      <c r="AI110" s="4">
        <v>13807</v>
      </c>
      <c r="AJ110" s="4">
        <v>4</v>
      </c>
      <c r="AK110" s="4">
        <v>36018</v>
      </c>
      <c r="AL110" s="4">
        <v>0</v>
      </c>
      <c r="AM110" s="4">
        <v>3.78E-2</v>
      </c>
      <c r="AN110" s="4">
        <v>73284</v>
      </c>
      <c r="AO110" s="4">
        <v>0.32</v>
      </c>
      <c r="AP110" s="4">
        <v>0</v>
      </c>
      <c r="AQ110" s="4">
        <v>21</v>
      </c>
      <c r="AR110" s="4">
        <v>596</v>
      </c>
      <c r="AS110" s="4">
        <v>3176.3</v>
      </c>
      <c r="AT110" s="4">
        <v>4</v>
      </c>
      <c r="AU110" s="4">
        <v>138</v>
      </c>
      <c r="AV110" s="4">
        <v>13</v>
      </c>
      <c r="AW110" s="4">
        <v>11</v>
      </c>
      <c r="AX110" s="4">
        <v>1</v>
      </c>
      <c r="AY110" s="1"/>
      <c r="AZ110" s="1"/>
    </row>
    <row r="111" spans="1:52" ht="15.6">
      <c r="A111" s="1" t="s">
        <v>118</v>
      </c>
      <c r="B111" s="1" t="s">
        <v>372</v>
      </c>
      <c r="C111" s="1" t="s">
        <v>221</v>
      </c>
      <c r="D111" s="1" t="s">
        <v>515</v>
      </c>
      <c r="E111" s="1" t="s">
        <v>562</v>
      </c>
      <c r="F111" s="104">
        <v>45231</v>
      </c>
      <c r="G111" s="1" t="s">
        <v>138</v>
      </c>
      <c r="H111" s="4">
        <v>0</v>
      </c>
      <c r="I111" s="4">
        <v>4500000</v>
      </c>
      <c r="J111" s="4">
        <v>1003211.53</v>
      </c>
      <c r="K111" s="4">
        <v>0</v>
      </c>
      <c r="L111" s="4">
        <v>40</v>
      </c>
      <c r="M111" s="4">
        <v>36</v>
      </c>
      <c r="N111" s="4">
        <v>0</v>
      </c>
      <c r="O111" s="4">
        <v>40</v>
      </c>
      <c r="P111" s="4">
        <v>4</v>
      </c>
      <c r="Q111" s="4">
        <v>1003211.53</v>
      </c>
      <c r="R111" s="4">
        <v>0</v>
      </c>
      <c r="S111" s="4">
        <v>4</v>
      </c>
      <c r="T111" s="4">
        <v>0</v>
      </c>
      <c r="U111" s="4">
        <v>4</v>
      </c>
      <c r="V111" s="4">
        <v>0</v>
      </c>
      <c r="W111" s="4">
        <v>19</v>
      </c>
      <c r="X111" s="4">
        <v>29</v>
      </c>
      <c r="Y111" s="4">
        <v>79</v>
      </c>
      <c r="Z111" s="4">
        <v>1</v>
      </c>
      <c r="AA111" s="4">
        <v>59</v>
      </c>
      <c r="AB111" s="4">
        <v>0</v>
      </c>
      <c r="AC111" s="4">
        <v>0</v>
      </c>
      <c r="AD111" s="4">
        <v>0</v>
      </c>
      <c r="AE111" s="4">
        <v>0</v>
      </c>
      <c r="AF111" s="4">
        <v>210</v>
      </c>
      <c r="AG111" s="4">
        <v>298</v>
      </c>
      <c r="AH111" s="4">
        <v>69</v>
      </c>
      <c r="AI111" s="4">
        <v>14539</v>
      </c>
      <c r="AJ111" s="4">
        <v>4</v>
      </c>
      <c r="AK111" s="4">
        <v>25803</v>
      </c>
      <c r="AL111" s="4">
        <v>0</v>
      </c>
      <c r="AM111" s="4">
        <v>2.5700000000000001E-2</v>
      </c>
      <c r="AN111" s="4">
        <v>250803</v>
      </c>
      <c r="AO111" s="4">
        <v>0.22</v>
      </c>
      <c r="AP111" s="4">
        <v>0</v>
      </c>
      <c r="AQ111" s="4">
        <v>5</v>
      </c>
      <c r="AR111" s="4">
        <v>608</v>
      </c>
      <c r="AS111" s="4">
        <v>2623.44</v>
      </c>
      <c r="AT111" s="4">
        <v>0</v>
      </c>
      <c r="AU111" s="4">
        <v>73</v>
      </c>
      <c r="AV111" s="4">
        <v>4</v>
      </c>
      <c r="AW111" s="4">
        <v>32</v>
      </c>
      <c r="AX111" s="4">
        <v>4</v>
      </c>
      <c r="AY111" s="1"/>
      <c r="AZ111" s="1"/>
    </row>
    <row r="112" spans="1:52" ht="15.6">
      <c r="A112" s="1" t="s">
        <v>118</v>
      </c>
      <c r="B112" s="1" t="s">
        <v>372</v>
      </c>
      <c r="C112" s="1" t="s">
        <v>222</v>
      </c>
      <c r="D112" s="1" t="s">
        <v>447</v>
      </c>
      <c r="E112" s="1" t="s">
        <v>564</v>
      </c>
      <c r="F112" s="104">
        <v>45233</v>
      </c>
      <c r="G112" s="1" t="s">
        <v>93</v>
      </c>
      <c r="H112" s="4">
        <v>0</v>
      </c>
      <c r="I112" s="4">
        <v>4500000</v>
      </c>
      <c r="J112" s="4">
        <v>2940046.07</v>
      </c>
      <c r="K112" s="4">
        <v>0</v>
      </c>
      <c r="L112" s="4">
        <v>56</v>
      </c>
      <c r="M112" s="4">
        <v>49</v>
      </c>
      <c r="N112" s="4">
        <v>3</v>
      </c>
      <c r="O112" s="4">
        <v>59</v>
      </c>
      <c r="P112" s="4">
        <v>10</v>
      </c>
      <c r="Q112" s="4">
        <v>2796595.89</v>
      </c>
      <c r="R112" s="4">
        <v>143450.18</v>
      </c>
      <c r="S112" s="4">
        <v>37</v>
      </c>
      <c r="T112" s="4">
        <v>3</v>
      </c>
      <c r="U112" s="4">
        <v>40</v>
      </c>
      <c r="V112" s="4">
        <v>0</v>
      </c>
      <c r="W112" s="4">
        <v>31</v>
      </c>
      <c r="X112" s="4">
        <v>43</v>
      </c>
      <c r="Y112" s="4">
        <v>85</v>
      </c>
      <c r="Z112" s="4">
        <v>3</v>
      </c>
      <c r="AA112" s="4">
        <v>45</v>
      </c>
      <c r="AB112" s="4">
        <v>2</v>
      </c>
      <c r="AC112" s="4">
        <v>3</v>
      </c>
      <c r="AD112" s="4">
        <v>1</v>
      </c>
      <c r="AE112" s="4">
        <v>1</v>
      </c>
      <c r="AF112" s="4">
        <v>183</v>
      </c>
      <c r="AG112" s="4">
        <v>275</v>
      </c>
      <c r="AH112" s="4">
        <v>70</v>
      </c>
      <c r="AI112" s="4">
        <v>42001</v>
      </c>
      <c r="AJ112" s="4">
        <v>4</v>
      </c>
      <c r="AK112" s="4">
        <v>26530</v>
      </c>
      <c r="AL112" s="4">
        <v>0</v>
      </c>
      <c r="AM112" s="4">
        <v>8.9999999999999993E-3</v>
      </c>
      <c r="AN112" s="4">
        <v>73501</v>
      </c>
      <c r="AO112" s="4">
        <v>0.65</v>
      </c>
      <c r="AP112" s="4">
        <v>0</v>
      </c>
      <c r="AQ112" s="4">
        <v>63</v>
      </c>
      <c r="AR112" s="4">
        <v>723</v>
      </c>
      <c r="AS112" s="4">
        <v>4029.01</v>
      </c>
      <c r="AT112" s="4">
        <v>3</v>
      </c>
      <c r="AU112" s="4">
        <v>82</v>
      </c>
      <c r="AV112" s="4">
        <v>40</v>
      </c>
      <c r="AW112" s="4">
        <v>15</v>
      </c>
      <c r="AX112" s="4">
        <v>4</v>
      </c>
      <c r="AY112" s="1"/>
      <c r="AZ112" s="1"/>
    </row>
    <row r="113" spans="1:52" ht="15.6">
      <c r="A113" s="1" t="s">
        <v>118</v>
      </c>
      <c r="B113" s="1" t="s">
        <v>372</v>
      </c>
      <c r="C113" s="1" t="s">
        <v>223</v>
      </c>
      <c r="D113" s="1" t="s">
        <v>447</v>
      </c>
      <c r="E113" s="1" t="s">
        <v>565</v>
      </c>
      <c r="F113" s="104">
        <v>45236</v>
      </c>
      <c r="G113" s="1" t="s">
        <v>93</v>
      </c>
      <c r="H113" s="4">
        <v>0</v>
      </c>
      <c r="I113" s="4">
        <v>4500000</v>
      </c>
      <c r="J113" s="4">
        <v>3700991.03</v>
      </c>
      <c r="K113" s="4">
        <v>0</v>
      </c>
      <c r="L113" s="4">
        <v>61</v>
      </c>
      <c r="M113" s="4">
        <v>57</v>
      </c>
      <c r="N113" s="4">
        <v>3</v>
      </c>
      <c r="O113" s="4">
        <v>64</v>
      </c>
      <c r="P113" s="4">
        <v>7</v>
      </c>
      <c r="Q113" s="4">
        <v>3500022.03</v>
      </c>
      <c r="R113" s="4">
        <v>200969</v>
      </c>
      <c r="S113" s="4">
        <v>39</v>
      </c>
      <c r="T113" s="4">
        <v>3</v>
      </c>
      <c r="U113" s="4">
        <v>42</v>
      </c>
      <c r="V113" s="4">
        <v>0</v>
      </c>
      <c r="W113" s="4">
        <v>15</v>
      </c>
      <c r="X113" s="4">
        <v>18</v>
      </c>
      <c r="Y113" s="4">
        <v>162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380</v>
      </c>
      <c r="AG113" s="4">
        <v>398</v>
      </c>
      <c r="AH113" s="4">
        <v>72</v>
      </c>
      <c r="AI113" s="4">
        <v>51403</v>
      </c>
      <c r="AJ113" s="4">
        <v>6</v>
      </c>
      <c r="AK113" s="4">
        <v>27680</v>
      </c>
      <c r="AL113" s="4">
        <v>0</v>
      </c>
      <c r="AM113" s="4">
        <v>7.4999999999999997E-3</v>
      </c>
      <c r="AN113" s="4">
        <v>88119</v>
      </c>
      <c r="AO113" s="4">
        <v>0.82</v>
      </c>
      <c r="AP113" s="4">
        <v>0</v>
      </c>
      <c r="AQ113" s="4">
        <v>153</v>
      </c>
      <c r="AR113" s="4">
        <v>527</v>
      </c>
      <c r="AS113" s="4">
        <v>4743.6099999999997</v>
      </c>
      <c r="AT113" s="4">
        <v>3</v>
      </c>
      <c r="AU113" s="4">
        <v>83</v>
      </c>
      <c r="AV113" s="4">
        <v>42</v>
      </c>
      <c r="AW113" s="4">
        <v>15</v>
      </c>
      <c r="AX113" s="4">
        <v>7</v>
      </c>
      <c r="AY113" s="1"/>
      <c r="AZ113" s="1"/>
    </row>
    <row r="114" spans="1:52" ht="15.6">
      <c r="A114" s="1" t="s">
        <v>118</v>
      </c>
      <c r="B114" s="1" t="s">
        <v>468</v>
      </c>
      <c r="C114" s="1" t="s">
        <v>224</v>
      </c>
      <c r="D114" s="1" t="s">
        <v>515</v>
      </c>
      <c r="E114" s="1" t="s">
        <v>566</v>
      </c>
      <c r="F114" s="104">
        <v>45236</v>
      </c>
      <c r="G114" s="1" t="s">
        <v>213</v>
      </c>
      <c r="H114" s="4">
        <v>0</v>
      </c>
      <c r="I114" s="4">
        <v>5850000</v>
      </c>
      <c r="J114" s="4">
        <v>3481296.25</v>
      </c>
      <c r="K114" s="4">
        <v>0</v>
      </c>
      <c r="L114" s="4">
        <v>32</v>
      </c>
      <c r="M114" s="4">
        <v>29</v>
      </c>
      <c r="N114" s="4">
        <v>1</v>
      </c>
      <c r="O114" s="4">
        <v>33</v>
      </c>
      <c r="P114" s="4">
        <v>4</v>
      </c>
      <c r="Q114" s="4">
        <v>3403817.05</v>
      </c>
      <c r="R114" s="4">
        <v>77479.199999999997</v>
      </c>
      <c r="S114" s="4">
        <v>23</v>
      </c>
      <c r="T114" s="4">
        <v>1</v>
      </c>
      <c r="U114" s="4">
        <v>24</v>
      </c>
      <c r="V114" s="4">
        <v>0</v>
      </c>
      <c r="W114" s="4">
        <v>13</v>
      </c>
      <c r="X114" s="4">
        <v>21</v>
      </c>
      <c r="Y114" s="4">
        <v>109</v>
      </c>
      <c r="Z114" s="4">
        <v>1</v>
      </c>
      <c r="AA114" s="4">
        <v>1</v>
      </c>
      <c r="AB114" s="4">
        <v>0</v>
      </c>
      <c r="AC114" s="4">
        <v>0</v>
      </c>
      <c r="AD114" s="4">
        <v>0</v>
      </c>
      <c r="AE114" s="4">
        <v>0</v>
      </c>
      <c r="AF114" s="4">
        <v>229</v>
      </c>
      <c r="AG114" s="4">
        <v>251</v>
      </c>
      <c r="AH114" s="4">
        <v>67</v>
      </c>
      <c r="AI114" s="4">
        <v>51960</v>
      </c>
      <c r="AJ114" s="4">
        <v>4</v>
      </c>
      <c r="AK114" s="4">
        <v>29985</v>
      </c>
      <c r="AL114" s="4">
        <v>0</v>
      </c>
      <c r="AM114" s="4">
        <v>8.6E-3</v>
      </c>
      <c r="AN114" s="4">
        <v>145054</v>
      </c>
      <c r="AO114" s="4">
        <v>0.6</v>
      </c>
      <c r="AP114" s="4">
        <v>0</v>
      </c>
      <c r="AQ114" s="4">
        <v>35</v>
      </c>
      <c r="AR114" s="4">
        <v>680</v>
      </c>
      <c r="AS114" s="4">
        <v>4496.66</v>
      </c>
      <c r="AT114" s="4">
        <v>1</v>
      </c>
      <c r="AU114" s="4">
        <v>155</v>
      </c>
      <c r="AV114" s="4">
        <v>24</v>
      </c>
      <c r="AW114" s="4">
        <v>5</v>
      </c>
      <c r="AX114" s="4">
        <v>4</v>
      </c>
      <c r="AY114" s="1"/>
      <c r="AZ114" s="1"/>
    </row>
    <row r="115" spans="1:52" ht="15.6">
      <c r="A115" s="1" t="s">
        <v>120</v>
      </c>
      <c r="B115" s="1" t="s">
        <v>206</v>
      </c>
      <c r="C115" s="1" t="s">
        <v>180</v>
      </c>
      <c r="D115" s="1" t="s">
        <v>206</v>
      </c>
      <c r="E115" s="1" t="s">
        <v>182</v>
      </c>
      <c r="F115" s="104">
        <v>45261</v>
      </c>
      <c r="G115" s="1" t="s">
        <v>120</v>
      </c>
      <c r="H115" s="4">
        <v>600000</v>
      </c>
      <c r="I115" s="4">
        <v>3600000</v>
      </c>
      <c r="J115" s="4">
        <v>2717390.38</v>
      </c>
      <c r="K115" s="4">
        <v>103449.17</v>
      </c>
      <c r="L115" s="4">
        <v>92</v>
      </c>
      <c r="M115" s="4">
        <v>88</v>
      </c>
      <c r="N115" s="4">
        <v>4</v>
      </c>
      <c r="O115" s="4">
        <v>96</v>
      </c>
      <c r="P115" s="4">
        <v>8</v>
      </c>
      <c r="Q115" s="4">
        <v>2558586.75</v>
      </c>
      <c r="R115" s="4">
        <v>158803.63</v>
      </c>
      <c r="S115" s="4">
        <v>51</v>
      </c>
      <c r="T115" s="4">
        <v>4</v>
      </c>
      <c r="U115" s="4">
        <v>55</v>
      </c>
      <c r="V115" s="4">
        <v>1</v>
      </c>
      <c r="W115" s="4">
        <v>40</v>
      </c>
      <c r="X115" s="4">
        <v>68</v>
      </c>
      <c r="Y115" s="4">
        <v>102</v>
      </c>
      <c r="Z115" s="4">
        <v>3</v>
      </c>
      <c r="AA115" s="4">
        <v>69</v>
      </c>
      <c r="AB115" s="4">
        <v>4</v>
      </c>
      <c r="AC115" s="4">
        <v>11</v>
      </c>
      <c r="AD115" s="4">
        <v>0</v>
      </c>
      <c r="AE115" s="4">
        <v>0</v>
      </c>
      <c r="AF115" s="4">
        <v>337</v>
      </c>
      <c r="AG115" s="4">
        <v>485</v>
      </c>
      <c r="AH115" s="4">
        <v>78</v>
      </c>
      <c r="AI115" s="4">
        <v>34838</v>
      </c>
      <c r="AJ115" s="4">
        <v>6</v>
      </c>
      <c r="AK115" s="4">
        <v>33784</v>
      </c>
      <c r="AL115" s="4">
        <v>0</v>
      </c>
      <c r="AM115" s="4">
        <v>1.24E-2</v>
      </c>
      <c r="AN115" s="4">
        <v>49407</v>
      </c>
      <c r="AO115" s="4">
        <v>0.75</v>
      </c>
      <c r="AP115" s="4">
        <v>0.17</v>
      </c>
      <c r="AQ115" s="4">
        <v>86</v>
      </c>
      <c r="AR115" s="4">
        <v>721</v>
      </c>
      <c r="AS115" s="4">
        <v>4634.57</v>
      </c>
      <c r="AT115" s="4">
        <v>4</v>
      </c>
      <c r="AU115" s="4">
        <v>53</v>
      </c>
      <c r="AV115" s="4">
        <v>55</v>
      </c>
      <c r="AW115" s="4">
        <v>33</v>
      </c>
      <c r="AX115" s="4">
        <v>8</v>
      </c>
      <c r="AY115" s="1"/>
      <c r="AZ115" s="1"/>
    </row>
    <row r="116" spans="1:52" ht="15.6">
      <c r="A116" s="1" t="s">
        <v>177</v>
      </c>
      <c r="B116" s="1" t="s">
        <v>364</v>
      </c>
      <c r="C116" s="1" t="s">
        <v>225</v>
      </c>
      <c r="D116" s="1" t="s">
        <v>568</v>
      </c>
      <c r="E116" s="1" t="s">
        <v>569</v>
      </c>
      <c r="F116" s="48">
        <v>45271</v>
      </c>
      <c r="G116" s="1" t="s">
        <v>177</v>
      </c>
      <c r="H116" s="4">
        <v>0</v>
      </c>
      <c r="I116" s="4">
        <v>0</v>
      </c>
      <c r="J116" s="4">
        <v>0</v>
      </c>
      <c r="K116" s="4">
        <v>0</v>
      </c>
      <c r="L116" s="4">
        <v>67</v>
      </c>
      <c r="M116" s="4">
        <v>0</v>
      </c>
      <c r="N116" s="4">
        <v>0</v>
      </c>
      <c r="O116" s="4">
        <v>67</v>
      </c>
      <c r="P116" s="4">
        <v>67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92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35410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67</v>
      </c>
      <c r="AY116" s="48">
        <v>45930</v>
      </c>
      <c r="AZ116" s="48"/>
    </row>
    <row r="117" spans="1:52" ht="15.6">
      <c r="A117" s="1" t="s">
        <v>118</v>
      </c>
      <c r="B117" s="1" t="s">
        <v>359</v>
      </c>
      <c r="C117" s="1" t="s">
        <v>226</v>
      </c>
      <c r="D117" s="1" t="s">
        <v>442</v>
      </c>
      <c r="E117" s="1" t="s">
        <v>571</v>
      </c>
      <c r="F117" s="48">
        <v>45278</v>
      </c>
      <c r="G117" s="1" t="s">
        <v>118</v>
      </c>
      <c r="H117" s="4">
        <v>0</v>
      </c>
      <c r="I117" s="4">
        <v>5100000</v>
      </c>
      <c r="J117" s="4">
        <v>3827373.08</v>
      </c>
      <c r="K117" s="4">
        <v>0</v>
      </c>
      <c r="L117" s="4">
        <v>69</v>
      </c>
      <c r="M117" s="4">
        <v>69</v>
      </c>
      <c r="N117" s="4">
        <v>3</v>
      </c>
      <c r="O117" s="4">
        <v>72</v>
      </c>
      <c r="P117" s="4">
        <v>3</v>
      </c>
      <c r="Q117" s="4">
        <v>3685145.28</v>
      </c>
      <c r="R117" s="4">
        <v>142227.79999999999</v>
      </c>
      <c r="S117" s="4">
        <v>30</v>
      </c>
      <c r="T117" s="4">
        <v>3</v>
      </c>
      <c r="U117" s="4">
        <v>33</v>
      </c>
      <c r="V117" s="4">
        <v>0</v>
      </c>
      <c r="W117" s="4">
        <v>14</v>
      </c>
      <c r="X117" s="4">
        <v>23</v>
      </c>
      <c r="Y117" s="4">
        <v>117</v>
      </c>
      <c r="Z117" s="4">
        <v>2</v>
      </c>
      <c r="AA117" s="4">
        <v>10</v>
      </c>
      <c r="AB117" s="4">
        <v>0</v>
      </c>
      <c r="AC117" s="4">
        <v>0</v>
      </c>
      <c r="AD117" s="4">
        <v>0</v>
      </c>
      <c r="AE117" s="4">
        <v>0</v>
      </c>
      <c r="AF117" s="4">
        <v>361</v>
      </c>
      <c r="AG117" s="4">
        <v>394</v>
      </c>
      <c r="AH117" s="4">
        <v>73</v>
      </c>
      <c r="AI117" s="4">
        <v>52430</v>
      </c>
      <c r="AJ117" s="4">
        <v>5</v>
      </c>
      <c r="AK117" s="4">
        <v>39855</v>
      </c>
      <c r="AL117" s="4">
        <v>0</v>
      </c>
      <c r="AM117" s="4">
        <v>1.04E-2</v>
      </c>
      <c r="AN117" s="4">
        <v>115981</v>
      </c>
      <c r="AO117" s="4">
        <v>0.75</v>
      </c>
      <c r="AP117" s="4">
        <v>0</v>
      </c>
      <c r="AQ117" s="4">
        <v>105</v>
      </c>
      <c r="AR117" s="4">
        <v>820</v>
      </c>
      <c r="AS117" s="4">
        <v>6475.6</v>
      </c>
      <c r="AT117" s="4">
        <v>3</v>
      </c>
      <c r="AU117" s="4">
        <v>94</v>
      </c>
      <c r="AV117" s="4">
        <v>33</v>
      </c>
      <c r="AW117" s="4">
        <v>37</v>
      </c>
      <c r="AX117" s="4">
        <v>2</v>
      </c>
      <c r="AY117" s="1"/>
      <c r="AZ117" s="1"/>
    </row>
    <row r="118" spans="1:52" ht="15.6">
      <c r="A118" s="1" t="s">
        <v>118</v>
      </c>
      <c r="B118" s="1" t="s">
        <v>484</v>
      </c>
      <c r="C118" s="1" t="s">
        <v>227</v>
      </c>
      <c r="D118" s="1" t="s">
        <v>572</v>
      </c>
      <c r="E118" s="1" t="s">
        <v>573</v>
      </c>
      <c r="F118" s="104">
        <v>45292</v>
      </c>
      <c r="G118" s="1" t="s">
        <v>118</v>
      </c>
      <c r="H118" s="4">
        <v>0</v>
      </c>
      <c r="I118" s="4">
        <v>4500000</v>
      </c>
      <c r="J118" s="4">
        <v>2106499.54</v>
      </c>
      <c r="K118" s="4">
        <v>0</v>
      </c>
      <c r="L118" s="4">
        <v>42</v>
      </c>
      <c r="M118" s="4">
        <v>33</v>
      </c>
      <c r="N118" s="4">
        <v>0</v>
      </c>
      <c r="O118" s="4">
        <v>42</v>
      </c>
      <c r="P118" s="4">
        <v>9</v>
      </c>
      <c r="Q118" s="4">
        <v>2106499.54</v>
      </c>
      <c r="R118" s="4">
        <v>0</v>
      </c>
      <c r="S118" s="4">
        <v>16</v>
      </c>
      <c r="T118" s="4">
        <v>0</v>
      </c>
      <c r="U118" s="4">
        <v>16</v>
      </c>
      <c r="V118" s="4">
        <v>0</v>
      </c>
      <c r="W118" s="4">
        <v>18</v>
      </c>
      <c r="X118" s="4">
        <v>22</v>
      </c>
      <c r="Y118" s="4">
        <v>69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365</v>
      </c>
      <c r="AG118" s="4">
        <v>387</v>
      </c>
      <c r="AH118" s="4">
        <v>65</v>
      </c>
      <c r="AI118" s="4">
        <v>32408</v>
      </c>
      <c r="AJ118" s="4">
        <v>6</v>
      </c>
      <c r="AK118" s="4">
        <v>29430</v>
      </c>
      <c r="AL118" s="4">
        <v>0</v>
      </c>
      <c r="AM118" s="4">
        <v>1.4E-2</v>
      </c>
      <c r="AN118" s="4">
        <v>131656</v>
      </c>
      <c r="AO118" s="4">
        <v>0.47</v>
      </c>
      <c r="AP118" s="4">
        <v>0</v>
      </c>
      <c r="AQ118" s="4">
        <v>26</v>
      </c>
      <c r="AR118" s="4">
        <v>790</v>
      </c>
      <c r="AS118" s="4">
        <v>1807.31</v>
      </c>
      <c r="AT118" s="4">
        <v>0</v>
      </c>
      <c r="AU118" s="4">
        <v>55</v>
      </c>
      <c r="AV118" s="4">
        <v>16</v>
      </c>
      <c r="AW118" s="4">
        <v>17</v>
      </c>
      <c r="AX118" s="4">
        <v>9</v>
      </c>
      <c r="AY118" s="1"/>
      <c r="AZ118" s="1"/>
    </row>
    <row r="119" spans="1:52" ht="15.6">
      <c r="A119" s="1" t="s">
        <v>118</v>
      </c>
      <c r="B119" s="1" t="s">
        <v>436</v>
      </c>
      <c r="C119" s="1" t="s">
        <v>228</v>
      </c>
      <c r="D119" s="1" t="s">
        <v>499</v>
      </c>
      <c r="E119" s="1" t="s">
        <v>449</v>
      </c>
      <c r="F119" s="104">
        <v>45294</v>
      </c>
      <c r="G119" s="1"/>
      <c r="H119" s="4">
        <v>0</v>
      </c>
      <c r="I119" s="4">
        <v>5000001</v>
      </c>
      <c r="J119" s="4">
        <v>3042744.25</v>
      </c>
      <c r="K119" s="4">
        <v>0</v>
      </c>
      <c r="L119" s="4">
        <v>126</v>
      </c>
      <c r="M119" s="4">
        <v>67</v>
      </c>
      <c r="N119" s="4">
        <v>4</v>
      </c>
      <c r="O119" s="4">
        <v>130</v>
      </c>
      <c r="P119" s="4">
        <v>63</v>
      </c>
      <c r="Q119" s="4">
        <v>2848234.25</v>
      </c>
      <c r="R119" s="4">
        <v>194510</v>
      </c>
      <c r="S119" s="4">
        <v>23</v>
      </c>
      <c r="T119" s="4">
        <v>1</v>
      </c>
      <c r="U119" s="4">
        <v>24</v>
      </c>
      <c r="V119" s="4">
        <v>0</v>
      </c>
      <c r="W119" s="4">
        <v>14</v>
      </c>
      <c r="X119" s="4">
        <v>16</v>
      </c>
      <c r="Y119" s="4">
        <v>93</v>
      </c>
      <c r="Z119" s="4">
        <v>4</v>
      </c>
      <c r="AA119" s="4">
        <v>30</v>
      </c>
      <c r="AB119" s="4">
        <v>2</v>
      </c>
      <c r="AC119" s="4">
        <v>3</v>
      </c>
      <c r="AD119" s="4">
        <v>3</v>
      </c>
      <c r="AE119" s="4">
        <v>3</v>
      </c>
      <c r="AF119" s="4">
        <v>170</v>
      </c>
      <c r="AG119" s="4">
        <v>222</v>
      </c>
      <c r="AH119" s="4">
        <v>76</v>
      </c>
      <c r="AI119" s="4">
        <v>40036</v>
      </c>
      <c r="AJ119" s="4">
        <v>3</v>
      </c>
      <c r="AK119" s="4">
        <v>31870</v>
      </c>
      <c r="AL119" s="4">
        <v>0</v>
      </c>
      <c r="AM119" s="4">
        <v>1.0500000000000001E-2</v>
      </c>
      <c r="AN119" s="4">
        <v>126781</v>
      </c>
      <c r="AO119" s="4">
        <v>0.61</v>
      </c>
      <c r="AP119" s="4">
        <v>0</v>
      </c>
      <c r="AQ119" s="4">
        <v>53</v>
      </c>
      <c r="AR119" s="4">
        <v>734</v>
      </c>
      <c r="AS119" s="4">
        <v>6495.76</v>
      </c>
      <c r="AT119" s="4">
        <v>1</v>
      </c>
      <c r="AU119" s="4">
        <v>97</v>
      </c>
      <c r="AV119" s="4">
        <v>24</v>
      </c>
      <c r="AW119" s="4">
        <v>46</v>
      </c>
      <c r="AX119" s="4">
        <v>60</v>
      </c>
      <c r="AY119" s="48">
        <v>46022</v>
      </c>
      <c r="AZ119" s="48"/>
    </row>
    <row r="120" spans="1:52" ht="15.6">
      <c r="A120" s="1" t="s">
        <v>118</v>
      </c>
      <c r="B120" s="1" t="s">
        <v>362</v>
      </c>
      <c r="C120" s="1" t="s">
        <v>229</v>
      </c>
      <c r="D120" s="1" t="s">
        <v>419</v>
      </c>
      <c r="E120" s="1" t="s">
        <v>539</v>
      </c>
      <c r="F120" s="104">
        <v>45295</v>
      </c>
      <c r="G120" s="1" t="s">
        <v>118</v>
      </c>
      <c r="H120" s="4">
        <v>0</v>
      </c>
      <c r="I120" s="4">
        <v>0</v>
      </c>
      <c r="J120" s="4">
        <v>0</v>
      </c>
      <c r="K120" s="4">
        <v>0</v>
      </c>
      <c r="L120" s="4">
        <v>196</v>
      </c>
      <c r="M120" s="4">
        <v>73</v>
      </c>
      <c r="N120" s="4">
        <v>3</v>
      </c>
      <c r="O120" s="4">
        <v>199</v>
      </c>
      <c r="P120" s="4">
        <v>126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11</v>
      </c>
      <c r="X120" s="4">
        <v>11</v>
      </c>
      <c r="Y120" s="4">
        <v>18</v>
      </c>
      <c r="Z120" s="4">
        <v>8</v>
      </c>
      <c r="AA120" s="4">
        <v>19</v>
      </c>
      <c r="AB120" s="4">
        <v>0</v>
      </c>
      <c r="AC120" s="4">
        <v>0</v>
      </c>
      <c r="AD120" s="4">
        <v>1</v>
      </c>
      <c r="AE120" s="4">
        <v>3</v>
      </c>
      <c r="AF120" s="4">
        <v>107</v>
      </c>
      <c r="AG120" s="4">
        <v>140</v>
      </c>
      <c r="AH120" s="4">
        <v>73</v>
      </c>
      <c r="AI120" s="4">
        <v>0</v>
      </c>
      <c r="AJ120" s="4">
        <v>2</v>
      </c>
      <c r="AK120" s="4">
        <v>88555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834</v>
      </c>
      <c r="AS120" s="4">
        <v>8125.21</v>
      </c>
      <c r="AT120" s="4">
        <v>0</v>
      </c>
      <c r="AU120" s="4">
        <v>111</v>
      </c>
      <c r="AV120" s="4">
        <v>0</v>
      </c>
      <c r="AW120" s="4">
        <v>73</v>
      </c>
      <c r="AX120" s="4">
        <v>126</v>
      </c>
      <c r="AY120" s="1"/>
      <c r="AZ120" s="1"/>
    </row>
    <row r="121" spans="1:52" ht="15.6">
      <c r="A121" s="1" t="s">
        <v>177</v>
      </c>
      <c r="B121" s="1" t="s">
        <v>364</v>
      </c>
      <c r="C121" s="1" t="s">
        <v>231</v>
      </c>
      <c r="D121" s="1" t="s">
        <v>576</v>
      </c>
      <c r="E121" s="1" t="s">
        <v>361</v>
      </c>
      <c r="F121" s="48">
        <v>45311</v>
      </c>
      <c r="G121" s="1" t="s">
        <v>177</v>
      </c>
      <c r="H121" s="4">
        <v>0</v>
      </c>
      <c r="I121" s="4">
        <v>2499999</v>
      </c>
      <c r="J121" s="4">
        <v>1586620.04</v>
      </c>
      <c r="K121" s="4">
        <v>0</v>
      </c>
      <c r="L121" s="4">
        <v>72</v>
      </c>
      <c r="M121" s="4">
        <v>67</v>
      </c>
      <c r="N121" s="4">
        <v>2</v>
      </c>
      <c r="O121" s="4">
        <v>74</v>
      </c>
      <c r="P121" s="4">
        <v>7</v>
      </c>
      <c r="Q121" s="4">
        <v>1487755.24</v>
      </c>
      <c r="R121" s="4">
        <v>98864.8</v>
      </c>
      <c r="S121" s="4">
        <v>62</v>
      </c>
      <c r="T121" s="4">
        <v>2</v>
      </c>
      <c r="U121" s="4">
        <v>64</v>
      </c>
      <c r="V121" s="4">
        <v>0</v>
      </c>
      <c r="W121" s="4">
        <v>13</v>
      </c>
      <c r="X121" s="4">
        <v>16</v>
      </c>
      <c r="Y121" s="4">
        <v>221</v>
      </c>
      <c r="Z121" s="4">
        <v>1</v>
      </c>
      <c r="AA121" s="4">
        <v>54</v>
      </c>
      <c r="AB121" s="4">
        <v>1</v>
      </c>
      <c r="AC121" s="4">
        <v>1</v>
      </c>
      <c r="AD121" s="4">
        <v>1</v>
      </c>
      <c r="AE121" s="4">
        <v>1</v>
      </c>
      <c r="AF121" s="4">
        <v>407</v>
      </c>
      <c r="AG121" s="4">
        <v>479</v>
      </c>
      <c r="AH121" s="4">
        <v>71</v>
      </c>
      <c r="AI121" s="4">
        <v>22347</v>
      </c>
      <c r="AJ121" s="4">
        <v>7</v>
      </c>
      <c r="AK121" s="4">
        <v>32318</v>
      </c>
      <c r="AL121" s="4">
        <v>0</v>
      </c>
      <c r="AM121" s="4">
        <v>2.0400000000000001E-2</v>
      </c>
      <c r="AN121" s="4">
        <v>24791</v>
      </c>
      <c r="AO121" s="4">
        <v>0.63</v>
      </c>
      <c r="AP121" s="4">
        <v>0</v>
      </c>
      <c r="AQ121" s="4">
        <v>246</v>
      </c>
      <c r="AR121" s="4">
        <v>668</v>
      </c>
      <c r="AS121" s="4">
        <v>9314.07</v>
      </c>
      <c r="AT121" s="4">
        <v>2</v>
      </c>
      <c r="AU121" s="4">
        <v>139</v>
      </c>
      <c r="AV121" s="4">
        <v>64</v>
      </c>
      <c r="AW121" s="4">
        <v>3</v>
      </c>
      <c r="AX121" s="4">
        <v>7</v>
      </c>
      <c r="AY121" s="1"/>
      <c r="AZ121" s="1"/>
    </row>
    <row r="122" spans="1:52" ht="15.6">
      <c r="A122" s="1" t="s">
        <v>118</v>
      </c>
      <c r="B122" s="1" t="s">
        <v>484</v>
      </c>
      <c r="C122" s="1" t="s">
        <v>232</v>
      </c>
      <c r="D122" s="1" t="s">
        <v>574</v>
      </c>
      <c r="E122" s="1" t="s">
        <v>575</v>
      </c>
      <c r="F122" s="48">
        <v>45309</v>
      </c>
      <c r="G122" s="1" t="s">
        <v>118</v>
      </c>
      <c r="H122" s="4">
        <v>0</v>
      </c>
      <c r="I122" s="4">
        <v>4500000</v>
      </c>
      <c r="J122" s="4">
        <v>4396154.38</v>
      </c>
      <c r="K122" s="4">
        <v>0</v>
      </c>
      <c r="L122" s="4">
        <v>109</v>
      </c>
      <c r="M122" s="4">
        <v>93</v>
      </c>
      <c r="N122" s="4">
        <v>5</v>
      </c>
      <c r="O122" s="4">
        <v>114</v>
      </c>
      <c r="P122" s="4">
        <v>21</v>
      </c>
      <c r="Q122" s="4">
        <v>4251889</v>
      </c>
      <c r="R122" s="4">
        <v>144265.38</v>
      </c>
      <c r="S122" s="4">
        <v>41</v>
      </c>
      <c r="T122" s="4">
        <v>5</v>
      </c>
      <c r="U122" s="4">
        <v>46</v>
      </c>
      <c r="V122" s="4">
        <v>0</v>
      </c>
      <c r="W122" s="4">
        <v>7</v>
      </c>
      <c r="X122" s="4">
        <v>7</v>
      </c>
      <c r="Y122" s="4">
        <v>82</v>
      </c>
      <c r="Z122" s="4">
        <v>1</v>
      </c>
      <c r="AA122" s="4">
        <v>1</v>
      </c>
      <c r="AB122" s="4">
        <v>0</v>
      </c>
      <c r="AC122" s="4">
        <v>0</v>
      </c>
      <c r="AD122" s="4">
        <v>0</v>
      </c>
      <c r="AE122" s="4">
        <v>0</v>
      </c>
      <c r="AF122" s="4">
        <v>294</v>
      </c>
      <c r="AG122" s="4">
        <v>302</v>
      </c>
      <c r="AH122" s="4">
        <v>71</v>
      </c>
      <c r="AI122" s="4">
        <v>61918</v>
      </c>
      <c r="AJ122" s="4">
        <v>4</v>
      </c>
      <c r="AK122" s="4">
        <v>42820</v>
      </c>
      <c r="AL122" s="4">
        <v>0</v>
      </c>
      <c r="AM122" s="4">
        <v>9.7000000000000003E-3</v>
      </c>
      <c r="AN122" s="4">
        <v>95569</v>
      </c>
      <c r="AO122" s="4">
        <v>0.98</v>
      </c>
      <c r="AP122" s="4">
        <v>0</v>
      </c>
      <c r="AQ122" s="4">
        <v>74</v>
      </c>
      <c r="AR122" s="4">
        <v>636</v>
      </c>
      <c r="AS122" s="4">
        <v>3563.4</v>
      </c>
      <c r="AT122" s="4">
        <v>5</v>
      </c>
      <c r="AU122" s="4">
        <v>38</v>
      </c>
      <c r="AV122" s="4">
        <v>46</v>
      </c>
      <c r="AW122" s="4">
        <v>52</v>
      </c>
      <c r="AX122" s="4">
        <v>16</v>
      </c>
      <c r="AY122" s="1"/>
      <c r="AZ122" s="1"/>
    </row>
    <row r="123" spans="1:52" ht="15.6">
      <c r="A123" s="1" t="s">
        <v>154</v>
      </c>
      <c r="B123" s="1" t="s">
        <v>367</v>
      </c>
      <c r="C123" s="1" t="s">
        <v>234</v>
      </c>
      <c r="D123" s="1" t="s">
        <v>577</v>
      </c>
      <c r="E123" s="1" t="s">
        <v>578</v>
      </c>
      <c r="F123" s="48">
        <v>45313</v>
      </c>
      <c r="G123" s="1" t="s">
        <v>196</v>
      </c>
      <c r="H123" s="4">
        <v>0</v>
      </c>
      <c r="I123" s="4">
        <v>0</v>
      </c>
      <c r="J123" s="4">
        <v>0</v>
      </c>
      <c r="K123" s="4">
        <v>0</v>
      </c>
      <c r="L123" s="4">
        <v>45</v>
      </c>
      <c r="M123" s="4">
        <v>0</v>
      </c>
      <c r="N123" s="4">
        <v>3</v>
      </c>
      <c r="O123" s="4">
        <v>48</v>
      </c>
      <c r="P123" s="4">
        <v>48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361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24425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48</v>
      </c>
      <c r="AY123" s="48">
        <v>45768</v>
      </c>
      <c r="AZ123" s="48"/>
    </row>
    <row r="124" spans="1:52" ht="15.6">
      <c r="A124" s="1" t="s">
        <v>118</v>
      </c>
      <c r="B124" s="1" t="s">
        <v>362</v>
      </c>
      <c r="C124" s="1" t="s">
        <v>235</v>
      </c>
      <c r="D124" s="1" t="s">
        <v>419</v>
      </c>
      <c r="E124" s="1" t="s">
        <v>579</v>
      </c>
      <c r="F124" s="104">
        <v>45323</v>
      </c>
      <c r="G124" s="1" t="s">
        <v>219</v>
      </c>
      <c r="H124" s="4">
        <v>0</v>
      </c>
      <c r="I124" s="4">
        <v>6000000</v>
      </c>
      <c r="J124" s="4">
        <v>3508985.79</v>
      </c>
      <c r="K124" s="4">
        <v>0</v>
      </c>
      <c r="L124" s="4">
        <v>69</v>
      </c>
      <c r="M124" s="4">
        <v>65</v>
      </c>
      <c r="N124" s="4">
        <v>2</v>
      </c>
      <c r="O124" s="4">
        <v>71</v>
      </c>
      <c r="P124" s="4">
        <v>6</v>
      </c>
      <c r="Q124" s="4">
        <v>3383879.43</v>
      </c>
      <c r="R124" s="4">
        <v>125106.36</v>
      </c>
      <c r="S124" s="4">
        <v>33</v>
      </c>
      <c r="T124" s="4">
        <v>2</v>
      </c>
      <c r="U124" s="4">
        <v>35</v>
      </c>
      <c r="V124" s="4">
        <v>0</v>
      </c>
      <c r="W124" s="4">
        <v>30</v>
      </c>
      <c r="X124" s="4">
        <v>38</v>
      </c>
      <c r="Y124" s="4">
        <v>202</v>
      </c>
      <c r="Z124" s="4">
        <v>2</v>
      </c>
      <c r="AA124" s="4">
        <v>17</v>
      </c>
      <c r="AB124" s="4">
        <v>0</v>
      </c>
      <c r="AC124" s="4">
        <v>0</v>
      </c>
      <c r="AD124" s="4">
        <v>0</v>
      </c>
      <c r="AE124" s="4">
        <v>0</v>
      </c>
      <c r="AF124" s="4">
        <v>322</v>
      </c>
      <c r="AG124" s="4">
        <v>377</v>
      </c>
      <c r="AH124" s="4">
        <v>74</v>
      </c>
      <c r="AI124" s="4">
        <v>47419</v>
      </c>
      <c r="AJ124" s="4">
        <v>5</v>
      </c>
      <c r="AK124" s="4">
        <v>30950</v>
      </c>
      <c r="AL124" s="4">
        <v>0</v>
      </c>
      <c r="AM124" s="4">
        <v>8.8000000000000005E-3</v>
      </c>
      <c r="AN124" s="4">
        <v>100257</v>
      </c>
      <c r="AO124" s="4">
        <v>0.57999999999999996</v>
      </c>
      <c r="AP124" s="4">
        <v>0</v>
      </c>
      <c r="AQ124" s="4">
        <v>79</v>
      </c>
      <c r="AR124" s="4">
        <v>870</v>
      </c>
      <c r="AS124" s="4">
        <v>5301.87</v>
      </c>
      <c r="AT124" s="4">
        <v>2</v>
      </c>
      <c r="AU124" s="4">
        <v>82</v>
      </c>
      <c r="AV124" s="4">
        <v>35</v>
      </c>
      <c r="AW124" s="4">
        <v>30</v>
      </c>
      <c r="AX124" s="4">
        <v>6</v>
      </c>
      <c r="AY124" s="1"/>
      <c r="AZ124" s="1"/>
    </row>
    <row r="125" spans="1:52" ht="15.6">
      <c r="A125" s="1" t="s">
        <v>201</v>
      </c>
      <c r="B125" s="1" t="s">
        <v>481</v>
      </c>
      <c r="C125" s="1" t="s">
        <v>236</v>
      </c>
      <c r="D125" s="1" t="s">
        <v>517</v>
      </c>
      <c r="E125" s="1" t="s">
        <v>563</v>
      </c>
      <c r="F125" s="104">
        <v>45331</v>
      </c>
      <c r="G125" s="1" t="s">
        <v>121</v>
      </c>
      <c r="H125" s="4">
        <v>0</v>
      </c>
      <c r="I125" s="4">
        <v>3450000</v>
      </c>
      <c r="J125" s="4">
        <v>1984366.25</v>
      </c>
      <c r="K125" s="4">
        <v>0</v>
      </c>
      <c r="L125" s="4">
        <v>33</v>
      </c>
      <c r="M125" s="4">
        <v>32</v>
      </c>
      <c r="N125" s="4">
        <v>0</v>
      </c>
      <c r="O125" s="4">
        <v>33</v>
      </c>
      <c r="P125" s="4">
        <v>1</v>
      </c>
      <c r="Q125" s="4">
        <v>1984366.25</v>
      </c>
      <c r="R125" s="4">
        <v>0</v>
      </c>
      <c r="S125" s="4">
        <v>21</v>
      </c>
      <c r="T125" s="4">
        <v>0</v>
      </c>
      <c r="U125" s="4">
        <v>21</v>
      </c>
      <c r="V125" s="4">
        <v>0</v>
      </c>
      <c r="W125" s="4">
        <v>42</v>
      </c>
      <c r="X125" s="4">
        <v>58</v>
      </c>
      <c r="Y125" s="4">
        <v>189</v>
      </c>
      <c r="Z125" s="4">
        <v>1</v>
      </c>
      <c r="AA125" s="4">
        <v>2</v>
      </c>
      <c r="AB125" s="4">
        <v>0</v>
      </c>
      <c r="AC125" s="4">
        <v>0</v>
      </c>
      <c r="AD125" s="4">
        <v>0</v>
      </c>
      <c r="AE125" s="4">
        <v>0</v>
      </c>
      <c r="AF125" s="4">
        <v>256</v>
      </c>
      <c r="AG125" s="4">
        <v>316</v>
      </c>
      <c r="AH125" s="4">
        <v>72</v>
      </c>
      <c r="AI125" s="4">
        <v>27561</v>
      </c>
      <c r="AJ125" s="4">
        <v>4</v>
      </c>
      <c r="AK125" s="4">
        <v>26212</v>
      </c>
      <c r="AL125" s="4">
        <v>0</v>
      </c>
      <c r="AM125" s="4">
        <v>1.32E-2</v>
      </c>
      <c r="AN125" s="4">
        <v>94494</v>
      </c>
      <c r="AO125" s="4">
        <v>0.57999999999999996</v>
      </c>
      <c r="AP125" s="4">
        <v>0</v>
      </c>
      <c r="AQ125" s="4">
        <v>56</v>
      </c>
      <c r="AR125" s="4">
        <v>805</v>
      </c>
      <c r="AS125" s="4">
        <v>5170.82</v>
      </c>
      <c r="AT125" s="4">
        <v>0</v>
      </c>
      <c r="AU125" s="4">
        <v>162</v>
      </c>
      <c r="AV125" s="4">
        <v>21</v>
      </c>
      <c r="AW125" s="4">
        <v>11</v>
      </c>
      <c r="AX125" s="4">
        <v>1</v>
      </c>
      <c r="AY125" s="1"/>
      <c r="AZ125" s="1"/>
    </row>
    <row r="126" spans="1:52" ht="15.6">
      <c r="A126" s="1" t="s">
        <v>177</v>
      </c>
      <c r="B126" s="1" t="s">
        <v>364</v>
      </c>
      <c r="C126" s="1" t="s">
        <v>237</v>
      </c>
      <c r="D126" s="1" t="s">
        <v>576</v>
      </c>
      <c r="E126" s="1" t="s">
        <v>365</v>
      </c>
      <c r="F126" s="48">
        <v>45393</v>
      </c>
      <c r="G126" s="1" t="s">
        <v>177</v>
      </c>
      <c r="H126" s="4">
        <v>0</v>
      </c>
      <c r="I126" s="4">
        <v>4500000</v>
      </c>
      <c r="J126" s="4">
        <v>1699355.56</v>
      </c>
      <c r="K126" s="4">
        <v>0</v>
      </c>
      <c r="L126" s="4">
        <v>149</v>
      </c>
      <c r="M126" s="4">
        <v>107</v>
      </c>
      <c r="N126" s="4">
        <v>7</v>
      </c>
      <c r="O126" s="4">
        <v>156</v>
      </c>
      <c r="P126" s="4">
        <v>49</v>
      </c>
      <c r="Q126" s="4">
        <v>1544546.43</v>
      </c>
      <c r="R126" s="4">
        <v>154809.13</v>
      </c>
      <c r="S126" s="4">
        <v>67</v>
      </c>
      <c r="T126" s="4">
        <v>7</v>
      </c>
      <c r="U126" s="4">
        <v>74</v>
      </c>
      <c r="V126" s="4">
        <v>0</v>
      </c>
      <c r="W126" s="4">
        <v>32</v>
      </c>
      <c r="X126" s="4">
        <v>43</v>
      </c>
      <c r="Y126" s="4">
        <v>412</v>
      </c>
      <c r="Z126" s="4">
        <v>2</v>
      </c>
      <c r="AA126" s="4">
        <v>26</v>
      </c>
      <c r="AB126" s="4">
        <v>0</v>
      </c>
      <c r="AC126" s="4">
        <v>0</v>
      </c>
      <c r="AD126" s="4">
        <v>0</v>
      </c>
      <c r="AE126" s="4">
        <v>0</v>
      </c>
      <c r="AF126" s="4">
        <v>418</v>
      </c>
      <c r="AG126" s="4">
        <v>487</v>
      </c>
      <c r="AH126" s="4">
        <v>70</v>
      </c>
      <c r="AI126" s="4">
        <v>24277</v>
      </c>
      <c r="AJ126" s="4">
        <v>7</v>
      </c>
      <c r="AK126" s="4">
        <v>24116</v>
      </c>
      <c r="AL126" s="4">
        <v>0</v>
      </c>
      <c r="AM126" s="4">
        <v>1.4200000000000001E-2</v>
      </c>
      <c r="AN126" s="4">
        <v>22964</v>
      </c>
      <c r="AO126" s="4">
        <v>0.38</v>
      </c>
      <c r="AP126" s="4">
        <v>0</v>
      </c>
      <c r="AQ126" s="4">
        <v>156</v>
      </c>
      <c r="AR126" s="4">
        <v>600</v>
      </c>
      <c r="AS126" s="4">
        <v>5115.25</v>
      </c>
      <c r="AT126" s="4">
        <v>7</v>
      </c>
      <c r="AU126" s="4">
        <v>48</v>
      </c>
      <c r="AV126" s="4">
        <v>74</v>
      </c>
      <c r="AW126" s="4">
        <v>35</v>
      </c>
      <c r="AX126" s="4">
        <v>47</v>
      </c>
      <c r="AY126" s="1"/>
      <c r="AZ126" s="1"/>
    </row>
    <row r="127" spans="1:52" ht="15.6">
      <c r="A127" s="1" t="s">
        <v>120</v>
      </c>
      <c r="B127" s="1" t="s">
        <v>206</v>
      </c>
      <c r="C127" s="1" t="s">
        <v>238</v>
      </c>
      <c r="D127" s="1" t="s">
        <v>206</v>
      </c>
      <c r="E127" s="1" t="s">
        <v>360</v>
      </c>
      <c r="F127" s="104">
        <v>45384</v>
      </c>
      <c r="G127" s="1" t="s">
        <v>120</v>
      </c>
      <c r="H127" s="4">
        <v>900000</v>
      </c>
      <c r="I127" s="4">
        <v>3600000</v>
      </c>
      <c r="J127" s="4">
        <v>1760517.78</v>
      </c>
      <c r="K127" s="4">
        <v>0</v>
      </c>
      <c r="L127" s="4">
        <v>63</v>
      </c>
      <c r="M127" s="4">
        <v>51</v>
      </c>
      <c r="N127" s="4">
        <v>0</v>
      </c>
      <c r="O127" s="4">
        <v>63</v>
      </c>
      <c r="P127" s="4">
        <v>12</v>
      </c>
      <c r="Q127" s="4">
        <v>1760517.78</v>
      </c>
      <c r="R127" s="4">
        <v>0</v>
      </c>
      <c r="S127" s="4">
        <v>34</v>
      </c>
      <c r="T127" s="4">
        <v>0</v>
      </c>
      <c r="U127" s="4">
        <v>34</v>
      </c>
      <c r="V127" s="4">
        <v>0</v>
      </c>
      <c r="W127" s="4">
        <v>163</v>
      </c>
      <c r="X127" s="4">
        <v>238</v>
      </c>
      <c r="Y127" s="4">
        <v>256</v>
      </c>
      <c r="Z127" s="4">
        <v>4</v>
      </c>
      <c r="AA127" s="4">
        <v>17</v>
      </c>
      <c r="AB127" s="4">
        <v>2</v>
      </c>
      <c r="AC127" s="4">
        <v>2</v>
      </c>
      <c r="AD127" s="4">
        <v>0</v>
      </c>
      <c r="AE127" s="4">
        <v>0</v>
      </c>
      <c r="AF127" s="4">
        <v>129</v>
      </c>
      <c r="AG127" s="4">
        <v>386</v>
      </c>
      <c r="AH127" s="4">
        <v>76</v>
      </c>
      <c r="AI127" s="4">
        <v>23165</v>
      </c>
      <c r="AJ127" s="4">
        <v>5</v>
      </c>
      <c r="AK127" s="4">
        <v>32500</v>
      </c>
      <c r="AL127" s="4">
        <v>0</v>
      </c>
      <c r="AM127" s="4">
        <v>1.8499999999999999E-2</v>
      </c>
      <c r="AN127" s="4">
        <v>51780</v>
      </c>
      <c r="AO127" s="4">
        <v>0.49</v>
      </c>
      <c r="AP127" s="4">
        <v>0</v>
      </c>
      <c r="AQ127" s="4">
        <v>78</v>
      </c>
      <c r="AR127" s="4">
        <v>774</v>
      </c>
      <c r="AS127" s="4">
        <v>5641.66</v>
      </c>
      <c r="AT127" s="4">
        <v>0</v>
      </c>
      <c r="AU127" s="4">
        <v>111</v>
      </c>
      <c r="AV127" s="4">
        <v>34</v>
      </c>
      <c r="AW127" s="4">
        <v>18</v>
      </c>
      <c r="AX127" s="4">
        <v>11</v>
      </c>
      <c r="AY127" s="1"/>
      <c r="AZ127" s="1"/>
    </row>
    <row r="128" spans="1:52" ht="15.6">
      <c r="A128" s="1" t="s">
        <v>177</v>
      </c>
      <c r="B128" s="1" t="s">
        <v>458</v>
      </c>
      <c r="C128" s="1" t="s">
        <v>239</v>
      </c>
      <c r="D128" s="1" t="s">
        <v>581</v>
      </c>
      <c r="E128" s="1" t="s">
        <v>582</v>
      </c>
      <c r="F128" s="48">
        <v>45411</v>
      </c>
      <c r="G128" s="1" t="s">
        <v>177</v>
      </c>
      <c r="H128" s="4">
        <v>0</v>
      </c>
      <c r="I128" s="4">
        <v>0</v>
      </c>
      <c r="J128" s="4">
        <v>0</v>
      </c>
      <c r="K128" s="4">
        <v>0</v>
      </c>
      <c r="L128" s="4">
        <v>90</v>
      </c>
      <c r="M128" s="4">
        <v>0</v>
      </c>
      <c r="N128" s="4">
        <v>0</v>
      </c>
      <c r="O128" s="4">
        <v>90</v>
      </c>
      <c r="P128" s="4">
        <v>90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606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25690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90</v>
      </c>
      <c r="AY128" s="48">
        <v>45887</v>
      </c>
      <c r="AZ128" s="48"/>
    </row>
    <row r="129" spans="1:52" ht="15.6">
      <c r="A129" s="1" t="s">
        <v>118</v>
      </c>
      <c r="B129" s="1" t="s">
        <v>468</v>
      </c>
      <c r="C129" s="1" t="s">
        <v>240</v>
      </c>
      <c r="D129" s="1" t="s">
        <v>509</v>
      </c>
      <c r="E129" s="1" t="s">
        <v>585</v>
      </c>
      <c r="F129" s="115">
        <v>45432</v>
      </c>
      <c r="G129" s="1" t="s">
        <v>213</v>
      </c>
      <c r="H129" s="4">
        <v>0</v>
      </c>
      <c r="I129" s="4">
        <v>7449999</v>
      </c>
      <c r="J129" s="4">
        <v>7615387.7000000002</v>
      </c>
      <c r="K129" s="4">
        <v>0</v>
      </c>
      <c r="L129" s="4">
        <v>110</v>
      </c>
      <c r="M129" s="4">
        <v>97</v>
      </c>
      <c r="N129" s="4">
        <v>3</v>
      </c>
      <c r="O129" s="4">
        <v>113</v>
      </c>
      <c r="P129" s="4">
        <v>16</v>
      </c>
      <c r="Q129" s="4">
        <v>7401216.1799999997</v>
      </c>
      <c r="R129" s="4">
        <v>214171.51999999999</v>
      </c>
      <c r="S129" s="4">
        <v>58</v>
      </c>
      <c r="T129" s="4">
        <v>3</v>
      </c>
      <c r="U129" s="4">
        <v>61</v>
      </c>
      <c r="V129" s="4">
        <v>0</v>
      </c>
      <c r="W129" s="4">
        <v>55</v>
      </c>
      <c r="X129" s="4">
        <v>71</v>
      </c>
      <c r="Y129" s="4">
        <v>142</v>
      </c>
      <c r="Z129" s="4">
        <v>1</v>
      </c>
      <c r="AA129" s="4">
        <v>37</v>
      </c>
      <c r="AB129" s="4">
        <v>0</v>
      </c>
      <c r="AC129" s="4">
        <v>0</v>
      </c>
      <c r="AD129" s="4">
        <v>0</v>
      </c>
      <c r="AE129" s="4">
        <v>0</v>
      </c>
      <c r="AF129" s="4">
        <v>350</v>
      </c>
      <c r="AG129" s="4">
        <v>458</v>
      </c>
      <c r="AH129" s="4">
        <v>77</v>
      </c>
      <c r="AI129" s="4">
        <v>98901</v>
      </c>
      <c r="AJ129" s="4">
        <v>6</v>
      </c>
      <c r="AK129" s="4">
        <v>45100</v>
      </c>
      <c r="AL129" s="4">
        <v>0</v>
      </c>
      <c r="AM129" s="4">
        <v>5.8999999999999999E-3</v>
      </c>
      <c r="AN129" s="4">
        <v>124842</v>
      </c>
      <c r="AO129" s="4">
        <v>1.02</v>
      </c>
      <c r="AP129" s="4">
        <v>0</v>
      </c>
      <c r="AQ129" s="4">
        <v>185</v>
      </c>
      <c r="AR129" s="4">
        <v>738</v>
      </c>
      <c r="AS129" s="4">
        <v>3343.56</v>
      </c>
      <c r="AT129" s="4">
        <v>3</v>
      </c>
      <c r="AU129" s="4">
        <v>34</v>
      </c>
      <c r="AV129" s="4">
        <v>61</v>
      </c>
      <c r="AW129" s="4">
        <v>39</v>
      </c>
      <c r="AX129" s="4">
        <v>13</v>
      </c>
      <c r="AY129" s="1"/>
      <c r="AZ129" s="1"/>
    </row>
    <row r="130" spans="1:52" ht="15.6">
      <c r="A130" s="1" t="s">
        <v>118</v>
      </c>
      <c r="B130" s="1" t="s">
        <v>359</v>
      </c>
      <c r="C130" s="1" t="s">
        <v>241</v>
      </c>
      <c r="D130" s="1" t="s">
        <v>442</v>
      </c>
      <c r="E130" s="1" t="s">
        <v>586</v>
      </c>
      <c r="F130" s="115">
        <v>45434</v>
      </c>
      <c r="G130" s="1" t="s">
        <v>118</v>
      </c>
      <c r="H130" s="4">
        <v>0</v>
      </c>
      <c r="I130" s="4">
        <v>6000000</v>
      </c>
      <c r="J130" s="4">
        <v>3546868.94</v>
      </c>
      <c r="K130" s="4">
        <v>0</v>
      </c>
      <c r="L130" s="4">
        <v>74</v>
      </c>
      <c r="M130" s="4">
        <v>54</v>
      </c>
      <c r="N130" s="4">
        <v>2</v>
      </c>
      <c r="O130" s="4">
        <v>76</v>
      </c>
      <c r="P130" s="4">
        <v>22</v>
      </c>
      <c r="Q130" s="4">
        <v>3517665.74</v>
      </c>
      <c r="R130" s="4">
        <v>29203.200000000001</v>
      </c>
      <c r="S130" s="4">
        <v>34</v>
      </c>
      <c r="T130" s="4">
        <v>1</v>
      </c>
      <c r="U130" s="4">
        <v>35</v>
      </c>
      <c r="V130" s="4">
        <v>0</v>
      </c>
      <c r="W130" s="4">
        <v>1</v>
      </c>
      <c r="X130" s="4">
        <v>1</v>
      </c>
      <c r="Y130" s="4">
        <v>19</v>
      </c>
      <c r="Z130" s="4">
        <v>1</v>
      </c>
      <c r="AA130" s="4">
        <v>17</v>
      </c>
      <c r="AB130" s="4">
        <v>0</v>
      </c>
      <c r="AC130" s="4">
        <v>0</v>
      </c>
      <c r="AD130" s="4">
        <v>0</v>
      </c>
      <c r="AE130" s="4">
        <v>0</v>
      </c>
      <c r="AF130" s="4">
        <v>248</v>
      </c>
      <c r="AG130" s="4">
        <v>266</v>
      </c>
      <c r="AH130" s="4">
        <v>66</v>
      </c>
      <c r="AI130" s="4">
        <v>53740</v>
      </c>
      <c r="AJ130" s="4">
        <v>4</v>
      </c>
      <c r="AK130" s="4">
        <v>69400</v>
      </c>
      <c r="AL130" s="4">
        <v>0</v>
      </c>
      <c r="AM130" s="4">
        <v>1.9599999999999999E-2</v>
      </c>
      <c r="AN130" s="4">
        <v>101339</v>
      </c>
      <c r="AO130" s="4">
        <v>0.59</v>
      </c>
      <c r="AP130" s="4">
        <v>0</v>
      </c>
      <c r="AQ130" s="4">
        <v>187</v>
      </c>
      <c r="AR130" s="4">
        <v>700</v>
      </c>
      <c r="AS130" s="4">
        <v>3851.09</v>
      </c>
      <c r="AT130" s="4">
        <v>1</v>
      </c>
      <c r="AU130" s="4">
        <v>71</v>
      </c>
      <c r="AV130" s="4">
        <v>35</v>
      </c>
      <c r="AW130" s="4">
        <v>21</v>
      </c>
      <c r="AX130" s="4">
        <v>20</v>
      </c>
      <c r="AY130" s="1"/>
      <c r="AZ130" s="1"/>
    </row>
    <row r="131" spans="1:52" ht="15.6">
      <c r="A131" s="1" t="s">
        <v>124</v>
      </c>
      <c r="B131" s="1" t="s">
        <v>443</v>
      </c>
      <c r="C131" s="1" t="s">
        <v>242</v>
      </c>
      <c r="D131" s="1" t="s">
        <v>517</v>
      </c>
      <c r="E131" s="1" t="s">
        <v>518</v>
      </c>
      <c r="F131" s="104">
        <v>45446</v>
      </c>
      <c r="G131" s="1" t="s">
        <v>142</v>
      </c>
      <c r="H131" s="4">
        <v>0</v>
      </c>
      <c r="I131" s="4">
        <v>3600000</v>
      </c>
      <c r="J131" s="4">
        <v>2692591.45</v>
      </c>
      <c r="K131" s="4">
        <v>0</v>
      </c>
      <c r="L131" s="4">
        <v>48</v>
      </c>
      <c r="M131" s="4">
        <v>45</v>
      </c>
      <c r="N131" s="4">
        <v>5</v>
      </c>
      <c r="O131" s="4">
        <v>53</v>
      </c>
      <c r="P131" s="4">
        <v>8</v>
      </c>
      <c r="Q131" s="4">
        <v>1890835.24</v>
      </c>
      <c r="R131" s="4">
        <v>801756.21</v>
      </c>
      <c r="S131" s="4">
        <v>20</v>
      </c>
      <c r="T131" s="4">
        <v>5</v>
      </c>
      <c r="U131" s="4">
        <v>25</v>
      </c>
      <c r="V131" s="4">
        <v>0</v>
      </c>
      <c r="W131" s="4">
        <v>43</v>
      </c>
      <c r="X131" s="4">
        <v>72</v>
      </c>
      <c r="Y131" s="4">
        <v>184</v>
      </c>
      <c r="Z131" s="4">
        <v>6</v>
      </c>
      <c r="AA131" s="4">
        <v>56</v>
      </c>
      <c r="AB131" s="4">
        <v>0</v>
      </c>
      <c r="AC131" s="4">
        <v>0</v>
      </c>
      <c r="AD131" s="4">
        <v>1</v>
      </c>
      <c r="AE131" s="4">
        <v>8</v>
      </c>
      <c r="AF131" s="4">
        <v>202</v>
      </c>
      <c r="AG131" s="4">
        <v>338</v>
      </c>
      <c r="AH131" s="4">
        <v>74</v>
      </c>
      <c r="AI131" s="4">
        <v>36386</v>
      </c>
      <c r="AJ131" s="4">
        <v>5</v>
      </c>
      <c r="AK131" s="4">
        <v>39840</v>
      </c>
      <c r="AL131" s="4">
        <v>0</v>
      </c>
      <c r="AM131" s="4">
        <v>1.4800000000000001E-2</v>
      </c>
      <c r="AN131" s="4">
        <v>107704</v>
      </c>
      <c r="AO131" s="4">
        <v>0.75</v>
      </c>
      <c r="AP131" s="4">
        <v>0</v>
      </c>
      <c r="AQ131" s="4">
        <v>53</v>
      </c>
      <c r="AR131" s="4">
        <v>744</v>
      </c>
      <c r="AS131" s="4">
        <v>3964.18</v>
      </c>
      <c r="AT131" s="4">
        <v>5</v>
      </c>
      <c r="AU131" s="4">
        <v>88</v>
      </c>
      <c r="AV131" s="4">
        <v>25</v>
      </c>
      <c r="AW131" s="4">
        <v>21</v>
      </c>
      <c r="AX131" s="4">
        <v>7</v>
      </c>
      <c r="AY131" s="1"/>
      <c r="AZ131" s="1"/>
    </row>
    <row r="132" spans="1:52" ht="15.6">
      <c r="A132" s="1" t="s">
        <v>118</v>
      </c>
      <c r="B132" s="1" t="s">
        <v>649</v>
      </c>
      <c r="C132" s="1" t="s">
        <v>243</v>
      </c>
      <c r="D132" s="1" t="s">
        <v>486</v>
      </c>
      <c r="E132" s="1" t="s">
        <v>512</v>
      </c>
      <c r="F132" s="48">
        <v>45453</v>
      </c>
      <c r="G132" s="1" t="s">
        <v>119</v>
      </c>
      <c r="H132" s="4">
        <v>0</v>
      </c>
      <c r="I132" s="4">
        <v>3600000</v>
      </c>
      <c r="J132" s="4">
        <v>2516948.56</v>
      </c>
      <c r="K132" s="4">
        <v>0</v>
      </c>
      <c r="L132" s="4">
        <v>137</v>
      </c>
      <c r="M132" s="4">
        <v>133</v>
      </c>
      <c r="N132" s="4">
        <v>5</v>
      </c>
      <c r="O132" s="4">
        <v>142</v>
      </c>
      <c r="P132" s="4">
        <v>9</v>
      </c>
      <c r="Q132" s="4">
        <v>2389510.2599999998</v>
      </c>
      <c r="R132" s="4">
        <v>127438.3</v>
      </c>
      <c r="S132" s="4">
        <v>50</v>
      </c>
      <c r="T132" s="4">
        <v>5</v>
      </c>
      <c r="U132" s="4">
        <v>55</v>
      </c>
      <c r="V132" s="4">
        <v>0</v>
      </c>
      <c r="W132" s="4">
        <v>21</v>
      </c>
      <c r="X132" s="4">
        <v>36</v>
      </c>
      <c r="Y132" s="4">
        <v>192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512</v>
      </c>
      <c r="AG132" s="4">
        <v>548</v>
      </c>
      <c r="AH132" s="4">
        <v>69</v>
      </c>
      <c r="AI132" s="4">
        <v>36478</v>
      </c>
      <c r="AJ132" s="4">
        <v>8</v>
      </c>
      <c r="AK132" s="4">
        <v>33570</v>
      </c>
      <c r="AL132" s="4">
        <v>0</v>
      </c>
      <c r="AM132" s="4">
        <v>1.3299999999999999E-2</v>
      </c>
      <c r="AN132" s="4">
        <v>45763</v>
      </c>
      <c r="AO132" s="4">
        <v>0.7</v>
      </c>
      <c r="AP132" s="4">
        <v>0</v>
      </c>
      <c r="AQ132" s="4">
        <v>114</v>
      </c>
      <c r="AR132" s="4">
        <v>862</v>
      </c>
      <c r="AS132" s="4">
        <v>5855.57</v>
      </c>
      <c r="AT132" s="4">
        <v>5</v>
      </c>
      <c r="AU132" s="4">
        <v>44</v>
      </c>
      <c r="AV132" s="4">
        <v>55</v>
      </c>
      <c r="AW132" s="4">
        <v>79</v>
      </c>
      <c r="AX132" s="4">
        <v>8</v>
      </c>
      <c r="AY132" s="1"/>
      <c r="AZ132" s="1"/>
    </row>
    <row r="133" spans="1:52" ht="15.6">
      <c r="A133" s="1" t="s">
        <v>136</v>
      </c>
      <c r="B133" s="1" t="s">
        <v>653</v>
      </c>
      <c r="C133" s="1" t="s">
        <v>244</v>
      </c>
      <c r="D133" s="1" t="s">
        <v>421</v>
      </c>
      <c r="E133" s="1" t="s">
        <v>427</v>
      </c>
      <c r="F133" s="104">
        <v>45964</v>
      </c>
      <c r="G133" s="1" t="s">
        <v>136</v>
      </c>
      <c r="H133" s="4">
        <v>800000</v>
      </c>
      <c r="I133" s="4">
        <v>600000</v>
      </c>
      <c r="J133" s="4">
        <v>423187.6</v>
      </c>
      <c r="K133" s="4">
        <v>504459.2</v>
      </c>
      <c r="L133" s="4">
        <v>28</v>
      </c>
      <c r="M133" s="4">
        <v>25</v>
      </c>
      <c r="N133" s="4">
        <v>0</v>
      </c>
      <c r="O133" s="4">
        <v>28</v>
      </c>
      <c r="P133" s="4">
        <v>3</v>
      </c>
      <c r="Q133" s="4">
        <v>423187.6</v>
      </c>
      <c r="R133" s="4">
        <v>0</v>
      </c>
      <c r="S133" s="4">
        <v>12</v>
      </c>
      <c r="T133" s="4">
        <v>0</v>
      </c>
      <c r="U133" s="4">
        <v>12</v>
      </c>
      <c r="V133" s="4">
        <v>3</v>
      </c>
      <c r="W133" s="4">
        <v>96</v>
      </c>
      <c r="X133" s="4">
        <v>121</v>
      </c>
      <c r="Y133" s="4">
        <v>219</v>
      </c>
      <c r="Z133" s="4">
        <v>4</v>
      </c>
      <c r="AA133" s="4">
        <v>33</v>
      </c>
      <c r="AB133" s="4">
        <v>4</v>
      </c>
      <c r="AC133" s="4">
        <v>19</v>
      </c>
      <c r="AD133" s="4">
        <v>5</v>
      </c>
      <c r="AE133" s="4">
        <v>7</v>
      </c>
      <c r="AF133" s="4">
        <v>51</v>
      </c>
      <c r="AG133" s="4">
        <v>231</v>
      </c>
      <c r="AH133" s="4">
        <v>49</v>
      </c>
      <c r="AI133" s="4">
        <v>8636</v>
      </c>
      <c r="AJ133" s="4">
        <v>5</v>
      </c>
      <c r="AK133" s="4">
        <v>27260</v>
      </c>
      <c r="AL133" s="4">
        <v>0</v>
      </c>
      <c r="AM133" s="4">
        <v>6.4399999999999999E-2</v>
      </c>
      <c r="AN133" s="4">
        <v>35266</v>
      </c>
      <c r="AO133" s="4">
        <v>0.71</v>
      </c>
      <c r="AP133" s="4">
        <v>0.63</v>
      </c>
      <c r="AQ133" s="4">
        <v>21</v>
      </c>
      <c r="AR133" s="4">
        <v>353</v>
      </c>
      <c r="AS133" s="4">
        <v>1994.21</v>
      </c>
      <c r="AT133" s="4">
        <v>0</v>
      </c>
      <c r="AU133" s="4">
        <v>80</v>
      </c>
      <c r="AV133" s="4">
        <v>12</v>
      </c>
      <c r="AW133" s="4">
        <v>13</v>
      </c>
      <c r="AX133" s="4">
        <v>3</v>
      </c>
      <c r="AY133" s="1"/>
      <c r="AZ133" s="1"/>
    </row>
    <row r="134" spans="1:52" ht="15.6">
      <c r="A134" s="1" t="s">
        <v>118</v>
      </c>
      <c r="B134" s="1" t="s">
        <v>362</v>
      </c>
      <c r="C134" s="1" t="s">
        <v>245</v>
      </c>
      <c r="D134" s="1" t="s">
        <v>419</v>
      </c>
      <c r="E134" s="1" t="s">
        <v>591</v>
      </c>
      <c r="F134" s="48">
        <v>45460</v>
      </c>
      <c r="G134" s="1" t="s">
        <v>51</v>
      </c>
      <c r="H134" s="4">
        <v>0</v>
      </c>
      <c r="I134" s="4">
        <v>4500000</v>
      </c>
      <c r="J134" s="4">
        <v>4111888.64</v>
      </c>
      <c r="K134" s="4">
        <v>0</v>
      </c>
      <c r="L134" s="4">
        <v>79</v>
      </c>
      <c r="M134" s="4">
        <v>66</v>
      </c>
      <c r="N134" s="4">
        <v>7</v>
      </c>
      <c r="O134" s="4">
        <v>86</v>
      </c>
      <c r="P134" s="4">
        <v>20</v>
      </c>
      <c r="Q134" s="4">
        <v>2768909.43</v>
      </c>
      <c r="R134" s="4">
        <v>1342979.21</v>
      </c>
      <c r="S134" s="4">
        <v>18</v>
      </c>
      <c r="T134" s="4">
        <v>7</v>
      </c>
      <c r="U134" s="4">
        <v>25</v>
      </c>
      <c r="V134" s="4">
        <v>0</v>
      </c>
      <c r="W134" s="4">
        <v>12</v>
      </c>
      <c r="X134" s="4">
        <v>15</v>
      </c>
      <c r="Y134" s="4">
        <v>68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5</v>
      </c>
      <c r="AF134" s="4">
        <v>281</v>
      </c>
      <c r="AG134" s="4">
        <v>301</v>
      </c>
      <c r="AH134" s="4">
        <v>72</v>
      </c>
      <c r="AI134" s="4">
        <v>57110</v>
      </c>
      <c r="AJ134" s="4">
        <v>4</v>
      </c>
      <c r="AK134" s="4">
        <v>29900</v>
      </c>
      <c r="AL134" s="4">
        <v>0</v>
      </c>
      <c r="AM134" s="4">
        <v>7.3000000000000001E-3</v>
      </c>
      <c r="AN134" s="4">
        <v>164476</v>
      </c>
      <c r="AO134" s="4">
        <v>0.91</v>
      </c>
      <c r="AP134" s="4">
        <v>0</v>
      </c>
      <c r="AQ134" s="4">
        <v>54</v>
      </c>
      <c r="AR134" s="4">
        <v>760</v>
      </c>
      <c r="AS134" s="4">
        <v>4366.28</v>
      </c>
      <c r="AT134" s="4">
        <v>7</v>
      </c>
      <c r="AU134" s="4">
        <v>66</v>
      </c>
      <c r="AV134" s="4">
        <v>25</v>
      </c>
      <c r="AW134" s="4">
        <v>44</v>
      </c>
      <c r="AX134" s="4">
        <v>17</v>
      </c>
      <c r="AY134" s="1"/>
      <c r="AZ134" s="1"/>
    </row>
    <row r="135" spans="1:52" ht="15.6">
      <c r="A135" s="1" t="s">
        <v>118</v>
      </c>
      <c r="B135" s="1" t="s">
        <v>375</v>
      </c>
      <c r="C135" s="1" t="s">
        <v>246</v>
      </c>
      <c r="D135" s="1" t="s">
        <v>473</v>
      </c>
      <c r="E135" s="1" t="s">
        <v>594</v>
      </c>
      <c r="F135" s="48">
        <v>45462</v>
      </c>
      <c r="G135" s="1" t="s">
        <v>119</v>
      </c>
      <c r="H135" s="4">
        <v>0</v>
      </c>
      <c r="I135" s="4">
        <v>0</v>
      </c>
      <c r="J135" s="4">
        <v>0</v>
      </c>
      <c r="K135" s="4">
        <v>0</v>
      </c>
      <c r="L135" s="4">
        <v>48</v>
      </c>
      <c r="M135" s="4">
        <v>0</v>
      </c>
      <c r="N135" s="4">
        <v>0</v>
      </c>
      <c r="O135" s="4">
        <v>48</v>
      </c>
      <c r="P135" s="4">
        <v>48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70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24116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48</v>
      </c>
      <c r="AY135" s="48">
        <v>45838</v>
      </c>
      <c r="AZ135" s="48"/>
    </row>
    <row r="136" spans="1:52" ht="15.6">
      <c r="A136" s="1" t="s">
        <v>154</v>
      </c>
      <c r="B136" s="1" t="s">
        <v>367</v>
      </c>
      <c r="C136" s="1" t="s">
        <v>247</v>
      </c>
      <c r="D136" s="1" t="s">
        <v>577</v>
      </c>
      <c r="E136" s="1" t="s">
        <v>377</v>
      </c>
      <c r="F136" s="48">
        <v>45464</v>
      </c>
      <c r="G136" s="1" t="s">
        <v>196</v>
      </c>
      <c r="H136" s="4">
        <v>0</v>
      </c>
      <c r="I136" s="4">
        <v>0</v>
      </c>
      <c r="J136" s="4">
        <v>0</v>
      </c>
      <c r="K136" s="4">
        <v>0</v>
      </c>
      <c r="L136" s="4">
        <v>34</v>
      </c>
      <c r="M136" s="4">
        <v>0</v>
      </c>
      <c r="N136" s="4">
        <v>0</v>
      </c>
      <c r="O136" s="4">
        <v>34</v>
      </c>
      <c r="P136" s="4">
        <v>34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402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38285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34</v>
      </c>
      <c r="AY136" s="48">
        <v>45838</v>
      </c>
      <c r="AZ136" s="48"/>
    </row>
    <row r="137" spans="1:52" ht="15.6">
      <c r="A137" s="1" t="s">
        <v>201</v>
      </c>
      <c r="B137" s="1" t="s">
        <v>438</v>
      </c>
      <c r="C137" s="1" t="s">
        <v>248</v>
      </c>
      <c r="D137" s="1" t="s">
        <v>504</v>
      </c>
      <c r="E137" s="1" t="s">
        <v>604</v>
      </c>
      <c r="F137" s="48">
        <v>45467</v>
      </c>
      <c r="G137" s="1" t="s">
        <v>121</v>
      </c>
      <c r="H137" s="4">
        <v>0</v>
      </c>
      <c r="I137" s="4">
        <v>5000001</v>
      </c>
      <c r="J137" s="4">
        <v>1635085.6</v>
      </c>
      <c r="K137" s="4">
        <v>0</v>
      </c>
      <c r="L137" s="4">
        <v>48</v>
      </c>
      <c r="M137" s="4">
        <v>44</v>
      </c>
      <c r="N137" s="4">
        <v>0</v>
      </c>
      <c r="O137" s="4">
        <v>48</v>
      </c>
      <c r="P137" s="4">
        <v>4</v>
      </c>
      <c r="Q137" s="4">
        <v>1635085.6</v>
      </c>
      <c r="R137" s="4">
        <v>0</v>
      </c>
      <c r="S137" s="4">
        <v>20</v>
      </c>
      <c r="T137" s="4">
        <v>0</v>
      </c>
      <c r="U137" s="4">
        <v>20</v>
      </c>
      <c r="V137" s="4">
        <v>0</v>
      </c>
      <c r="W137" s="4">
        <v>11</v>
      </c>
      <c r="X137" s="4">
        <v>23</v>
      </c>
      <c r="Y137" s="4">
        <v>16</v>
      </c>
      <c r="Z137" s="4">
        <v>1</v>
      </c>
      <c r="AA137" s="4">
        <v>9</v>
      </c>
      <c r="AB137" s="4">
        <v>0</v>
      </c>
      <c r="AC137" s="4">
        <v>0</v>
      </c>
      <c r="AD137" s="4">
        <v>0</v>
      </c>
      <c r="AE137" s="4">
        <v>0</v>
      </c>
      <c r="AF137" s="4">
        <v>212</v>
      </c>
      <c r="AG137" s="4">
        <v>244</v>
      </c>
      <c r="AH137" s="4">
        <v>70</v>
      </c>
      <c r="AI137" s="4">
        <v>23358</v>
      </c>
      <c r="AJ137" s="4">
        <v>3</v>
      </c>
      <c r="AK137" s="4">
        <v>27260</v>
      </c>
      <c r="AL137" s="4">
        <v>0</v>
      </c>
      <c r="AM137" s="4">
        <v>1.67E-2</v>
      </c>
      <c r="AN137" s="4">
        <v>81754</v>
      </c>
      <c r="AO137" s="4">
        <v>0.33</v>
      </c>
      <c r="AP137" s="4">
        <v>0</v>
      </c>
      <c r="AQ137" s="4">
        <v>34</v>
      </c>
      <c r="AR137" s="4">
        <v>662</v>
      </c>
      <c r="AS137" s="4">
        <v>3805.27</v>
      </c>
      <c r="AT137" s="4">
        <v>0</v>
      </c>
      <c r="AU137" s="4">
        <v>86</v>
      </c>
      <c r="AV137" s="4">
        <v>20</v>
      </c>
      <c r="AW137" s="4">
        <v>24</v>
      </c>
      <c r="AX137" s="4">
        <v>4</v>
      </c>
      <c r="AY137" s="1"/>
      <c r="AZ137" s="1"/>
    </row>
    <row r="138" spans="1:52" ht="15.6">
      <c r="A138" s="1" t="s">
        <v>118</v>
      </c>
      <c r="B138" s="1" t="s">
        <v>436</v>
      </c>
      <c r="C138" s="1" t="s">
        <v>249</v>
      </c>
      <c r="D138" s="1" t="s">
        <v>499</v>
      </c>
      <c r="E138" s="1" t="s">
        <v>606</v>
      </c>
      <c r="F138" s="104">
        <v>45474</v>
      </c>
      <c r="G138" s="1" t="s">
        <v>111</v>
      </c>
      <c r="H138" s="4">
        <v>0</v>
      </c>
      <c r="I138" s="4">
        <v>0</v>
      </c>
      <c r="J138" s="4">
        <v>0</v>
      </c>
      <c r="K138" s="4">
        <v>0</v>
      </c>
      <c r="L138" s="4">
        <v>21</v>
      </c>
      <c r="M138" s="4">
        <v>0</v>
      </c>
      <c r="N138" s="4">
        <v>0</v>
      </c>
      <c r="O138" s="4">
        <v>21</v>
      </c>
      <c r="P138" s="4">
        <v>21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531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35650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21</v>
      </c>
      <c r="AY138" s="104">
        <v>45877</v>
      </c>
      <c r="AZ138" s="104"/>
    </row>
    <row r="139" spans="1:52" ht="15.6">
      <c r="A139" s="1" t="s">
        <v>201</v>
      </c>
      <c r="B139" s="1" t="s">
        <v>431</v>
      </c>
      <c r="C139" s="1" t="s">
        <v>250</v>
      </c>
      <c r="D139" s="1" t="s">
        <v>431</v>
      </c>
      <c r="E139" s="1" t="s">
        <v>561</v>
      </c>
      <c r="F139" s="104">
        <v>45482</v>
      </c>
      <c r="G139" s="1" t="s">
        <v>106</v>
      </c>
      <c r="H139" s="4">
        <v>0</v>
      </c>
      <c r="I139" s="4">
        <v>4749999</v>
      </c>
      <c r="J139" s="4">
        <v>3304161.74</v>
      </c>
      <c r="K139" s="4">
        <v>0</v>
      </c>
      <c r="L139" s="4">
        <v>69</v>
      </c>
      <c r="M139" s="4">
        <v>61</v>
      </c>
      <c r="N139" s="4">
        <v>3</v>
      </c>
      <c r="O139" s="4">
        <v>72</v>
      </c>
      <c r="P139" s="4">
        <v>11</v>
      </c>
      <c r="Q139" s="4">
        <v>3127830.96</v>
      </c>
      <c r="R139" s="4">
        <v>176330.78</v>
      </c>
      <c r="S139" s="4">
        <v>34</v>
      </c>
      <c r="T139" s="4">
        <v>3</v>
      </c>
      <c r="U139" s="4">
        <v>37</v>
      </c>
      <c r="V139" s="4">
        <v>0</v>
      </c>
      <c r="W139" s="4">
        <v>23</v>
      </c>
      <c r="X139" s="4">
        <v>28</v>
      </c>
      <c r="Y139" s="4">
        <v>239</v>
      </c>
      <c r="Z139" s="4">
        <v>1</v>
      </c>
      <c r="AA139" s="4">
        <v>15</v>
      </c>
      <c r="AB139" s="4">
        <v>0</v>
      </c>
      <c r="AC139" s="4">
        <v>0</v>
      </c>
      <c r="AD139" s="4">
        <v>0</v>
      </c>
      <c r="AE139" s="4">
        <v>0</v>
      </c>
      <c r="AF139" s="4">
        <v>293</v>
      </c>
      <c r="AG139" s="4">
        <v>336</v>
      </c>
      <c r="AH139" s="4">
        <v>66</v>
      </c>
      <c r="AI139" s="4">
        <v>50063</v>
      </c>
      <c r="AJ139" s="4">
        <v>5</v>
      </c>
      <c r="AK139" s="4">
        <v>25165</v>
      </c>
      <c r="AL139" s="4">
        <v>0</v>
      </c>
      <c r="AM139" s="4">
        <v>7.6E-3</v>
      </c>
      <c r="AN139" s="4">
        <v>89302</v>
      </c>
      <c r="AO139" s="4">
        <v>0.7</v>
      </c>
      <c r="AP139" s="4">
        <v>0</v>
      </c>
      <c r="AQ139" s="4">
        <v>130</v>
      </c>
      <c r="AR139" s="4">
        <v>503</v>
      </c>
      <c r="AS139" s="4">
        <v>3968.46</v>
      </c>
      <c r="AT139" s="4">
        <v>3</v>
      </c>
      <c r="AU139" s="4">
        <v>65</v>
      </c>
      <c r="AV139" s="4">
        <v>37</v>
      </c>
      <c r="AW139" s="4">
        <v>26</v>
      </c>
      <c r="AX139" s="4">
        <v>9</v>
      </c>
      <c r="AY139" s="1"/>
      <c r="AZ139" s="1"/>
    </row>
    <row r="140" spans="1:52" ht="15.6">
      <c r="A140" s="1" t="s">
        <v>124</v>
      </c>
      <c r="B140" s="1" t="s">
        <v>443</v>
      </c>
      <c r="C140" s="1" t="s">
        <v>251</v>
      </c>
      <c r="D140" s="1" t="s">
        <v>517</v>
      </c>
      <c r="E140" s="1" t="s">
        <v>607</v>
      </c>
      <c r="F140" s="48">
        <v>45483</v>
      </c>
      <c r="G140" s="1" t="s">
        <v>142</v>
      </c>
      <c r="H140" s="4">
        <v>0</v>
      </c>
      <c r="I140" s="4">
        <v>3000000</v>
      </c>
      <c r="J140" s="4">
        <v>1648104.8</v>
      </c>
      <c r="K140" s="4">
        <v>0</v>
      </c>
      <c r="L140" s="4">
        <v>74</v>
      </c>
      <c r="M140" s="4">
        <v>72</v>
      </c>
      <c r="N140" s="4">
        <v>16</v>
      </c>
      <c r="O140" s="4">
        <v>90</v>
      </c>
      <c r="P140" s="4">
        <v>18</v>
      </c>
      <c r="Q140" s="4">
        <v>1099936.3600000001</v>
      </c>
      <c r="R140" s="4">
        <v>548168.43999999994</v>
      </c>
      <c r="S140" s="4">
        <v>40</v>
      </c>
      <c r="T140" s="4">
        <v>16</v>
      </c>
      <c r="U140" s="4">
        <v>56</v>
      </c>
      <c r="V140" s="4">
        <v>0</v>
      </c>
      <c r="W140" s="4">
        <v>80</v>
      </c>
      <c r="X140" s="4">
        <v>102</v>
      </c>
      <c r="Y140" s="4">
        <v>148</v>
      </c>
      <c r="Z140" s="4">
        <v>2</v>
      </c>
      <c r="AA140" s="4">
        <v>30</v>
      </c>
      <c r="AB140" s="4">
        <v>0</v>
      </c>
      <c r="AC140" s="4">
        <v>0</v>
      </c>
      <c r="AD140" s="4">
        <v>0</v>
      </c>
      <c r="AE140" s="4">
        <v>0</v>
      </c>
      <c r="AF140" s="4">
        <v>217</v>
      </c>
      <c r="AG140" s="4">
        <v>349</v>
      </c>
      <c r="AH140" s="4">
        <v>70</v>
      </c>
      <c r="AI140" s="4">
        <v>23544</v>
      </c>
      <c r="AJ140" s="4">
        <v>5</v>
      </c>
      <c r="AK140" s="4">
        <v>42475</v>
      </c>
      <c r="AL140" s="4">
        <v>0</v>
      </c>
      <c r="AM140" s="4">
        <v>2.58E-2</v>
      </c>
      <c r="AN140" s="4">
        <v>29430</v>
      </c>
      <c r="AO140" s="4">
        <v>0.55000000000000004</v>
      </c>
      <c r="AP140" s="4">
        <v>0</v>
      </c>
      <c r="AQ140" s="4">
        <v>91</v>
      </c>
      <c r="AR140" s="4">
        <v>614</v>
      </c>
      <c r="AS140" s="4">
        <v>6693.96</v>
      </c>
      <c r="AT140" s="4">
        <v>16</v>
      </c>
      <c r="AU140" s="4">
        <v>93</v>
      </c>
      <c r="AV140" s="4">
        <v>56</v>
      </c>
      <c r="AW140" s="4">
        <v>18</v>
      </c>
      <c r="AX140" s="4">
        <v>16</v>
      </c>
      <c r="AY140" s="1"/>
      <c r="AZ140" s="1"/>
    </row>
    <row r="141" spans="1:52" ht="15.6">
      <c r="A141" s="1" t="s">
        <v>108</v>
      </c>
      <c r="B141" s="1" t="s">
        <v>465</v>
      </c>
      <c r="C141" s="1" t="s">
        <v>252</v>
      </c>
      <c r="D141" s="1" t="s">
        <v>621</v>
      </c>
      <c r="E141" s="1" t="s">
        <v>622</v>
      </c>
      <c r="F141" s="104">
        <v>45597</v>
      </c>
      <c r="G141" s="1" t="s">
        <v>108</v>
      </c>
      <c r="H141" s="4">
        <v>0</v>
      </c>
      <c r="I141" s="4">
        <v>3500000</v>
      </c>
      <c r="J141" s="4">
        <v>1036702.8</v>
      </c>
      <c r="K141" s="4">
        <v>0</v>
      </c>
      <c r="L141" s="4">
        <v>99</v>
      </c>
      <c r="M141" s="4">
        <v>84</v>
      </c>
      <c r="N141" s="4">
        <v>2</v>
      </c>
      <c r="O141" s="4">
        <v>101</v>
      </c>
      <c r="P141" s="4">
        <v>17</v>
      </c>
      <c r="Q141" s="4">
        <v>880306.8</v>
      </c>
      <c r="R141" s="4">
        <v>156396</v>
      </c>
      <c r="S141" s="4">
        <v>18</v>
      </c>
      <c r="T141" s="4">
        <v>2</v>
      </c>
      <c r="U141" s="4">
        <v>20</v>
      </c>
      <c r="V141" s="4">
        <v>0</v>
      </c>
      <c r="W141" s="4">
        <v>4</v>
      </c>
      <c r="X141" s="4">
        <v>6</v>
      </c>
      <c r="Y141" s="4">
        <v>65</v>
      </c>
      <c r="Z141" s="4">
        <v>1</v>
      </c>
      <c r="AA141" s="4">
        <v>32</v>
      </c>
      <c r="AB141" s="4">
        <v>0</v>
      </c>
      <c r="AC141" s="4">
        <v>0</v>
      </c>
      <c r="AD141" s="4">
        <v>0</v>
      </c>
      <c r="AE141" s="4">
        <v>0</v>
      </c>
      <c r="AF141" s="4">
        <v>376</v>
      </c>
      <c r="AG141" s="4">
        <v>414</v>
      </c>
      <c r="AH141" s="4">
        <v>72</v>
      </c>
      <c r="AI141" s="4">
        <v>14399</v>
      </c>
      <c r="AJ141" s="4">
        <v>6</v>
      </c>
      <c r="AK141" s="4">
        <v>26800</v>
      </c>
      <c r="AL141" s="4">
        <v>0</v>
      </c>
      <c r="AM141" s="4">
        <v>0</v>
      </c>
      <c r="AN141" s="4">
        <v>51835</v>
      </c>
      <c r="AO141" s="4">
        <v>0.3</v>
      </c>
      <c r="AP141" s="4">
        <v>0</v>
      </c>
      <c r="AQ141" s="4">
        <v>30</v>
      </c>
      <c r="AR141" s="4">
        <v>535</v>
      </c>
      <c r="AS141" s="4">
        <v>2487.79</v>
      </c>
      <c r="AT141" s="4">
        <v>2</v>
      </c>
      <c r="AU141" s="4">
        <v>30</v>
      </c>
      <c r="AV141" s="4">
        <v>20</v>
      </c>
      <c r="AW141" s="4">
        <v>64</v>
      </c>
      <c r="AX141" s="4">
        <v>17</v>
      </c>
      <c r="AY141" s="104">
        <v>46027</v>
      </c>
      <c r="AZ141" s="104"/>
    </row>
    <row r="142" spans="1:52" ht="15.6">
      <c r="A142" s="1" t="s">
        <v>108</v>
      </c>
      <c r="B142" s="1" t="s">
        <v>465</v>
      </c>
      <c r="C142" s="1" t="s">
        <v>253</v>
      </c>
      <c r="D142" s="1" t="s">
        <v>506</v>
      </c>
      <c r="E142" s="1" t="s">
        <v>467</v>
      </c>
      <c r="F142" s="48">
        <v>45488</v>
      </c>
      <c r="G142" s="1" t="s">
        <v>108</v>
      </c>
      <c r="H142" s="4">
        <v>0</v>
      </c>
      <c r="I142" s="4">
        <v>3166251</v>
      </c>
      <c r="J142" s="4">
        <v>1221339.6000000001</v>
      </c>
      <c r="K142" s="4">
        <v>0</v>
      </c>
      <c r="L142" s="4">
        <v>108</v>
      </c>
      <c r="M142" s="4">
        <v>98</v>
      </c>
      <c r="N142" s="4">
        <v>0</v>
      </c>
      <c r="O142" s="4">
        <v>108</v>
      </c>
      <c r="P142" s="4">
        <v>10</v>
      </c>
      <c r="Q142" s="4">
        <v>1221339.6000000001</v>
      </c>
      <c r="R142" s="4">
        <v>0</v>
      </c>
      <c r="S142" s="4">
        <v>54</v>
      </c>
      <c r="T142" s="4">
        <v>0</v>
      </c>
      <c r="U142" s="4">
        <v>54</v>
      </c>
      <c r="V142" s="4">
        <v>0</v>
      </c>
      <c r="W142" s="4">
        <v>11</v>
      </c>
      <c r="X142" s="4">
        <v>16</v>
      </c>
      <c r="Y142" s="4">
        <v>43</v>
      </c>
      <c r="Z142" s="4">
        <v>2</v>
      </c>
      <c r="AA142" s="4">
        <v>18</v>
      </c>
      <c r="AB142" s="4">
        <v>0</v>
      </c>
      <c r="AC142" s="4">
        <v>0</v>
      </c>
      <c r="AD142" s="4">
        <v>0</v>
      </c>
      <c r="AE142" s="4">
        <v>0</v>
      </c>
      <c r="AF142" s="4">
        <v>398</v>
      </c>
      <c r="AG142" s="4">
        <v>432</v>
      </c>
      <c r="AH142" s="4">
        <v>73</v>
      </c>
      <c r="AI142" s="4">
        <v>16731</v>
      </c>
      <c r="AJ142" s="4">
        <v>6</v>
      </c>
      <c r="AK142" s="1"/>
      <c r="AL142" s="4">
        <v>0</v>
      </c>
      <c r="AM142" s="4">
        <v>0</v>
      </c>
      <c r="AN142" s="4">
        <v>22617</v>
      </c>
      <c r="AO142" s="4">
        <v>0.39</v>
      </c>
      <c r="AP142" s="4">
        <v>0</v>
      </c>
      <c r="AQ142" s="4">
        <v>110</v>
      </c>
      <c r="AR142" s="4">
        <v>633</v>
      </c>
      <c r="AS142" s="4">
        <v>4789.97</v>
      </c>
      <c r="AT142" s="4">
        <v>0</v>
      </c>
      <c r="AU142" s="4">
        <v>49</v>
      </c>
      <c r="AV142" s="4">
        <v>54</v>
      </c>
      <c r="AW142" s="4">
        <v>44</v>
      </c>
      <c r="AX142" s="4">
        <v>10</v>
      </c>
      <c r="AY142" s="1"/>
      <c r="AZ142" s="1"/>
    </row>
    <row r="143" spans="1:52" ht="15.6">
      <c r="A143" s="1" t="s">
        <v>118</v>
      </c>
      <c r="B143" s="1" t="s">
        <v>372</v>
      </c>
      <c r="C143" s="1" t="s">
        <v>254</v>
      </c>
      <c r="D143" s="1" t="s">
        <v>447</v>
      </c>
      <c r="E143" s="1" t="s">
        <v>610</v>
      </c>
      <c r="F143" s="48">
        <v>45488</v>
      </c>
      <c r="G143" s="1" t="s">
        <v>93</v>
      </c>
      <c r="H143" s="4">
        <v>0</v>
      </c>
      <c r="I143" s="4">
        <v>4500000</v>
      </c>
      <c r="J143" s="4">
        <v>1106455.24</v>
      </c>
      <c r="K143" s="4">
        <v>0</v>
      </c>
      <c r="L143" s="4">
        <v>58</v>
      </c>
      <c r="M143" s="4">
        <v>51</v>
      </c>
      <c r="N143" s="4">
        <v>1</v>
      </c>
      <c r="O143" s="4">
        <v>59</v>
      </c>
      <c r="P143" s="4">
        <v>8</v>
      </c>
      <c r="Q143" s="4">
        <v>890492.88</v>
      </c>
      <c r="R143" s="4">
        <v>215962.36</v>
      </c>
      <c r="S143" s="4">
        <v>18</v>
      </c>
      <c r="T143" s="4">
        <v>1</v>
      </c>
      <c r="U143" s="4">
        <v>19</v>
      </c>
      <c r="V143" s="4">
        <v>0</v>
      </c>
      <c r="W143" s="4">
        <v>1</v>
      </c>
      <c r="X143" s="4">
        <v>4</v>
      </c>
      <c r="Y143" s="4">
        <v>57</v>
      </c>
      <c r="Z143" s="4">
        <v>1</v>
      </c>
      <c r="AA143" s="4">
        <v>36</v>
      </c>
      <c r="AB143" s="4">
        <v>0</v>
      </c>
      <c r="AC143" s="4">
        <v>0</v>
      </c>
      <c r="AD143" s="4">
        <v>0</v>
      </c>
      <c r="AE143" s="4">
        <v>0</v>
      </c>
      <c r="AF143" s="4">
        <v>221</v>
      </c>
      <c r="AG143" s="4">
        <v>261</v>
      </c>
      <c r="AH143" s="4">
        <v>65</v>
      </c>
      <c r="AI143" s="4">
        <v>17022</v>
      </c>
      <c r="AJ143" s="4">
        <v>4</v>
      </c>
      <c r="AK143" s="4">
        <v>30950</v>
      </c>
      <c r="AL143" s="4">
        <v>0</v>
      </c>
      <c r="AM143" s="4">
        <v>2.8000000000000001E-2</v>
      </c>
      <c r="AN143" s="4">
        <v>58234</v>
      </c>
      <c r="AO143" s="4">
        <v>0.25</v>
      </c>
      <c r="AP143" s="4">
        <v>0</v>
      </c>
      <c r="AQ143" s="4">
        <v>26</v>
      </c>
      <c r="AR143" s="4">
        <v>699</v>
      </c>
      <c r="AS143" s="4">
        <v>4671.71</v>
      </c>
      <c r="AT143" s="4">
        <v>1</v>
      </c>
      <c r="AU143" s="4">
        <v>92</v>
      </c>
      <c r="AV143" s="4">
        <v>19</v>
      </c>
      <c r="AW143" s="4">
        <v>32</v>
      </c>
      <c r="AX143" s="4">
        <v>8</v>
      </c>
      <c r="AY143" s="1"/>
      <c r="AZ143" s="1"/>
    </row>
    <row r="144" spans="1:52" ht="15.6">
      <c r="A144" s="1" t="s">
        <v>201</v>
      </c>
      <c r="B144" s="1" t="s">
        <v>431</v>
      </c>
      <c r="C144" s="1" t="s">
        <v>255</v>
      </c>
      <c r="D144" s="1" t="s">
        <v>431</v>
      </c>
      <c r="E144" s="1" t="s">
        <v>612</v>
      </c>
      <c r="F144" s="104">
        <v>45506</v>
      </c>
      <c r="G144" s="1" t="s">
        <v>104</v>
      </c>
      <c r="H144" s="4">
        <v>300000</v>
      </c>
      <c r="I144" s="4">
        <v>3450000</v>
      </c>
      <c r="J144" s="4">
        <v>371533.04</v>
      </c>
      <c r="K144" s="4">
        <v>565888.94999999995</v>
      </c>
      <c r="L144" s="4">
        <v>48</v>
      </c>
      <c r="M144" s="4">
        <v>39</v>
      </c>
      <c r="N144" s="4">
        <v>0</v>
      </c>
      <c r="O144" s="4">
        <v>48</v>
      </c>
      <c r="P144" s="4">
        <v>9</v>
      </c>
      <c r="Q144" s="4">
        <v>371533.04</v>
      </c>
      <c r="R144" s="4">
        <v>0</v>
      </c>
      <c r="S144" s="4">
        <v>13</v>
      </c>
      <c r="T144" s="4">
        <v>0</v>
      </c>
      <c r="U144" s="4">
        <v>13</v>
      </c>
      <c r="V144" s="4">
        <v>1</v>
      </c>
      <c r="W144" s="4">
        <v>43</v>
      </c>
      <c r="X144" s="4">
        <v>69</v>
      </c>
      <c r="Y144" s="4">
        <v>85</v>
      </c>
      <c r="Z144" s="4">
        <v>3</v>
      </c>
      <c r="AA144" s="4">
        <v>9</v>
      </c>
      <c r="AB144" s="4">
        <v>1</v>
      </c>
      <c r="AC144" s="4">
        <v>56</v>
      </c>
      <c r="AD144" s="4">
        <v>2</v>
      </c>
      <c r="AE144" s="4">
        <v>8</v>
      </c>
      <c r="AF144" s="4">
        <v>158</v>
      </c>
      <c r="AG144" s="4">
        <v>300</v>
      </c>
      <c r="AH144" s="4">
        <v>72</v>
      </c>
      <c r="AI144" s="4">
        <v>5160</v>
      </c>
      <c r="AJ144" s="4">
        <v>4</v>
      </c>
      <c r="AK144" s="4">
        <v>29360</v>
      </c>
      <c r="AL144" s="4">
        <v>0</v>
      </c>
      <c r="AM144" s="4">
        <v>7.9000000000000001E-2</v>
      </c>
      <c r="AN144" s="4">
        <v>28579</v>
      </c>
      <c r="AO144" s="4">
        <v>0.11</v>
      </c>
      <c r="AP144" s="4">
        <v>1.89</v>
      </c>
      <c r="AQ144" s="4">
        <v>17</v>
      </c>
      <c r="AR144" s="4">
        <v>681</v>
      </c>
      <c r="AS144" s="4">
        <v>3160.58</v>
      </c>
      <c r="AT144" s="4">
        <v>0</v>
      </c>
      <c r="AU144" s="4">
        <v>81</v>
      </c>
      <c r="AV144" s="4">
        <v>13</v>
      </c>
      <c r="AW144" s="4">
        <v>26</v>
      </c>
      <c r="AX144" s="4">
        <v>9</v>
      </c>
      <c r="AY144" s="1"/>
      <c r="AZ144" s="1"/>
    </row>
    <row r="145" spans="1:52" ht="15.6">
      <c r="A145" s="1" t="s">
        <v>154</v>
      </c>
      <c r="B145" s="1" t="s">
        <v>367</v>
      </c>
      <c r="C145" s="1" t="s">
        <v>257</v>
      </c>
      <c r="D145" s="1" t="s">
        <v>577</v>
      </c>
      <c r="E145" s="1" t="s">
        <v>611</v>
      </c>
      <c r="F145" s="48">
        <v>45502</v>
      </c>
      <c r="G145" s="1" t="s">
        <v>196</v>
      </c>
      <c r="H145" s="4">
        <v>0</v>
      </c>
      <c r="I145" s="4">
        <v>0</v>
      </c>
      <c r="J145" s="4">
        <v>0</v>
      </c>
      <c r="K145" s="4">
        <v>0</v>
      </c>
      <c r="L145" s="4">
        <v>31</v>
      </c>
      <c r="M145" s="4">
        <v>0</v>
      </c>
      <c r="N145" s="4">
        <v>0</v>
      </c>
      <c r="O145" s="4">
        <v>31</v>
      </c>
      <c r="P145" s="4">
        <v>31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130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46670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31</v>
      </c>
      <c r="AY145" s="48">
        <v>45882</v>
      </c>
      <c r="AZ145" s="48"/>
    </row>
    <row r="146" spans="1:52" ht="15.6">
      <c r="A146" s="1" t="s">
        <v>118</v>
      </c>
      <c r="B146" s="1" t="s">
        <v>372</v>
      </c>
      <c r="C146" s="1" t="s">
        <v>258</v>
      </c>
      <c r="D146" s="1" t="s">
        <v>447</v>
      </c>
      <c r="E146" s="1" t="s">
        <v>625</v>
      </c>
      <c r="F146" s="104">
        <v>45628</v>
      </c>
      <c r="G146" s="1" t="s">
        <v>93</v>
      </c>
      <c r="H146" s="4">
        <v>0</v>
      </c>
      <c r="I146" s="4">
        <v>4500000</v>
      </c>
      <c r="J146" s="4">
        <v>4254089.91</v>
      </c>
      <c r="K146" s="4">
        <v>0</v>
      </c>
      <c r="L146" s="4">
        <v>79</v>
      </c>
      <c r="M146" s="4">
        <v>69</v>
      </c>
      <c r="N146" s="4">
        <v>3</v>
      </c>
      <c r="O146" s="4">
        <v>82</v>
      </c>
      <c r="P146" s="4">
        <v>13</v>
      </c>
      <c r="Q146" s="4">
        <v>3777269.26</v>
      </c>
      <c r="R146" s="4">
        <v>476820.65</v>
      </c>
      <c r="S146" s="4">
        <v>36</v>
      </c>
      <c r="T146" s="4">
        <v>3</v>
      </c>
      <c r="U146" s="4">
        <v>39</v>
      </c>
      <c r="V146" s="4">
        <v>0</v>
      </c>
      <c r="W146" s="4">
        <v>40</v>
      </c>
      <c r="X146" s="4">
        <v>60</v>
      </c>
      <c r="Y146" s="4">
        <v>130</v>
      </c>
      <c r="Z146" s="4">
        <v>2</v>
      </c>
      <c r="AA146" s="4">
        <v>22</v>
      </c>
      <c r="AB146" s="4">
        <v>0</v>
      </c>
      <c r="AC146" s="4">
        <v>0</v>
      </c>
      <c r="AD146" s="4">
        <v>2</v>
      </c>
      <c r="AE146" s="4">
        <v>2</v>
      </c>
      <c r="AF146" s="4">
        <v>272</v>
      </c>
      <c r="AG146" s="4">
        <v>356</v>
      </c>
      <c r="AH146" s="4">
        <v>68</v>
      </c>
      <c r="AI146" s="4">
        <v>62560</v>
      </c>
      <c r="AJ146" s="4">
        <v>5</v>
      </c>
      <c r="AK146" s="4">
        <v>26755</v>
      </c>
      <c r="AL146" s="4">
        <v>0</v>
      </c>
      <c r="AM146" s="4">
        <v>6.3E-3</v>
      </c>
      <c r="AN146" s="4">
        <v>109079</v>
      </c>
      <c r="AO146" s="4">
        <v>0.95</v>
      </c>
      <c r="AP146" s="4">
        <v>0</v>
      </c>
      <c r="AQ146" s="4">
        <v>60</v>
      </c>
      <c r="AR146" s="4">
        <v>659</v>
      </c>
      <c r="AS146" s="4">
        <v>3321.88</v>
      </c>
      <c r="AT146" s="4">
        <v>3</v>
      </c>
      <c r="AU146" s="4">
        <v>48</v>
      </c>
      <c r="AV146" s="4">
        <v>39</v>
      </c>
      <c r="AW146" s="4">
        <v>30</v>
      </c>
      <c r="AX146" s="4">
        <v>13</v>
      </c>
      <c r="AY146" s="1"/>
      <c r="AZ146" s="1"/>
    </row>
    <row r="147" spans="1:52" ht="15.6">
      <c r="A147" s="1" t="s">
        <v>118</v>
      </c>
      <c r="B147" s="1" t="s">
        <v>359</v>
      </c>
      <c r="C147" s="1" t="s">
        <v>260</v>
      </c>
      <c r="D147" s="1" t="s">
        <v>442</v>
      </c>
      <c r="E147" s="1" t="s">
        <v>613</v>
      </c>
      <c r="F147" s="48">
        <v>45516</v>
      </c>
      <c r="G147" s="1" t="s">
        <v>33</v>
      </c>
      <c r="H147" s="4">
        <v>0</v>
      </c>
      <c r="I147" s="4">
        <v>0</v>
      </c>
      <c r="J147" s="4">
        <v>0</v>
      </c>
      <c r="K147" s="4">
        <v>0</v>
      </c>
      <c r="L147" s="4">
        <v>11</v>
      </c>
      <c r="M147" s="4">
        <v>0</v>
      </c>
      <c r="N147" s="4">
        <v>0</v>
      </c>
      <c r="O147" s="4">
        <v>11</v>
      </c>
      <c r="P147" s="4">
        <v>11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18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25700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11</v>
      </c>
      <c r="AY147" s="48">
        <v>45899</v>
      </c>
      <c r="AZ147" s="48"/>
    </row>
    <row r="148" spans="1:52" ht="15.6">
      <c r="A148" s="1" t="s">
        <v>124</v>
      </c>
      <c r="B148" s="1" t="s">
        <v>443</v>
      </c>
      <c r="C148" s="1" t="s">
        <v>261</v>
      </c>
      <c r="D148" s="1" t="s">
        <v>517</v>
      </c>
      <c r="E148" s="1" t="s">
        <v>614</v>
      </c>
      <c r="F148" s="48">
        <v>45516</v>
      </c>
      <c r="G148" s="1" t="s">
        <v>124</v>
      </c>
      <c r="H148" s="4">
        <v>0</v>
      </c>
      <c r="I148" s="4">
        <v>3000000</v>
      </c>
      <c r="J148" s="4">
        <v>1406967.75</v>
      </c>
      <c r="K148" s="4">
        <v>0</v>
      </c>
      <c r="L148" s="4">
        <v>136</v>
      </c>
      <c r="M148" s="4">
        <v>87</v>
      </c>
      <c r="N148" s="4">
        <v>6</v>
      </c>
      <c r="O148" s="4">
        <v>142</v>
      </c>
      <c r="P148" s="4">
        <v>55</v>
      </c>
      <c r="Q148" s="4">
        <v>1232568.25</v>
      </c>
      <c r="R148" s="4">
        <v>174399.5</v>
      </c>
      <c r="S148" s="4">
        <v>34</v>
      </c>
      <c r="T148" s="4">
        <v>6</v>
      </c>
      <c r="U148" s="4">
        <v>40</v>
      </c>
      <c r="V148" s="4">
        <v>0</v>
      </c>
      <c r="W148" s="4">
        <v>158</v>
      </c>
      <c r="X148" s="4">
        <v>180</v>
      </c>
      <c r="Y148" s="4">
        <v>241</v>
      </c>
      <c r="Z148" s="4">
        <v>1</v>
      </c>
      <c r="AA148" s="4">
        <v>6</v>
      </c>
      <c r="AB148" s="4">
        <v>0</v>
      </c>
      <c r="AC148" s="4">
        <v>0</v>
      </c>
      <c r="AD148" s="4">
        <v>0</v>
      </c>
      <c r="AE148" s="4">
        <v>0</v>
      </c>
      <c r="AF148" s="4">
        <v>145</v>
      </c>
      <c r="AG148" s="4">
        <v>331</v>
      </c>
      <c r="AH148" s="4">
        <v>73</v>
      </c>
      <c r="AI148" s="4">
        <v>19274</v>
      </c>
      <c r="AJ148" s="4">
        <v>5</v>
      </c>
      <c r="AK148" s="4">
        <v>27260</v>
      </c>
      <c r="AL148" s="4">
        <v>0</v>
      </c>
      <c r="AM148" s="4">
        <v>1.9400000000000001E-2</v>
      </c>
      <c r="AN148" s="4">
        <v>35174</v>
      </c>
      <c r="AO148" s="4">
        <v>0.47</v>
      </c>
      <c r="AP148" s="4">
        <v>0</v>
      </c>
      <c r="AQ148" s="4">
        <v>72</v>
      </c>
      <c r="AR148" s="4">
        <v>713</v>
      </c>
      <c r="AS148" s="4">
        <v>5379.07</v>
      </c>
      <c r="AT148" s="4">
        <v>6</v>
      </c>
      <c r="AU148" s="4">
        <v>62</v>
      </c>
      <c r="AV148" s="4">
        <v>40</v>
      </c>
      <c r="AW148" s="4">
        <v>53</v>
      </c>
      <c r="AX148" s="4">
        <v>49</v>
      </c>
      <c r="AY148" s="1"/>
      <c r="AZ148" s="1"/>
    </row>
    <row r="149" spans="1:52" ht="15.6">
      <c r="A149" s="1" t="s">
        <v>118</v>
      </c>
      <c r="B149" s="1" t="s">
        <v>460</v>
      </c>
      <c r="C149" s="1" t="s">
        <v>262</v>
      </c>
      <c r="D149" s="1" t="s">
        <v>615</v>
      </c>
      <c r="E149" s="1" t="s">
        <v>616</v>
      </c>
      <c r="F149" s="48">
        <v>45523</v>
      </c>
      <c r="G149" s="1" t="s">
        <v>118</v>
      </c>
      <c r="H149" s="4">
        <v>0</v>
      </c>
      <c r="I149" s="4">
        <v>0</v>
      </c>
      <c r="J149" s="4">
        <v>0</v>
      </c>
      <c r="K149" s="4">
        <v>0</v>
      </c>
      <c r="L149" s="4">
        <v>1</v>
      </c>
      <c r="M149" s="4">
        <v>0</v>
      </c>
      <c r="N149" s="4">
        <v>0</v>
      </c>
      <c r="O149" s="4">
        <v>1</v>
      </c>
      <c r="P149" s="4">
        <v>1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53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72970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1</v>
      </c>
      <c r="AY149" s="48">
        <v>45869</v>
      </c>
      <c r="AZ149" s="48"/>
    </row>
    <row r="150" spans="1:52" ht="15.6">
      <c r="A150" s="1" t="s">
        <v>154</v>
      </c>
      <c r="B150" s="1" t="s">
        <v>367</v>
      </c>
      <c r="C150" s="1" t="s">
        <v>263</v>
      </c>
      <c r="D150" s="1" t="s">
        <v>577</v>
      </c>
      <c r="E150" s="1" t="s">
        <v>368</v>
      </c>
      <c r="F150" s="48">
        <v>45518</v>
      </c>
      <c r="G150" s="1" t="s">
        <v>196</v>
      </c>
      <c r="H150" s="4">
        <v>0</v>
      </c>
      <c r="I150" s="4">
        <v>2100000</v>
      </c>
      <c r="J150" s="4">
        <v>717115.8</v>
      </c>
      <c r="K150" s="4">
        <v>0</v>
      </c>
      <c r="L150" s="4">
        <v>82</v>
      </c>
      <c r="M150" s="4">
        <v>72</v>
      </c>
      <c r="N150" s="4">
        <v>4</v>
      </c>
      <c r="O150" s="4">
        <v>86</v>
      </c>
      <c r="P150" s="4">
        <v>14</v>
      </c>
      <c r="Q150" s="4">
        <v>544031.64</v>
      </c>
      <c r="R150" s="4">
        <v>173084.16</v>
      </c>
      <c r="S150" s="4">
        <v>32</v>
      </c>
      <c r="T150" s="4">
        <v>4</v>
      </c>
      <c r="U150" s="4">
        <v>36</v>
      </c>
      <c r="V150" s="4">
        <v>0</v>
      </c>
      <c r="W150" s="4">
        <v>54</v>
      </c>
      <c r="X150" s="4">
        <v>66</v>
      </c>
      <c r="Y150" s="4">
        <v>184</v>
      </c>
      <c r="Z150" s="4">
        <v>3</v>
      </c>
      <c r="AA150" s="4">
        <v>51</v>
      </c>
      <c r="AB150" s="4">
        <v>0</v>
      </c>
      <c r="AC150" s="4">
        <v>0</v>
      </c>
      <c r="AD150" s="4">
        <v>0</v>
      </c>
      <c r="AE150" s="4">
        <v>0</v>
      </c>
      <c r="AF150" s="4">
        <v>372</v>
      </c>
      <c r="AG150" s="4">
        <v>489</v>
      </c>
      <c r="AH150" s="4">
        <v>64</v>
      </c>
      <c r="AI150" s="4">
        <v>11205</v>
      </c>
      <c r="AJ150" s="4">
        <v>8</v>
      </c>
      <c r="AK150" s="4">
        <v>23570</v>
      </c>
      <c r="AL150" s="4">
        <v>0</v>
      </c>
      <c r="AM150" s="4">
        <v>3.2899999999999999E-2</v>
      </c>
      <c r="AN150" s="4">
        <v>19920</v>
      </c>
      <c r="AO150" s="4">
        <v>0.34</v>
      </c>
      <c r="AP150" s="4">
        <v>0</v>
      </c>
      <c r="AQ150" s="4">
        <v>54</v>
      </c>
      <c r="AR150" s="4">
        <v>660</v>
      </c>
      <c r="AS150" s="4">
        <v>5131.12</v>
      </c>
      <c r="AT150" s="4">
        <v>4</v>
      </c>
      <c r="AU150" s="4">
        <v>71</v>
      </c>
      <c r="AV150" s="4">
        <v>36</v>
      </c>
      <c r="AW150" s="4">
        <v>36</v>
      </c>
      <c r="AX150" s="4">
        <v>14</v>
      </c>
      <c r="AY150" s="1"/>
      <c r="AZ150" s="1"/>
    </row>
    <row r="151" spans="1:52" ht="15.6">
      <c r="A151" s="1" t="s">
        <v>120</v>
      </c>
      <c r="B151" s="1" t="s">
        <v>163</v>
      </c>
      <c r="C151" s="1" t="s">
        <v>207</v>
      </c>
      <c r="D151" s="1" t="s">
        <v>617</v>
      </c>
      <c r="E151" s="1" t="s">
        <v>209</v>
      </c>
      <c r="F151" s="48">
        <v>45551</v>
      </c>
      <c r="G151" s="1" t="s">
        <v>120</v>
      </c>
      <c r="H151" s="4">
        <v>0</v>
      </c>
      <c r="I151" s="4">
        <v>3900000</v>
      </c>
      <c r="J151" s="4">
        <v>2940171.83</v>
      </c>
      <c r="K151" s="4">
        <v>0</v>
      </c>
      <c r="L151" s="4">
        <v>123</v>
      </c>
      <c r="M151" s="4">
        <v>94</v>
      </c>
      <c r="N151" s="4">
        <v>0</v>
      </c>
      <c r="O151" s="4">
        <v>123</v>
      </c>
      <c r="P151" s="4">
        <v>29</v>
      </c>
      <c r="Q151" s="4">
        <v>2940171.83</v>
      </c>
      <c r="R151" s="4">
        <v>0</v>
      </c>
      <c r="S151" s="4">
        <v>72</v>
      </c>
      <c r="T151" s="4">
        <v>0</v>
      </c>
      <c r="U151" s="4">
        <v>72</v>
      </c>
      <c r="V151" s="4">
        <v>0</v>
      </c>
      <c r="W151" s="4">
        <v>14</v>
      </c>
      <c r="X151" s="4">
        <v>14</v>
      </c>
      <c r="Y151" s="4">
        <v>165</v>
      </c>
      <c r="Z151" s="4">
        <v>2</v>
      </c>
      <c r="AA151" s="4">
        <v>41</v>
      </c>
      <c r="AB151" s="4">
        <v>0</v>
      </c>
      <c r="AC151" s="4">
        <v>0</v>
      </c>
      <c r="AD151" s="4">
        <v>2</v>
      </c>
      <c r="AE151" s="4">
        <v>2</v>
      </c>
      <c r="AF151" s="4">
        <v>447</v>
      </c>
      <c r="AG151" s="4">
        <v>504</v>
      </c>
      <c r="AH151" s="4">
        <v>76</v>
      </c>
      <c r="AI151" s="4">
        <v>38686</v>
      </c>
      <c r="AJ151" s="4">
        <v>7</v>
      </c>
      <c r="AK151" s="4">
        <v>28310</v>
      </c>
      <c r="AL151" s="4">
        <v>0</v>
      </c>
      <c r="AM151" s="4">
        <v>9.5999999999999992E-3</v>
      </c>
      <c r="AN151" s="4">
        <v>40836</v>
      </c>
      <c r="AO151" s="4">
        <v>0.75</v>
      </c>
      <c r="AP151" s="4">
        <v>0</v>
      </c>
      <c r="AQ151" s="4">
        <v>117</v>
      </c>
      <c r="AR151" s="4">
        <v>752</v>
      </c>
      <c r="AS151" s="4">
        <v>1749.62</v>
      </c>
      <c r="AT151" s="4">
        <v>0</v>
      </c>
      <c r="AU151" s="4">
        <v>19</v>
      </c>
      <c r="AV151" s="4">
        <v>72</v>
      </c>
      <c r="AW151" s="4">
        <v>25</v>
      </c>
      <c r="AX151" s="4">
        <v>26</v>
      </c>
      <c r="AY151" s="1"/>
      <c r="AZ151" s="1"/>
    </row>
    <row r="152" spans="1:52" ht="15.6">
      <c r="A152" s="1" t="s">
        <v>120</v>
      </c>
      <c r="B152" s="1" t="s">
        <v>206</v>
      </c>
      <c r="C152" s="1" t="s">
        <v>230</v>
      </c>
      <c r="D152" s="1" t="s">
        <v>618</v>
      </c>
      <c r="E152" s="1" t="s">
        <v>233</v>
      </c>
      <c r="F152" s="104">
        <v>45568</v>
      </c>
      <c r="G152" s="1" t="s">
        <v>120</v>
      </c>
      <c r="H152" s="4">
        <v>600000</v>
      </c>
      <c r="I152" s="4">
        <v>3600000</v>
      </c>
      <c r="J152" s="4">
        <v>2581519.9700000002</v>
      </c>
      <c r="K152" s="4">
        <v>0</v>
      </c>
      <c r="L152" s="4">
        <v>24</v>
      </c>
      <c r="M152" s="4">
        <v>24</v>
      </c>
      <c r="N152" s="4">
        <v>2</v>
      </c>
      <c r="O152" s="4">
        <v>26</v>
      </c>
      <c r="P152" s="4">
        <v>2</v>
      </c>
      <c r="Q152" s="4">
        <v>2364834.17</v>
      </c>
      <c r="R152" s="4">
        <v>216685.8</v>
      </c>
      <c r="S152" s="4">
        <v>21</v>
      </c>
      <c r="T152" s="4">
        <v>2</v>
      </c>
      <c r="U152" s="4">
        <v>23</v>
      </c>
      <c r="V152" s="4">
        <v>0</v>
      </c>
      <c r="W152" s="4">
        <v>28</v>
      </c>
      <c r="X152" s="4">
        <v>54</v>
      </c>
      <c r="Y152" s="4">
        <v>139</v>
      </c>
      <c r="Z152" s="4">
        <v>2</v>
      </c>
      <c r="AA152" s="4">
        <v>48</v>
      </c>
      <c r="AB152" s="4">
        <v>4</v>
      </c>
      <c r="AC152" s="4">
        <v>29</v>
      </c>
      <c r="AD152" s="4">
        <v>0</v>
      </c>
      <c r="AE152" s="4">
        <v>0</v>
      </c>
      <c r="AF152" s="4">
        <v>206</v>
      </c>
      <c r="AG152" s="4">
        <v>337</v>
      </c>
      <c r="AH152" s="4">
        <v>74</v>
      </c>
      <c r="AI152" s="4">
        <v>34885</v>
      </c>
      <c r="AJ152" s="4">
        <v>5</v>
      </c>
      <c r="AK152" s="4">
        <v>30405</v>
      </c>
      <c r="AL152" s="4">
        <v>0</v>
      </c>
      <c r="AM152" s="4">
        <v>1.18E-2</v>
      </c>
      <c r="AN152" s="4">
        <v>112240</v>
      </c>
      <c r="AO152" s="4">
        <v>0.72</v>
      </c>
      <c r="AP152" s="4">
        <v>0</v>
      </c>
      <c r="AQ152" s="4">
        <v>37</v>
      </c>
      <c r="AR152" s="4">
        <v>566</v>
      </c>
      <c r="AS152" s="4">
        <v>3411.17</v>
      </c>
      <c r="AT152" s="4">
        <v>2</v>
      </c>
      <c r="AU152" s="4">
        <v>142</v>
      </c>
      <c r="AV152" s="4">
        <v>23</v>
      </c>
      <c r="AW152" s="4">
        <v>2</v>
      </c>
      <c r="AX152" s="4">
        <v>1</v>
      </c>
      <c r="AY152" s="1"/>
      <c r="AZ152" s="1"/>
    </row>
    <row r="153" spans="1:52" ht="15.6">
      <c r="A153" s="1" t="s">
        <v>118</v>
      </c>
      <c r="B153" s="1" t="s">
        <v>460</v>
      </c>
      <c r="C153" s="1" t="s">
        <v>264</v>
      </c>
      <c r="D153" s="1" t="s">
        <v>615</v>
      </c>
      <c r="E153" s="1" t="s">
        <v>619</v>
      </c>
      <c r="F153" s="104">
        <v>45569</v>
      </c>
      <c r="G153" s="1" t="s">
        <v>118</v>
      </c>
      <c r="H153" s="4">
        <v>0</v>
      </c>
      <c r="I153" s="4">
        <v>0</v>
      </c>
      <c r="J153" s="4">
        <v>0</v>
      </c>
      <c r="K153" s="4">
        <v>0</v>
      </c>
      <c r="L153" s="4">
        <v>6</v>
      </c>
      <c r="M153" s="4">
        <v>3</v>
      </c>
      <c r="N153" s="4">
        <v>0</v>
      </c>
      <c r="O153" s="4">
        <v>6</v>
      </c>
      <c r="P153" s="4">
        <v>3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5</v>
      </c>
      <c r="X153" s="4">
        <v>6</v>
      </c>
      <c r="Y153" s="4">
        <v>50</v>
      </c>
      <c r="Z153" s="4">
        <v>0</v>
      </c>
      <c r="AA153" s="4">
        <v>0</v>
      </c>
      <c r="AB153" s="4">
        <v>0</v>
      </c>
      <c r="AC153" s="4">
        <v>0</v>
      </c>
      <c r="AD153" s="4">
        <v>73</v>
      </c>
      <c r="AE153" s="4">
        <v>358</v>
      </c>
      <c r="AF153" s="4">
        <v>13</v>
      </c>
      <c r="AG153" s="4">
        <v>377</v>
      </c>
      <c r="AH153" s="4">
        <v>70</v>
      </c>
      <c r="AI153" s="4">
        <v>0</v>
      </c>
      <c r="AJ153" s="4">
        <v>5</v>
      </c>
      <c r="AK153" s="4">
        <v>151000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722</v>
      </c>
      <c r="AS153" s="4">
        <v>5325.56</v>
      </c>
      <c r="AT153" s="4">
        <v>0</v>
      </c>
      <c r="AU153" s="4">
        <v>1775</v>
      </c>
      <c r="AV153" s="4">
        <v>0</v>
      </c>
      <c r="AW153" s="4">
        <v>3</v>
      </c>
      <c r="AX153" s="4">
        <v>3</v>
      </c>
      <c r="AY153" s="1"/>
      <c r="AZ153" s="1"/>
    </row>
    <row r="154" spans="1:52" ht="15.6">
      <c r="A154" s="1" t="s">
        <v>118</v>
      </c>
      <c r="B154" s="1" t="s">
        <v>460</v>
      </c>
      <c r="C154" s="1" t="s">
        <v>265</v>
      </c>
      <c r="D154" s="1" t="s">
        <v>615</v>
      </c>
      <c r="E154" s="1" t="s">
        <v>620</v>
      </c>
      <c r="F154" s="104">
        <v>45569</v>
      </c>
      <c r="G154" s="1" t="s">
        <v>118</v>
      </c>
      <c r="H154" s="4">
        <v>0</v>
      </c>
      <c r="I154" s="4">
        <v>0</v>
      </c>
      <c r="J154" s="4">
        <v>0</v>
      </c>
      <c r="K154" s="4">
        <v>0</v>
      </c>
      <c r="L154" s="4">
        <v>2</v>
      </c>
      <c r="M154" s="4">
        <v>0</v>
      </c>
      <c r="N154" s="4">
        <v>0</v>
      </c>
      <c r="O154" s="4">
        <v>2</v>
      </c>
      <c r="P154" s="4">
        <v>2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50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153110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2</v>
      </c>
      <c r="AY154" s="48">
        <v>45856</v>
      </c>
      <c r="AZ154" s="48"/>
    </row>
    <row r="155" spans="1:52" ht="15.6">
      <c r="A155" s="1" t="s">
        <v>201</v>
      </c>
      <c r="B155" s="1" t="s">
        <v>431</v>
      </c>
      <c r="C155" s="1" t="s">
        <v>266</v>
      </c>
      <c r="D155" s="1" t="s">
        <v>431</v>
      </c>
      <c r="E155" s="1" t="s">
        <v>531</v>
      </c>
      <c r="F155" s="104">
        <v>45600</v>
      </c>
      <c r="G155" s="1" t="s">
        <v>121</v>
      </c>
      <c r="H155" s="4">
        <v>0</v>
      </c>
      <c r="I155" s="4">
        <v>6249999</v>
      </c>
      <c r="J155" s="4">
        <v>4047121.15</v>
      </c>
      <c r="K155" s="4">
        <v>0</v>
      </c>
      <c r="L155" s="4">
        <v>143</v>
      </c>
      <c r="M155" s="4">
        <v>104</v>
      </c>
      <c r="N155" s="4">
        <v>6</v>
      </c>
      <c r="O155" s="4">
        <v>149</v>
      </c>
      <c r="P155" s="4">
        <v>45</v>
      </c>
      <c r="Q155" s="4">
        <v>3798948.04</v>
      </c>
      <c r="R155" s="4">
        <v>248173.11</v>
      </c>
      <c r="S155" s="4">
        <v>49</v>
      </c>
      <c r="T155" s="4">
        <v>3</v>
      </c>
      <c r="U155" s="4">
        <v>52</v>
      </c>
      <c r="V155" s="4">
        <v>0</v>
      </c>
      <c r="W155" s="4">
        <v>6</v>
      </c>
      <c r="X155" s="4">
        <v>8</v>
      </c>
      <c r="Y155" s="4">
        <v>72</v>
      </c>
      <c r="Z155" s="4">
        <v>1</v>
      </c>
      <c r="AA155" s="4">
        <v>26</v>
      </c>
      <c r="AB155" s="4">
        <v>0</v>
      </c>
      <c r="AC155" s="4">
        <v>0</v>
      </c>
      <c r="AD155" s="4">
        <v>0</v>
      </c>
      <c r="AE155" s="4">
        <v>0</v>
      </c>
      <c r="AF155" s="4">
        <v>347</v>
      </c>
      <c r="AG155" s="4">
        <v>381</v>
      </c>
      <c r="AH155" s="4">
        <v>75</v>
      </c>
      <c r="AI155" s="4">
        <v>53962</v>
      </c>
      <c r="AJ155" s="4">
        <v>5</v>
      </c>
      <c r="AK155" s="4">
        <v>51910</v>
      </c>
      <c r="AL155" s="4">
        <v>0</v>
      </c>
      <c r="AM155" s="4">
        <v>1.2800000000000001E-2</v>
      </c>
      <c r="AN155" s="4">
        <v>77829</v>
      </c>
      <c r="AO155" s="4">
        <v>0.65</v>
      </c>
      <c r="AP155" s="4">
        <v>0</v>
      </c>
      <c r="AQ155" s="4">
        <v>93</v>
      </c>
      <c r="AR155" s="4">
        <v>574</v>
      </c>
      <c r="AS155" s="4">
        <v>4449.1400000000003</v>
      </c>
      <c r="AT155" s="4">
        <v>3</v>
      </c>
      <c r="AU155" s="4">
        <v>43</v>
      </c>
      <c r="AV155" s="4">
        <v>52</v>
      </c>
      <c r="AW155" s="4">
        <v>55</v>
      </c>
      <c r="AX155" s="4">
        <v>42</v>
      </c>
      <c r="AY155" s="1"/>
      <c r="AZ155" s="1"/>
    </row>
    <row r="156" spans="1:52" ht="15.6">
      <c r="A156" s="1" t="s">
        <v>201</v>
      </c>
      <c r="B156" s="1" t="s">
        <v>431</v>
      </c>
      <c r="C156" s="1" t="s">
        <v>267</v>
      </c>
      <c r="D156" s="1" t="s">
        <v>431</v>
      </c>
      <c r="E156" s="1" t="s">
        <v>531</v>
      </c>
      <c r="F156" s="48">
        <v>45607</v>
      </c>
      <c r="G156" s="1" t="s">
        <v>121</v>
      </c>
      <c r="H156" s="4">
        <v>0</v>
      </c>
      <c r="I156" s="4">
        <v>5499999</v>
      </c>
      <c r="J156" s="4">
        <v>2631594.48</v>
      </c>
      <c r="K156" s="4">
        <v>0</v>
      </c>
      <c r="L156" s="4">
        <v>135</v>
      </c>
      <c r="M156" s="4">
        <v>100</v>
      </c>
      <c r="N156" s="4">
        <v>5</v>
      </c>
      <c r="O156" s="4">
        <v>140</v>
      </c>
      <c r="P156" s="4">
        <v>40</v>
      </c>
      <c r="Q156" s="4">
        <v>2571177.88</v>
      </c>
      <c r="R156" s="4">
        <v>60416.6</v>
      </c>
      <c r="S156" s="4">
        <v>35</v>
      </c>
      <c r="T156" s="4">
        <v>4</v>
      </c>
      <c r="U156" s="4">
        <v>39</v>
      </c>
      <c r="V156" s="4">
        <v>0</v>
      </c>
      <c r="W156" s="4">
        <v>37</v>
      </c>
      <c r="X156" s="4">
        <v>55</v>
      </c>
      <c r="Y156" s="4">
        <v>117</v>
      </c>
      <c r="Z156" s="4">
        <v>2</v>
      </c>
      <c r="AA156" s="4">
        <v>23</v>
      </c>
      <c r="AB156" s="4">
        <v>0</v>
      </c>
      <c r="AC156" s="4">
        <v>0</v>
      </c>
      <c r="AD156" s="4">
        <v>0</v>
      </c>
      <c r="AE156" s="4">
        <v>0</v>
      </c>
      <c r="AF156" s="4">
        <v>353</v>
      </c>
      <c r="AG156" s="4">
        <v>431</v>
      </c>
      <c r="AH156" s="4">
        <v>72</v>
      </c>
      <c r="AI156" s="4">
        <v>36550</v>
      </c>
      <c r="AJ156" s="4">
        <v>6</v>
      </c>
      <c r="AK156" s="4">
        <v>33050</v>
      </c>
      <c r="AL156" s="4">
        <v>0</v>
      </c>
      <c r="AM156" s="4">
        <v>0</v>
      </c>
      <c r="AN156" s="4">
        <v>67477</v>
      </c>
      <c r="AO156" s="4">
        <v>0.48</v>
      </c>
      <c r="AP156" s="4">
        <v>0</v>
      </c>
      <c r="AQ156" s="4">
        <v>94</v>
      </c>
      <c r="AR156" s="4">
        <v>656</v>
      </c>
      <c r="AS156" s="4">
        <v>2975.21</v>
      </c>
      <c r="AT156" s="4">
        <v>4</v>
      </c>
      <c r="AU156" s="4">
        <v>30</v>
      </c>
      <c r="AV156" s="4">
        <v>39</v>
      </c>
      <c r="AW156" s="4">
        <v>62</v>
      </c>
      <c r="AX156" s="4">
        <v>39</v>
      </c>
      <c r="AY156" s="1"/>
      <c r="AZ156" s="1"/>
    </row>
    <row r="157" spans="1:52" ht="15.6">
      <c r="A157" s="1" t="s">
        <v>118</v>
      </c>
      <c r="B157" s="1" t="s">
        <v>362</v>
      </c>
      <c r="C157" s="1" t="s">
        <v>268</v>
      </c>
      <c r="D157" s="1" t="s">
        <v>623</v>
      </c>
      <c r="E157" s="1" t="s">
        <v>624</v>
      </c>
      <c r="F157" s="48">
        <v>45614</v>
      </c>
      <c r="G157" s="1" t="s">
        <v>219</v>
      </c>
      <c r="H157" s="4">
        <v>0</v>
      </c>
      <c r="I157" s="4">
        <v>0</v>
      </c>
      <c r="J157" s="4">
        <v>425118.99</v>
      </c>
      <c r="K157" s="4">
        <v>0</v>
      </c>
      <c r="L157" s="4">
        <v>88</v>
      </c>
      <c r="M157" s="4">
        <v>53</v>
      </c>
      <c r="N157" s="4">
        <v>5</v>
      </c>
      <c r="O157" s="4">
        <v>93</v>
      </c>
      <c r="P157" s="4">
        <v>40</v>
      </c>
      <c r="Q157" s="4">
        <v>322869.52</v>
      </c>
      <c r="R157" s="4">
        <v>102249.47</v>
      </c>
      <c r="S157" s="4">
        <v>14</v>
      </c>
      <c r="T157" s="4">
        <v>5</v>
      </c>
      <c r="U157" s="4">
        <v>19</v>
      </c>
      <c r="V157" s="4">
        <v>0</v>
      </c>
      <c r="W157" s="4">
        <v>24</v>
      </c>
      <c r="X157" s="4">
        <v>28</v>
      </c>
      <c r="Y157" s="4">
        <v>94</v>
      </c>
      <c r="Z157" s="4">
        <v>3</v>
      </c>
      <c r="AA157" s="4">
        <v>28</v>
      </c>
      <c r="AB157" s="4">
        <v>0</v>
      </c>
      <c r="AC157" s="4">
        <v>0</v>
      </c>
      <c r="AD157" s="4">
        <v>3</v>
      </c>
      <c r="AE157" s="4">
        <v>3</v>
      </c>
      <c r="AF157" s="4">
        <v>144</v>
      </c>
      <c r="AG157" s="4">
        <v>203</v>
      </c>
      <c r="AH157" s="4">
        <v>39</v>
      </c>
      <c r="AI157" s="4">
        <v>10900</v>
      </c>
      <c r="AJ157" s="4">
        <v>5</v>
      </c>
      <c r="AK157" s="4">
        <v>46670</v>
      </c>
      <c r="AL157" s="4">
        <v>0</v>
      </c>
      <c r="AM157" s="4">
        <v>0.10979999999999999</v>
      </c>
      <c r="AN157" s="4">
        <v>22375</v>
      </c>
      <c r="AO157" s="4">
        <v>0</v>
      </c>
      <c r="AP157" s="4">
        <v>0</v>
      </c>
      <c r="AQ157" s="4">
        <v>24</v>
      </c>
      <c r="AR157" s="4">
        <v>377</v>
      </c>
      <c r="AS157" s="4">
        <v>1273.28</v>
      </c>
      <c r="AT157" s="4">
        <v>5</v>
      </c>
      <c r="AU157" s="4">
        <v>24</v>
      </c>
      <c r="AV157" s="4">
        <v>19</v>
      </c>
      <c r="AW157" s="4">
        <v>34</v>
      </c>
      <c r="AX157" s="4">
        <v>40</v>
      </c>
      <c r="AY157" s="48">
        <v>45991</v>
      </c>
      <c r="AZ157" s="48"/>
    </row>
    <row r="158" spans="1:52" ht="15.6">
      <c r="A158" s="1" t="s">
        <v>118</v>
      </c>
      <c r="B158" s="1" t="s">
        <v>649</v>
      </c>
      <c r="C158" s="1" t="s">
        <v>269</v>
      </c>
      <c r="D158" s="1" t="s">
        <v>486</v>
      </c>
      <c r="E158" s="1" t="s">
        <v>519</v>
      </c>
      <c r="F158" s="48">
        <v>45636</v>
      </c>
      <c r="G158" s="1" t="s">
        <v>119</v>
      </c>
      <c r="H158" s="4">
        <v>0</v>
      </c>
      <c r="I158" s="4">
        <v>6375000</v>
      </c>
      <c r="J158" s="4">
        <v>6518707.1200000001</v>
      </c>
      <c r="K158" s="4">
        <v>0</v>
      </c>
      <c r="L158" s="4">
        <v>158</v>
      </c>
      <c r="M158" s="4">
        <v>137</v>
      </c>
      <c r="N158" s="4">
        <v>27</v>
      </c>
      <c r="O158" s="4">
        <v>185</v>
      </c>
      <c r="P158" s="4">
        <v>48</v>
      </c>
      <c r="Q158" s="4">
        <v>4462101.1399999997</v>
      </c>
      <c r="R158" s="4">
        <v>2056605.98</v>
      </c>
      <c r="S158" s="4">
        <v>68</v>
      </c>
      <c r="T158" s="4">
        <v>27</v>
      </c>
      <c r="U158" s="4">
        <v>95</v>
      </c>
      <c r="V158" s="4">
        <v>0</v>
      </c>
      <c r="W158" s="4">
        <v>119</v>
      </c>
      <c r="X158" s="4">
        <v>200</v>
      </c>
      <c r="Y158" s="4">
        <v>258</v>
      </c>
      <c r="Z158" s="4">
        <v>2</v>
      </c>
      <c r="AA158" s="4">
        <v>28</v>
      </c>
      <c r="AB158" s="4">
        <v>0</v>
      </c>
      <c r="AC158" s="4">
        <v>0</v>
      </c>
      <c r="AD158" s="4">
        <v>3</v>
      </c>
      <c r="AE158" s="4">
        <v>10</v>
      </c>
      <c r="AF158" s="4">
        <v>370</v>
      </c>
      <c r="AG158" s="4">
        <v>608</v>
      </c>
      <c r="AH158" s="4">
        <v>72</v>
      </c>
      <c r="AI158" s="4">
        <v>90538</v>
      </c>
      <c r="AJ158" s="4">
        <v>8</v>
      </c>
      <c r="AK158" s="4">
        <v>51900</v>
      </c>
      <c r="AL158" s="4">
        <v>0</v>
      </c>
      <c r="AM158" s="4">
        <v>8.0000000000000002E-3</v>
      </c>
      <c r="AN158" s="4">
        <v>68618</v>
      </c>
      <c r="AO158" s="4">
        <v>1.02</v>
      </c>
      <c r="AP158" s="4">
        <v>0</v>
      </c>
      <c r="AQ158" s="4">
        <v>143</v>
      </c>
      <c r="AR158" s="4">
        <v>830</v>
      </c>
      <c r="AS158" s="4">
        <v>6036.05</v>
      </c>
      <c r="AT158" s="4">
        <v>27</v>
      </c>
      <c r="AU158" s="4">
        <v>44</v>
      </c>
      <c r="AV158" s="4">
        <v>95</v>
      </c>
      <c r="AW158" s="4">
        <v>47</v>
      </c>
      <c r="AX158" s="4">
        <v>43</v>
      </c>
      <c r="AY158" s="1"/>
      <c r="AZ158" s="1"/>
    </row>
    <row r="159" spans="1:52" ht="15.6">
      <c r="A159" s="1" t="s">
        <v>118</v>
      </c>
      <c r="B159" s="1" t="s">
        <v>436</v>
      </c>
      <c r="C159" s="1" t="s">
        <v>270</v>
      </c>
      <c r="D159" s="1" t="s">
        <v>499</v>
      </c>
      <c r="E159" s="1" t="s">
        <v>449</v>
      </c>
      <c r="F159" s="104">
        <v>45635</v>
      </c>
      <c r="G159" s="1"/>
      <c r="H159" s="4">
        <v>0</v>
      </c>
      <c r="I159" s="4">
        <v>3750000</v>
      </c>
      <c r="J159" s="4">
        <v>2697024.6</v>
      </c>
      <c r="K159" s="4">
        <v>0</v>
      </c>
      <c r="L159" s="4">
        <v>126</v>
      </c>
      <c r="M159" s="4">
        <v>109</v>
      </c>
      <c r="N159" s="4">
        <v>8</v>
      </c>
      <c r="O159" s="4">
        <v>134</v>
      </c>
      <c r="P159" s="4">
        <v>25</v>
      </c>
      <c r="Q159" s="4">
        <v>2526634.0499999998</v>
      </c>
      <c r="R159" s="4">
        <v>170390.55</v>
      </c>
      <c r="S159" s="4">
        <v>61</v>
      </c>
      <c r="T159" s="4">
        <v>8</v>
      </c>
      <c r="U159" s="4">
        <v>69</v>
      </c>
      <c r="V159" s="4">
        <v>0</v>
      </c>
      <c r="W159" s="4">
        <v>38</v>
      </c>
      <c r="X159" s="4">
        <v>44</v>
      </c>
      <c r="Y159" s="4">
        <v>56</v>
      </c>
      <c r="Z159" s="4">
        <v>5</v>
      </c>
      <c r="AA159" s="4">
        <v>78</v>
      </c>
      <c r="AB159" s="4">
        <v>3</v>
      </c>
      <c r="AC159" s="4">
        <v>5</v>
      </c>
      <c r="AD159" s="4">
        <v>3</v>
      </c>
      <c r="AE159" s="4">
        <v>3</v>
      </c>
      <c r="AF159" s="4">
        <v>501</v>
      </c>
      <c r="AG159" s="4">
        <v>631</v>
      </c>
      <c r="AH159" s="4">
        <v>75</v>
      </c>
      <c r="AI159" s="4">
        <v>35960</v>
      </c>
      <c r="AJ159" s="4">
        <v>8</v>
      </c>
      <c r="AK159" s="4">
        <v>36190</v>
      </c>
      <c r="AL159" s="4">
        <v>0</v>
      </c>
      <c r="AM159" s="4">
        <v>1.34E-2</v>
      </c>
      <c r="AN159" s="4">
        <v>39087</v>
      </c>
      <c r="AO159" s="4">
        <v>0.72</v>
      </c>
      <c r="AP159" s="4">
        <v>0</v>
      </c>
      <c r="AQ159" s="4">
        <v>203</v>
      </c>
      <c r="AR159" s="4">
        <v>887</v>
      </c>
      <c r="AS159" s="4">
        <v>7205.9</v>
      </c>
      <c r="AT159" s="4">
        <v>8</v>
      </c>
      <c r="AU159" s="4">
        <v>66</v>
      </c>
      <c r="AV159" s="4">
        <v>69</v>
      </c>
      <c r="AW159" s="4">
        <v>45</v>
      </c>
      <c r="AX159" s="4">
        <v>20</v>
      </c>
      <c r="AY159" s="1"/>
      <c r="AZ159" s="1"/>
    </row>
    <row r="160" spans="1:52" ht="15.6">
      <c r="A160" s="1" t="s">
        <v>201</v>
      </c>
      <c r="B160" s="1" t="s">
        <v>431</v>
      </c>
      <c r="C160" s="1" t="s">
        <v>271</v>
      </c>
      <c r="D160" s="1" t="s">
        <v>431</v>
      </c>
      <c r="E160" s="1" t="s">
        <v>433</v>
      </c>
      <c r="F160" s="48">
        <v>45639</v>
      </c>
      <c r="G160" s="1" t="s">
        <v>104</v>
      </c>
      <c r="H160" s="4">
        <v>0</v>
      </c>
      <c r="I160" s="4">
        <v>0</v>
      </c>
      <c r="J160" s="4">
        <v>0</v>
      </c>
      <c r="K160" s="4">
        <v>0</v>
      </c>
      <c r="L160" s="4">
        <v>58</v>
      </c>
      <c r="M160" s="4">
        <v>0</v>
      </c>
      <c r="N160" s="4">
        <v>0</v>
      </c>
      <c r="O160" s="4">
        <v>58</v>
      </c>
      <c r="P160" s="4">
        <v>58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123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35140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58</v>
      </c>
      <c r="AY160" s="48">
        <v>45913</v>
      </c>
      <c r="AZ160" s="48"/>
    </row>
    <row r="161" spans="1:52" ht="15.6">
      <c r="A161" s="1" t="s">
        <v>118</v>
      </c>
      <c r="B161" s="1" t="s">
        <v>362</v>
      </c>
      <c r="C161" s="1" t="s">
        <v>272</v>
      </c>
      <c r="D161" s="1" t="s">
        <v>419</v>
      </c>
      <c r="E161" s="1" t="s">
        <v>627</v>
      </c>
      <c r="F161" s="48">
        <v>45637</v>
      </c>
      <c r="G161" s="1" t="s">
        <v>67</v>
      </c>
      <c r="H161" s="4">
        <v>0</v>
      </c>
      <c r="I161" s="4">
        <v>12750000</v>
      </c>
      <c r="J161" s="4">
        <v>9611341.7100000009</v>
      </c>
      <c r="K161" s="4">
        <v>0</v>
      </c>
      <c r="L161" s="4">
        <v>90</v>
      </c>
      <c r="M161" s="4">
        <v>80</v>
      </c>
      <c r="N161" s="4">
        <v>2</v>
      </c>
      <c r="O161" s="4">
        <v>92</v>
      </c>
      <c r="P161" s="4">
        <v>12</v>
      </c>
      <c r="Q161" s="4">
        <v>8973900.8900000006</v>
      </c>
      <c r="R161" s="4">
        <v>637440.81999999995</v>
      </c>
      <c r="S161" s="4">
        <v>47</v>
      </c>
      <c r="T161" s="4">
        <v>2</v>
      </c>
      <c r="U161" s="4">
        <v>49</v>
      </c>
      <c r="V161" s="4">
        <v>0</v>
      </c>
      <c r="W161" s="4">
        <v>1</v>
      </c>
      <c r="X161" s="4">
        <v>1</v>
      </c>
      <c r="Y161" s="4">
        <v>35</v>
      </c>
      <c r="Z161" s="4">
        <v>1</v>
      </c>
      <c r="AA161" s="4">
        <v>11</v>
      </c>
      <c r="AB161" s="4">
        <v>0</v>
      </c>
      <c r="AC161" s="4">
        <v>0</v>
      </c>
      <c r="AD161" s="4">
        <v>0</v>
      </c>
      <c r="AE161" s="4">
        <v>0</v>
      </c>
      <c r="AF161" s="4">
        <v>399</v>
      </c>
      <c r="AG161" s="4">
        <v>411</v>
      </c>
      <c r="AH161" s="4">
        <v>74</v>
      </c>
      <c r="AI161" s="4">
        <v>129883</v>
      </c>
      <c r="AJ161" s="4">
        <v>6</v>
      </c>
      <c r="AK161" s="4">
        <v>34090</v>
      </c>
      <c r="AL161" s="4">
        <v>0</v>
      </c>
      <c r="AM161" s="4">
        <v>3.5000000000000001E-3</v>
      </c>
      <c r="AN161" s="4">
        <v>196150</v>
      </c>
      <c r="AO161" s="4">
        <v>0.75</v>
      </c>
      <c r="AP161" s="4">
        <v>0</v>
      </c>
      <c r="AQ161" s="4">
        <v>112</v>
      </c>
      <c r="AR161" s="4">
        <v>779</v>
      </c>
      <c r="AS161" s="4">
        <v>5990.43</v>
      </c>
      <c r="AT161" s="4">
        <v>2</v>
      </c>
      <c r="AU161" s="4">
        <v>75</v>
      </c>
      <c r="AV161" s="4">
        <v>49</v>
      </c>
      <c r="AW161" s="4">
        <v>32</v>
      </c>
      <c r="AX161" s="4">
        <v>11</v>
      </c>
      <c r="AY161" s="1"/>
      <c r="AZ161" s="1"/>
    </row>
    <row r="162" spans="1:52" ht="15.6">
      <c r="A162" s="1" t="s">
        <v>118</v>
      </c>
      <c r="B162" s="1" t="s">
        <v>468</v>
      </c>
      <c r="C162" s="1" t="s">
        <v>273</v>
      </c>
      <c r="D162" s="1" t="s">
        <v>509</v>
      </c>
      <c r="E162" s="1" t="s">
        <v>555</v>
      </c>
      <c r="F162" s="48">
        <v>45639</v>
      </c>
      <c r="G162" s="1" t="s">
        <v>213</v>
      </c>
      <c r="H162" s="4">
        <v>0</v>
      </c>
      <c r="I162" s="4">
        <v>6000000</v>
      </c>
      <c r="J162" s="4">
        <v>5901962.0700000003</v>
      </c>
      <c r="K162" s="4">
        <v>0</v>
      </c>
      <c r="L162" s="4">
        <v>96</v>
      </c>
      <c r="M162" s="4">
        <v>64</v>
      </c>
      <c r="N162" s="4">
        <v>4</v>
      </c>
      <c r="O162" s="4">
        <v>100</v>
      </c>
      <c r="P162" s="4">
        <v>36</v>
      </c>
      <c r="Q162" s="4">
        <v>5449505.9000000004</v>
      </c>
      <c r="R162" s="4">
        <v>452456.17</v>
      </c>
      <c r="S162" s="4">
        <v>33</v>
      </c>
      <c r="T162" s="4">
        <v>4</v>
      </c>
      <c r="U162" s="4">
        <v>37</v>
      </c>
      <c r="V162" s="4">
        <v>0</v>
      </c>
      <c r="W162" s="4">
        <v>55</v>
      </c>
      <c r="X162" s="4">
        <v>74</v>
      </c>
      <c r="Y162" s="4">
        <v>166</v>
      </c>
      <c r="Z162" s="4">
        <v>1</v>
      </c>
      <c r="AA162" s="4">
        <v>26</v>
      </c>
      <c r="AB162" s="4">
        <v>0</v>
      </c>
      <c r="AC162" s="4">
        <v>0</v>
      </c>
      <c r="AD162" s="4">
        <v>0</v>
      </c>
      <c r="AE162" s="4">
        <v>0</v>
      </c>
      <c r="AF162" s="4">
        <v>218</v>
      </c>
      <c r="AG162" s="4">
        <v>318</v>
      </c>
      <c r="AH162" s="4">
        <v>74</v>
      </c>
      <c r="AI162" s="4">
        <v>79756</v>
      </c>
      <c r="AJ162" s="4">
        <v>4</v>
      </c>
      <c r="AK162" s="4">
        <v>33570</v>
      </c>
      <c r="AL162" s="4">
        <v>0</v>
      </c>
      <c r="AM162" s="4">
        <v>5.7000000000000002E-3</v>
      </c>
      <c r="AN162" s="4">
        <v>159512</v>
      </c>
      <c r="AO162" s="4">
        <v>0.98</v>
      </c>
      <c r="AP162" s="4">
        <v>0</v>
      </c>
      <c r="AQ162" s="4">
        <v>69</v>
      </c>
      <c r="AR162" s="4">
        <v>696</v>
      </c>
      <c r="AS162" s="4">
        <v>3455.61</v>
      </c>
      <c r="AT162" s="4">
        <v>4</v>
      </c>
      <c r="AU162" s="4">
        <v>54</v>
      </c>
      <c r="AV162" s="4">
        <v>37</v>
      </c>
      <c r="AW162" s="4">
        <v>32</v>
      </c>
      <c r="AX162" s="4">
        <v>31</v>
      </c>
      <c r="AY162" s="1"/>
      <c r="AZ162" s="1"/>
    </row>
    <row r="163" spans="1:52" ht="15.6">
      <c r="A163" s="1" t="s">
        <v>118</v>
      </c>
      <c r="B163" s="1" t="s">
        <v>372</v>
      </c>
      <c r="C163" s="1" t="s">
        <v>274</v>
      </c>
      <c r="D163" s="1" t="s">
        <v>447</v>
      </c>
      <c r="E163" s="1" t="s">
        <v>629</v>
      </c>
      <c r="F163" s="48">
        <v>45640</v>
      </c>
      <c r="G163" s="1" t="s">
        <v>93</v>
      </c>
      <c r="H163" s="4">
        <v>0</v>
      </c>
      <c r="I163" s="4">
        <v>6000000</v>
      </c>
      <c r="J163" s="4">
        <v>4910016.8099999996</v>
      </c>
      <c r="K163" s="4">
        <v>0</v>
      </c>
      <c r="L163" s="4">
        <v>25</v>
      </c>
      <c r="M163" s="4">
        <v>25</v>
      </c>
      <c r="N163" s="4">
        <v>0</v>
      </c>
      <c r="O163" s="4">
        <v>25</v>
      </c>
      <c r="P163" s="4">
        <v>0</v>
      </c>
      <c r="Q163" s="4">
        <v>4910016.8099999996</v>
      </c>
      <c r="R163" s="4">
        <v>0</v>
      </c>
      <c r="S163" s="4">
        <v>17</v>
      </c>
      <c r="T163" s="4">
        <v>0</v>
      </c>
      <c r="U163" s="4">
        <v>17</v>
      </c>
      <c r="V163" s="4">
        <v>0</v>
      </c>
      <c r="W163" s="4">
        <v>21</v>
      </c>
      <c r="X163" s="4">
        <v>39</v>
      </c>
      <c r="Y163" s="4">
        <v>95</v>
      </c>
      <c r="Z163" s="4">
        <v>1</v>
      </c>
      <c r="AA163" s="4">
        <v>11</v>
      </c>
      <c r="AB163" s="4">
        <v>0</v>
      </c>
      <c r="AC163" s="4">
        <v>0</v>
      </c>
      <c r="AD163" s="4">
        <v>0</v>
      </c>
      <c r="AE163" s="4">
        <v>0</v>
      </c>
      <c r="AF163" s="4">
        <v>167</v>
      </c>
      <c r="AG163" s="4">
        <v>217</v>
      </c>
      <c r="AH163" s="4">
        <v>61</v>
      </c>
      <c r="AI163" s="4">
        <v>80492</v>
      </c>
      <c r="AJ163" s="4">
        <v>4</v>
      </c>
      <c r="AK163" s="4">
        <v>28850</v>
      </c>
      <c r="AL163" s="4">
        <v>0</v>
      </c>
      <c r="AM163" s="4">
        <v>5.8999999999999999E-3</v>
      </c>
      <c r="AN163" s="4">
        <v>288825</v>
      </c>
      <c r="AO163" s="4">
        <v>0.82</v>
      </c>
      <c r="AP163" s="4">
        <v>0</v>
      </c>
      <c r="AQ163" s="4">
        <v>63</v>
      </c>
      <c r="AR163" s="4">
        <v>647</v>
      </c>
      <c r="AS163" s="4">
        <v>3266.83</v>
      </c>
      <c r="AT163" s="4">
        <v>0</v>
      </c>
      <c r="AU163" s="4">
        <v>131</v>
      </c>
      <c r="AV163" s="4">
        <v>17</v>
      </c>
      <c r="AW163" s="4">
        <v>8</v>
      </c>
      <c r="AX163" s="4">
        <v>0</v>
      </c>
      <c r="AY163" s="1"/>
      <c r="AZ163" s="1"/>
    </row>
    <row r="164" spans="1:52" ht="15.6">
      <c r="A164" s="1" t="s">
        <v>118</v>
      </c>
      <c r="B164" s="1" t="s">
        <v>436</v>
      </c>
      <c r="C164" s="1" t="s">
        <v>275</v>
      </c>
      <c r="D164" s="1" t="s">
        <v>499</v>
      </c>
      <c r="E164" s="1" t="s">
        <v>630</v>
      </c>
      <c r="F164" s="48">
        <v>45646</v>
      </c>
      <c r="G164" s="1"/>
      <c r="H164" s="4">
        <v>0</v>
      </c>
      <c r="I164" s="4">
        <v>0</v>
      </c>
      <c r="J164" s="4">
        <v>0</v>
      </c>
      <c r="K164" s="4">
        <v>0</v>
      </c>
      <c r="L164" s="4">
        <v>31</v>
      </c>
      <c r="M164" s="4">
        <v>0</v>
      </c>
      <c r="N164" s="4">
        <v>1</v>
      </c>
      <c r="O164" s="4">
        <v>32</v>
      </c>
      <c r="P164" s="4">
        <v>32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93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33570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32</v>
      </c>
      <c r="AY164" s="48">
        <v>45762</v>
      </c>
      <c r="AZ164" s="48"/>
    </row>
    <row r="165" spans="1:52" ht="15.6">
      <c r="A165" s="1" t="s">
        <v>124</v>
      </c>
      <c r="B165" s="1" t="s">
        <v>443</v>
      </c>
      <c r="C165" s="1" t="s">
        <v>276</v>
      </c>
      <c r="D165" s="1" t="s">
        <v>517</v>
      </c>
      <c r="E165" s="1" t="s">
        <v>524</v>
      </c>
      <c r="F165" s="48">
        <v>45651</v>
      </c>
      <c r="G165" s="1" t="s">
        <v>124</v>
      </c>
      <c r="H165" s="4">
        <v>0</v>
      </c>
      <c r="I165" s="4">
        <v>0</v>
      </c>
      <c r="J165" s="4">
        <v>0</v>
      </c>
      <c r="K165" s="4">
        <v>0</v>
      </c>
      <c r="L165" s="4">
        <v>79</v>
      </c>
      <c r="M165" s="4">
        <v>0</v>
      </c>
      <c r="N165" s="4">
        <v>1</v>
      </c>
      <c r="O165" s="4">
        <v>80</v>
      </c>
      <c r="P165" s="4">
        <v>80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74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25165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80</v>
      </c>
      <c r="AY165" s="48">
        <v>45899</v>
      </c>
      <c r="AZ165" s="48"/>
    </row>
    <row r="166" spans="1:52" ht="15.6">
      <c r="A166" s="1" t="s">
        <v>120</v>
      </c>
      <c r="B166" s="1" t="s">
        <v>286</v>
      </c>
      <c r="C166" s="1" t="s">
        <v>256</v>
      </c>
      <c r="D166" s="1" t="s">
        <v>631</v>
      </c>
      <c r="E166" s="1" t="s">
        <v>259</v>
      </c>
      <c r="F166" s="104">
        <v>45658</v>
      </c>
      <c r="G166" s="1" t="s">
        <v>120</v>
      </c>
      <c r="H166" s="4">
        <v>0</v>
      </c>
      <c r="I166" s="4">
        <v>3600000</v>
      </c>
      <c r="J166" s="4">
        <v>2005506.86</v>
      </c>
      <c r="K166" s="4">
        <v>0</v>
      </c>
      <c r="L166" s="4">
        <v>48</v>
      </c>
      <c r="M166" s="4">
        <v>60</v>
      </c>
      <c r="N166" s="4">
        <v>23</v>
      </c>
      <c r="O166" s="4">
        <v>71</v>
      </c>
      <c r="P166" s="4">
        <v>11</v>
      </c>
      <c r="Q166" s="4">
        <v>1444538.76</v>
      </c>
      <c r="R166" s="4">
        <v>560968.1</v>
      </c>
      <c r="S166" s="4">
        <v>26</v>
      </c>
      <c r="T166" s="4">
        <v>23</v>
      </c>
      <c r="U166" s="4">
        <v>49</v>
      </c>
      <c r="V166" s="4">
        <v>0</v>
      </c>
      <c r="W166" s="4">
        <v>97</v>
      </c>
      <c r="X166" s="4">
        <v>126</v>
      </c>
      <c r="Y166" s="4">
        <v>162</v>
      </c>
      <c r="Z166" s="4">
        <v>6</v>
      </c>
      <c r="AA166" s="4">
        <v>33</v>
      </c>
      <c r="AB166" s="4">
        <v>1</v>
      </c>
      <c r="AC166" s="4">
        <v>2</v>
      </c>
      <c r="AD166" s="4">
        <v>41</v>
      </c>
      <c r="AE166" s="4">
        <v>72</v>
      </c>
      <c r="AF166" s="4">
        <v>158</v>
      </c>
      <c r="AG166" s="4">
        <v>391</v>
      </c>
      <c r="AH166" s="4">
        <v>72</v>
      </c>
      <c r="AI166" s="4">
        <v>27854</v>
      </c>
      <c r="AJ166" s="4">
        <v>5</v>
      </c>
      <c r="AK166" s="4">
        <v>31455</v>
      </c>
      <c r="AL166" s="4">
        <v>0</v>
      </c>
      <c r="AM166" s="4">
        <v>1.5699999999999999E-2</v>
      </c>
      <c r="AN166" s="4">
        <v>40929</v>
      </c>
      <c r="AO166" s="4">
        <v>0.56000000000000005</v>
      </c>
      <c r="AP166" s="4">
        <v>0</v>
      </c>
      <c r="AQ166" s="4">
        <v>86</v>
      </c>
      <c r="AR166" s="4">
        <v>674</v>
      </c>
      <c r="AS166" s="4">
        <v>5385.42</v>
      </c>
      <c r="AT166" s="4">
        <v>23</v>
      </c>
      <c r="AU166" s="4">
        <v>90</v>
      </c>
      <c r="AV166" s="4">
        <v>49</v>
      </c>
      <c r="AW166" s="4">
        <v>15</v>
      </c>
      <c r="AX166" s="4">
        <v>7</v>
      </c>
      <c r="AY166" s="1"/>
      <c r="AZ166" s="1"/>
    </row>
    <row r="167" spans="1:52" ht="15.6">
      <c r="A167" s="1" t="s">
        <v>201</v>
      </c>
      <c r="B167" s="1" t="s">
        <v>469</v>
      </c>
      <c r="C167" s="1" t="s">
        <v>277</v>
      </c>
      <c r="D167" s="1" t="s">
        <v>470</v>
      </c>
      <c r="E167" s="1" t="s">
        <v>491</v>
      </c>
      <c r="F167" s="104">
        <v>45658</v>
      </c>
      <c r="G167" s="1" t="s">
        <v>110</v>
      </c>
      <c r="H167" s="4">
        <v>0</v>
      </c>
      <c r="I167" s="4">
        <v>3500001</v>
      </c>
      <c r="J167" s="4">
        <v>1684117.72</v>
      </c>
      <c r="K167" s="4">
        <v>0</v>
      </c>
      <c r="L167" s="4">
        <v>53</v>
      </c>
      <c r="M167" s="4">
        <v>44</v>
      </c>
      <c r="N167" s="4">
        <v>3</v>
      </c>
      <c r="O167" s="4">
        <v>56</v>
      </c>
      <c r="P167" s="4">
        <v>12</v>
      </c>
      <c r="Q167" s="4">
        <v>1574262.41</v>
      </c>
      <c r="R167" s="4">
        <v>109855.31</v>
      </c>
      <c r="S167" s="4">
        <v>21</v>
      </c>
      <c r="T167" s="4">
        <v>2</v>
      </c>
      <c r="U167" s="4">
        <v>23</v>
      </c>
      <c r="V167" s="4">
        <v>0</v>
      </c>
      <c r="W167" s="4">
        <v>46</v>
      </c>
      <c r="X167" s="4">
        <v>52</v>
      </c>
      <c r="Y167" s="4">
        <v>245</v>
      </c>
      <c r="Z167" s="4">
        <v>1</v>
      </c>
      <c r="AA167" s="4">
        <v>3</v>
      </c>
      <c r="AB167" s="4">
        <v>0</v>
      </c>
      <c r="AC167" s="4">
        <v>0</v>
      </c>
      <c r="AD167" s="4">
        <v>0</v>
      </c>
      <c r="AE167" s="4">
        <v>0</v>
      </c>
      <c r="AF167" s="4">
        <v>268</v>
      </c>
      <c r="AG167" s="4">
        <v>323</v>
      </c>
      <c r="AH167" s="4">
        <v>69</v>
      </c>
      <c r="AI167" s="4">
        <v>24408</v>
      </c>
      <c r="AJ167" s="4">
        <v>5</v>
      </c>
      <c r="AK167" s="4">
        <v>36190</v>
      </c>
      <c r="AL167" s="4">
        <v>0</v>
      </c>
      <c r="AM167" s="4">
        <v>2.1499999999999998E-2</v>
      </c>
      <c r="AN167" s="4">
        <v>73223</v>
      </c>
      <c r="AO167" s="4">
        <v>0.48</v>
      </c>
      <c r="AP167" s="4">
        <v>0</v>
      </c>
      <c r="AQ167" s="4">
        <v>60</v>
      </c>
      <c r="AR167" s="4">
        <v>533</v>
      </c>
      <c r="AS167" s="4">
        <v>2993.18</v>
      </c>
      <c r="AT167" s="4">
        <v>2</v>
      </c>
      <c r="AU167" s="4">
        <v>68</v>
      </c>
      <c r="AV167" s="4">
        <v>23</v>
      </c>
      <c r="AW167" s="4">
        <v>21</v>
      </c>
      <c r="AX167" s="4">
        <v>12</v>
      </c>
      <c r="AY167" s="1"/>
      <c r="AZ167" s="1"/>
    </row>
    <row r="168" spans="1:52" ht="15.6">
      <c r="A168" s="1" t="s">
        <v>118</v>
      </c>
      <c r="B168" s="1" t="s">
        <v>436</v>
      </c>
      <c r="C168" s="1" t="s">
        <v>278</v>
      </c>
      <c r="D168" s="1" t="s">
        <v>499</v>
      </c>
      <c r="E168" s="1" t="s">
        <v>632</v>
      </c>
      <c r="F168" s="104">
        <v>45660</v>
      </c>
      <c r="G168" s="1" t="s">
        <v>111</v>
      </c>
      <c r="H168" s="4">
        <v>0</v>
      </c>
      <c r="I168" s="4">
        <v>0</v>
      </c>
      <c r="J168" s="4">
        <v>0</v>
      </c>
      <c r="K168" s="4">
        <v>0</v>
      </c>
      <c r="L168" s="4">
        <v>73</v>
      </c>
      <c r="M168" s="4">
        <v>0</v>
      </c>
      <c r="N168" s="4">
        <v>0</v>
      </c>
      <c r="O168" s="4">
        <v>73</v>
      </c>
      <c r="P168" s="4">
        <v>73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94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33885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73</v>
      </c>
      <c r="AY168" s="48">
        <v>45819</v>
      </c>
      <c r="AZ168" s="48"/>
    </row>
    <row r="169" spans="1:52" ht="15.6">
      <c r="A169" s="1" t="s">
        <v>177</v>
      </c>
      <c r="B169" s="1" t="s">
        <v>458</v>
      </c>
      <c r="C169" s="1" t="s">
        <v>279</v>
      </c>
      <c r="D169" s="1" t="s">
        <v>581</v>
      </c>
      <c r="E169" s="1" t="s">
        <v>633</v>
      </c>
      <c r="F169" s="104">
        <v>45663</v>
      </c>
      <c r="G169" s="1" t="s">
        <v>177</v>
      </c>
      <c r="H169" s="4">
        <v>0</v>
      </c>
      <c r="I169" s="4">
        <v>0</v>
      </c>
      <c r="J169" s="4">
        <v>0</v>
      </c>
      <c r="K169" s="4">
        <v>0</v>
      </c>
      <c r="L169" s="4">
        <v>38</v>
      </c>
      <c r="M169" s="4">
        <v>23</v>
      </c>
      <c r="N169" s="4">
        <v>0</v>
      </c>
      <c r="O169" s="4">
        <v>38</v>
      </c>
      <c r="P169" s="4">
        <v>15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51</v>
      </c>
      <c r="X169" s="4">
        <v>60</v>
      </c>
      <c r="Y169" s="4">
        <v>90</v>
      </c>
      <c r="Z169" s="4">
        <v>3</v>
      </c>
      <c r="AA169" s="4">
        <v>51</v>
      </c>
      <c r="AB169" s="4">
        <v>0</v>
      </c>
      <c r="AC169" s="4">
        <v>0</v>
      </c>
      <c r="AD169" s="4">
        <v>58</v>
      </c>
      <c r="AE169" s="4">
        <v>135</v>
      </c>
      <c r="AF169" s="4">
        <v>48</v>
      </c>
      <c r="AG169" s="4">
        <v>294</v>
      </c>
      <c r="AH169" s="4">
        <v>72</v>
      </c>
      <c r="AI169" s="4">
        <v>0</v>
      </c>
      <c r="AJ169" s="4">
        <v>4</v>
      </c>
      <c r="AK169" s="4">
        <v>66667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698</v>
      </c>
      <c r="AS169" s="4">
        <v>4844.26</v>
      </c>
      <c r="AT169" s="4">
        <v>0</v>
      </c>
      <c r="AU169" s="4">
        <v>211</v>
      </c>
      <c r="AV169" s="4">
        <v>0</v>
      </c>
      <c r="AW169" s="4">
        <v>23</v>
      </c>
      <c r="AX169" s="4">
        <v>15</v>
      </c>
      <c r="AY169" s="1"/>
      <c r="AZ169" s="1"/>
    </row>
    <row r="170" spans="1:52" ht="15.6">
      <c r="A170" s="1" t="s">
        <v>177</v>
      </c>
      <c r="B170" s="1" t="s">
        <v>458</v>
      </c>
      <c r="C170" s="1" t="s">
        <v>280</v>
      </c>
      <c r="D170" s="1" t="s">
        <v>581</v>
      </c>
      <c r="E170" s="1" t="s">
        <v>634</v>
      </c>
      <c r="F170" s="104">
        <v>45663</v>
      </c>
      <c r="G170" s="1" t="s">
        <v>177</v>
      </c>
      <c r="H170" s="4">
        <v>0</v>
      </c>
      <c r="I170" s="4">
        <v>0</v>
      </c>
      <c r="J170" s="4">
        <v>241402.44</v>
      </c>
      <c r="K170" s="4">
        <v>0</v>
      </c>
      <c r="L170" s="4">
        <v>8</v>
      </c>
      <c r="M170" s="4">
        <v>5</v>
      </c>
      <c r="N170" s="4">
        <v>1</v>
      </c>
      <c r="O170" s="4">
        <v>9</v>
      </c>
      <c r="P170" s="4">
        <v>4</v>
      </c>
      <c r="Q170" s="4">
        <v>199263.99</v>
      </c>
      <c r="R170" s="4">
        <v>42138.45</v>
      </c>
      <c r="S170" s="4">
        <v>2</v>
      </c>
      <c r="T170" s="4">
        <v>1</v>
      </c>
      <c r="U170" s="4">
        <v>3</v>
      </c>
      <c r="V170" s="4">
        <v>0</v>
      </c>
      <c r="W170" s="4">
        <v>24</v>
      </c>
      <c r="X170" s="4">
        <v>31</v>
      </c>
      <c r="Y170" s="4">
        <v>86</v>
      </c>
      <c r="Z170" s="4">
        <v>4</v>
      </c>
      <c r="AA170" s="4">
        <v>60</v>
      </c>
      <c r="AB170" s="4">
        <v>0</v>
      </c>
      <c r="AC170" s="4">
        <v>0</v>
      </c>
      <c r="AD170" s="4">
        <v>39</v>
      </c>
      <c r="AE170" s="4">
        <v>138</v>
      </c>
      <c r="AF170" s="4">
        <v>33</v>
      </c>
      <c r="AG170" s="4">
        <v>262</v>
      </c>
      <c r="AH170" s="4">
        <v>73</v>
      </c>
      <c r="AI170" s="4">
        <v>3307</v>
      </c>
      <c r="AJ170" s="4">
        <v>4</v>
      </c>
      <c r="AK170" s="4">
        <v>62500</v>
      </c>
      <c r="AL170" s="4">
        <v>0</v>
      </c>
      <c r="AM170" s="4">
        <v>0.25890000000000002</v>
      </c>
      <c r="AN170" s="4">
        <v>80467</v>
      </c>
      <c r="AO170" s="4">
        <v>0</v>
      </c>
      <c r="AP170" s="4">
        <v>0</v>
      </c>
      <c r="AQ170" s="4">
        <v>4</v>
      </c>
      <c r="AR170" s="4">
        <v>713</v>
      </c>
      <c r="AS170" s="4">
        <v>3804.61</v>
      </c>
      <c r="AT170" s="4">
        <v>1</v>
      </c>
      <c r="AU170" s="4">
        <v>761</v>
      </c>
      <c r="AV170" s="4">
        <v>3</v>
      </c>
      <c r="AW170" s="4">
        <v>2</v>
      </c>
      <c r="AX170" s="4">
        <v>4</v>
      </c>
      <c r="AY170" s="1"/>
      <c r="AZ170" s="1"/>
    </row>
    <row r="171" spans="1:52" ht="15.6">
      <c r="A171" s="1" t="s">
        <v>118</v>
      </c>
      <c r="B171" s="1" t="s">
        <v>362</v>
      </c>
      <c r="C171" s="1" t="s">
        <v>281</v>
      </c>
      <c r="D171" s="1" t="s">
        <v>419</v>
      </c>
      <c r="E171" s="1" t="s">
        <v>635</v>
      </c>
      <c r="F171" s="48">
        <v>45670</v>
      </c>
      <c r="G171" s="1" t="s">
        <v>219</v>
      </c>
      <c r="H171" s="4">
        <v>0</v>
      </c>
      <c r="I171" s="4">
        <v>4500000</v>
      </c>
      <c r="J171" s="4">
        <v>2910850.33</v>
      </c>
      <c r="K171" s="4">
        <v>0</v>
      </c>
      <c r="L171" s="4">
        <v>38</v>
      </c>
      <c r="M171" s="4">
        <v>35</v>
      </c>
      <c r="N171" s="4">
        <v>2</v>
      </c>
      <c r="O171" s="4">
        <v>40</v>
      </c>
      <c r="P171" s="4">
        <v>5</v>
      </c>
      <c r="Q171" s="4">
        <v>2875254.75</v>
      </c>
      <c r="R171" s="4">
        <v>35595.58</v>
      </c>
      <c r="S171" s="4">
        <v>26</v>
      </c>
      <c r="T171" s="4">
        <v>2</v>
      </c>
      <c r="U171" s="4">
        <v>28</v>
      </c>
      <c r="V171" s="4">
        <v>0</v>
      </c>
      <c r="W171" s="4">
        <v>13</v>
      </c>
      <c r="X171" s="4">
        <v>14</v>
      </c>
      <c r="Y171" s="4">
        <v>132</v>
      </c>
      <c r="Z171" s="4">
        <v>1</v>
      </c>
      <c r="AA171" s="4">
        <v>43</v>
      </c>
      <c r="AB171" s="4">
        <v>0</v>
      </c>
      <c r="AC171" s="4">
        <v>0</v>
      </c>
      <c r="AD171" s="4">
        <v>0</v>
      </c>
      <c r="AE171" s="4">
        <v>0</v>
      </c>
      <c r="AF171" s="4">
        <v>182</v>
      </c>
      <c r="AG171" s="4">
        <v>239</v>
      </c>
      <c r="AH171" s="4">
        <v>67</v>
      </c>
      <c r="AI171" s="4">
        <v>43446</v>
      </c>
      <c r="AJ171" s="4">
        <v>4</v>
      </c>
      <c r="AK171" s="4">
        <v>29375</v>
      </c>
      <c r="AL171" s="4">
        <v>0</v>
      </c>
      <c r="AM171" s="4">
        <v>1.01E-2</v>
      </c>
      <c r="AN171" s="4">
        <v>103959</v>
      </c>
      <c r="AO171" s="4">
        <v>0.65</v>
      </c>
      <c r="AP171" s="4">
        <v>0</v>
      </c>
      <c r="AQ171" s="4">
        <v>54</v>
      </c>
      <c r="AR171" s="4">
        <v>782</v>
      </c>
      <c r="AS171" s="4">
        <v>1867.09</v>
      </c>
      <c r="AT171" s="4">
        <v>2</v>
      </c>
      <c r="AU171" s="4">
        <v>53</v>
      </c>
      <c r="AV171" s="4">
        <v>28</v>
      </c>
      <c r="AW171" s="4">
        <v>9</v>
      </c>
      <c r="AX171" s="4">
        <v>3</v>
      </c>
      <c r="AY171" s="1"/>
      <c r="AZ171" s="1"/>
    </row>
    <row r="172" spans="1:52" ht="15.6">
      <c r="A172" s="1" t="s">
        <v>108</v>
      </c>
      <c r="B172" s="1" t="s">
        <v>465</v>
      </c>
      <c r="C172" s="1" t="s">
        <v>282</v>
      </c>
      <c r="D172" s="1" t="s">
        <v>506</v>
      </c>
      <c r="E172" s="1" t="s">
        <v>475</v>
      </c>
      <c r="F172" s="104">
        <v>45694</v>
      </c>
      <c r="G172" s="1" t="s">
        <v>317</v>
      </c>
      <c r="H172" s="4">
        <v>0</v>
      </c>
      <c r="I172" s="4">
        <v>0</v>
      </c>
      <c r="J172" s="4">
        <v>0</v>
      </c>
      <c r="K172" s="4">
        <v>0</v>
      </c>
      <c r="L172" s="4">
        <v>72</v>
      </c>
      <c r="M172" s="4">
        <v>0</v>
      </c>
      <c r="N172" s="4">
        <v>2</v>
      </c>
      <c r="O172" s="4">
        <v>74</v>
      </c>
      <c r="P172" s="4">
        <v>74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16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23000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74</v>
      </c>
      <c r="AY172" s="48">
        <v>45899</v>
      </c>
      <c r="AZ172" s="48"/>
    </row>
    <row r="173" spans="1:52" ht="15.6">
      <c r="A173" s="1" t="s">
        <v>108</v>
      </c>
      <c r="B173" s="1" t="s">
        <v>465</v>
      </c>
      <c r="C173" s="1" t="s">
        <v>283</v>
      </c>
      <c r="D173" s="1" t="s">
        <v>506</v>
      </c>
      <c r="E173" s="1" t="s">
        <v>475</v>
      </c>
      <c r="F173" s="104">
        <v>45719</v>
      </c>
      <c r="G173" s="1" t="s">
        <v>317</v>
      </c>
      <c r="H173" s="4">
        <v>0</v>
      </c>
      <c r="I173" s="4">
        <v>4000000</v>
      </c>
      <c r="J173" s="4">
        <v>2777280</v>
      </c>
      <c r="K173" s="4">
        <v>0</v>
      </c>
      <c r="L173" s="4">
        <v>111</v>
      </c>
      <c r="M173" s="4">
        <v>67</v>
      </c>
      <c r="N173" s="4">
        <v>4</v>
      </c>
      <c r="O173" s="4">
        <v>115</v>
      </c>
      <c r="P173" s="4">
        <v>48</v>
      </c>
      <c r="Q173" s="4">
        <v>2684506.8</v>
      </c>
      <c r="R173" s="4">
        <v>92773.2</v>
      </c>
      <c r="S173" s="4">
        <v>36</v>
      </c>
      <c r="T173" s="4">
        <v>4</v>
      </c>
      <c r="U173" s="4">
        <v>40</v>
      </c>
      <c r="V173" s="4">
        <v>0</v>
      </c>
      <c r="W173" s="4">
        <v>4</v>
      </c>
      <c r="X173" s="4">
        <v>11</v>
      </c>
      <c r="Y173" s="4">
        <v>3</v>
      </c>
      <c r="Z173" s="4">
        <v>1</v>
      </c>
      <c r="AA173" s="4">
        <v>9</v>
      </c>
      <c r="AB173" s="4">
        <v>0</v>
      </c>
      <c r="AC173" s="4">
        <v>0</v>
      </c>
      <c r="AD173" s="4">
        <v>0</v>
      </c>
      <c r="AE173" s="4">
        <v>0</v>
      </c>
      <c r="AF173" s="4">
        <v>456</v>
      </c>
      <c r="AG173" s="4">
        <v>476</v>
      </c>
      <c r="AH173" s="4">
        <v>74</v>
      </c>
      <c r="AI173" s="4">
        <v>37531</v>
      </c>
      <c r="AJ173" s="4">
        <v>6</v>
      </c>
      <c r="AK173" s="4">
        <v>23000</v>
      </c>
      <c r="AL173" s="4">
        <v>0</v>
      </c>
      <c r="AM173" s="4">
        <v>8.3000000000000001E-3</v>
      </c>
      <c r="AN173" s="4">
        <v>69432</v>
      </c>
      <c r="AO173" s="4">
        <v>0.69</v>
      </c>
      <c r="AP173" s="4">
        <v>0</v>
      </c>
      <c r="AQ173" s="4">
        <v>80</v>
      </c>
      <c r="AR173" s="4">
        <v>711</v>
      </c>
      <c r="AS173" s="4">
        <v>3896.44</v>
      </c>
      <c r="AT173" s="4">
        <v>4</v>
      </c>
      <c r="AU173" s="4">
        <v>58</v>
      </c>
      <c r="AV173" s="4">
        <v>40</v>
      </c>
      <c r="AW173" s="4">
        <v>28</v>
      </c>
      <c r="AX173" s="4">
        <v>47</v>
      </c>
      <c r="AY173" s="1"/>
      <c r="AZ173" s="1"/>
    </row>
    <row r="174" spans="1:52" ht="15.6">
      <c r="A174" s="1" t="s">
        <v>120</v>
      </c>
      <c r="B174" s="1" t="s">
        <v>206</v>
      </c>
      <c r="C174" s="1" t="s">
        <v>284</v>
      </c>
      <c r="D174" s="1" t="s">
        <v>206</v>
      </c>
      <c r="E174" s="1" t="s">
        <v>358</v>
      </c>
      <c r="F174" s="104">
        <v>45722</v>
      </c>
      <c r="G174" s="1" t="s">
        <v>120</v>
      </c>
      <c r="H174" s="4">
        <v>0</v>
      </c>
      <c r="I174" s="4">
        <v>3600000</v>
      </c>
      <c r="J174" s="4">
        <v>107502.89</v>
      </c>
      <c r="K174" s="4">
        <v>0</v>
      </c>
      <c r="L174" s="4">
        <v>75</v>
      </c>
      <c r="M174" s="4">
        <v>58</v>
      </c>
      <c r="N174" s="4">
        <v>3</v>
      </c>
      <c r="O174" s="4">
        <v>78</v>
      </c>
      <c r="P174" s="4">
        <v>20</v>
      </c>
      <c r="Q174" s="4">
        <v>101982.89</v>
      </c>
      <c r="R174" s="4">
        <v>5520</v>
      </c>
      <c r="S174" s="4">
        <v>9</v>
      </c>
      <c r="T174" s="4">
        <v>1</v>
      </c>
      <c r="U174" s="4">
        <v>10</v>
      </c>
      <c r="V174" s="4">
        <v>0</v>
      </c>
      <c r="W174" s="4">
        <v>42</v>
      </c>
      <c r="X174" s="4">
        <v>47</v>
      </c>
      <c r="Y174" s="4">
        <v>253</v>
      </c>
      <c r="Z174" s="4">
        <v>2</v>
      </c>
      <c r="AA174" s="4">
        <v>19</v>
      </c>
      <c r="AB174" s="4">
        <v>0</v>
      </c>
      <c r="AC174" s="4">
        <v>0</v>
      </c>
      <c r="AD174" s="4">
        <v>0</v>
      </c>
      <c r="AE174" s="4">
        <v>0</v>
      </c>
      <c r="AF174" s="4">
        <v>103</v>
      </c>
      <c r="AG174" s="4">
        <v>169</v>
      </c>
      <c r="AH174" s="4">
        <v>20</v>
      </c>
      <c r="AI174" s="4">
        <v>5375</v>
      </c>
      <c r="AJ174" s="4">
        <v>8</v>
      </c>
      <c r="AK174" s="4">
        <v>27260</v>
      </c>
      <c r="AL174" s="4">
        <v>0</v>
      </c>
      <c r="AM174" s="4">
        <v>0.25359999999999999</v>
      </c>
      <c r="AN174" s="4">
        <v>10750</v>
      </c>
      <c r="AO174" s="4">
        <v>0.03</v>
      </c>
      <c r="AP174" s="4">
        <v>0</v>
      </c>
      <c r="AQ174" s="4">
        <v>10</v>
      </c>
      <c r="AR174" s="4">
        <v>194</v>
      </c>
      <c r="AS174" s="4">
        <v>1886.29</v>
      </c>
      <c r="AT174" s="4">
        <v>1</v>
      </c>
      <c r="AU174" s="4">
        <v>33</v>
      </c>
      <c r="AV174" s="4">
        <v>10</v>
      </c>
      <c r="AW174" s="4">
        <v>48</v>
      </c>
      <c r="AX174" s="4">
        <v>20</v>
      </c>
      <c r="AY174" s="48">
        <v>45961</v>
      </c>
      <c r="AZ174" s="48"/>
    </row>
    <row r="175" spans="1:52" ht="15.6">
      <c r="A175" s="1" t="s">
        <v>120</v>
      </c>
      <c r="B175" s="1" t="s">
        <v>356</v>
      </c>
      <c r="C175" s="1" t="s">
        <v>285</v>
      </c>
      <c r="D175" s="1" t="s">
        <v>770</v>
      </c>
      <c r="E175" s="1" t="s">
        <v>291</v>
      </c>
      <c r="F175" s="48">
        <v>45736</v>
      </c>
      <c r="G175" s="1" t="s">
        <v>120</v>
      </c>
      <c r="H175" s="4">
        <v>150000</v>
      </c>
      <c r="I175" s="4">
        <v>3600000</v>
      </c>
      <c r="J175" s="4">
        <v>922457.53</v>
      </c>
      <c r="K175" s="4">
        <v>126703.38</v>
      </c>
      <c r="L175" s="4">
        <v>38</v>
      </c>
      <c r="M175" s="4">
        <v>32</v>
      </c>
      <c r="N175" s="4">
        <v>1</v>
      </c>
      <c r="O175" s="4">
        <v>39</v>
      </c>
      <c r="P175" s="4">
        <v>7</v>
      </c>
      <c r="Q175" s="4">
        <v>888406.17</v>
      </c>
      <c r="R175" s="4">
        <v>34051.360000000001</v>
      </c>
      <c r="S175" s="4">
        <v>11</v>
      </c>
      <c r="T175" s="4">
        <v>1</v>
      </c>
      <c r="U175" s="4">
        <v>12</v>
      </c>
      <c r="V175" s="4">
        <v>1</v>
      </c>
      <c r="W175" s="4">
        <v>152</v>
      </c>
      <c r="X175" s="4">
        <v>224</v>
      </c>
      <c r="Y175" s="4">
        <v>133</v>
      </c>
      <c r="Z175" s="4">
        <v>3</v>
      </c>
      <c r="AA175" s="4">
        <v>12</v>
      </c>
      <c r="AB175" s="4">
        <v>4</v>
      </c>
      <c r="AC175" s="4">
        <v>13</v>
      </c>
      <c r="AD175" s="4">
        <v>2</v>
      </c>
      <c r="AE175" s="4">
        <v>2</v>
      </c>
      <c r="AF175" s="4">
        <v>151</v>
      </c>
      <c r="AG175" s="4">
        <v>402</v>
      </c>
      <c r="AH175" s="4">
        <v>73</v>
      </c>
      <c r="AI175" s="4">
        <v>12636</v>
      </c>
      <c r="AJ175" s="4">
        <v>6</v>
      </c>
      <c r="AK175" s="4">
        <v>27260</v>
      </c>
      <c r="AL175" s="4">
        <v>0</v>
      </c>
      <c r="AM175" s="4">
        <v>2.9600000000000001E-2</v>
      </c>
      <c r="AN175" s="4">
        <v>76871</v>
      </c>
      <c r="AO175" s="4">
        <v>0.26</v>
      </c>
      <c r="AP175" s="4">
        <v>0.84</v>
      </c>
      <c r="AQ175" s="4">
        <v>25</v>
      </c>
      <c r="AR175" s="4">
        <v>643</v>
      </c>
      <c r="AS175" s="4">
        <v>2415.29</v>
      </c>
      <c r="AT175" s="4">
        <v>1</v>
      </c>
      <c r="AU175" s="4">
        <v>75</v>
      </c>
      <c r="AV175" s="4">
        <v>12</v>
      </c>
      <c r="AW175" s="4">
        <v>20</v>
      </c>
      <c r="AX175" s="4">
        <v>7</v>
      </c>
      <c r="AY175" s="1"/>
      <c r="AZ175" s="1"/>
    </row>
    <row r="176" spans="1:52" ht="15.6">
      <c r="A176" s="1" t="s">
        <v>154</v>
      </c>
      <c r="B176" s="1" t="s">
        <v>367</v>
      </c>
      <c r="C176" s="1" t="s">
        <v>287</v>
      </c>
      <c r="D176" s="1" t="s">
        <v>638</v>
      </c>
      <c r="E176" s="1" t="s">
        <v>371</v>
      </c>
      <c r="F176" s="48">
        <v>45733</v>
      </c>
      <c r="G176" s="1" t="s">
        <v>196</v>
      </c>
      <c r="H176" s="4">
        <v>0</v>
      </c>
      <c r="I176" s="4">
        <v>4500000</v>
      </c>
      <c r="J176" s="4">
        <v>1733714.67</v>
      </c>
      <c r="K176" s="4">
        <v>0</v>
      </c>
      <c r="L176" s="4">
        <v>85</v>
      </c>
      <c r="M176" s="4">
        <v>78</v>
      </c>
      <c r="N176" s="4">
        <v>3</v>
      </c>
      <c r="O176" s="4">
        <v>88</v>
      </c>
      <c r="P176" s="4">
        <v>10</v>
      </c>
      <c r="Q176" s="4">
        <v>1650656.77</v>
      </c>
      <c r="R176" s="4">
        <v>83057.899999999994</v>
      </c>
      <c r="S176" s="4">
        <v>32</v>
      </c>
      <c r="T176" s="4">
        <v>3</v>
      </c>
      <c r="U176" s="4">
        <v>35</v>
      </c>
      <c r="V176" s="4">
        <v>0</v>
      </c>
      <c r="W176" s="4">
        <v>93</v>
      </c>
      <c r="X176" s="4">
        <v>129</v>
      </c>
      <c r="Y176" s="4">
        <v>124</v>
      </c>
      <c r="Z176" s="4">
        <v>3</v>
      </c>
      <c r="AA176" s="4">
        <v>37</v>
      </c>
      <c r="AB176" s="4">
        <v>1</v>
      </c>
      <c r="AC176" s="4">
        <v>2</v>
      </c>
      <c r="AD176" s="4">
        <v>13</v>
      </c>
      <c r="AE176" s="4">
        <v>40</v>
      </c>
      <c r="AF176" s="4">
        <v>318</v>
      </c>
      <c r="AG176" s="4">
        <v>526</v>
      </c>
      <c r="AH176" s="4">
        <v>74</v>
      </c>
      <c r="AI176" s="4">
        <v>23429</v>
      </c>
      <c r="AJ176" s="4">
        <v>7</v>
      </c>
      <c r="AK176" s="4">
        <v>33550</v>
      </c>
      <c r="AL176" s="4">
        <v>0</v>
      </c>
      <c r="AM176" s="4">
        <v>1.9400000000000001E-2</v>
      </c>
      <c r="AN176" s="4">
        <v>49535</v>
      </c>
      <c r="AO176" s="4">
        <v>0.39</v>
      </c>
      <c r="AP176" s="4">
        <v>0</v>
      </c>
      <c r="AQ176" s="4">
        <v>67</v>
      </c>
      <c r="AR176" s="4">
        <v>690</v>
      </c>
      <c r="AS176" s="4">
        <v>9265.58</v>
      </c>
      <c r="AT176" s="4">
        <v>3</v>
      </c>
      <c r="AU176" s="4">
        <v>119</v>
      </c>
      <c r="AV176" s="4">
        <v>35</v>
      </c>
      <c r="AW176" s="4">
        <v>45</v>
      </c>
      <c r="AX176" s="4">
        <v>8</v>
      </c>
      <c r="AY176" s="1"/>
      <c r="AZ176" s="1"/>
    </row>
    <row r="177" spans="1:52" ht="15.6">
      <c r="A177" s="1" t="s">
        <v>154</v>
      </c>
      <c r="B177" s="1" t="s">
        <v>367</v>
      </c>
      <c r="C177" s="1" t="s">
        <v>288</v>
      </c>
      <c r="D177" s="1" t="s">
        <v>577</v>
      </c>
      <c r="E177" s="1" t="s">
        <v>637</v>
      </c>
      <c r="F177" s="48">
        <v>45735</v>
      </c>
      <c r="G177" s="1" t="s">
        <v>196</v>
      </c>
      <c r="H177" s="4">
        <v>0</v>
      </c>
      <c r="I177" s="4">
        <v>700000</v>
      </c>
      <c r="J177" s="4">
        <v>0</v>
      </c>
      <c r="K177" s="4">
        <v>0</v>
      </c>
      <c r="L177" s="4">
        <v>75</v>
      </c>
      <c r="M177" s="4">
        <v>19</v>
      </c>
      <c r="N177" s="4">
        <v>0</v>
      </c>
      <c r="O177" s="4">
        <v>75</v>
      </c>
      <c r="P177" s="4">
        <v>56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15</v>
      </c>
      <c r="X177" s="4">
        <v>15</v>
      </c>
      <c r="Y177" s="4">
        <v>186</v>
      </c>
      <c r="Z177" s="4">
        <v>2</v>
      </c>
      <c r="AA177" s="4">
        <v>4</v>
      </c>
      <c r="AB177" s="4">
        <v>0</v>
      </c>
      <c r="AC177" s="4">
        <v>0</v>
      </c>
      <c r="AD177" s="4">
        <v>1</v>
      </c>
      <c r="AE177" s="4">
        <v>1</v>
      </c>
      <c r="AF177" s="4">
        <v>27</v>
      </c>
      <c r="AG177" s="4">
        <v>47</v>
      </c>
      <c r="AH177" s="4">
        <v>6</v>
      </c>
      <c r="AI177" s="4">
        <v>0</v>
      </c>
      <c r="AJ177" s="4">
        <v>8</v>
      </c>
      <c r="AK177" s="4">
        <v>25165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66</v>
      </c>
      <c r="AS177" s="4">
        <v>433.31</v>
      </c>
      <c r="AT177" s="4">
        <v>0</v>
      </c>
      <c r="AU177" s="4">
        <v>23</v>
      </c>
      <c r="AV177" s="4">
        <v>0</v>
      </c>
      <c r="AW177" s="4">
        <v>19</v>
      </c>
      <c r="AX177" s="4">
        <v>56</v>
      </c>
      <c r="AY177" s="104">
        <v>45938</v>
      </c>
      <c r="AZ177" s="104"/>
    </row>
    <row r="178" spans="1:52" ht="15.6">
      <c r="A178" s="1" t="s">
        <v>154</v>
      </c>
      <c r="B178" s="1" t="s">
        <v>367</v>
      </c>
      <c r="C178" s="1" t="s">
        <v>289</v>
      </c>
      <c r="D178" s="1" t="s">
        <v>577</v>
      </c>
      <c r="E178" s="1" t="s">
        <v>578</v>
      </c>
      <c r="F178" s="48">
        <v>45736</v>
      </c>
      <c r="G178" s="1" t="s">
        <v>196</v>
      </c>
      <c r="H178" s="4">
        <v>0</v>
      </c>
      <c r="I178" s="4">
        <v>0</v>
      </c>
      <c r="J178" s="4">
        <v>0</v>
      </c>
      <c r="K178" s="4">
        <v>0</v>
      </c>
      <c r="L178" s="4">
        <v>41</v>
      </c>
      <c r="M178" s="4">
        <v>0</v>
      </c>
      <c r="N178" s="4">
        <v>1</v>
      </c>
      <c r="O178" s="4">
        <v>42</v>
      </c>
      <c r="P178" s="4">
        <v>42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123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37740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42</v>
      </c>
      <c r="AY178" s="48">
        <v>45919</v>
      </c>
      <c r="AZ178" s="48"/>
    </row>
    <row r="179" spans="1:52" ht="15.6">
      <c r="A179" s="1" t="s">
        <v>108</v>
      </c>
      <c r="B179" s="1" t="s">
        <v>465</v>
      </c>
      <c r="C179" s="1" t="s">
        <v>290</v>
      </c>
      <c r="D179" s="1" t="s">
        <v>506</v>
      </c>
      <c r="E179" s="1" t="s">
        <v>639</v>
      </c>
      <c r="F179" s="104">
        <v>45751</v>
      </c>
      <c r="G179" s="1" t="s">
        <v>108</v>
      </c>
      <c r="H179" s="4">
        <v>0</v>
      </c>
      <c r="I179" s="4">
        <v>0</v>
      </c>
      <c r="J179" s="4">
        <v>0</v>
      </c>
      <c r="K179" s="4">
        <v>0</v>
      </c>
      <c r="L179" s="4">
        <v>231</v>
      </c>
      <c r="M179" s="4">
        <v>0</v>
      </c>
      <c r="N179" s="4">
        <v>0</v>
      </c>
      <c r="O179" s="4">
        <v>231</v>
      </c>
      <c r="P179" s="4">
        <v>231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72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37760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231</v>
      </c>
      <c r="AY179" s="48">
        <v>45881</v>
      </c>
      <c r="AZ179" s="48"/>
    </row>
    <row r="180" spans="1:52" ht="15.6">
      <c r="A180" s="1" t="s">
        <v>154</v>
      </c>
      <c r="B180" s="1" t="s">
        <v>367</v>
      </c>
      <c r="C180" s="1" t="s">
        <v>292</v>
      </c>
      <c r="D180" s="1" t="s">
        <v>577</v>
      </c>
      <c r="E180" s="1" t="s">
        <v>377</v>
      </c>
      <c r="F180" s="48">
        <v>45761</v>
      </c>
      <c r="G180" s="1" t="s">
        <v>196</v>
      </c>
      <c r="H180" s="4">
        <v>0</v>
      </c>
      <c r="I180" s="4">
        <v>0</v>
      </c>
      <c r="J180" s="4">
        <v>0</v>
      </c>
      <c r="K180" s="4">
        <v>0</v>
      </c>
      <c r="L180" s="4">
        <v>9</v>
      </c>
      <c r="M180" s="4">
        <v>0</v>
      </c>
      <c r="N180" s="4">
        <v>0</v>
      </c>
      <c r="O180" s="4">
        <v>9</v>
      </c>
      <c r="P180" s="4">
        <v>9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8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65000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9</v>
      </c>
      <c r="AY180" s="48">
        <v>45771</v>
      </c>
      <c r="AZ180" s="48"/>
    </row>
    <row r="181" spans="1:52" ht="15.6">
      <c r="A181" s="1" t="s">
        <v>177</v>
      </c>
      <c r="B181" s="1" t="s">
        <v>458</v>
      </c>
      <c r="C181" s="1" t="s">
        <v>293</v>
      </c>
      <c r="D181" s="1" t="s">
        <v>581</v>
      </c>
      <c r="E181" s="1" t="s">
        <v>582</v>
      </c>
      <c r="F181" s="48">
        <v>45761</v>
      </c>
      <c r="G181" s="1" t="s">
        <v>279</v>
      </c>
      <c r="H181" s="4">
        <v>0</v>
      </c>
      <c r="I181" s="4">
        <v>666667</v>
      </c>
      <c r="J181" s="4">
        <v>43858.62</v>
      </c>
      <c r="K181" s="4">
        <v>0</v>
      </c>
      <c r="L181" s="4">
        <v>60</v>
      </c>
      <c r="M181" s="4">
        <v>5</v>
      </c>
      <c r="N181" s="4">
        <v>0</v>
      </c>
      <c r="O181" s="4">
        <v>60</v>
      </c>
      <c r="P181" s="4">
        <v>55</v>
      </c>
      <c r="Q181" s="4">
        <v>43858.62</v>
      </c>
      <c r="R181" s="4">
        <v>0</v>
      </c>
      <c r="S181" s="4">
        <v>3</v>
      </c>
      <c r="T181" s="4">
        <v>0</v>
      </c>
      <c r="U181" s="4">
        <v>3</v>
      </c>
      <c r="V181" s="4">
        <v>0</v>
      </c>
      <c r="W181" s="4">
        <v>12</v>
      </c>
      <c r="X181" s="4">
        <v>12</v>
      </c>
      <c r="Y181" s="4">
        <v>245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5</v>
      </c>
      <c r="AG181" s="4">
        <v>17</v>
      </c>
      <c r="AH181" s="4">
        <v>4</v>
      </c>
      <c r="AI181" s="4">
        <v>10965</v>
      </c>
      <c r="AJ181" s="4">
        <v>4</v>
      </c>
      <c r="AK181" s="4">
        <v>24120</v>
      </c>
      <c r="AL181" s="4">
        <v>0</v>
      </c>
      <c r="AM181" s="4">
        <v>0.54990000000000006</v>
      </c>
      <c r="AN181" s="4">
        <v>14620</v>
      </c>
      <c r="AO181" s="4">
        <v>7.0000000000000007E-2</v>
      </c>
      <c r="AP181" s="4">
        <v>0</v>
      </c>
      <c r="AQ181" s="4">
        <v>3</v>
      </c>
      <c r="AR181" s="4">
        <v>38</v>
      </c>
      <c r="AS181" s="4">
        <v>106.95</v>
      </c>
      <c r="AT181" s="4">
        <v>0</v>
      </c>
      <c r="AU181" s="4">
        <v>21</v>
      </c>
      <c r="AV181" s="4">
        <v>3</v>
      </c>
      <c r="AW181" s="4">
        <v>5</v>
      </c>
      <c r="AX181" s="4">
        <v>52</v>
      </c>
      <c r="AY181" s="104">
        <v>45938</v>
      </c>
      <c r="AZ181" s="104"/>
    </row>
    <row r="182" spans="1:52" ht="15.6">
      <c r="A182" s="1" t="s">
        <v>136</v>
      </c>
      <c r="B182" s="1" t="s">
        <v>653</v>
      </c>
      <c r="C182" s="1" t="s">
        <v>294</v>
      </c>
      <c r="D182" s="1" t="s">
        <v>421</v>
      </c>
      <c r="E182" s="1" t="s">
        <v>427</v>
      </c>
      <c r="F182" s="48">
        <v>45765</v>
      </c>
      <c r="G182" s="1" t="s">
        <v>136</v>
      </c>
      <c r="H182" s="4">
        <v>166667</v>
      </c>
      <c r="I182" s="4">
        <v>1000000</v>
      </c>
      <c r="J182" s="4">
        <v>429606.5</v>
      </c>
      <c r="K182" s="4">
        <v>123831.26</v>
      </c>
      <c r="L182" s="4">
        <v>20</v>
      </c>
      <c r="M182" s="4">
        <v>4</v>
      </c>
      <c r="N182" s="4">
        <v>1</v>
      </c>
      <c r="O182" s="4">
        <v>21</v>
      </c>
      <c r="P182" s="4">
        <v>17</v>
      </c>
      <c r="Q182" s="4">
        <v>373418.5</v>
      </c>
      <c r="R182" s="4">
        <v>56188</v>
      </c>
      <c r="S182" s="4">
        <v>8</v>
      </c>
      <c r="T182" s="4">
        <v>1</v>
      </c>
      <c r="U182" s="4">
        <v>9</v>
      </c>
      <c r="V182" s="4">
        <v>1</v>
      </c>
      <c r="W182" s="4">
        <v>16</v>
      </c>
      <c r="X182" s="4">
        <v>20</v>
      </c>
      <c r="Y182" s="4">
        <v>100</v>
      </c>
      <c r="Z182" s="4">
        <v>3</v>
      </c>
      <c r="AA182" s="4">
        <v>8</v>
      </c>
      <c r="AB182" s="4">
        <v>3</v>
      </c>
      <c r="AC182" s="4">
        <v>5</v>
      </c>
      <c r="AD182" s="4">
        <v>1</v>
      </c>
      <c r="AE182" s="4">
        <v>2</v>
      </c>
      <c r="AF182" s="4">
        <v>6</v>
      </c>
      <c r="AG182" s="4">
        <v>41</v>
      </c>
      <c r="AH182" s="4">
        <v>10</v>
      </c>
      <c r="AI182" s="4">
        <v>42961</v>
      </c>
      <c r="AJ182" s="4">
        <v>4</v>
      </c>
      <c r="AK182" s="4">
        <v>25700</v>
      </c>
      <c r="AL182" s="4">
        <v>0</v>
      </c>
      <c r="AM182" s="4">
        <v>1E-4</v>
      </c>
      <c r="AN182" s="4">
        <v>47734</v>
      </c>
      <c r="AO182" s="4">
        <v>0.43</v>
      </c>
      <c r="AP182" s="4">
        <v>0.74</v>
      </c>
      <c r="AQ182" s="4">
        <v>12</v>
      </c>
      <c r="AR182" s="4">
        <v>88</v>
      </c>
      <c r="AS182" s="4">
        <v>570.13</v>
      </c>
      <c r="AT182" s="4">
        <v>1</v>
      </c>
      <c r="AU182" s="4">
        <v>143</v>
      </c>
      <c r="AV182" s="4">
        <v>9</v>
      </c>
      <c r="AW182" s="4">
        <v>1</v>
      </c>
      <c r="AX182" s="4">
        <v>11</v>
      </c>
      <c r="AY182" s="48">
        <v>45944</v>
      </c>
      <c r="AZ182" s="48"/>
    </row>
    <row r="183" spans="1:52" ht="15.6">
      <c r="A183" s="1" t="s">
        <v>118</v>
      </c>
      <c r="B183" s="1" t="s">
        <v>362</v>
      </c>
      <c r="C183" s="1" t="s">
        <v>295</v>
      </c>
      <c r="D183" s="1" t="s">
        <v>419</v>
      </c>
      <c r="E183" s="1" t="s">
        <v>643</v>
      </c>
      <c r="F183" s="108">
        <v>45784</v>
      </c>
      <c r="G183" s="1" t="s">
        <v>67</v>
      </c>
      <c r="H183" s="4">
        <v>0</v>
      </c>
      <c r="I183" s="4">
        <v>7500000</v>
      </c>
      <c r="J183" s="4">
        <v>7038967.1799999997</v>
      </c>
      <c r="K183" s="4">
        <v>0</v>
      </c>
      <c r="L183" s="4">
        <v>47</v>
      </c>
      <c r="M183" s="4">
        <v>48</v>
      </c>
      <c r="N183" s="4">
        <v>4</v>
      </c>
      <c r="O183" s="4">
        <v>51</v>
      </c>
      <c r="P183" s="4">
        <v>3</v>
      </c>
      <c r="Q183" s="4">
        <v>6904031.2400000002</v>
      </c>
      <c r="R183" s="4">
        <v>134935.94</v>
      </c>
      <c r="S183" s="4">
        <v>30</v>
      </c>
      <c r="T183" s="4">
        <v>4</v>
      </c>
      <c r="U183" s="4">
        <v>34</v>
      </c>
      <c r="V183" s="4">
        <v>0</v>
      </c>
      <c r="W183" s="4">
        <v>10</v>
      </c>
      <c r="X183" s="4">
        <v>23</v>
      </c>
      <c r="Y183" s="4">
        <v>20</v>
      </c>
      <c r="Z183" s="4">
        <v>1</v>
      </c>
      <c r="AA183" s="4">
        <v>4</v>
      </c>
      <c r="AB183" s="4">
        <v>0</v>
      </c>
      <c r="AC183" s="4">
        <v>0</v>
      </c>
      <c r="AD183" s="4">
        <v>0</v>
      </c>
      <c r="AE183" s="4">
        <v>0</v>
      </c>
      <c r="AF183" s="4">
        <v>378</v>
      </c>
      <c r="AG183" s="4">
        <v>405</v>
      </c>
      <c r="AH183" s="4">
        <v>69</v>
      </c>
      <c r="AI183" s="4">
        <v>102014</v>
      </c>
      <c r="AJ183" s="4">
        <v>6</v>
      </c>
      <c r="AK183" s="4">
        <v>25985</v>
      </c>
      <c r="AL183" s="4">
        <v>0</v>
      </c>
      <c r="AM183" s="4">
        <v>3.7000000000000002E-3</v>
      </c>
      <c r="AN183" s="4">
        <v>207028</v>
      </c>
      <c r="AO183" s="4">
        <v>0.94</v>
      </c>
      <c r="AP183" s="4">
        <v>0</v>
      </c>
      <c r="AQ183" s="4">
        <v>143</v>
      </c>
      <c r="AR183" s="4">
        <v>688</v>
      </c>
      <c r="AS183" s="4">
        <v>5568.03</v>
      </c>
      <c r="AT183" s="4">
        <v>4</v>
      </c>
      <c r="AU183" s="4">
        <v>116</v>
      </c>
      <c r="AV183" s="4">
        <v>34</v>
      </c>
      <c r="AW183" s="4">
        <v>14</v>
      </c>
      <c r="AX183" s="4">
        <v>3</v>
      </c>
      <c r="AY183" s="1"/>
      <c r="AZ183" s="1"/>
    </row>
    <row r="184" spans="1:52" ht="15.6">
      <c r="A184" s="1" t="s">
        <v>177</v>
      </c>
      <c r="B184" s="1" t="s">
        <v>364</v>
      </c>
      <c r="C184" s="1" t="s">
        <v>296</v>
      </c>
      <c r="D184" s="1" t="s">
        <v>568</v>
      </c>
      <c r="E184" s="1" t="s">
        <v>641</v>
      </c>
      <c r="F184" s="108">
        <v>45782</v>
      </c>
      <c r="G184" s="1" t="s">
        <v>177</v>
      </c>
      <c r="H184" s="4">
        <v>0</v>
      </c>
      <c r="I184" s="4">
        <v>0</v>
      </c>
      <c r="J184" s="4">
        <v>0</v>
      </c>
      <c r="K184" s="4">
        <v>0</v>
      </c>
      <c r="L184" s="4">
        <v>3</v>
      </c>
      <c r="M184" s="4">
        <v>3</v>
      </c>
      <c r="N184" s="4">
        <v>0</v>
      </c>
      <c r="O184" s="4">
        <v>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7</v>
      </c>
      <c r="X184" s="4">
        <v>11</v>
      </c>
      <c r="Y184" s="4">
        <v>6</v>
      </c>
      <c r="Z184" s="4">
        <v>3</v>
      </c>
      <c r="AA184" s="4">
        <v>21</v>
      </c>
      <c r="AB184" s="4">
        <v>0</v>
      </c>
      <c r="AC184" s="4">
        <v>0</v>
      </c>
      <c r="AD184" s="4">
        <v>88</v>
      </c>
      <c r="AE184" s="4">
        <v>222</v>
      </c>
      <c r="AF184" s="4">
        <v>5</v>
      </c>
      <c r="AG184" s="4">
        <v>259</v>
      </c>
      <c r="AH184" s="4">
        <v>70</v>
      </c>
      <c r="AI184" s="4">
        <v>0</v>
      </c>
      <c r="AJ184" s="4">
        <v>4</v>
      </c>
      <c r="AK184" s="4">
        <v>64585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755</v>
      </c>
      <c r="AS184" s="4">
        <v>10463.299999999999</v>
      </c>
      <c r="AT184" s="4">
        <v>0</v>
      </c>
      <c r="AU184" s="4">
        <v>3488</v>
      </c>
      <c r="AV184" s="4">
        <v>0</v>
      </c>
      <c r="AW184" s="4">
        <v>3</v>
      </c>
      <c r="AX184" s="4">
        <v>0</v>
      </c>
      <c r="AY184" s="1"/>
      <c r="AZ184" s="1"/>
    </row>
    <row r="185" spans="1:52" ht="15.6">
      <c r="A185" s="1" t="s">
        <v>108</v>
      </c>
      <c r="B185" s="1" t="s">
        <v>465</v>
      </c>
      <c r="C185" s="1" t="s">
        <v>297</v>
      </c>
      <c r="D185" s="1" t="s">
        <v>506</v>
      </c>
      <c r="E185" s="1" t="s">
        <v>478</v>
      </c>
      <c r="F185" s="115">
        <v>45793</v>
      </c>
      <c r="G185" s="1" t="s">
        <v>317</v>
      </c>
      <c r="H185" s="4">
        <v>0</v>
      </c>
      <c r="I185" s="4">
        <v>4000000</v>
      </c>
      <c r="J185" s="4">
        <v>2878869.6</v>
      </c>
      <c r="K185" s="4">
        <v>0</v>
      </c>
      <c r="L185" s="4">
        <v>79</v>
      </c>
      <c r="M185" s="4">
        <v>68</v>
      </c>
      <c r="N185" s="4">
        <v>6</v>
      </c>
      <c r="O185" s="4">
        <v>85</v>
      </c>
      <c r="P185" s="4">
        <v>17</v>
      </c>
      <c r="Q185" s="4">
        <v>2643981.6</v>
      </c>
      <c r="R185" s="4">
        <v>234888</v>
      </c>
      <c r="S185" s="4">
        <v>45</v>
      </c>
      <c r="T185" s="4">
        <v>6</v>
      </c>
      <c r="U185" s="4">
        <v>51</v>
      </c>
      <c r="V185" s="4">
        <v>0</v>
      </c>
      <c r="W185" s="4">
        <v>5</v>
      </c>
      <c r="X185" s="4">
        <v>9</v>
      </c>
      <c r="Y185" s="4">
        <v>0</v>
      </c>
      <c r="Z185" s="4">
        <v>1</v>
      </c>
      <c r="AA185" s="4">
        <v>9</v>
      </c>
      <c r="AB185" s="4">
        <v>0</v>
      </c>
      <c r="AC185" s="4">
        <v>0</v>
      </c>
      <c r="AD185" s="4">
        <v>0</v>
      </c>
      <c r="AE185" s="4">
        <v>0</v>
      </c>
      <c r="AF185" s="4">
        <v>428</v>
      </c>
      <c r="AG185" s="4">
        <v>446</v>
      </c>
      <c r="AH185" s="4">
        <v>74</v>
      </c>
      <c r="AI185" s="4">
        <v>38904</v>
      </c>
      <c r="AJ185" s="4">
        <v>6</v>
      </c>
      <c r="AK185" s="4">
        <v>27000</v>
      </c>
      <c r="AL185" s="4">
        <v>0</v>
      </c>
      <c r="AM185" s="4">
        <v>9.4000000000000004E-3</v>
      </c>
      <c r="AN185" s="4">
        <v>56448</v>
      </c>
      <c r="AO185" s="4">
        <v>0.72</v>
      </c>
      <c r="AP185" s="4">
        <v>0</v>
      </c>
      <c r="AQ185" s="4">
        <v>114</v>
      </c>
      <c r="AR185" s="4">
        <v>742</v>
      </c>
      <c r="AS185" s="4">
        <v>3487.49</v>
      </c>
      <c r="AT185" s="4">
        <v>6</v>
      </c>
      <c r="AU185" s="4">
        <v>51</v>
      </c>
      <c r="AV185" s="4">
        <v>51</v>
      </c>
      <c r="AW185" s="4">
        <v>18</v>
      </c>
      <c r="AX185" s="4">
        <v>16</v>
      </c>
      <c r="AY185" s="1"/>
      <c r="AZ185" s="1"/>
    </row>
    <row r="186" spans="1:52" ht="15.6">
      <c r="A186" s="1" t="s">
        <v>118</v>
      </c>
      <c r="B186" s="1" t="s">
        <v>372</v>
      </c>
      <c r="C186" s="1" t="s">
        <v>216</v>
      </c>
      <c r="D186" s="1" t="s">
        <v>447</v>
      </c>
      <c r="E186" s="1" t="s">
        <v>514</v>
      </c>
      <c r="F186" s="115">
        <v>45797</v>
      </c>
      <c r="G186" s="1" t="s">
        <v>118</v>
      </c>
      <c r="H186" s="4">
        <v>0</v>
      </c>
      <c r="I186" s="4">
        <v>0</v>
      </c>
      <c r="J186" s="4">
        <v>0</v>
      </c>
      <c r="K186" s="4">
        <v>0</v>
      </c>
      <c r="L186" s="4">
        <v>57</v>
      </c>
      <c r="M186" s="4">
        <v>0</v>
      </c>
      <c r="N186" s="4">
        <v>1</v>
      </c>
      <c r="O186" s="4">
        <v>58</v>
      </c>
      <c r="P186" s="4">
        <v>58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18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119300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58</v>
      </c>
      <c r="AY186" s="48">
        <v>45899</v>
      </c>
      <c r="AZ186" s="48"/>
    </row>
    <row r="187" spans="1:52" ht="15.6">
      <c r="A187" s="1" t="s">
        <v>118</v>
      </c>
      <c r="B187" s="1" t="s">
        <v>362</v>
      </c>
      <c r="C187" s="1" t="s">
        <v>299</v>
      </c>
      <c r="D187" s="1" t="s">
        <v>419</v>
      </c>
      <c r="E187" s="1" t="s">
        <v>645</v>
      </c>
      <c r="F187" s="115">
        <v>45796</v>
      </c>
      <c r="G187" s="1" t="s">
        <v>118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22000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115">
        <v>45804</v>
      </c>
      <c r="AZ187" s="115"/>
    </row>
    <row r="188" spans="1:52" ht="15.6">
      <c r="A188" s="1" t="s">
        <v>201</v>
      </c>
      <c r="B188" s="1" t="s">
        <v>431</v>
      </c>
      <c r="C188" s="1" t="s">
        <v>300</v>
      </c>
      <c r="D188" s="1" t="s">
        <v>431</v>
      </c>
      <c r="E188" s="1" t="s">
        <v>646</v>
      </c>
      <c r="F188" s="115">
        <v>45797</v>
      </c>
      <c r="G188" s="1" t="s">
        <v>106</v>
      </c>
      <c r="H188" s="4">
        <v>0</v>
      </c>
      <c r="I188" s="4">
        <v>3600000</v>
      </c>
      <c r="J188" s="4">
        <v>555275.62</v>
      </c>
      <c r="K188" s="4">
        <v>0</v>
      </c>
      <c r="L188" s="4">
        <v>46</v>
      </c>
      <c r="M188" s="4">
        <v>48</v>
      </c>
      <c r="N188" s="4">
        <v>8</v>
      </c>
      <c r="O188" s="4">
        <v>54</v>
      </c>
      <c r="P188" s="4">
        <v>6</v>
      </c>
      <c r="Q188" s="4">
        <v>271645.21999999997</v>
      </c>
      <c r="R188" s="4">
        <v>283630.40000000002</v>
      </c>
      <c r="S188" s="4">
        <v>5</v>
      </c>
      <c r="T188" s="4">
        <v>8</v>
      </c>
      <c r="U188" s="4">
        <v>13</v>
      </c>
      <c r="V188" s="4">
        <v>0</v>
      </c>
      <c r="W188" s="4">
        <v>152</v>
      </c>
      <c r="X188" s="4">
        <v>311</v>
      </c>
      <c r="Y188" s="4">
        <v>74</v>
      </c>
      <c r="Z188" s="4">
        <v>1</v>
      </c>
      <c r="AA188" s="4">
        <v>11</v>
      </c>
      <c r="AB188" s="4">
        <v>0</v>
      </c>
      <c r="AC188" s="4">
        <v>0</v>
      </c>
      <c r="AD188" s="4">
        <v>0</v>
      </c>
      <c r="AE188" s="4">
        <v>0</v>
      </c>
      <c r="AF188" s="4">
        <v>193</v>
      </c>
      <c r="AG188" s="4">
        <v>515</v>
      </c>
      <c r="AH188" s="4">
        <v>73</v>
      </c>
      <c r="AI188" s="4">
        <v>7607</v>
      </c>
      <c r="AJ188" s="4">
        <v>7</v>
      </c>
      <c r="AK188" s="4">
        <v>33050</v>
      </c>
      <c r="AL188" s="4">
        <v>0</v>
      </c>
      <c r="AM188" s="4">
        <v>5.9499999999999997E-2</v>
      </c>
      <c r="AN188" s="4">
        <v>42714</v>
      </c>
      <c r="AO188" s="4">
        <v>0.15</v>
      </c>
      <c r="AP188" s="4">
        <v>0</v>
      </c>
      <c r="AQ188" s="4">
        <v>14</v>
      </c>
      <c r="AR188" s="4">
        <v>698</v>
      </c>
      <c r="AS188" s="4">
        <v>4735.3599999999997</v>
      </c>
      <c r="AT188" s="4">
        <v>8</v>
      </c>
      <c r="AU188" s="4">
        <v>99</v>
      </c>
      <c r="AV188" s="4">
        <v>13</v>
      </c>
      <c r="AW188" s="4">
        <v>36</v>
      </c>
      <c r="AX188" s="4">
        <v>5</v>
      </c>
      <c r="AY188" s="48">
        <v>46022</v>
      </c>
      <c r="AZ188" s="48"/>
    </row>
    <row r="189" spans="1:52" ht="15.6">
      <c r="A189" s="1" t="s">
        <v>118</v>
      </c>
      <c r="B189" s="1" t="s">
        <v>436</v>
      </c>
      <c r="C189" s="1" t="s">
        <v>301</v>
      </c>
      <c r="D189" s="1" t="s">
        <v>499</v>
      </c>
      <c r="E189" s="1" t="s">
        <v>648</v>
      </c>
      <c r="F189" s="104">
        <v>45817</v>
      </c>
      <c r="G189" s="1"/>
      <c r="H189" s="4">
        <v>0</v>
      </c>
      <c r="I189" s="4">
        <v>4500000</v>
      </c>
      <c r="J189" s="4">
        <v>320335</v>
      </c>
      <c r="K189" s="4">
        <v>0</v>
      </c>
      <c r="L189" s="4">
        <v>26</v>
      </c>
      <c r="M189" s="4">
        <v>22</v>
      </c>
      <c r="N189" s="4">
        <v>0</v>
      </c>
      <c r="O189" s="4">
        <v>26</v>
      </c>
      <c r="P189" s="4">
        <v>4</v>
      </c>
      <c r="Q189" s="4">
        <v>320335</v>
      </c>
      <c r="R189" s="4">
        <v>0</v>
      </c>
      <c r="S189" s="4">
        <v>6</v>
      </c>
      <c r="T189" s="4">
        <v>0</v>
      </c>
      <c r="U189" s="4">
        <v>6</v>
      </c>
      <c r="V189" s="4">
        <v>0</v>
      </c>
      <c r="W189" s="4">
        <v>9</v>
      </c>
      <c r="X189" s="4">
        <v>20</v>
      </c>
      <c r="Y189" s="4">
        <v>9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235</v>
      </c>
      <c r="AG189" s="4">
        <v>255</v>
      </c>
      <c r="AH189" s="4">
        <v>59</v>
      </c>
      <c r="AI189" s="4">
        <v>5429</v>
      </c>
      <c r="AJ189" s="4">
        <v>4</v>
      </c>
      <c r="AK189" s="4">
        <v>24120</v>
      </c>
      <c r="AL189" s="4">
        <v>0</v>
      </c>
      <c r="AM189" s="4">
        <v>7.5300000000000006E-2</v>
      </c>
      <c r="AN189" s="4">
        <v>53389</v>
      </c>
      <c r="AO189" s="4">
        <v>7.0000000000000007E-2</v>
      </c>
      <c r="AP189" s="4">
        <v>0</v>
      </c>
      <c r="AQ189" s="4">
        <v>14</v>
      </c>
      <c r="AR189" s="4">
        <v>623</v>
      </c>
      <c r="AS189" s="4">
        <v>3443.26</v>
      </c>
      <c r="AT189" s="4">
        <v>0</v>
      </c>
      <c r="AU189" s="4">
        <v>157</v>
      </c>
      <c r="AV189" s="4">
        <v>6</v>
      </c>
      <c r="AW189" s="4">
        <v>16</v>
      </c>
      <c r="AX189" s="4">
        <v>4</v>
      </c>
      <c r="AY189" s="48">
        <v>46008</v>
      </c>
      <c r="AZ189" s="48"/>
    </row>
    <row r="190" spans="1:52" ht="15.6">
      <c r="A190" s="1" t="s">
        <v>154</v>
      </c>
      <c r="B190" s="1" t="s">
        <v>367</v>
      </c>
      <c r="C190" s="1" t="s">
        <v>302</v>
      </c>
      <c r="D190" s="1" t="s">
        <v>577</v>
      </c>
      <c r="E190" s="1" t="s">
        <v>377</v>
      </c>
      <c r="F190" s="104">
        <v>45812</v>
      </c>
      <c r="G190" s="1" t="s">
        <v>196</v>
      </c>
      <c r="H190" s="4">
        <v>0</v>
      </c>
      <c r="I190" s="4">
        <v>0</v>
      </c>
      <c r="J190" s="4">
        <v>0</v>
      </c>
      <c r="K190" s="4">
        <v>0</v>
      </c>
      <c r="L190" s="4">
        <v>12</v>
      </c>
      <c r="M190" s="4">
        <v>0</v>
      </c>
      <c r="N190" s="4">
        <v>0</v>
      </c>
      <c r="O190" s="4">
        <v>12</v>
      </c>
      <c r="P190" s="4">
        <v>12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77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24120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12</v>
      </c>
      <c r="AY190" s="48">
        <v>45849</v>
      </c>
      <c r="AZ190" s="48"/>
    </row>
    <row r="191" spans="1:52" ht="15.6">
      <c r="A191" s="1" t="s">
        <v>117</v>
      </c>
      <c r="B191" s="1" t="s">
        <v>450</v>
      </c>
      <c r="C191" s="1" t="s">
        <v>303</v>
      </c>
      <c r="D191" s="1" t="s">
        <v>482</v>
      </c>
      <c r="E191" s="1" t="s">
        <v>647</v>
      </c>
      <c r="F191" s="104">
        <v>45810</v>
      </c>
      <c r="G191" s="1" t="s">
        <v>117</v>
      </c>
      <c r="H191" s="4">
        <v>0</v>
      </c>
      <c r="I191" s="4">
        <v>2400000</v>
      </c>
      <c r="J191" s="4">
        <v>716437.66</v>
      </c>
      <c r="K191" s="4">
        <v>0</v>
      </c>
      <c r="L191" s="4">
        <v>33</v>
      </c>
      <c r="M191" s="4">
        <v>37</v>
      </c>
      <c r="N191" s="4">
        <v>8</v>
      </c>
      <c r="O191" s="4">
        <v>41</v>
      </c>
      <c r="P191" s="4">
        <v>4</v>
      </c>
      <c r="Q191" s="4">
        <v>471794.93</v>
      </c>
      <c r="R191" s="4">
        <v>244642.73</v>
      </c>
      <c r="S191" s="4">
        <v>20</v>
      </c>
      <c r="T191" s="4">
        <v>8</v>
      </c>
      <c r="U191" s="4">
        <v>28</v>
      </c>
      <c r="V191" s="4">
        <v>0</v>
      </c>
      <c r="W191" s="4">
        <v>58</v>
      </c>
      <c r="X191" s="4">
        <v>96</v>
      </c>
      <c r="Y191" s="4">
        <v>62</v>
      </c>
      <c r="Z191" s="4">
        <v>1</v>
      </c>
      <c r="AA191" s="4">
        <v>34</v>
      </c>
      <c r="AB191" s="4">
        <v>0</v>
      </c>
      <c r="AC191" s="4">
        <v>0</v>
      </c>
      <c r="AD191" s="4">
        <v>0</v>
      </c>
      <c r="AE191" s="4">
        <v>0</v>
      </c>
      <c r="AF191" s="4">
        <v>156</v>
      </c>
      <c r="AG191" s="4">
        <v>286</v>
      </c>
      <c r="AH191" s="4">
        <v>74</v>
      </c>
      <c r="AI191" s="4">
        <v>9682</v>
      </c>
      <c r="AJ191" s="4">
        <v>4</v>
      </c>
      <c r="AK191" s="4">
        <v>38285</v>
      </c>
      <c r="AL191" s="4">
        <v>0</v>
      </c>
      <c r="AM191" s="4">
        <v>5.3400000000000003E-2</v>
      </c>
      <c r="AN191" s="4">
        <v>25587</v>
      </c>
      <c r="AO191" s="4">
        <v>0.3</v>
      </c>
      <c r="AP191" s="4">
        <v>0</v>
      </c>
      <c r="AQ191" s="4">
        <v>63</v>
      </c>
      <c r="AR191" s="4">
        <v>562</v>
      </c>
      <c r="AS191" s="4">
        <v>1753.97</v>
      </c>
      <c r="AT191" s="4">
        <v>8</v>
      </c>
      <c r="AU191" s="4">
        <v>47</v>
      </c>
      <c r="AV191" s="4">
        <v>28</v>
      </c>
      <c r="AW191" s="4">
        <v>9</v>
      </c>
      <c r="AX191" s="4">
        <v>4</v>
      </c>
      <c r="AY191" s="1"/>
      <c r="AZ191" s="1"/>
    </row>
    <row r="192" spans="1:52" ht="15.6">
      <c r="A192" s="1" t="s">
        <v>118</v>
      </c>
      <c r="B192" s="1" t="s">
        <v>362</v>
      </c>
      <c r="C192" s="1" t="s">
        <v>304</v>
      </c>
      <c r="D192" s="1" t="s">
        <v>419</v>
      </c>
      <c r="E192" s="1" t="s">
        <v>539</v>
      </c>
      <c r="F192" s="104">
        <v>45817</v>
      </c>
      <c r="G192" s="1" t="s">
        <v>229</v>
      </c>
      <c r="H192" s="4">
        <v>0</v>
      </c>
      <c r="I192" s="4">
        <v>4500000</v>
      </c>
      <c r="J192" s="4">
        <v>1502730.94</v>
      </c>
      <c r="K192" s="4">
        <v>0</v>
      </c>
      <c r="L192" s="4">
        <v>71</v>
      </c>
      <c r="M192" s="4">
        <v>51</v>
      </c>
      <c r="N192" s="4">
        <v>7</v>
      </c>
      <c r="O192" s="4">
        <v>78</v>
      </c>
      <c r="P192" s="4">
        <v>27</v>
      </c>
      <c r="Q192" s="4">
        <v>1229959.03</v>
      </c>
      <c r="R192" s="4">
        <v>272771.90999999997</v>
      </c>
      <c r="S192" s="4">
        <v>20</v>
      </c>
      <c r="T192" s="4">
        <v>7</v>
      </c>
      <c r="U192" s="4">
        <v>27</v>
      </c>
      <c r="V192" s="4">
        <v>0</v>
      </c>
      <c r="W192" s="4">
        <v>96</v>
      </c>
      <c r="X192" s="4">
        <v>140</v>
      </c>
      <c r="Y192" s="4">
        <v>119</v>
      </c>
      <c r="Z192" s="4">
        <v>2</v>
      </c>
      <c r="AA192" s="4">
        <v>7</v>
      </c>
      <c r="AB192" s="4">
        <v>0</v>
      </c>
      <c r="AC192" s="4">
        <v>0</v>
      </c>
      <c r="AD192" s="4">
        <v>0</v>
      </c>
      <c r="AE192" s="4">
        <v>0</v>
      </c>
      <c r="AF192" s="4">
        <v>196</v>
      </c>
      <c r="AG192" s="4">
        <v>343</v>
      </c>
      <c r="AH192" s="4">
        <v>67</v>
      </c>
      <c r="AI192" s="4">
        <v>22429</v>
      </c>
      <c r="AJ192" s="4">
        <v>5</v>
      </c>
      <c r="AK192" s="4">
        <v>32500</v>
      </c>
      <c r="AL192" s="4">
        <v>0</v>
      </c>
      <c r="AM192" s="4">
        <v>2.1600000000000001E-2</v>
      </c>
      <c r="AN192" s="4">
        <v>55657</v>
      </c>
      <c r="AO192" s="4">
        <v>0.33</v>
      </c>
      <c r="AP192" s="4">
        <v>0</v>
      </c>
      <c r="AQ192" s="4">
        <v>41</v>
      </c>
      <c r="AR192" s="4">
        <v>650</v>
      </c>
      <c r="AS192" s="4">
        <v>3863.13</v>
      </c>
      <c r="AT192" s="4">
        <v>7</v>
      </c>
      <c r="AU192" s="4">
        <v>76</v>
      </c>
      <c r="AV192" s="4">
        <v>27</v>
      </c>
      <c r="AW192" s="4">
        <v>25</v>
      </c>
      <c r="AX192" s="4">
        <v>26</v>
      </c>
      <c r="AY192" s="1"/>
      <c r="AZ192" s="1"/>
    </row>
    <row r="193" spans="1:52" ht="15.6">
      <c r="A193" s="1" t="s">
        <v>118</v>
      </c>
      <c r="B193" s="1" t="s">
        <v>362</v>
      </c>
      <c r="C193" s="1" t="s">
        <v>305</v>
      </c>
      <c r="D193" s="1" t="s">
        <v>419</v>
      </c>
      <c r="E193" s="1" t="s">
        <v>650</v>
      </c>
      <c r="F193" s="48">
        <v>45824</v>
      </c>
      <c r="G193" s="1" t="s">
        <v>29</v>
      </c>
      <c r="H193" s="4">
        <v>0</v>
      </c>
      <c r="I193" s="4">
        <v>0</v>
      </c>
      <c r="J193" s="4">
        <v>0</v>
      </c>
      <c r="K193" s="4">
        <v>0</v>
      </c>
      <c r="L193" s="4">
        <v>12</v>
      </c>
      <c r="M193" s="4">
        <v>0</v>
      </c>
      <c r="N193" s="4">
        <v>0</v>
      </c>
      <c r="O193" s="4">
        <v>12</v>
      </c>
      <c r="P193" s="4">
        <v>12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2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28850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12</v>
      </c>
      <c r="AY193" s="48">
        <v>45852</v>
      </c>
      <c r="AZ193" s="48"/>
    </row>
    <row r="194" spans="1:52" ht="15.6">
      <c r="A194" s="1" t="s">
        <v>118</v>
      </c>
      <c r="B194" s="1" t="s">
        <v>436</v>
      </c>
      <c r="C194" s="1" t="s">
        <v>306</v>
      </c>
      <c r="D194" s="1" t="s">
        <v>499</v>
      </c>
      <c r="E194" s="1" t="s">
        <v>651</v>
      </c>
      <c r="F194" s="48">
        <v>45824</v>
      </c>
      <c r="G194" s="1" t="s">
        <v>118</v>
      </c>
      <c r="H194" s="4">
        <v>0</v>
      </c>
      <c r="I194" s="4">
        <v>4500000</v>
      </c>
      <c r="J194" s="4">
        <v>331351.02</v>
      </c>
      <c r="K194" s="4">
        <v>0</v>
      </c>
      <c r="L194" s="4">
        <v>27</v>
      </c>
      <c r="M194" s="4">
        <v>30</v>
      </c>
      <c r="N194" s="4">
        <v>9</v>
      </c>
      <c r="O194" s="4">
        <v>36</v>
      </c>
      <c r="P194" s="4">
        <v>6</v>
      </c>
      <c r="Q194" s="4">
        <v>179361.72</v>
      </c>
      <c r="R194" s="4">
        <v>151989.29999999999</v>
      </c>
      <c r="S194" s="4">
        <v>8</v>
      </c>
      <c r="T194" s="4">
        <v>9</v>
      </c>
      <c r="U194" s="4">
        <v>17</v>
      </c>
      <c r="V194" s="4">
        <v>0</v>
      </c>
      <c r="W194" s="4">
        <v>81</v>
      </c>
      <c r="X194" s="4">
        <v>190</v>
      </c>
      <c r="Y194" s="4">
        <v>36</v>
      </c>
      <c r="Z194" s="4">
        <v>2</v>
      </c>
      <c r="AA194" s="4">
        <v>4</v>
      </c>
      <c r="AB194" s="4">
        <v>0</v>
      </c>
      <c r="AC194" s="4">
        <v>0</v>
      </c>
      <c r="AD194" s="4">
        <v>6</v>
      </c>
      <c r="AE194" s="4">
        <v>19</v>
      </c>
      <c r="AF194" s="4">
        <v>148</v>
      </c>
      <c r="AG194" s="4">
        <v>361</v>
      </c>
      <c r="AH194" s="4">
        <v>61</v>
      </c>
      <c r="AI194" s="4">
        <v>5432</v>
      </c>
      <c r="AJ194" s="4">
        <v>6</v>
      </c>
      <c r="AK194" s="4">
        <v>32500</v>
      </c>
      <c r="AL194" s="4">
        <v>0</v>
      </c>
      <c r="AM194" s="4">
        <v>1E-4</v>
      </c>
      <c r="AN194" s="4">
        <v>19491</v>
      </c>
      <c r="AO194" s="4">
        <v>7.0000000000000007E-2</v>
      </c>
      <c r="AP194" s="4">
        <v>0</v>
      </c>
      <c r="AQ194" s="4">
        <v>27</v>
      </c>
      <c r="AR194" s="4">
        <v>534</v>
      </c>
      <c r="AS194" s="4">
        <v>1652.7</v>
      </c>
      <c r="AT194" s="4">
        <v>9</v>
      </c>
      <c r="AU194" s="4">
        <v>55</v>
      </c>
      <c r="AV194" s="4">
        <v>17</v>
      </c>
      <c r="AW194" s="4">
        <v>14</v>
      </c>
      <c r="AX194" s="4">
        <v>5</v>
      </c>
      <c r="AY194" s="48">
        <v>46009</v>
      </c>
      <c r="AZ194" s="48"/>
    </row>
    <row r="195" spans="1:52" ht="15.6">
      <c r="A195" s="1" t="s">
        <v>120</v>
      </c>
      <c r="B195" s="1" t="s">
        <v>286</v>
      </c>
      <c r="C195" s="1" t="s">
        <v>307</v>
      </c>
      <c r="D195" s="1" t="s">
        <v>631</v>
      </c>
      <c r="E195" s="1" t="s">
        <v>357</v>
      </c>
      <c r="F195" s="48">
        <v>45828</v>
      </c>
      <c r="G195" s="1" t="s">
        <v>120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1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24120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8">
        <v>45831</v>
      </c>
      <c r="AZ195" s="48"/>
    </row>
    <row r="196" spans="1:52" ht="15.6">
      <c r="A196" s="1" t="s">
        <v>120</v>
      </c>
      <c r="B196" s="1" t="s">
        <v>163</v>
      </c>
      <c r="C196" s="1" t="s">
        <v>308</v>
      </c>
      <c r="D196" s="1" t="s">
        <v>534</v>
      </c>
      <c r="E196" s="1" t="s">
        <v>652</v>
      </c>
      <c r="F196" s="48">
        <v>45831</v>
      </c>
      <c r="G196" s="1" t="s">
        <v>120</v>
      </c>
      <c r="H196" s="4"/>
      <c r="I196" s="4">
        <v>0</v>
      </c>
      <c r="J196" s="4">
        <v>0</v>
      </c>
      <c r="K196" s="4">
        <v>0</v>
      </c>
      <c r="L196" s="4">
        <v>15</v>
      </c>
      <c r="M196" s="4">
        <v>0</v>
      </c>
      <c r="N196" s="4">
        <v>0</v>
      </c>
      <c r="O196" s="4">
        <v>15</v>
      </c>
      <c r="P196" s="4">
        <v>15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5</v>
      </c>
      <c r="X196" s="4">
        <v>5</v>
      </c>
      <c r="Y196" s="4">
        <v>265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5</v>
      </c>
      <c r="AH196" s="4">
        <v>1</v>
      </c>
      <c r="AI196" s="4">
        <v>0</v>
      </c>
      <c r="AJ196" s="4">
        <v>5</v>
      </c>
      <c r="AK196" s="4">
        <v>24120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7</v>
      </c>
      <c r="AS196" s="4">
        <v>3.19</v>
      </c>
      <c r="AT196" s="4">
        <v>0</v>
      </c>
      <c r="AU196" s="4">
        <v>0</v>
      </c>
      <c r="AV196" s="4">
        <v>0</v>
      </c>
      <c r="AW196" s="4">
        <v>0</v>
      </c>
      <c r="AX196" s="4">
        <v>15</v>
      </c>
      <c r="AY196" s="48">
        <v>45930</v>
      </c>
      <c r="AZ196" s="48"/>
    </row>
    <row r="197" spans="1:52" ht="15.6">
      <c r="A197" s="1" t="s">
        <v>118</v>
      </c>
      <c r="B197" s="1" t="s">
        <v>436</v>
      </c>
      <c r="C197" s="1" t="s">
        <v>309</v>
      </c>
      <c r="D197" s="1" t="s">
        <v>499</v>
      </c>
      <c r="E197" s="1" t="s">
        <v>437</v>
      </c>
      <c r="F197" s="48">
        <v>45831</v>
      </c>
      <c r="G197" s="1" t="s">
        <v>111</v>
      </c>
      <c r="H197" s="4">
        <v>0</v>
      </c>
      <c r="I197" s="4">
        <v>4500000</v>
      </c>
      <c r="J197" s="4">
        <v>822877.63</v>
      </c>
      <c r="K197" s="4">
        <v>0</v>
      </c>
      <c r="L197" s="4">
        <v>116</v>
      </c>
      <c r="M197" s="4">
        <v>98</v>
      </c>
      <c r="N197" s="4">
        <v>7</v>
      </c>
      <c r="O197" s="4">
        <v>123</v>
      </c>
      <c r="P197" s="4">
        <v>25</v>
      </c>
      <c r="Q197" s="4">
        <v>738962.43</v>
      </c>
      <c r="R197" s="4">
        <v>83915.199999999997</v>
      </c>
      <c r="S197" s="4">
        <v>38</v>
      </c>
      <c r="T197" s="4">
        <v>7</v>
      </c>
      <c r="U197" s="4">
        <v>45</v>
      </c>
      <c r="V197" s="4">
        <v>0</v>
      </c>
      <c r="W197" s="4">
        <v>117</v>
      </c>
      <c r="X197" s="4">
        <v>231</v>
      </c>
      <c r="Y197" s="4">
        <v>84</v>
      </c>
      <c r="Z197" s="4">
        <v>2</v>
      </c>
      <c r="AA197" s="4">
        <v>16</v>
      </c>
      <c r="AB197" s="4">
        <v>0</v>
      </c>
      <c r="AC197" s="4">
        <v>0</v>
      </c>
      <c r="AD197" s="4">
        <v>0</v>
      </c>
      <c r="AE197" s="4">
        <v>0</v>
      </c>
      <c r="AF197" s="4">
        <v>305</v>
      </c>
      <c r="AG197" s="4">
        <v>552</v>
      </c>
      <c r="AH197" s="4">
        <v>72</v>
      </c>
      <c r="AI197" s="4">
        <v>11429</v>
      </c>
      <c r="AJ197" s="4">
        <v>8</v>
      </c>
      <c r="AK197" s="4">
        <v>27785</v>
      </c>
      <c r="AL197" s="4">
        <v>0</v>
      </c>
      <c r="AM197" s="4">
        <v>0</v>
      </c>
      <c r="AN197" s="4">
        <v>18286</v>
      </c>
      <c r="AO197" s="4">
        <v>0.18</v>
      </c>
      <c r="AP197" s="4">
        <v>0</v>
      </c>
      <c r="AQ197" s="4">
        <v>192</v>
      </c>
      <c r="AR197" s="4">
        <v>793</v>
      </c>
      <c r="AS197" s="4">
        <v>7300.21</v>
      </c>
      <c r="AT197" s="4">
        <v>7</v>
      </c>
      <c r="AU197" s="4">
        <v>74</v>
      </c>
      <c r="AV197" s="4">
        <v>45</v>
      </c>
      <c r="AW197" s="4">
        <v>61</v>
      </c>
      <c r="AX197" s="4">
        <v>17</v>
      </c>
      <c r="AY197" s="1"/>
      <c r="AZ197" s="1"/>
    </row>
    <row r="198" spans="1:52" ht="15.6">
      <c r="A198" s="1" t="s">
        <v>201</v>
      </c>
      <c r="B198" s="1" t="s">
        <v>431</v>
      </c>
      <c r="C198" s="1" t="s">
        <v>310</v>
      </c>
      <c r="D198" s="1" t="s">
        <v>431</v>
      </c>
      <c r="E198" s="1" t="s">
        <v>531</v>
      </c>
      <c r="F198" s="104">
        <v>45839</v>
      </c>
      <c r="G198" s="1" t="s">
        <v>121</v>
      </c>
      <c r="H198" s="4">
        <v>3000000</v>
      </c>
      <c r="I198" s="4">
        <v>4000000</v>
      </c>
      <c r="J198" s="4">
        <v>256329.44</v>
      </c>
      <c r="K198" s="4">
        <v>0</v>
      </c>
      <c r="L198" s="4">
        <v>128</v>
      </c>
      <c r="M198" s="4">
        <v>64</v>
      </c>
      <c r="N198" s="4">
        <v>6</v>
      </c>
      <c r="O198" s="4">
        <v>134</v>
      </c>
      <c r="P198" s="4">
        <v>70</v>
      </c>
      <c r="Q198" s="4">
        <v>232329.44</v>
      </c>
      <c r="R198" s="4">
        <v>24000</v>
      </c>
      <c r="S198" s="4">
        <v>2</v>
      </c>
      <c r="T198" s="4">
        <v>1</v>
      </c>
      <c r="U198" s="4">
        <v>3</v>
      </c>
      <c r="V198" s="4">
        <v>0</v>
      </c>
      <c r="W198" s="4">
        <v>13</v>
      </c>
      <c r="X198" s="4">
        <v>19</v>
      </c>
      <c r="Y198" s="4">
        <v>44</v>
      </c>
      <c r="Z198" s="4">
        <v>3</v>
      </c>
      <c r="AA198" s="4">
        <v>29</v>
      </c>
      <c r="AB198" s="4">
        <v>0</v>
      </c>
      <c r="AC198" s="4">
        <v>0</v>
      </c>
      <c r="AD198" s="4">
        <v>0</v>
      </c>
      <c r="AE198" s="4">
        <v>0</v>
      </c>
      <c r="AF198" s="4">
        <v>132</v>
      </c>
      <c r="AG198" s="4">
        <v>180</v>
      </c>
      <c r="AH198" s="4">
        <v>41</v>
      </c>
      <c r="AI198" s="4">
        <v>6252</v>
      </c>
      <c r="AJ198" s="4">
        <v>4</v>
      </c>
      <c r="AK198" s="4">
        <v>99750</v>
      </c>
      <c r="AL198" s="4">
        <v>0</v>
      </c>
      <c r="AM198" s="4">
        <v>0.3891</v>
      </c>
      <c r="AN198" s="4">
        <v>85443</v>
      </c>
      <c r="AO198" s="4">
        <v>0.06</v>
      </c>
      <c r="AP198" s="4">
        <v>0</v>
      </c>
      <c r="AQ198" s="4">
        <v>3</v>
      </c>
      <c r="AR198" s="4">
        <v>313</v>
      </c>
      <c r="AS198" s="4">
        <v>2116.84</v>
      </c>
      <c r="AT198" s="4">
        <v>1</v>
      </c>
      <c r="AU198" s="4">
        <v>33</v>
      </c>
      <c r="AV198" s="4">
        <v>3</v>
      </c>
      <c r="AW198" s="4">
        <v>62</v>
      </c>
      <c r="AX198" s="4">
        <v>69</v>
      </c>
      <c r="AY198" s="48">
        <v>45985</v>
      </c>
      <c r="AZ198" s="48"/>
    </row>
    <row r="199" spans="1:52" ht="15.6">
      <c r="A199" s="1" t="s">
        <v>201</v>
      </c>
      <c r="B199" s="1" t="s">
        <v>438</v>
      </c>
      <c r="C199" s="1" t="s">
        <v>311</v>
      </c>
      <c r="D199" s="1" t="s">
        <v>504</v>
      </c>
      <c r="E199" s="1" t="s">
        <v>505</v>
      </c>
      <c r="F199" s="104">
        <v>45839</v>
      </c>
      <c r="G199" s="1" t="s">
        <v>121</v>
      </c>
      <c r="H199" s="4">
        <v>0</v>
      </c>
      <c r="I199" s="4">
        <v>4950000</v>
      </c>
      <c r="J199" s="4">
        <v>2006690.9</v>
      </c>
      <c r="K199" s="4">
        <v>0</v>
      </c>
      <c r="L199" s="4">
        <v>76</v>
      </c>
      <c r="M199" s="4">
        <v>77</v>
      </c>
      <c r="N199" s="4">
        <v>3</v>
      </c>
      <c r="O199" s="4">
        <v>79</v>
      </c>
      <c r="P199" s="4">
        <v>2</v>
      </c>
      <c r="Q199" s="4">
        <v>1948099.7</v>
      </c>
      <c r="R199" s="4">
        <v>58591.199999999997</v>
      </c>
      <c r="S199" s="4">
        <v>45</v>
      </c>
      <c r="T199" s="4">
        <v>3</v>
      </c>
      <c r="U199" s="4">
        <v>48</v>
      </c>
      <c r="V199" s="4">
        <v>0</v>
      </c>
      <c r="W199" s="4">
        <v>16</v>
      </c>
      <c r="X199" s="4">
        <v>40</v>
      </c>
      <c r="Y199" s="4">
        <v>9</v>
      </c>
      <c r="Z199" s="4">
        <v>1</v>
      </c>
      <c r="AA199" s="4">
        <v>28</v>
      </c>
      <c r="AB199" s="4">
        <v>0</v>
      </c>
      <c r="AC199" s="4">
        <v>0</v>
      </c>
      <c r="AD199" s="4">
        <v>0</v>
      </c>
      <c r="AE199" s="4">
        <v>0</v>
      </c>
      <c r="AF199" s="4">
        <v>294</v>
      </c>
      <c r="AG199" s="4">
        <v>362</v>
      </c>
      <c r="AH199" s="4">
        <v>76</v>
      </c>
      <c r="AI199" s="4">
        <v>26404</v>
      </c>
      <c r="AJ199" s="4">
        <v>5</v>
      </c>
      <c r="AK199" s="4">
        <v>27800</v>
      </c>
      <c r="AL199" s="4">
        <v>0</v>
      </c>
      <c r="AM199" s="4">
        <v>1.3899999999999999E-2</v>
      </c>
      <c r="AN199" s="4">
        <v>41806</v>
      </c>
      <c r="AO199" s="4">
        <v>0.41</v>
      </c>
      <c r="AP199" s="4">
        <v>0</v>
      </c>
      <c r="AQ199" s="4">
        <v>113</v>
      </c>
      <c r="AR199" s="4">
        <v>708</v>
      </c>
      <c r="AS199" s="4">
        <v>3964.93</v>
      </c>
      <c r="AT199" s="4">
        <v>3</v>
      </c>
      <c r="AU199" s="4">
        <v>51</v>
      </c>
      <c r="AV199" s="4">
        <v>48</v>
      </c>
      <c r="AW199" s="4">
        <v>29</v>
      </c>
      <c r="AX199" s="4">
        <v>2</v>
      </c>
      <c r="AY199" s="1"/>
      <c r="AZ199" s="1"/>
    </row>
    <row r="200" spans="1:52" ht="15.6">
      <c r="A200" s="1" t="s">
        <v>108</v>
      </c>
      <c r="B200" s="1" t="s">
        <v>465</v>
      </c>
      <c r="C200" s="1" t="s">
        <v>312</v>
      </c>
      <c r="D200" s="1" t="s">
        <v>506</v>
      </c>
      <c r="E200" s="1" t="s">
        <v>654</v>
      </c>
      <c r="F200" s="104">
        <v>45842</v>
      </c>
      <c r="G200" s="1" t="s">
        <v>108</v>
      </c>
      <c r="H200" s="4">
        <v>0</v>
      </c>
      <c r="I200" s="4">
        <v>0</v>
      </c>
      <c r="J200" s="4">
        <v>0</v>
      </c>
      <c r="K200" s="4">
        <v>0</v>
      </c>
      <c r="L200" s="4">
        <v>22</v>
      </c>
      <c r="M200" s="4">
        <v>0</v>
      </c>
      <c r="N200" s="4">
        <v>0</v>
      </c>
      <c r="O200" s="4">
        <v>22</v>
      </c>
      <c r="P200" s="4">
        <v>22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36190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22</v>
      </c>
      <c r="AY200" s="48">
        <v>45911</v>
      </c>
      <c r="AZ200" s="48"/>
    </row>
    <row r="201" spans="1:52" ht="15.6">
      <c r="A201" s="1" t="s">
        <v>108</v>
      </c>
      <c r="B201" s="1" t="s">
        <v>465</v>
      </c>
      <c r="C201" s="1" t="s">
        <v>313</v>
      </c>
      <c r="D201" s="1" t="s">
        <v>506</v>
      </c>
      <c r="E201" s="1" t="s">
        <v>475</v>
      </c>
      <c r="F201" s="104">
        <v>45842</v>
      </c>
      <c r="G201" s="1" t="s">
        <v>108</v>
      </c>
      <c r="H201" s="4">
        <v>0</v>
      </c>
      <c r="I201" s="4">
        <v>5000000</v>
      </c>
      <c r="J201" s="4">
        <v>2941380</v>
      </c>
      <c r="K201" s="4">
        <v>0</v>
      </c>
      <c r="L201" s="4">
        <v>92</v>
      </c>
      <c r="M201" s="4">
        <v>89</v>
      </c>
      <c r="N201" s="4">
        <v>5</v>
      </c>
      <c r="O201" s="4">
        <v>97</v>
      </c>
      <c r="P201" s="4">
        <v>8</v>
      </c>
      <c r="Q201" s="4">
        <v>2916360</v>
      </c>
      <c r="R201" s="4">
        <v>25020</v>
      </c>
      <c r="S201" s="4">
        <v>15</v>
      </c>
      <c r="T201" s="4">
        <v>1</v>
      </c>
      <c r="U201" s="4">
        <v>16</v>
      </c>
      <c r="V201" s="4">
        <v>0</v>
      </c>
      <c r="W201" s="4">
        <v>106</v>
      </c>
      <c r="X201" s="4">
        <v>179</v>
      </c>
      <c r="Y201" s="4">
        <v>31</v>
      </c>
      <c r="Z201" s="4">
        <v>1</v>
      </c>
      <c r="AA201" s="4">
        <v>6</v>
      </c>
      <c r="AB201" s="4">
        <v>0</v>
      </c>
      <c r="AC201" s="4">
        <v>0</v>
      </c>
      <c r="AD201" s="4">
        <v>0</v>
      </c>
      <c r="AE201" s="4">
        <v>0</v>
      </c>
      <c r="AF201" s="4">
        <v>295</v>
      </c>
      <c r="AG201" s="4">
        <v>480</v>
      </c>
      <c r="AH201" s="4">
        <v>73</v>
      </c>
      <c r="AI201" s="4">
        <v>40293</v>
      </c>
      <c r="AJ201" s="4">
        <v>7</v>
      </c>
      <c r="AK201" s="4">
        <v>48765</v>
      </c>
      <c r="AL201" s="4">
        <v>0</v>
      </c>
      <c r="AM201" s="4">
        <v>1.66E-2</v>
      </c>
      <c r="AN201" s="4">
        <v>183836</v>
      </c>
      <c r="AO201" s="4">
        <v>0.59</v>
      </c>
      <c r="AP201" s="4">
        <v>0</v>
      </c>
      <c r="AQ201" s="4">
        <v>51</v>
      </c>
      <c r="AR201" s="4">
        <v>674</v>
      </c>
      <c r="AS201" s="4">
        <v>6236.01</v>
      </c>
      <c r="AT201" s="4">
        <v>1</v>
      </c>
      <c r="AU201" s="4">
        <v>70</v>
      </c>
      <c r="AV201" s="4">
        <v>16</v>
      </c>
      <c r="AW201" s="4">
        <v>73</v>
      </c>
      <c r="AX201" s="4">
        <v>8</v>
      </c>
      <c r="AY201" s="1"/>
      <c r="AZ201" s="1"/>
    </row>
    <row r="202" spans="1:52" ht="15.6">
      <c r="A202" s="1" t="s">
        <v>154</v>
      </c>
      <c r="B202" s="1" t="s">
        <v>370</v>
      </c>
      <c r="C202" s="1" t="s">
        <v>314</v>
      </c>
      <c r="D202" s="1" t="s">
        <v>542</v>
      </c>
      <c r="E202" s="1" t="s">
        <v>655</v>
      </c>
      <c r="F202" s="104">
        <v>45845</v>
      </c>
      <c r="G202" s="1" t="s">
        <v>196</v>
      </c>
      <c r="H202" s="4">
        <v>0</v>
      </c>
      <c r="I202" s="4">
        <v>0</v>
      </c>
      <c r="J202" s="4">
        <v>0</v>
      </c>
      <c r="K202" s="4">
        <v>0</v>
      </c>
      <c r="L202" s="4">
        <v>4</v>
      </c>
      <c r="M202" s="4">
        <v>0</v>
      </c>
      <c r="N202" s="4">
        <v>0</v>
      </c>
      <c r="O202" s="4">
        <v>4</v>
      </c>
      <c r="P202" s="4">
        <v>4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29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37760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4</v>
      </c>
      <c r="AY202" s="48">
        <v>45869</v>
      </c>
      <c r="AZ202" s="48"/>
    </row>
    <row r="203" spans="1:52" ht="15.6">
      <c r="A203" s="1" t="s">
        <v>118</v>
      </c>
      <c r="B203" s="1" t="s">
        <v>362</v>
      </c>
      <c r="C203" s="1" t="s">
        <v>315</v>
      </c>
      <c r="D203" s="1" t="s">
        <v>419</v>
      </c>
      <c r="E203" s="1" t="s">
        <v>656</v>
      </c>
      <c r="F203" s="104">
        <v>45845</v>
      </c>
      <c r="G203" s="1" t="s">
        <v>67</v>
      </c>
      <c r="H203" s="4">
        <v>0</v>
      </c>
      <c r="I203" s="4">
        <v>6000000</v>
      </c>
      <c r="J203" s="4">
        <v>4668747.91</v>
      </c>
      <c r="K203" s="4">
        <v>0</v>
      </c>
      <c r="L203" s="4">
        <v>55</v>
      </c>
      <c r="M203" s="4">
        <v>55</v>
      </c>
      <c r="N203" s="4">
        <v>9</v>
      </c>
      <c r="O203" s="4">
        <v>64</v>
      </c>
      <c r="P203" s="4">
        <v>9</v>
      </c>
      <c r="Q203" s="4">
        <v>4010943.47</v>
      </c>
      <c r="R203" s="4">
        <v>657804.43999999994</v>
      </c>
      <c r="S203" s="4">
        <v>23</v>
      </c>
      <c r="T203" s="4">
        <v>9</v>
      </c>
      <c r="U203" s="4">
        <v>32</v>
      </c>
      <c r="V203" s="4">
        <v>0</v>
      </c>
      <c r="W203" s="4">
        <v>17</v>
      </c>
      <c r="X203" s="4">
        <v>27</v>
      </c>
      <c r="Y203" s="4">
        <v>32</v>
      </c>
      <c r="Z203" s="4">
        <v>1</v>
      </c>
      <c r="AA203" s="4">
        <v>5</v>
      </c>
      <c r="AB203" s="4">
        <v>0</v>
      </c>
      <c r="AC203" s="4">
        <v>0</v>
      </c>
      <c r="AD203" s="4">
        <v>0</v>
      </c>
      <c r="AE203" s="4">
        <v>0</v>
      </c>
      <c r="AF203" s="4">
        <v>327</v>
      </c>
      <c r="AG203" s="4">
        <v>359</v>
      </c>
      <c r="AH203" s="4">
        <v>72</v>
      </c>
      <c r="AI203" s="4">
        <v>64844</v>
      </c>
      <c r="AJ203" s="4">
        <v>5</v>
      </c>
      <c r="AK203" s="4">
        <v>24120</v>
      </c>
      <c r="AL203" s="4">
        <v>0</v>
      </c>
      <c r="AM203" s="4">
        <v>5.1999999999999998E-3</v>
      </c>
      <c r="AN203" s="4">
        <v>145898</v>
      </c>
      <c r="AO203" s="4">
        <v>0.78</v>
      </c>
      <c r="AP203" s="4">
        <v>0</v>
      </c>
      <c r="AQ203" s="4">
        <v>66</v>
      </c>
      <c r="AR203" s="4">
        <v>818</v>
      </c>
      <c r="AS203" s="4">
        <v>6533.34</v>
      </c>
      <c r="AT203" s="4">
        <v>9</v>
      </c>
      <c r="AU203" s="4">
        <v>119</v>
      </c>
      <c r="AV203" s="4">
        <v>32</v>
      </c>
      <c r="AW203" s="4">
        <v>23</v>
      </c>
      <c r="AX203" s="4">
        <v>9</v>
      </c>
      <c r="AY203" s="1"/>
      <c r="AZ203" s="1"/>
    </row>
    <row r="204" spans="1:52" ht="15.6">
      <c r="A204" s="1" t="s">
        <v>201</v>
      </c>
      <c r="B204" s="1" t="s">
        <v>431</v>
      </c>
      <c r="C204" s="1" t="s">
        <v>316</v>
      </c>
      <c r="D204" s="1" t="s">
        <v>431</v>
      </c>
      <c r="E204" s="1" t="s">
        <v>513</v>
      </c>
      <c r="F204" s="104">
        <v>45843</v>
      </c>
      <c r="G204" s="1" t="s">
        <v>135</v>
      </c>
      <c r="H204" s="4">
        <v>0</v>
      </c>
      <c r="I204" s="4">
        <v>6000000</v>
      </c>
      <c r="J204" s="4">
        <v>2655149.9900000002</v>
      </c>
      <c r="K204" s="4">
        <v>0</v>
      </c>
      <c r="L204" s="4">
        <v>60</v>
      </c>
      <c r="M204" s="4">
        <v>52</v>
      </c>
      <c r="N204" s="4">
        <v>12</v>
      </c>
      <c r="O204" s="4">
        <v>72</v>
      </c>
      <c r="P204" s="4">
        <v>20</v>
      </c>
      <c r="Q204" s="4">
        <v>2352774.4500000002</v>
      </c>
      <c r="R204" s="4">
        <v>302375.53999999998</v>
      </c>
      <c r="S204" s="4">
        <v>29</v>
      </c>
      <c r="T204" s="4">
        <v>9</v>
      </c>
      <c r="U204" s="4">
        <v>38</v>
      </c>
      <c r="V204" s="4">
        <v>0</v>
      </c>
      <c r="W204" s="4">
        <v>20</v>
      </c>
      <c r="X204" s="4">
        <v>39</v>
      </c>
      <c r="Y204" s="4">
        <v>8</v>
      </c>
      <c r="Z204" s="4">
        <v>3</v>
      </c>
      <c r="AA204" s="4">
        <v>48</v>
      </c>
      <c r="AB204" s="4">
        <v>0</v>
      </c>
      <c r="AC204" s="4">
        <v>0</v>
      </c>
      <c r="AD204" s="4">
        <v>0</v>
      </c>
      <c r="AE204" s="4">
        <v>0</v>
      </c>
      <c r="AF204" s="4">
        <v>234</v>
      </c>
      <c r="AG204" s="4">
        <v>321</v>
      </c>
      <c r="AH204" s="4">
        <v>67</v>
      </c>
      <c r="AI204" s="4">
        <v>39629</v>
      </c>
      <c r="AJ204" s="4">
        <v>5</v>
      </c>
      <c r="AK204" s="4">
        <v>41430</v>
      </c>
      <c r="AL204" s="4">
        <v>0</v>
      </c>
      <c r="AM204" s="4">
        <v>1.5599999999999999E-2</v>
      </c>
      <c r="AN204" s="4">
        <v>69872</v>
      </c>
      <c r="AO204" s="4">
        <v>0.44</v>
      </c>
      <c r="AP204" s="4">
        <v>0</v>
      </c>
      <c r="AQ204" s="4">
        <v>104</v>
      </c>
      <c r="AR204" s="4">
        <v>666</v>
      </c>
      <c r="AS204" s="4">
        <v>5064.12</v>
      </c>
      <c r="AT204" s="4">
        <v>9</v>
      </c>
      <c r="AU204" s="4">
        <v>97</v>
      </c>
      <c r="AV204" s="4">
        <v>38</v>
      </c>
      <c r="AW204" s="4">
        <v>20</v>
      </c>
      <c r="AX204" s="4">
        <v>14</v>
      </c>
      <c r="AY204" s="1"/>
      <c r="AZ204" s="1"/>
    </row>
    <row r="205" spans="1:52" ht="15.6">
      <c r="A205" s="1" t="s">
        <v>108</v>
      </c>
      <c r="B205" s="1" t="s">
        <v>465</v>
      </c>
      <c r="C205" s="1" t="s">
        <v>317</v>
      </c>
      <c r="D205" s="1" t="s">
        <v>506</v>
      </c>
      <c r="E205" s="1" t="s">
        <v>507</v>
      </c>
      <c r="F205" s="48">
        <v>45859</v>
      </c>
      <c r="G205" s="1" t="s">
        <v>108</v>
      </c>
      <c r="H205" s="4">
        <v>0</v>
      </c>
      <c r="I205" s="4">
        <v>0</v>
      </c>
      <c r="J205" s="4">
        <v>0</v>
      </c>
      <c r="K205" s="4">
        <v>0</v>
      </c>
      <c r="L205" s="4">
        <v>172</v>
      </c>
      <c r="M205" s="4">
        <v>142</v>
      </c>
      <c r="N205" s="4">
        <v>10</v>
      </c>
      <c r="O205" s="4">
        <v>182</v>
      </c>
      <c r="P205" s="4">
        <v>40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11</v>
      </c>
      <c r="X205" s="4">
        <v>18</v>
      </c>
      <c r="Y205" s="4">
        <v>3</v>
      </c>
      <c r="Z205" s="4">
        <v>1</v>
      </c>
      <c r="AA205" s="4">
        <v>10</v>
      </c>
      <c r="AB205" s="4">
        <v>0</v>
      </c>
      <c r="AC205" s="4">
        <v>0</v>
      </c>
      <c r="AD205" s="4">
        <v>0</v>
      </c>
      <c r="AE205" s="4">
        <v>0</v>
      </c>
      <c r="AF205" s="4">
        <v>417</v>
      </c>
      <c r="AG205" s="4">
        <v>445</v>
      </c>
      <c r="AH205" s="4">
        <v>74</v>
      </c>
      <c r="AI205" s="4">
        <v>0</v>
      </c>
      <c r="AJ205" s="4">
        <v>6</v>
      </c>
      <c r="AK205" s="4">
        <v>51910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781</v>
      </c>
      <c r="AS205" s="4">
        <v>6059.57</v>
      </c>
      <c r="AT205" s="4">
        <v>0</v>
      </c>
      <c r="AU205" s="4">
        <v>43</v>
      </c>
      <c r="AV205" s="4">
        <v>0</v>
      </c>
      <c r="AW205" s="4">
        <v>142</v>
      </c>
      <c r="AX205" s="4">
        <v>40</v>
      </c>
      <c r="AY205" s="1"/>
      <c r="AZ205" s="1"/>
    </row>
    <row r="206" spans="1:52" ht="15.6">
      <c r="A206" s="1" t="s">
        <v>124</v>
      </c>
      <c r="B206" s="1" t="s">
        <v>443</v>
      </c>
      <c r="C206" s="1" t="s">
        <v>318</v>
      </c>
      <c r="D206" s="1" t="s">
        <v>517</v>
      </c>
      <c r="E206" s="1" t="s">
        <v>657</v>
      </c>
      <c r="F206" s="48">
        <v>45862</v>
      </c>
      <c r="G206" s="1" t="s">
        <v>124</v>
      </c>
      <c r="H206" s="4">
        <v>0</v>
      </c>
      <c r="I206" s="4">
        <v>3600000</v>
      </c>
      <c r="J206" s="4">
        <v>309579.59999999998</v>
      </c>
      <c r="K206" s="4">
        <v>0</v>
      </c>
      <c r="L206" s="4">
        <v>38</v>
      </c>
      <c r="M206" s="4">
        <v>40</v>
      </c>
      <c r="N206" s="4">
        <v>3</v>
      </c>
      <c r="O206" s="4">
        <v>41</v>
      </c>
      <c r="P206" s="4">
        <v>1</v>
      </c>
      <c r="Q206" s="4">
        <v>255358.4</v>
      </c>
      <c r="R206" s="4">
        <v>54221.2</v>
      </c>
      <c r="S206" s="4">
        <v>11</v>
      </c>
      <c r="T206" s="4">
        <v>3</v>
      </c>
      <c r="U206" s="4">
        <v>14</v>
      </c>
      <c r="V206" s="4">
        <v>0</v>
      </c>
      <c r="W206" s="4">
        <v>111</v>
      </c>
      <c r="X206" s="4">
        <v>216</v>
      </c>
      <c r="Y206" s="4">
        <v>24</v>
      </c>
      <c r="Z206" s="4">
        <v>1</v>
      </c>
      <c r="AA206" s="4">
        <v>2</v>
      </c>
      <c r="AB206" s="4">
        <v>0</v>
      </c>
      <c r="AC206" s="4">
        <v>0</v>
      </c>
      <c r="AD206" s="4">
        <v>0</v>
      </c>
      <c r="AE206" s="4">
        <v>0</v>
      </c>
      <c r="AF206" s="4">
        <v>112</v>
      </c>
      <c r="AG206" s="4">
        <v>330</v>
      </c>
      <c r="AH206" s="4">
        <v>70</v>
      </c>
      <c r="AI206" s="4">
        <v>4423</v>
      </c>
      <c r="AJ206" s="4">
        <v>5</v>
      </c>
      <c r="AK206" s="4">
        <v>39330</v>
      </c>
      <c r="AL206" s="4">
        <v>0</v>
      </c>
      <c r="AM206" s="4">
        <v>0.127</v>
      </c>
      <c r="AN206" s="4">
        <v>22113</v>
      </c>
      <c r="AO206" s="4">
        <v>0.09</v>
      </c>
      <c r="AP206" s="4">
        <v>0</v>
      </c>
      <c r="AQ206" s="4">
        <v>22</v>
      </c>
      <c r="AR206" s="4">
        <v>619</v>
      </c>
      <c r="AS206" s="4">
        <v>3953.38</v>
      </c>
      <c r="AT206" s="4">
        <v>3</v>
      </c>
      <c r="AU206" s="4">
        <v>99</v>
      </c>
      <c r="AV206" s="4">
        <v>14</v>
      </c>
      <c r="AW206" s="4">
        <v>26</v>
      </c>
      <c r="AX206" s="4">
        <v>1</v>
      </c>
      <c r="AY206" s="1"/>
      <c r="AZ206" s="1"/>
    </row>
    <row r="207" spans="1:52" ht="15.6">
      <c r="A207" s="1" t="s">
        <v>154</v>
      </c>
      <c r="B207" s="1" t="s">
        <v>367</v>
      </c>
      <c r="C207" s="1" t="s">
        <v>319</v>
      </c>
      <c r="D207" s="1" t="s">
        <v>577</v>
      </c>
      <c r="E207" s="1" t="s">
        <v>658</v>
      </c>
      <c r="F207" s="48">
        <v>45862</v>
      </c>
      <c r="G207" s="1" t="s">
        <v>196</v>
      </c>
      <c r="H207" s="4">
        <v>0</v>
      </c>
      <c r="I207" s="4">
        <v>1500000</v>
      </c>
      <c r="J207" s="4">
        <v>196491.1</v>
      </c>
      <c r="K207" s="4">
        <v>0</v>
      </c>
      <c r="L207" s="4">
        <v>8</v>
      </c>
      <c r="M207" s="4">
        <v>25</v>
      </c>
      <c r="N207" s="4">
        <v>17</v>
      </c>
      <c r="O207" s="4">
        <v>25</v>
      </c>
      <c r="P207" s="4">
        <v>0</v>
      </c>
      <c r="Q207" s="4">
        <v>76454.179999999993</v>
      </c>
      <c r="R207" s="4">
        <v>120036.92</v>
      </c>
      <c r="S207" s="4">
        <v>6</v>
      </c>
      <c r="T207" s="4">
        <v>17</v>
      </c>
      <c r="U207" s="4">
        <v>23</v>
      </c>
      <c r="V207" s="4">
        <v>0</v>
      </c>
      <c r="W207" s="4">
        <v>75</v>
      </c>
      <c r="X207" s="4">
        <v>155</v>
      </c>
      <c r="Y207" s="4">
        <v>39</v>
      </c>
      <c r="Z207" s="4">
        <v>1</v>
      </c>
      <c r="AA207" s="4">
        <v>41</v>
      </c>
      <c r="AB207" s="4">
        <v>0</v>
      </c>
      <c r="AC207" s="4">
        <v>0</v>
      </c>
      <c r="AD207" s="4">
        <v>2</v>
      </c>
      <c r="AE207" s="4">
        <v>16</v>
      </c>
      <c r="AF207" s="4">
        <v>182</v>
      </c>
      <c r="AG207" s="4">
        <v>394</v>
      </c>
      <c r="AH207" s="4">
        <v>62</v>
      </c>
      <c r="AI207" s="4">
        <v>3169</v>
      </c>
      <c r="AJ207" s="4">
        <v>6</v>
      </c>
      <c r="AK207" s="4">
        <v>25215</v>
      </c>
      <c r="AL207" s="4">
        <v>0</v>
      </c>
      <c r="AM207" s="4">
        <v>0.1283</v>
      </c>
      <c r="AN207" s="4">
        <v>8543</v>
      </c>
      <c r="AO207" s="4">
        <v>0.13</v>
      </c>
      <c r="AP207" s="4">
        <v>0</v>
      </c>
      <c r="AQ207" s="4">
        <v>31</v>
      </c>
      <c r="AR207" s="4">
        <v>491</v>
      </c>
      <c r="AS207" s="4">
        <v>3555.95</v>
      </c>
      <c r="AT207" s="4">
        <v>17</v>
      </c>
      <c r="AU207" s="4">
        <v>142</v>
      </c>
      <c r="AV207" s="4">
        <v>23</v>
      </c>
      <c r="AW207" s="4">
        <v>2</v>
      </c>
      <c r="AX207" s="4">
        <v>0</v>
      </c>
      <c r="AY207" s="48">
        <v>46007</v>
      </c>
      <c r="AZ207" s="48"/>
    </row>
    <row r="208" spans="1:52" ht="15.6">
      <c r="A208" s="1" t="s">
        <v>154</v>
      </c>
      <c r="B208" s="1" t="s">
        <v>367</v>
      </c>
      <c r="C208" s="1" t="s">
        <v>320</v>
      </c>
      <c r="D208" s="1" t="s">
        <v>577</v>
      </c>
      <c r="E208" s="1" t="s">
        <v>373</v>
      </c>
      <c r="F208" s="48">
        <v>45861</v>
      </c>
      <c r="G208" s="1" t="s">
        <v>196</v>
      </c>
      <c r="H208" s="4">
        <v>0</v>
      </c>
      <c r="I208" s="4">
        <v>1500000</v>
      </c>
      <c r="J208" s="4">
        <v>1612860.3</v>
      </c>
      <c r="K208" s="4">
        <v>0</v>
      </c>
      <c r="L208" s="4">
        <v>10</v>
      </c>
      <c r="M208" s="4">
        <v>24</v>
      </c>
      <c r="N208" s="4">
        <v>15</v>
      </c>
      <c r="O208" s="4">
        <v>25</v>
      </c>
      <c r="P208" s="4">
        <v>1</v>
      </c>
      <c r="Q208" s="4">
        <v>234633.16</v>
      </c>
      <c r="R208" s="4">
        <v>1378227.14</v>
      </c>
      <c r="S208" s="4">
        <v>6</v>
      </c>
      <c r="T208" s="4">
        <v>15</v>
      </c>
      <c r="U208" s="4">
        <v>21</v>
      </c>
      <c r="V208" s="4">
        <v>0</v>
      </c>
      <c r="W208" s="4">
        <v>188</v>
      </c>
      <c r="X208" s="4">
        <v>318</v>
      </c>
      <c r="Y208" s="4">
        <v>52</v>
      </c>
      <c r="Z208" s="4">
        <v>2</v>
      </c>
      <c r="AA208" s="4">
        <v>42</v>
      </c>
      <c r="AB208" s="4">
        <v>0</v>
      </c>
      <c r="AC208" s="4">
        <v>0</v>
      </c>
      <c r="AD208" s="4">
        <v>1</v>
      </c>
      <c r="AE208" s="4">
        <v>1</v>
      </c>
      <c r="AF208" s="4">
        <v>94</v>
      </c>
      <c r="AG208" s="4">
        <v>455</v>
      </c>
      <c r="AH208" s="4">
        <v>67</v>
      </c>
      <c r="AI208" s="4">
        <v>24073</v>
      </c>
      <c r="AJ208" s="4">
        <v>7</v>
      </c>
      <c r="AK208" s="4">
        <v>24120</v>
      </c>
      <c r="AL208" s="4">
        <v>0</v>
      </c>
      <c r="AM208" s="4">
        <v>1.4999999999999999E-2</v>
      </c>
      <c r="AN208" s="4">
        <v>76803</v>
      </c>
      <c r="AO208" s="4">
        <v>1.08</v>
      </c>
      <c r="AP208" s="4">
        <v>0</v>
      </c>
      <c r="AQ208" s="4">
        <v>38</v>
      </c>
      <c r="AR208" s="4">
        <v>621</v>
      </c>
      <c r="AS208" s="4">
        <v>4958.7</v>
      </c>
      <c r="AT208" s="4">
        <v>15</v>
      </c>
      <c r="AU208" s="4">
        <v>207</v>
      </c>
      <c r="AV208" s="4">
        <v>21</v>
      </c>
      <c r="AW208" s="4">
        <v>3</v>
      </c>
      <c r="AX208" s="4">
        <v>1</v>
      </c>
      <c r="AY208" s="1"/>
      <c r="AZ208" s="1"/>
    </row>
    <row r="209" spans="1:52" ht="15.6">
      <c r="A209" s="1" t="s">
        <v>120</v>
      </c>
      <c r="B209" s="1" t="s">
        <v>206</v>
      </c>
      <c r="C209" s="1" t="s">
        <v>321</v>
      </c>
      <c r="D209" s="1" t="s">
        <v>206</v>
      </c>
      <c r="E209" s="1" t="s">
        <v>659</v>
      </c>
      <c r="F209" s="104">
        <v>45873</v>
      </c>
      <c r="G209" s="1" t="s">
        <v>120</v>
      </c>
      <c r="H209" s="4">
        <v>0</v>
      </c>
      <c r="I209" s="4">
        <v>0</v>
      </c>
      <c r="J209" s="4">
        <v>0</v>
      </c>
      <c r="K209" s="4">
        <v>0</v>
      </c>
      <c r="L209" s="4">
        <v>1</v>
      </c>
      <c r="M209" s="4">
        <v>0</v>
      </c>
      <c r="N209" s="4">
        <v>0</v>
      </c>
      <c r="O209" s="4">
        <v>1</v>
      </c>
      <c r="P209" s="4">
        <v>1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11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34600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1</v>
      </c>
      <c r="AY209" s="48">
        <v>45890</v>
      </c>
      <c r="AZ209" s="48"/>
    </row>
    <row r="210" spans="1:52" ht="15.6">
      <c r="A210" s="1" t="s">
        <v>118</v>
      </c>
      <c r="B210" s="1" t="s">
        <v>362</v>
      </c>
      <c r="C210" s="1" t="s">
        <v>322</v>
      </c>
      <c r="D210" s="1" t="s">
        <v>419</v>
      </c>
      <c r="E210" s="1" t="s">
        <v>539</v>
      </c>
      <c r="F210" s="104">
        <v>45876</v>
      </c>
      <c r="G210" s="1" t="s">
        <v>29</v>
      </c>
      <c r="H210" s="4">
        <v>0</v>
      </c>
      <c r="I210" s="4">
        <v>3000000</v>
      </c>
      <c r="J210" s="4">
        <v>1040578.4</v>
      </c>
      <c r="K210" s="4">
        <v>0</v>
      </c>
      <c r="L210" s="4">
        <v>57</v>
      </c>
      <c r="M210" s="4">
        <v>45</v>
      </c>
      <c r="N210" s="4">
        <v>2</v>
      </c>
      <c r="O210" s="4">
        <v>59</v>
      </c>
      <c r="P210" s="4">
        <v>14</v>
      </c>
      <c r="Q210" s="4">
        <v>631088.80000000005</v>
      </c>
      <c r="R210" s="4">
        <v>409489.6</v>
      </c>
      <c r="S210" s="4">
        <v>10</v>
      </c>
      <c r="T210" s="4">
        <v>2</v>
      </c>
      <c r="U210" s="4">
        <v>12</v>
      </c>
      <c r="V210" s="4">
        <v>0</v>
      </c>
      <c r="W210" s="4">
        <v>5</v>
      </c>
      <c r="X210" s="4">
        <v>8</v>
      </c>
      <c r="Y210" s="4">
        <v>8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103</v>
      </c>
      <c r="AG210" s="4">
        <v>111</v>
      </c>
      <c r="AH210" s="4">
        <v>27</v>
      </c>
      <c r="AI210" s="4">
        <v>38540</v>
      </c>
      <c r="AJ210" s="4">
        <v>4</v>
      </c>
      <c r="AK210" s="4">
        <v>33570</v>
      </c>
      <c r="AL210" s="4">
        <v>0</v>
      </c>
      <c r="AM210" s="4">
        <v>3.2300000000000002E-2</v>
      </c>
      <c r="AN210" s="4">
        <v>86715</v>
      </c>
      <c r="AO210" s="4">
        <v>0.35</v>
      </c>
      <c r="AP210" s="4">
        <v>0</v>
      </c>
      <c r="AQ210" s="4">
        <v>20</v>
      </c>
      <c r="AR210" s="4">
        <v>303</v>
      </c>
      <c r="AS210" s="4">
        <v>2481.36</v>
      </c>
      <c r="AT210" s="4">
        <v>2</v>
      </c>
      <c r="AU210" s="4">
        <v>55</v>
      </c>
      <c r="AV210" s="4">
        <v>12</v>
      </c>
      <c r="AW210" s="4">
        <v>35</v>
      </c>
      <c r="AX210" s="4">
        <v>12</v>
      </c>
      <c r="AY210" s="48">
        <v>45971</v>
      </c>
      <c r="AZ210" s="48"/>
    </row>
    <row r="211" spans="1:52" ht="15.6">
      <c r="A211" s="1" t="s">
        <v>120</v>
      </c>
      <c r="B211" s="1" t="s">
        <v>286</v>
      </c>
      <c r="C211" s="1" t="s">
        <v>323</v>
      </c>
      <c r="D211" s="1" t="s">
        <v>631</v>
      </c>
      <c r="E211" s="1" t="s">
        <v>357</v>
      </c>
      <c r="F211" s="48">
        <v>45887</v>
      </c>
      <c r="G211" s="1" t="s">
        <v>120</v>
      </c>
      <c r="H211" s="4">
        <v>0</v>
      </c>
      <c r="I211" s="4">
        <v>3600000</v>
      </c>
      <c r="J211" s="4">
        <v>2134970.6</v>
      </c>
      <c r="K211" s="4">
        <v>0</v>
      </c>
      <c r="L211" s="4">
        <v>103</v>
      </c>
      <c r="M211" s="4">
        <v>106</v>
      </c>
      <c r="N211" s="4">
        <v>26</v>
      </c>
      <c r="O211" s="4">
        <v>129</v>
      </c>
      <c r="P211" s="4">
        <v>23</v>
      </c>
      <c r="Q211" s="4">
        <v>1389074.9</v>
      </c>
      <c r="R211" s="4">
        <v>745895.7</v>
      </c>
      <c r="S211" s="4">
        <v>43</v>
      </c>
      <c r="T211" s="4">
        <v>26</v>
      </c>
      <c r="U211" s="4">
        <v>69</v>
      </c>
      <c r="V211" s="4">
        <v>0</v>
      </c>
      <c r="W211" s="4">
        <v>58</v>
      </c>
      <c r="X211" s="4">
        <v>84</v>
      </c>
      <c r="Y211" s="4">
        <v>29</v>
      </c>
      <c r="Z211" s="4">
        <v>3</v>
      </c>
      <c r="AA211" s="4">
        <v>24</v>
      </c>
      <c r="AB211" s="4">
        <v>1</v>
      </c>
      <c r="AC211" s="4">
        <v>3</v>
      </c>
      <c r="AD211" s="4">
        <v>0</v>
      </c>
      <c r="AE211" s="4">
        <v>0</v>
      </c>
      <c r="AF211" s="4">
        <v>383</v>
      </c>
      <c r="AG211" s="4">
        <v>494</v>
      </c>
      <c r="AH211" s="4">
        <v>74</v>
      </c>
      <c r="AI211" s="4">
        <v>28851</v>
      </c>
      <c r="AJ211" s="4">
        <v>7</v>
      </c>
      <c r="AK211" s="4">
        <v>28835</v>
      </c>
      <c r="AL211" s="4">
        <v>0</v>
      </c>
      <c r="AM211" s="4">
        <v>1.35E-2</v>
      </c>
      <c r="AN211" s="4">
        <v>30942</v>
      </c>
      <c r="AO211" s="4">
        <v>0.59</v>
      </c>
      <c r="AP211" s="4">
        <v>0</v>
      </c>
      <c r="AQ211" s="4">
        <v>131</v>
      </c>
      <c r="AR211" s="4">
        <v>683</v>
      </c>
      <c r="AS211" s="4">
        <v>4217.67</v>
      </c>
      <c r="AT211" s="4">
        <v>26</v>
      </c>
      <c r="AU211" s="4">
        <v>40</v>
      </c>
      <c r="AV211" s="4">
        <v>69</v>
      </c>
      <c r="AW211" s="4">
        <v>38</v>
      </c>
      <c r="AX211" s="4">
        <v>22</v>
      </c>
      <c r="AY211" s="1"/>
      <c r="AZ211" s="1"/>
    </row>
    <row r="212" spans="1:52" ht="15.6">
      <c r="A212" s="1" t="s">
        <v>124</v>
      </c>
      <c r="B212" s="1" t="s">
        <v>443</v>
      </c>
      <c r="C212" s="1" t="s">
        <v>324</v>
      </c>
      <c r="D212" s="1" t="s">
        <v>517</v>
      </c>
      <c r="E212" s="1" t="s">
        <v>524</v>
      </c>
      <c r="F212" s="48">
        <v>45887</v>
      </c>
      <c r="G212" s="1" t="s">
        <v>142</v>
      </c>
      <c r="H212" s="4">
        <v>0</v>
      </c>
      <c r="I212" s="4">
        <v>3600000</v>
      </c>
      <c r="J212" s="4">
        <v>1111473.56</v>
      </c>
      <c r="K212" s="4">
        <v>0</v>
      </c>
      <c r="L212" s="4">
        <v>61</v>
      </c>
      <c r="M212" s="4">
        <v>52</v>
      </c>
      <c r="N212" s="4">
        <v>3</v>
      </c>
      <c r="O212" s="4">
        <v>64</v>
      </c>
      <c r="P212" s="4">
        <v>12</v>
      </c>
      <c r="Q212" s="4">
        <v>1053457.06</v>
      </c>
      <c r="R212" s="4">
        <v>58016.5</v>
      </c>
      <c r="S212" s="4">
        <v>21</v>
      </c>
      <c r="T212" s="4">
        <v>2</v>
      </c>
      <c r="U212" s="4">
        <v>23</v>
      </c>
      <c r="V212" s="4">
        <v>0</v>
      </c>
      <c r="W212" s="4">
        <v>55</v>
      </c>
      <c r="X212" s="4">
        <v>112</v>
      </c>
      <c r="Y212" s="4">
        <v>38</v>
      </c>
      <c r="Z212" s="4">
        <v>1</v>
      </c>
      <c r="AA212" s="4">
        <v>47</v>
      </c>
      <c r="AB212" s="4">
        <v>0</v>
      </c>
      <c r="AC212" s="4">
        <v>0</v>
      </c>
      <c r="AD212" s="4">
        <v>0</v>
      </c>
      <c r="AE212" s="4">
        <v>0</v>
      </c>
      <c r="AF212" s="4">
        <v>160</v>
      </c>
      <c r="AG212" s="4">
        <v>319</v>
      </c>
      <c r="AH212" s="4">
        <v>69</v>
      </c>
      <c r="AI212" s="4">
        <v>16108</v>
      </c>
      <c r="AJ212" s="4">
        <v>5</v>
      </c>
      <c r="AK212" s="4">
        <v>40885</v>
      </c>
      <c r="AL212" s="4">
        <v>0</v>
      </c>
      <c r="AM212" s="4">
        <v>3.6799999999999999E-2</v>
      </c>
      <c r="AN212" s="4">
        <v>48325</v>
      </c>
      <c r="AO212" s="4">
        <v>0.31</v>
      </c>
      <c r="AP212" s="4">
        <v>0</v>
      </c>
      <c r="AQ212" s="4">
        <v>43</v>
      </c>
      <c r="AR212" s="4">
        <v>726</v>
      </c>
      <c r="AS212" s="4">
        <v>5287.48</v>
      </c>
      <c r="AT212" s="4">
        <v>2</v>
      </c>
      <c r="AU212" s="4">
        <v>102</v>
      </c>
      <c r="AV212" s="4">
        <v>23</v>
      </c>
      <c r="AW212" s="4">
        <v>30</v>
      </c>
      <c r="AX212" s="4">
        <v>11</v>
      </c>
      <c r="AY212" s="1"/>
      <c r="AZ212" s="1"/>
    </row>
    <row r="213" spans="1:52" ht="15.6">
      <c r="A213" s="1" t="s">
        <v>108</v>
      </c>
      <c r="B213" s="1" t="s">
        <v>465</v>
      </c>
      <c r="C213" s="1" t="s">
        <v>325</v>
      </c>
      <c r="D213" s="1" t="s">
        <v>621</v>
      </c>
      <c r="E213" s="1" t="s">
        <v>660</v>
      </c>
      <c r="F213" s="48">
        <v>45894</v>
      </c>
      <c r="G213" s="1" t="s">
        <v>108</v>
      </c>
      <c r="H213" s="4">
        <v>0</v>
      </c>
      <c r="I213" s="4">
        <v>3250000</v>
      </c>
      <c r="J213" s="4">
        <v>569754</v>
      </c>
      <c r="K213" s="4">
        <v>0</v>
      </c>
      <c r="L213" s="4">
        <v>43</v>
      </c>
      <c r="M213" s="4">
        <v>43</v>
      </c>
      <c r="N213" s="4">
        <v>1</v>
      </c>
      <c r="O213" s="4">
        <v>44</v>
      </c>
      <c r="P213" s="4">
        <v>1</v>
      </c>
      <c r="Q213" s="4">
        <v>569754</v>
      </c>
      <c r="R213" s="4">
        <v>0</v>
      </c>
      <c r="S213" s="4">
        <v>7</v>
      </c>
      <c r="T213" s="4">
        <v>0</v>
      </c>
      <c r="U213" s="4">
        <v>7</v>
      </c>
      <c r="V213" s="4">
        <v>0</v>
      </c>
      <c r="W213" s="4">
        <v>18</v>
      </c>
      <c r="X213" s="4">
        <v>63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266</v>
      </c>
      <c r="AG213" s="4">
        <v>329</v>
      </c>
      <c r="AH213" s="4">
        <v>68</v>
      </c>
      <c r="AI213" s="4">
        <v>8379</v>
      </c>
      <c r="AJ213" s="4">
        <v>5</v>
      </c>
      <c r="AK213" s="4">
        <v>36190</v>
      </c>
      <c r="AL213" s="4">
        <v>0</v>
      </c>
      <c r="AM213" s="4">
        <v>6.3500000000000001E-2</v>
      </c>
      <c r="AN213" s="4">
        <v>81393</v>
      </c>
      <c r="AO213" s="4">
        <v>0.18</v>
      </c>
      <c r="AP213" s="4">
        <v>0</v>
      </c>
      <c r="AQ213" s="4">
        <v>10</v>
      </c>
      <c r="AR213" s="4">
        <v>561</v>
      </c>
      <c r="AS213" s="4">
        <v>3699.36</v>
      </c>
      <c r="AT213" s="4">
        <v>0</v>
      </c>
      <c r="AU213" s="4">
        <v>86</v>
      </c>
      <c r="AV213" s="4">
        <v>7</v>
      </c>
      <c r="AW213" s="4">
        <v>36</v>
      </c>
      <c r="AX213" s="4">
        <v>1</v>
      </c>
      <c r="AY213" s="1"/>
      <c r="AZ213" s="1"/>
    </row>
    <row r="214" spans="1:52" ht="15.6">
      <c r="A214" s="1" t="s">
        <v>118</v>
      </c>
      <c r="B214" s="1" t="s">
        <v>362</v>
      </c>
      <c r="C214" s="1" t="s">
        <v>326</v>
      </c>
      <c r="D214" s="1" t="s">
        <v>419</v>
      </c>
      <c r="E214" s="1" t="s">
        <v>661</v>
      </c>
      <c r="F214" s="48">
        <v>45894</v>
      </c>
      <c r="G214" s="1" t="s">
        <v>29</v>
      </c>
      <c r="H214" s="4">
        <v>0</v>
      </c>
      <c r="I214" s="4">
        <v>4500000</v>
      </c>
      <c r="J214" s="4">
        <v>502226.63</v>
      </c>
      <c r="K214" s="4">
        <v>0</v>
      </c>
      <c r="L214" s="4">
        <v>90</v>
      </c>
      <c r="M214" s="4">
        <v>83</v>
      </c>
      <c r="N214" s="4">
        <v>0</v>
      </c>
      <c r="O214" s="4">
        <v>90</v>
      </c>
      <c r="P214" s="4">
        <v>7</v>
      </c>
      <c r="Q214" s="4">
        <v>502226.63</v>
      </c>
      <c r="R214" s="4">
        <v>0</v>
      </c>
      <c r="S214" s="4">
        <v>13</v>
      </c>
      <c r="T214" s="4">
        <v>0</v>
      </c>
      <c r="U214" s="4">
        <v>13</v>
      </c>
      <c r="V214" s="4">
        <v>0</v>
      </c>
      <c r="W214" s="4">
        <v>7</v>
      </c>
      <c r="X214" s="4">
        <v>13</v>
      </c>
      <c r="Y214" s="4">
        <v>1</v>
      </c>
      <c r="Z214" s="4">
        <v>1</v>
      </c>
      <c r="AA214" s="4">
        <v>15</v>
      </c>
      <c r="AB214" s="4">
        <v>0</v>
      </c>
      <c r="AC214" s="4">
        <v>0</v>
      </c>
      <c r="AD214" s="4">
        <v>0</v>
      </c>
      <c r="AE214" s="4">
        <v>0</v>
      </c>
      <c r="AF214" s="4">
        <v>278</v>
      </c>
      <c r="AG214" s="4">
        <v>306</v>
      </c>
      <c r="AH214" s="4">
        <v>61</v>
      </c>
      <c r="AI214" s="4">
        <v>8233</v>
      </c>
      <c r="AJ214" s="4">
        <v>5</v>
      </c>
      <c r="AK214" s="4">
        <v>27260</v>
      </c>
      <c r="AL214" s="4">
        <v>0</v>
      </c>
      <c r="AM214" s="4">
        <v>5.4300000000000001E-2</v>
      </c>
      <c r="AN214" s="4">
        <v>38633</v>
      </c>
      <c r="AO214" s="4">
        <v>0.11</v>
      </c>
      <c r="AP214" s="4">
        <v>0</v>
      </c>
      <c r="AQ214" s="4">
        <v>15</v>
      </c>
      <c r="AR214" s="4">
        <v>542</v>
      </c>
      <c r="AS214" s="4">
        <v>3251.63</v>
      </c>
      <c r="AT214" s="4">
        <v>0</v>
      </c>
      <c r="AU214" s="4">
        <v>39</v>
      </c>
      <c r="AV214" s="4">
        <v>13</v>
      </c>
      <c r="AW214" s="4">
        <v>70</v>
      </c>
      <c r="AX214" s="4">
        <v>7</v>
      </c>
      <c r="AY214" s="1"/>
      <c r="AZ214" s="1"/>
    </row>
    <row r="215" spans="1:52" ht="15.6">
      <c r="A215" s="1" t="s">
        <v>124</v>
      </c>
      <c r="B215" s="1" t="s">
        <v>443</v>
      </c>
      <c r="C215" s="1" t="s">
        <v>327</v>
      </c>
      <c r="D215" s="1" t="s">
        <v>517</v>
      </c>
      <c r="E215" s="1" t="s">
        <v>537</v>
      </c>
      <c r="F215" s="48">
        <v>45910</v>
      </c>
      <c r="G215" s="1" t="s">
        <v>124</v>
      </c>
      <c r="H215" s="4">
        <v>0</v>
      </c>
      <c r="I215" s="4">
        <v>3600000</v>
      </c>
      <c r="J215" s="4">
        <v>1238702.68</v>
      </c>
      <c r="K215" s="4">
        <v>0</v>
      </c>
      <c r="L215" s="4">
        <v>8</v>
      </c>
      <c r="M215" s="4">
        <v>44</v>
      </c>
      <c r="N215" s="4">
        <v>37</v>
      </c>
      <c r="O215" s="4">
        <v>45</v>
      </c>
      <c r="P215" s="4">
        <v>1</v>
      </c>
      <c r="Q215" s="4">
        <v>80877.05</v>
      </c>
      <c r="R215" s="4">
        <v>1157825.6299999999</v>
      </c>
      <c r="S215" s="4">
        <v>4</v>
      </c>
      <c r="T215" s="4">
        <v>36</v>
      </c>
      <c r="U215" s="4">
        <v>40</v>
      </c>
      <c r="V215" s="4">
        <v>0</v>
      </c>
      <c r="W215" s="4">
        <v>136</v>
      </c>
      <c r="X215" s="4">
        <v>252</v>
      </c>
      <c r="Y215" s="4">
        <v>12</v>
      </c>
      <c r="Z215" s="4">
        <v>4</v>
      </c>
      <c r="AA215" s="4">
        <v>12</v>
      </c>
      <c r="AB215" s="4">
        <v>0</v>
      </c>
      <c r="AC215" s="4">
        <v>0</v>
      </c>
      <c r="AD215" s="4">
        <v>2</v>
      </c>
      <c r="AE215" s="4">
        <v>10</v>
      </c>
      <c r="AF215" s="4">
        <v>173</v>
      </c>
      <c r="AG215" s="4">
        <v>447</v>
      </c>
      <c r="AH215" s="4">
        <v>69</v>
      </c>
      <c r="AI215" s="4">
        <v>17952</v>
      </c>
      <c r="AJ215" s="4">
        <v>6</v>
      </c>
      <c r="AK215" s="4">
        <v>40885</v>
      </c>
      <c r="AL215" s="4">
        <v>0</v>
      </c>
      <c r="AM215" s="4">
        <v>3.3000000000000002E-2</v>
      </c>
      <c r="AN215" s="4">
        <v>30968</v>
      </c>
      <c r="AO215" s="4">
        <v>0.34</v>
      </c>
      <c r="AP215" s="4">
        <v>0</v>
      </c>
      <c r="AQ215" s="4">
        <v>77</v>
      </c>
      <c r="AR215" s="4">
        <v>620</v>
      </c>
      <c r="AS215" s="4">
        <v>4218.05</v>
      </c>
      <c r="AT215" s="4">
        <v>36</v>
      </c>
      <c r="AU215" s="4">
        <v>96</v>
      </c>
      <c r="AV215" s="4">
        <v>40</v>
      </c>
      <c r="AW215" s="4">
        <v>4</v>
      </c>
      <c r="AX215" s="4">
        <v>1</v>
      </c>
      <c r="AY215" s="1"/>
      <c r="AZ215" s="1"/>
    </row>
    <row r="216" spans="1:52" ht="15.6">
      <c r="A216" s="1" t="s">
        <v>120</v>
      </c>
      <c r="B216" s="1" t="s">
        <v>206</v>
      </c>
      <c r="C216" s="1" t="s">
        <v>328</v>
      </c>
      <c r="D216" s="1" t="s">
        <v>206</v>
      </c>
      <c r="E216" s="1" t="s">
        <v>659</v>
      </c>
      <c r="F216" s="48">
        <v>45917</v>
      </c>
      <c r="G216" s="1" t="s">
        <v>120</v>
      </c>
      <c r="H216" s="4">
        <v>0</v>
      </c>
      <c r="I216" s="4">
        <v>3600000</v>
      </c>
      <c r="J216" s="4">
        <v>50190.96</v>
      </c>
      <c r="K216" s="4">
        <v>0</v>
      </c>
      <c r="L216" s="4">
        <v>11</v>
      </c>
      <c r="M216" s="4">
        <v>18</v>
      </c>
      <c r="N216" s="4">
        <v>7</v>
      </c>
      <c r="O216" s="4">
        <v>18</v>
      </c>
      <c r="P216" s="4">
        <v>0</v>
      </c>
      <c r="Q216" s="4">
        <v>0.01</v>
      </c>
      <c r="R216" s="4">
        <v>50190.95</v>
      </c>
      <c r="S216" s="4">
        <v>0</v>
      </c>
      <c r="T216" s="4">
        <v>7</v>
      </c>
      <c r="U216" s="4">
        <v>7</v>
      </c>
      <c r="V216" s="4">
        <v>0</v>
      </c>
      <c r="W216" s="4">
        <v>112</v>
      </c>
      <c r="X216" s="4">
        <v>326</v>
      </c>
      <c r="Y216" s="4">
        <v>15</v>
      </c>
      <c r="Z216" s="4">
        <v>2</v>
      </c>
      <c r="AA216" s="4">
        <v>21</v>
      </c>
      <c r="AB216" s="4">
        <v>2</v>
      </c>
      <c r="AC216" s="4">
        <v>2</v>
      </c>
      <c r="AD216" s="4">
        <v>2</v>
      </c>
      <c r="AE216" s="4">
        <v>18</v>
      </c>
      <c r="AF216" s="4">
        <v>59</v>
      </c>
      <c r="AG216" s="4">
        <v>426</v>
      </c>
      <c r="AH216" s="4">
        <v>68</v>
      </c>
      <c r="AI216" s="4">
        <v>738</v>
      </c>
      <c r="AJ216" s="4">
        <v>6</v>
      </c>
      <c r="AK216" s="4">
        <v>32500</v>
      </c>
      <c r="AL216" s="4">
        <v>0</v>
      </c>
      <c r="AM216" s="4">
        <v>0.64749999999999996</v>
      </c>
      <c r="AN216" s="4">
        <v>7170</v>
      </c>
      <c r="AO216" s="4">
        <v>0.01</v>
      </c>
      <c r="AP216" s="4">
        <v>0</v>
      </c>
      <c r="AQ216" s="4">
        <v>7</v>
      </c>
      <c r="AR216" s="4">
        <v>597</v>
      </c>
      <c r="AS216" s="4">
        <v>3028.26</v>
      </c>
      <c r="AT216" s="4">
        <v>7</v>
      </c>
      <c r="AU216" s="4">
        <v>168</v>
      </c>
      <c r="AV216" s="4">
        <v>7</v>
      </c>
      <c r="AW216" s="4">
        <v>11</v>
      </c>
      <c r="AX216" s="4">
        <v>0</v>
      </c>
      <c r="AY216" s="1"/>
      <c r="AZ216" s="1"/>
    </row>
    <row r="217" spans="1:52" ht="15.6">
      <c r="A217" s="1" t="s">
        <v>154</v>
      </c>
      <c r="B217" s="1" t="s">
        <v>370</v>
      </c>
      <c r="C217" s="1" t="s">
        <v>329</v>
      </c>
      <c r="D217" s="1" t="s">
        <v>542</v>
      </c>
      <c r="E217" s="1" t="s">
        <v>662</v>
      </c>
      <c r="F217" s="48">
        <v>45922</v>
      </c>
      <c r="G217" s="1" t="s">
        <v>196</v>
      </c>
      <c r="H217" s="4">
        <v>0</v>
      </c>
      <c r="I217" s="4">
        <v>2133333</v>
      </c>
      <c r="J217" s="4">
        <v>357731.03</v>
      </c>
      <c r="K217" s="4">
        <v>0</v>
      </c>
      <c r="L217" s="4">
        <v>14</v>
      </c>
      <c r="M217" s="4">
        <v>14</v>
      </c>
      <c r="N217" s="4">
        <v>2</v>
      </c>
      <c r="O217" s="4">
        <v>16</v>
      </c>
      <c r="P217" s="4">
        <v>2</v>
      </c>
      <c r="Q217" s="4">
        <v>0</v>
      </c>
      <c r="R217" s="4">
        <v>357731.03</v>
      </c>
      <c r="S217" s="4">
        <v>0</v>
      </c>
      <c r="T217" s="4">
        <v>2</v>
      </c>
      <c r="U217" s="4">
        <v>2</v>
      </c>
      <c r="V217" s="4">
        <v>0</v>
      </c>
      <c r="W217" s="4">
        <v>126</v>
      </c>
      <c r="X217" s="4">
        <v>197</v>
      </c>
      <c r="Y217" s="4">
        <v>13</v>
      </c>
      <c r="Z217" s="4">
        <v>8</v>
      </c>
      <c r="AA217" s="4">
        <v>10</v>
      </c>
      <c r="AB217" s="4">
        <v>0</v>
      </c>
      <c r="AC217" s="4">
        <v>0</v>
      </c>
      <c r="AD217" s="4">
        <v>11</v>
      </c>
      <c r="AE217" s="4">
        <v>19</v>
      </c>
      <c r="AF217" s="4">
        <v>39</v>
      </c>
      <c r="AG217" s="4">
        <v>265</v>
      </c>
      <c r="AH217" s="4">
        <v>68</v>
      </c>
      <c r="AI217" s="4">
        <v>5261</v>
      </c>
      <c r="AJ217" s="4">
        <v>4</v>
      </c>
      <c r="AK217" s="4">
        <v>41430</v>
      </c>
      <c r="AL217" s="4">
        <v>0</v>
      </c>
      <c r="AM217" s="4">
        <v>0.1158</v>
      </c>
      <c r="AN217" s="4">
        <v>178866</v>
      </c>
      <c r="AO217" s="4">
        <v>0.17</v>
      </c>
      <c r="AP217" s="4">
        <v>0</v>
      </c>
      <c r="AQ217" s="4">
        <v>3</v>
      </c>
      <c r="AR217" s="4">
        <v>568</v>
      </c>
      <c r="AS217" s="4">
        <v>6620.27</v>
      </c>
      <c r="AT217" s="4">
        <v>2</v>
      </c>
      <c r="AU217" s="4">
        <v>473</v>
      </c>
      <c r="AV217" s="4">
        <v>2</v>
      </c>
      <c r="AW217" s="4">
        <v>12</v>
      </c>
      <c r="AX217" s="4">
        <v>2</v>
      </c>
      <c r="AY217" s="1"/>
      <c r="AZ217" s="1"/>
    </row>
    <row r="218" spans="1:52" ht="15.6">
      <c r="A218" s="1" t="s">
        <v>124</v>
      </c>
      <c r="B218" s="1" t="s">
        <v>443</v>
      </c>
      <c r="C218" s="1" t="s">
        <v>330</v>
      </c>
      <c r="D218" s="1" t="s">
        <v>517</v>
      </c>
      <c r="E218" s="1" t="s">
        <v>663</v>
      </c>
      <c r="F218" s="104">
        <v>45936</v>
      </c>
      <c r="G218" s="1" t="s">
        <v>142</v>
      </c>
      <c r="H218" s="4">
        <v>0</v>
      </c>
      <c r="I218" s="4">
        <v>3600000</v>
      </c>
      <c r="J218" s="4">
        <v>25753</v>
      </c>
      <c r="K218" s="4">
        <v>0</v>
      </c>
      <c r="L218" s="4">
        <v>19</v>
      </c>
      <c r="M218" s="4">
        <v>20</v>
      </c>
      <c r="N218" s="4">
        <v>2</v>
      </c>
      <c r="O218" s="4">
        <v>21</v>
      </c>
      <c r="P218" s="4">
        <v>1</v>
      </c>
      <c r="Q218" s="4">
        <v>0</v>
      </c>
      <c r="R218" s="4">
        <v>25753</v>
      </c>
      <c r="S218" s="4">
        <v>0</v>
      </c>
      <c r="T218" s="4">
        <v>2</v>
      </c>
      <c r="U218" s="4">
        <v>2</v>
      </c>
      <c r="V218" s="4">
        <v>0</v>
      </c>
      <c r="W218" s="4">
        <v>99</v>
      </c>
      <c r="X218" s="4">
        <v>252</v>
      </c>
      <c r="Y218" s="4">
        <v>0</v>
      </c>
      <c r="Z218" s="4">
        <v>1</v>
      </c>
      <c r="AA218" s="4">
        <v>16</v>
      </c>
      <c r="AB218" s="4">
        <v>1</v>
      </c>
      <c r="AC218" s="4">
        <v>3</v>
      </c>
      <c r="AD218" s="4">
        <v>0</v>
      </c>
      <c r="AE218" s="4">
        <v>0</v>
      </c>
      <c r="AF218" s="4">
        <v>69</v>
      </c>
      <c r="AG218" s="4">
        <v>340</v>
      </c>
      <c r="AH218" s="4">
        <v>69</v>
      </c>
      <c r="AI218" s="4">
        <v>373</v>
      </c>
      <c r="AJ218" s="4">
        <v>5</v>
      </c>
      <c r="AK218" s="4">
        <v>34100</v>
      </c>
      <c r="AL218" s="4">
        <v>0</v>
      </c>
      <c r="AM218" s="4">
        <v>1.3241000000000001</v>
      </c>
      <c r="AN218" s="4">
        <v>12877</v>
      </c>
      <c r="AO218" s="4">
        <v>0.01</v>
      </c>
      <c r="AP218" s="4">
        <v>0</v>
      </c>
      <c r="AQ218" s="4">
        <v>2</v>
      </c>
      <c r="AR218" s="4">
        <v>489</v>
      </c>
      <c r="AS218" s="4">
        <v>1332.61</v>
      </c>
      <c r="AT218" s="4">
        <v>2</v>
      </c>
      <c r="AU218" s="4">
        <v>67</v>
      </c>
      <c r="AV218" s="4">
        <v>2</v>
      </c>
      <c r="AW218" s="4">
        <v>18</v>
      </c>
      <c r="AX218" s="4">
        <v>1</v>
      </c>
      <c r="AY218" s="1"/>
      <c r="AZ218" s="1"/>
    </row>
    <row r="219" spans="1:52" ht="15.6">
      <c r="A219" s="1" t="s">
        <v>108</v>
      </c>
      <c r="B219" s="1" t="s">
        <v>465</v>
      </c>
      <c r="C219" s="1" t="s">
        <v>331</v>
      </c>
      <c r="D219" s="1" t="s">
        <v>506</v>
      </c>
      <c r="E219" s="1" t="s">
        <v>489</v>
      </c>
      <c r="F219" s="104">
        <v>45933</v>
      </c>
      <c r="G219" s="1" t="s">
        <v>317</v>
      </c>
      <c r="H219" s="4">
        <v>0</v>
      </c>
      <c r="I219" s="4">
        <v>3000000</v>
      </c>
      <c r="J219" s="4">
        <v>1307582.3999999999</v>
      </c>
      <c r="K219" s="4">
        <v>0</v>
      </c>
      <c r="L219" s="4">
        <v>53</v>
      </c>
      <c r="M219" s="4">
        <v>63</v>
      </c>
      <c r="N219" s="4">
        <v>10</v>
      </c>
      <c r="O219" s="4">
        <v>63</v>
      </c>
      <c r="P219" s="4">
        <v>0</v>
      </c>
      <c r="Q219" s="4">
        <v>1112834.3999999999</v>
      </c>
      <c r="R219" s="4">
        <v>194748</v>
      </c>
      <c r="S219" s="4">
        <v>25</v>
      </c>
      <c r="T219" s="4">
        <v>10</v>
      </c>
      <c r="U219" s="4">
        <v>35</v>
      </c>
      <c r="V219" s="4">
        <v>0</v>
      </c>
      <c r="W219" s="4">
        <v>15</v>
      </c>
      <c r="X219" s="4">
        <v>53</v>
      </c>
      <c r="Y219" s="4">
        <v>0</v>
      </c>
      <c r="Z219" s="4">
        <v>1</v>
      </c>
      <c r="AA219" s="4">
        <v>10</v>
      </c>
      <c r="AB219" s="4">
        <v>0</v>
      </c>
      <c r="AC219" s="4">
        <v>0</v>
      </c>
      <c r="AD219" s="4">
        <v>0</v>
      </c>
      <c r="AE219" s="4">
        <v>0</v>
      </c>
      <c r="AF219" s="4">
        <v>455</v>
      </c>
      <c r="AG219" s="4">
        <v>518</v>
      </c>
      <c r="AH219" s="4">
        <v>71</v>
      </c>
      <c r="AI219" s="4">
        <v>18417</v>
      </c>
      <c r="AJ219" s="4">
        <v>7</v>
      </c>
      <c r="AK219" s="4">
        <v>27000</v>
      </c>
      <c r="AL219" s="4">
        <v>0</v>
      </c>
      <c r="AM219" s="4">
        <v>2.06E-2</v>
      </c>
      <c r="AN219" s="4">
        <v>37359</v>
      </c>
      <c r="AO219" s="4">
        <v>0.44</v>
      </c>
      <c r="AP219" s="4">
        <v>0</v>
      </c>
      <c r="AQ219" s="4">
        <v>76</v>
      </c>
      <c r="AR219" s="4">
        <v>697</v>
      </c>
      <c r="AS219" s="4">
        <v>4196.6499999999996</v>
      </c>
      <c r="AT219" s="4">
        <v>10</v>
      </c>
      <c r="AU219" s="4">
        <v>67</v>
      </c>
      <c r="AV219" s="4">
        <v>35</v>
      </c>
      <c r="AW219" s="4">
        <v>28</v>
      </c>
      <c r="AX219" s="4">
        <v>0</v>
      </c>
      <c r="AY219" s="1"/>
      <c r="AZ219" s="1"/>
    </row>
    <row r="220" spans="1:52" ht="15.6">
      <c r="A220" s="1" t="s">
        <v>177</v>
      </c>
      <c r="B220" s="1" t="s">
        <v>458</v>
      </c>
      <c r="C220" s="1" t="s">
        <v>332</v>
      </c>
      <c r="D220" s="1" t="s">
        <v>581</v>
      </c>
      <c r="E220" s="1" t="s">
        <v>664</v>
      </c>
      <c r="F220" s="48">
        <v>45944</v>
      </c>
      <c r="G220" s="1" t="s">
        <v>279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3</v>
      </c>
      <c r="Z220" s="4">
        <v>1</v>
      </c>
      <c r="AA220" s="4">
        <v>1</v>
      </c>
      <c r="AB220" s="4">
        <v>0</v>
      </c>
      <c r="AC220" s="4">
        <v>0</v>
      </c>
      <c r="AD220" s="4">
        <v>8</v>
      </c>
      <c r="AE220" s="4">
        <v>8</v>
      </c>
      <c r="AF220" s="4">
        <v>0</v>
      </c>
      <c r="AG220" s="4">
        <v>9</v>
      </c>
      <c r="AH220" s="4">
        <v>4</v>
      </c>
      <c r="AI220" s="4">
        <v>0</v>
      </c>
      <c r="AJ220" s="4">
        <v>2</v>
      </c>
      <c r="AK220" s="4">
        <v>24115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41</v>
      </c>
      <c r="AS220" s="4">
        <v>68.819999999999993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8">
        <v>45961</v>
      </c>
      <c r="AZ220" s="48"/>
    </row>
    <row r="221" spans="1:52" ht="15.6">
      <c r="A221" s="1" t="s">
        <v>201</v>
      </c>
      <c r="B221" s="1" t="s">
        <v>469</v>
      </c>
      <c r="C221" s="1" t="s">
        <v>333</v>
      </c>
      <c r="D221" s="1" t="s">
        <v>470</v>
      </c>
      <c r="E221" s="1" t="s">
        <v>528</v>
      </c>
      <c r="F221" s="104">
        <v>45964</v>
      </c>
      <c r="G221" s="1" t="s">
        <v>110</v>
      </c>
      <c r="H221" s="4">
        <v>0</v>
      </c>
      <c r="I221" s="4">
        <v>2800000</v>
      </c>
      <c r="J221" s="4">
        <v>520169.3</v>
      </c>
      <c r="K221" s="4">
        <v>85398.89</v>
      </c>
      <c r="L221" s="4">
        <v>44</v>
      </c>
      <c r="M221" s="4">
        <v>58</v>
      </c>
      <c r="N221" s="4">
        <v>16</v>
      </c>
      <c r="O221" s="4">
        <v>60</v>
      </c>
      <c r="P221" s="4">
        <v>2</v>
      </c>
      <c r="Q221" s="4">
        <v>310746.09999999998</v>
      </c>
      <c r="R221" s="4">
        <v>209423.2</v>
      </c>
      <c r="S221" s="4">
        <v>17</v>
      </c>
      <c r="T221" s="4">
        <v>16</v>
      </c>
      <c r="U221" s="4">
        <v>33</v>
      </c>
      <c r="V221" s="4">
        <v>1</v>
      </c>
      <c r="W221" s="4">
        <v>140</v>
      </c>
      <c r="X221" s="4">
        <v>178</v>
      </c>
      <c r="Y221" s="4">
        <v>22</v>
      </c>
      <c r="Z221" s="4">
        <v>2</v>
      </c>
      <c r="AA221" s="4">
        <v>36</v>
      </c>
      <c r="AB221" s="4">
        <v>1</v>
      </c>
      <c r="AC221" s="4">
        <v>1</v>
      </c>
      <c r="AD221" s="4">
        <v>1</v>
      </c>
      <c r="AE221" s="4">
        <v>1</v>
      </c>
      <c r="AF221" s="4">
        <v>104</v>
      </c>
      <c r="AG221" s="4">
        <v>320</v>
      </c>
      <c r="AH221" s="4">
        <v>49</v>
      </c>
      <c r="AI221" s="4">
        <v>10616</v>
      </c>
      <c r="AJ221" s="4">
        <v>7</v>
      </c>
      <c r="AK221" s="4">
        <v>36190</v>
      </c>
      <c r="AL221" s="4">
        <v>0</v>
      </c>
      <c r="AM221" s="4">
        <v>6.9599999999999995E-2</v>
      </c>
      <c r="AN221" s="4">
        <v>15763</v>
      </c>
      <c r="AO221" s="4">
        <v>0.19</v>
      </c>
      <c r="AP221" s="4">
        <v>0</v>
      </c>
      <c r="AQ221" s="4">
        <v>43</v>
      </c>
      <c r="AR221" s="4">
        <v>520</v>
      </c>
      <c r="AS221" s="4">
        <v>2948.09</v>
      </c>
      <c r="AT221" s="4">
        <v>16</v>
      </c>
      <c r="AU221" s="4">
        <v>51</v>
      </c>
      <c r="AV221" s="4">
        <v>33</v>
      </c>
      <c r="AW221" s="4">
        <v>25</v>
      </c>
      <c r="AX221" s="4">
        <v>2</v>
      </c>
      <c r="AY221" s="1"/>
      <c r="AZ221" s="1"/>
    </row>
    <row r="222" spans="1:52" ht="15.6">
      <c r="A222" s="1" t="s">
        <v>201</v>
      </c>
      <c r="B222" s="1" t="s">
        <v>431</v>
      </c>
      <c r="C222" s="1" t="s">
        <v>334</v>
      </c>
      <c r="D222" s="1" t="s">
        <v>431</v>
      </c>
      <c r="E222" s="1" t="s">
        <v>580</v>
      </c>
      <c r="F222" s="104">
        <v>45964</v>
      </c>
      <c r="G222" s="1" t="s">
        <v>121</v>
      </c>
      <c r="H222" s="4">
        <v>0</v>
      </c>
      <c r="I222" s="4">
        <v>4000000</v>
      </c>
      <c r="J222" s="4">
        <v>83318.75</v>
      </c>
      <c r="K222" s="4">
        <v>0</v>
      </c>
      <c r="L222" s="4">
        <v>11</v>
      </c>
      <c r="M222" s="4">
        <v>17</v>
      </c>
      <c r="N222" s="4">
        <v>6</v>
      </c>
      <c r="O222" s="4">
        <v>17</v>
      </c>
      <c r="P222" s="4">
        <v>0</v>
      </c>
      <c r="Q222" s="4">
        <v>11011</v>
      </c>
      <c r="R222" s="4">
        <v>72307.75</v>
      </c>
      <c r="S222" s="4">
        <v>1</v>
      </c>
      <c r="T222" s="4">
        <v>6</v>
      </c>
      <c r="U222" s="4">
        <v>7</v>
      </c>
      <c r="V222" s="4">
        <v>0</v>
      </c>
      <c r="W222" s="4">
        <v>51</v>
      </c>
      <c r="X222" s="4">
        <v>115</v>
      </c>
      <c r="Y222" s="4">
        <v>8</v>
      </c>
      <c r="Z222" s="4">
        <v>5</v>
      </c>
      <c r="AA222" s="4">
        <v>27</v>
      </c>
      <c r="AB222" s="4">
        <v>0</v>
      </c>
      <c r="AC222" s="4">
        <v>0</v>
      </c>
      <c r="AD222" s="4">
        <v>13</v>
      </c>
      <c r="AE222" s="4">
        <v>34</v>
      </c>
      <c r="AF222" s="4">
        <v>53</v>
      </c>
      <c r="AG222" s="4">
        <v>229</v>
      </c>
      <c r="AH222" s="4">
        <v>50</v>
      </c>
      <c r="AI222" s="4">
        <v>1666</v>
      </c>
      <c r="AJ222" s="4">
        <v>5</v>
      </c>
      <c r="AK222" s="4">
        <v>65825</v>
      </c>
      <c r="AL222" s="4">
        <v>0</v>
      </c>
      <c r="AM222" s="4">
        <v>0.79</v>
      </c>
      <c r="AN222" s="4">
        <v>11903</v>
      </c>
      <c r="AO222" s="4">
        <v>0.02</v>
      </c>
      <c r="AP222" s="4">
        <v>0</v>
      </c>
      <c r="AQ222" s="4">
        <v>7</v>
      </c>
      <c r="AR222" s="4">
        <v>455</v>
      </c>
      <c r="AS222" s="4">
        <v>2114.4299999999998</v>
      </c>
      <c r="AT222" s="4">
        <v>6</v>
      </c>
      <c r="AU222" s="4">
        <v>124</v>
      </c>
      <c r="AV222" s="4">
        <v>7</v>
      </c>
      <c r="AW222" s="4">
        <v>10</v>
      </c>
      <c r="AX222" s="4">
        <v>0</v>
      </c>
      <c r="AY222" s="1"/>
      <c r="AZ222" s="1"/>
    </row>
    <row r="223" spans="1:52" ht="15.6">
      <c r="A223" s="1" t="s">
        <v>154</v>
      </c>
      <c r="B223" s="1" t="s">
        <v>370</v>
      </c>
      <c r="C223" s="1" t="s">
        <v>335</v>
      </c>
      <c r="D223" s="1" t="s">
        <v>542</v>
      </c>
      <c r="E223" s="1" t="s">
        <v>665</v>
      </c>
      <c r="F223" s="104">
        <v>45964</v>
      </c>
      <c r="G223" s="1" t="s">
        <v>329</v>
      </c>
      <c r="H223" s="4">
        <v>0</v>
      </c>
      <c r="I223" s="4">
        <v>500000</v>
      </c>
      <c r="J223" s="4">
        <v>0</v>
      </c>
      <c r="K223" s="4">
        <v>0</v>
      </c>
      <c r="L223" s="4">
        <v>5</v>
      </c>
      <c r="M223" s="4">
        <v>5</v>
      </c>
      <c r="N223" s="4">
        <v>0</v>
      </c>
      <c r="O223" s="4">
        <v>5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21</v>
      </c>
      <c r="X223" s="4">
        <v>21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>
        <v>2</v>
      </c>
      <c r="AF223" s="4">
        <v>5</v>
      </c>
      <c r="AG223" s="4">
        <v>28</v>
      </c>
      <c r="AH223" s="4">
        <v>6</v>
      </c>
      <c r="AI223" s="4">
        <v>0</v>
      </c>
      <c r="AJ223" s="4">
        <v>5</v>
      </c>
      <c r="AK223" s="4">
        <v>24115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48</v>
      </c>
      <c r="AS223" s="4">
        <v>320.02</v>
      </c>
      <c r="AT223" s="4">
        <v>0</v>
      </c>
      <c r="AU223" s="4">
        <v>64</v>
      </c>
      <c r="AV223" s="4">
        <v>0</v>
      </c>
      <c r="AW223" s="4">
        <v>5</v>
      </c>
      <c r="AX223" s="4">
        <v>0</v>
      </c>
      <c r="AY223" s="48">
        <v>45972</v>
      </c>
      <c r="AZ223" s="48"/>
    </row>
    <row r="224" spans="1:52" ht="15.6">
      <c r="A224" s="1" t="s">
        <v>201</v>
      </c>
      <c r="B224" s="1" t="s">
        <v>469</v>
      </c>
      <c r="C224" s="1" t="s">
        <v>336</v>
      </c>
      <c r="D224" s="1" t="s">
        <v>470</v>
      </c>
      <c r="E224" s="1" t="s">
        <v>471</v>
      </c>
      <c r="F224" s="48">
        <v>45971</v>
      </c>
      <c r="G224" s="1" t="s">
        <v>211</v>
      </c>
      <c r="H224" s="4">
        <v>0</v>
      </c>
      <c r="I224" s="4">
        <v>2400000</v>
      </c>
      <c r="J224" s="4">
        <v>8787.2800000000007</v>
      </c>
      <c r="K224" s="4">
        <v>0</v>
      </c>
      <c r="L224" s="4">
        <v>15</v>
      </c>
      <c r="M224" s="4">
        <v>17</v>
      </c>
      <c r="N224" s="4">
        <v>3</v>
      </c>
      <c r="O224" s="4">
        <v>18</v>
      </c>
      <c r="P224" s="4">
        <v>1</v>
      </c>
      <c r="Q224" s="4">
        <v>0</v>
      </c>
      <c r="R224" s="4">
        <v>8787.2800000000007</v>
      </c>
      <c r="S224" s="4">
        <v>0</v>
      </c>
      <c r="T224" s="4">
        <v>2</v>
      </c>
      <c r="U224" s="4">
        <v>2</v>
      </c>
      <c r="V224" s="4">
        <v>0</v>
      </c>
      <c r="W224" s="4">
        <v>67</v>
      </c>
      <c r="X224" s="4">
        <v>82</v>
      </c>
      <c r="Y224" s="4">
        <v>10</v>
      </c>
      <c r="Z224" s="4">
        <v>1</v>
      </c>
      <c r="AA224" s="4">
        <v>9</v>
      </c>
      <c r="AB224" s="4">
        <v>0</v>
      </c>
      <c r="AC224" s="4">
        <v>0</v>
      </c>
      <c r="AD224" s="4">
        <v>0</v>
      </c>
      <c r="AE224" s="4">
        <v>0</v>
      </c>
      <c r="AF224" s="4">
        <v>22</v>
      </c>
      <c r="AG224" s="4">
        <v>113</v>
      </c>
      <c r="AH224" s="4">
        <v>28</v>
      </c>
      <c r="AI224" s="4">
        <v>314</v>
      </c>
      <c r="AJ224" s="4">
        <v>4</v>
      </c>
      <c r="AK224" s="4">
        <v>32500</v>
      </c>
      <c r="AL224" s="4">
        <v>0</v>
      </c>
      <c r="AM224" s="4">
        <v>3.6985000000000001</v>
      </c>
      <c r="AN224" s="4">
        <v>4394</v>
      </c>
      <c r="AO224" s="4">
        <v>0</v>
      </c>
      <c r="AP224" s="4">
        <v>0</v>
      </c>
      <c r="AQ224" s="4">
        <v>2</v>
      </c>
      <c r="AR224" s="4">
        <v>326</v>
      </c>
      <c r="AS224" s="4">
        <v>4150.53</v>
      </c>
      <c r="AT224" s="4">
        <v>2</v>
      </c>
      <c r="AU224" s="4">
        <v>244</v>
      </c>
      <c r="AV224" s="4">
        <v>2</v>
      </c>
      <c r="AW224" s="4">
        <v>15</v>
      </c>
      <c r="AX224" s="4">
        <v>1</v>
      </c>
      <c r="AY224" s="1"/>
      <c r="AZ224" s="1"/>
    </row>
    <row r="225" spans="1:52" ht="15.6">
      <c r="A225" s="1" t="s">
        <v>118</v>
      </c>
      <c r="B225" s="1" t="s">
        <v>436</v>
      </c>
      <c r="C225" s="1" t="s">
        <v>337</v>
      </c>
      <c r="D225" s="1" t="s">
        <v>499</v>
      </c>
      <c r="E225" s="1" t="s">
        <v>651</v>
      </c>
      <c r="F225" s="48">
        <v>45855</v>
      </c>
      <c r="G225" s="1" t="s">
        <v>108</v>
      </c>
      <c r="H225" s="4">
        <v>0</v>
      </c>
      <c r="I225" s="4">
        <v>1500000</v>
      </c>
      <c r="J225" s="4">
        <v>0</v>
      </c>
      <c r="K225" s="4">
        <v>0</v>
      </c>
      <c r="L225" s="4">
        <v>6</v>
      </c>
      <c r="M225" s="4">
        <v>6</v>
      </c>
      <c r="N225" s="4">
        <v>0</v>
      </c>
      <c r="O225" s="4">
        <v>6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26</v>
      </c>
      <c r="X225" s="4">
        <v>66</v>
      </c>
      <c r="Y225" s="4">
        <v>4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6</v>
      </c>
      <c r="AF225" s="4">
        <v>18</v>
      </c>
      <c r="AG225" s="4">
        <v>90</v>
      </c>
      <c r="AH225" s="4">
        <v>17</v>
      </c>
      <c r="AI225" s="4">
        <v>0</v>
      </c>
      <c r="AJ225" s="4">
        <v>5</v>
      </c>
      <c r="AK225" s="4">
        <v>48765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146</v>
      </c>
      <c r="AS225" s="4">
        <v>525.92999999999995</v>
      </c>
      <c r="AT225" s="4">
        <v>0</v>
      </c>
      <c r="AU225" s="4">
        <v>88</v>
      </c>
      <c r="AV225" s="4">
        <v>0</v>
      </c>
      <c r="AW225" s="4">
        <v>6</v>
      </c>
      <c r="AX225" s="4">
        <v>0</v>
      </c>
      <c r="AY225" s="48">
        <v>46010</v>
      </c>
      <c r="AZ225" s="48"/>
    </row>
    <row r="226" spans="1:52" ht="15.6">
      <c r="A226" s="1" t="s">
        <v>154</v>
      </c>
      <c r="B226" s="1" t="s">
        <v>370</v>
      </c>
      <c r="C226" s="1" t="s">
        <v>338</v>
      </c>
      <c r="D226" s="1" t="s">
        <v>542</v>
      </c>
      <c r="E226" s="1" t="s">
        <v>374</v>
      </c>
      <c r="F226" s="48">
        <v>45979</v>
      </c>
      <c r="G226" s="1" t="s">
        <v>196</v>
      </c>
      <c r="H226" s="4">
        <v>0</v>
      </c>
      <c r="I226" s="4">
        <v>800000</v>
      </c>
      <c r="J226" s="4">
        <v>61777.66</v>
      </c>
      <c r="K226" s="4">
        <v>0</v>
      </c>
      <c r="L226" s="4">
        <v>21</v>
      </c>
      <c r="M226" s="4">
        <v>22</v>
      </c>
      <c r="N226" s="4">
        <v>3</v>
      </c>
      <c r="O226" s="4">
        <v>24</v>
      </c>
      <c r="P226" s="4">
        <v>2</v>
      </c>
      <c r="Q226" s="4">
        <v>11730.6</v>
      </c>
      <c r="R226" s="4">
        <v>50047.06</v>
      </c>
      <c r="S226" s="4">
        <v>1</v>
      </c>
      <c r="T226" s="4">
        <v>3</v>
      </c>
      <c r="U226" s="4">
        <v>4</v>
      </c>
      <c r="V226" s="4">
        <v>0</v>
      </c>
      <c r="W226" s="4">
        <v>96</v>
      </c>
      <c r="X226" s="4">
        <v>126</v>
      </c>
      <c r="Y226" s="4">
        <v>14</v>
      </c>
      <c r="Z226" s="4">
        <v>1</v>
      </c>
      <c r="AA226" s="4">
        <v>27</v>
      </c>
      <c r="AB226" s="4">
        <v>0</v>
      </c>
      <c r="AC226" s="4">
        <v>0</v>
      </c>
      <c r="AD226" s="4">
        <v>1</v>
      </c>
      <c r="AE226" s="4">
        <v>1</v>
      </c>
      <c r="AF226" s="4">
        <v>41</v>
      </c>
      <c r="AG226" s="4">
        <v>195</v>
      </c>
      <c r="AH226" s="4">
        <v>29</v>
      </c>
      <c r="AI226" s="4">
        <v>2130</v>
      </c>
      <c r="AJ226" s="4">
        <v>7</v>
      </c>
      <c r="AK226" s="4">
        <v>37740</v>
      </c>
      <c r="AL226" s="4">
        <v>0</v>
      </c>
      <c r="AM226" s="4">
        <v>0.6109</v>
      </c>
      <c r="AN226" s="4">
        <v>15444</v>
      </c>
      <c r="AO226" s="4">
        <v>0.08</v>
      </c>
      <c r="AP226" s="4">
        <v>0</v>
      </c>
      <c r="AQ226" s="4">
        <v>4</v>
      </c>
      <c r="AR226" s="4">
        <v>299</v>
      </c>
      <c r="AS226" s="4">
        <v>1355.7</v>
      </c>
      <c r="AT226" s="4">
        <v>3</v>
      </c>
      <c r="AU226" s="4">
        <v>62</v>
      </c>
      <c r="AV226" s="4">
        <v>4</v>
      </c>
      <c r="AW226" s="4">
        <v>18</v>
      </c>
      <c r="AX226" s="4">
        <v>2</v>
      </c>
      <c r="AY226" s="1"/>
      <c r="AZ226" s="1"/>
    </row>
    <row r="227" spans="1:52" ht="15.6">
      <c r="A227" s="1" t="s">
        <v>154</v>
      </c>
      <c r="B227" s="1" t="s">
        <v>367</v>
      </c>
      <c r="C227" s="1" t="s">
        <v>339</v>
      </c>
      <c r="D227" s="1" t="s">
        <v>577</v>
      </c>
      <c r="E227" s="1" t="s">
        <v>377</v>
      </c>
      <c r="F227" s="104">
        <v>45992</v>
      </c>
      <c r="G227" s="1" t="s">
        <v>196</v>
      </c>
      <c r="H227" s="4">
        <v>0</v>
      </c>
      <c r="I227" s="4">
        <v>600000</v>
      </c>
      <c r="J227" s="4">
        <v>57493.99</v>
      </c>
      <c r="K227" s="4">
        <v>0</v>
      </c>
      <c r="L227" s="4">
        <v>5</v>
      </c>
      <c r="M227" s="4">
        <v>4</v>
      </c>
      <c r="N227" s="4">
        <v>1</v>
      </c>
      <c r="O227" s="4">
        <v>6</v>
      </c>
      <c r="P227" s="4">
        <v>2</v>
      </c>
      <c r="Q227" s="4">
        <v>46374.19</v>
      </c>
      <c r="R227" s="4">
        <v>11119.8</v>
      </c>
      <c r="S227" s="4">
        <v>1</v>
      </c>
      <c r="T227" s="4">
        <v>1</v>
      </c>
      <c r="U227" s="4">
        <v>2</v>
      </c>
      <c r="V227" s="4">
        <v>0</v>
      </c>
      <c r="W227" s="4">
        <v>109</v>
      </c>
      <c r="X227" s="4">
        <v>149</v>
      </c>
      <c r="Y227" s="4">
        <v>21</v>
      </c>
      <c r="Z227" s="4">
        <v>1</v>
      </c>
      <c r="AA227" s="4">
        <v>12</v>
      </c>
      <c r="AB227" s="4">
        <v>0</v>
      </c>
      <c r="AC227" s="4">
        <v>0</v>
      </c>
      <c r="AD227" s="4">
        <v>2</v>
      </c>
      <c r="AE227" s="4">
        <v>3</v>
      </c>
      <c r="AF227" s="4">
        <v>9</v>
      </c>
      <c r="AG227" s="4">
        <v>173</v>
      </c>
      <c r="AH227" s="4">
        <v>22</v>
      </c>
      <c r="AI227" s="4">
        <v>2613</v>
      </c>
      <c r="AJ227" s="4">
        <v>8</v>
      </c>
      <c r="AK227" s="4">
        <v>28834</v>
      </c>
      <c r="AL227" s="4">
        <v>0</v>
      </c>
      <c r="AM227" s="4">
        <v>0.50149999999999995</v>
      </c>
      <c r="AN227" s="4">
        <v>28747</v>
      </c>
      <c r="AO227" s="4">
        <v>0.03</v>
      </c>
      <c r="AP227" s="4">
        <v>0</v>
      </c>
      <c r="AQ227" s="4">
        <v>2</v>
      </c>
      <c r="AR227" s="4">
        <v>206</v>
      </c>
      <c r="AS227" s="4">
        <v>1001.24</v>
      </c>
      <c r="AT227" s="4">
        <v>1</v>
      </c>
      <c r="AU227" s="4">
        <v>250</v>
      </c>
      <c r="AV227" s="4">
        <v>2</v>
      </c>
      <c r="AW227" s="4">
        <v>2</v>
      </c>
      <c r="AX227" s="4">
        <v>2</v>
      </c>
      <c r="AY227" s="1"/>
      <c r="AZ227" s="1"/>
    </row>
    <row r="228" spans="1:52" ht="15.6">
      <c r="A228" s="1" t="s">
        <v>154</v>
      </c>
      <c r="B228" s="1" t="s">
        <v>370</v>
      </c>
      <c r="C228" s="1" t="s">
        <v>340</v>
      </c>
      <c r="D228" s="1" t="s">
        <v>542</v>
      </c>
      <c r="E228" s="1" t="s">
        <v>376</v>
      </c>
      <c r="F228" s="104">
        <v>45992</v>
      </c>
      <c r="G228" s="1" t="s">
        <v>196</v>
      </c>
      <c r="H228" s="4">
        <v>0</v>
      </c>
      <c r="I228" s="4">
        <v>500000</v>
      </c>
      <c r="J228" s="4">
        <v>0</v>
      </c>
      <c r="K228" s="4">
        <v>0</v>
      </c>
      <c r="L228" s="4">
        <v>15</v>
      </c>
      <c r="M228" s="4">
        <v>14</v>
      </c>
      <c r="N228" s="4">
        <v>0</v>
      </c>
      <c r="O228" s="4">
        <v>15</v>
      </c>
      <c r="P228" s="4">
        <v>1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73</v>
      </c>
      <c r="X228" s="4">
        <v>122</v>
      </c>
      <c r="Y228" s="4">
        <v>8</v>
      </c>
      <c r="Z228" s="4">
        <v>2</v>
      </c>
      <c r="AA228" s="4">
        <v>2</v>
      </c>
      <c r="AB228" s="4">
        <v>0</v>
      </c>
      <c r="AC228" s="4">
        <v>0</v>
      </c>
      <c r="AD228" s="4">
        <v>2</v>
      </c>
      <c r="AE228" s="4">
        <v>3</v>
      </c>
      <c r="AF228" s="4">
        <v>19</v>
      </c>
      <c r="AG228" s="4">
        <v>146</v>
      </c>
      <c r="AH228" s="4">
        <v>22</v>
      </c>
      <c r="AI228" s="4">
        <v>0</v>
      </c>
      <c r="AJ228" s="4">
        <v>7</v>
      </c>
      <c r="AK228" s="4">
        <v>24116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190</v>
      </c>
      <c r="AS228" s="4">
        <v>1331.71</v>
      </c>
      <c r="AT228" s="4">
        <v>0</v>
      </c>
      <c r="AU228" s="4">
        <v>95</v>
      </c>
      <c r="AV228" s="4">
        <v>0</v>
      </c>
      <c r="AW228" s="4">
        <v>14</v>
      </c>
      <c r="AX228" s="4">
        <v>1</v>
      </c>
      <c r="AY228" s="1"/>
      <c r="AZ228" s="1"/>
    </row>
    <row r="229" spans="1:52" ht="15.6">
      <c r="A229" s="1" t="s">
        <v>201</v>
      </c>
      <c r="B229" s="1" t="s">
        <v>469</v>
      </c>
      <c r="C229" s="1" t="s">
        <v>341</v>
      </c>
      <c r="D229" s="1" t="s">
        <v>470</v>
      </c>
      <c r="E229" s="1" t="s">
        <v>584</v>
      </c>
      <c r="F229" s="104">
        <v>45999</v>
      </c>
      <c r="G229" s="1" t="s">
        <v>107</v>
      </c>
      <c r="H229" s="4">
        <v>0</v>
      </c>
      <c r="I229" s="4">
        <v>1500000</v>
      </c>
      <c r="J229" s="4">
        <v>52727.519999999997</v>
      </c>
      <c r="K229" s="4">
        <v>0</v>
      </c>
      <c r="L229" s="4">
        <v>2</v>
      </c>
      <c r="M229" s="4">
        <v>6</v>
      </c>
      <c r="N229" s="4">
        <v>4</v>
      </c>
      <c r="O229" s="4">
        <v>6</v>
      </c>
      <c r="P229" s="4">
        <v>0</v>
      </c>
      <c r="Q229" s="4">
        <v>0</v>
      </c>
      <c r="R229" s="4">
        <v>52727.519999999997</v>
      </c>
      <c r="S229" s="4">
        <v>0</v>
      </c>
      <c r="T229" s="4">
        <v>4</v>
      </c>
      <c r="U229" s="4">
        <v>4</v>
      </c>
      <c r="V229" s="4">
        <v>0</v>
      </c>
      <c r="W229" s="4">
        <v>68</v>
      </c>
      <c r="X229" s="4">
        <v>88</v>
      </c>
      <c r="Y229" s="4">
        <v>10</v>
      </c>
      <c r="Z229" s="4">
        <v>0</v>
      </c>
      <c r="AA229" s="4">
        <v>0</v>
      </c>
      <c r="AB229" s="4">
        <v>1</v>
      </c>
      <c r="AC229" s="4">
        <v>3</v>
      </c>
      <c r="AD229" s="4">
        <v>0</v>
      </c>
      <c r="AE229" s="4">
        <v>0</v>
      </c>
      <c r="AF229" s="4">
        <v>18</v>
      </c>
      <c r="AG229" s="4">
        <v>109</v>
      </c>
      <c r="AH229" s="4">
        <v>17</v>
      </c>
      <c r="AI229" s="4">
        <v>3102</v>
      </c>
      <c r="AJ229" s="4">
        <v>6</v>
      </c>
      <c r="AK229" s="4">
        <v>32500</v>
      </c>
      <c r="AL229" s="4">
        <v>0</v>
      </c>
      <c r="AM229" s="4">
        <v>0.61639999999999995</v>
      </c>
      <c r="AN229" s="4">
        <v>13182</v>
      </c>
      <c r="AO229" s="4">
        <v>0</v>
      </c>
      <c r="AP229" s="4">
        <v>0</v>
      </c>
      <c r="AQ229" s="4">
        <v>4</v>
      </c>
      <c r="AR229" s="4">
        <v>139</v>
      </c>
      <c r="AS229" s="4">
        <v>1005.53</v>
      </c>
      <c r="AT229" s="4">
        <v>4</v>
      </c>
      <c r="AU229" s="4">
        <v>168</v>
      </c>
      <c r="AV229" s="4">
        <v>4</v>
      </c>
      <c r="AW229" s="4">
        <v>2</v>
      </c>
      <c r="AX229" s="4">
        <v>0</v>
      </c>
      <c r="AY229" s="1"/>
      <c r="AZ229" s="1"/>
    </row>
    <row r="230" spans="1:52" ht="15.6">
      <c r="A230" s="1" t="s">
        <v>120</v>
      </c>
      <c r="B230" s="1" t="s">
        <v>206</v>
      </c>
      <c r="C230" s="1" t="s">
        <v>342</v>
      </c>
      <c r="D230" s="1" t="s">
        <v>206</v>
      </c>
      <c r="E230" s="1" t="s">
        <v>358</v>
      </c>
      <c r="F230" s="48">
        <v>46002</v>
      </c>
      <c r="G230" s="1" t="s">
        <v>120</v>
      </c>
      <c r="H230" s="4">
        <v>0</v>
      </c>
      <c r="I230" s="4">
        <v>774194</v>
      </c>
      <c r="J230" s="4">
        <v>458961.05</v>
      </c>
      <c r="K230" s="4">
        <v>0</v>
      </c>
      <c r="L230" s="4">
        <v>46</v>
      </c>
      <c r="M230" s="4">
        <v>42</v>
      </c>
      <c r="N230" s="4">
        <v>5</v>
      </c>
      <c r="O230" s="4">
        <v>51</v>
      </c>
      <c r="P230" s="4">
        <v>9</v>
      </c>
      <c r="Q230" s="4">
        <v>371205.29</v>
      </c>
      <c r="R230" s="4">
        <v>87755.76</v>
      </c>
      <c r="S230" s="4">
        <v>22</v>
      </c>
      <c r="T230" s="4">
        <v>5</v>
      </c>
      <c r="U230" s="4">
        <v>27</v>
      </c>
      <c r="V230" s="4">
        <v>0</v>
      </c>
      <c r="W230" s="4">
        <v>36</v>
      </c>
      <c r="X230" s="4">
        <v>43</v>
      </c>
      <c r="Y230" s="4">
        <v>13</v>
      </c>
      <c r="Z230" s="4">
        <v>1</v>
      </c>
      <c r="AA230" s="4">
        <v>9</v>
      </c>
      <c r="AB230" s="4">
        <v>0</v>
      </c>
      <c r="AC230" s="4">
        <v>0</v>
      </c>
      <c r="AD230" s="4">
        <v>0</v>
      </c>
      <c r="AE230" s="4">
        <v>0</v>
      </c>
      <c r="AF230" s="4">
        <v>73</v>
      </c>
      <c r="AG230" s="4">
        <v>125</v>
      </c>
      <c r="AH230" s="4">
        <v>18</v>
      </c>
      <c r="AI230" s="4">
        <v>25498</v>
      </c>
      <c r="AJ230" s="4">
        <v>7</v>
      </c>
      <c r="AK230" s="4">
        <v>30405</v>
      </c>
      <c r="AL230" s="4">
        <v>0</v>
      </c>
      <c r="AM230" s="4">
        <v>6.6199999999999995E-2</v>
      </c>
      <c r="AN230" s="4">
        <v>16999</v>
      </c>
      <c r="AO230" s="4">
        <v>0.59</v>
      </c>
      <c r="AP230" s="4">
        <v>0</v>
      </c>
      <c r="AQ230" s="4">
        <v>32</v>
      </c>
      <c r="AR230" s="4">
        <v>180</v>
      </c>
      <c r="AS230" s="4">
        <v>1022.81</v>
      </c>
      <c r="AT230" s="4">
        <v>5</v>
      </c>
      <c r="AU230" s="4">
        <v>24</v>
      </c>
      <c r="AV230" s="4">
        <v>27</v>
      </c>
      <c r="AW230" s="4">
        <v>15</v>
      </c>
      <c r="AX230" s="4">
        <v>9</v>
      </c>
      <c r="AY230" s="1"/>
      <c r="AZ230" s="1"/>
    </row>
    <row r="231" spans="1:52" ht="15.6">
      <c r="A231" s="1" t="s">
        <v>201</v>
      </c>
      <c r="B231" s="1" t="s">
        <v>469</v>
      </c>
      <c r="C231" s="1" t="s">
        <v>343</v>
      </c>
      <c r="D231" s="1" t="s">
        <v>470</v>
      </c>
      <c r="E231" s="1" t="s">
        <v>588</v>
      </c>
      <c r="F231" s="104">
        <v>46023</v>
      </c>
      <c r="G231" s="1" t="s">
        <v>110</v>
      </c>
      <c r="H231" s="4">
        <v>0</v>
      </c>
      <c r="I231" s="4">
        <v>0</v>
      </c>
      <c r="J231" s="4">
        <v>0</v>
      </c>
      <c r="K231" s="4">
        <v>0</v>
      </c>
      <c r="L231" s="4">
        <v>4</v>
      </c>
      <c r="M231" s="4">
        <v>0</v>
      </c>
      <c r="N231" s="4">
        <v>0</v>
      </c>
      <c r="O231" s="4">
        <v>4</v>
      </c>
      <c r="P231" s="4">
        <v>4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16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36485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4</v>
      </c>
      <c r="AY231" s="1"/>
      <c r="AZ231" s="1"/>
    </row>
    <row r="232" spans="1:52" ht="15.6">
      <c r="A232" s="1" t="s">
        <v>117</v>
      </c>
      <c r="B232" s="1" t="s">
        <v>450</v>
      </c>
      <c r="C232" s="1" t="s">
        <v>344</v>
      </c>
      <c r="D232" s="1" t="s">
        <v>482</v>
      </c>
      <c r="E232" s="1" t="s">
        <v>667</v>
      </c>
      <c r="F232" s="104">
        <v>46027</v>
      </c>
      <c r="G232" s="1" t="s">
        <v>117</v>
      </c>
      <c r="H232" s="4">
        <v>0</v>
      </c>
      <c r="I232" s="4">
        <v>0</v>
      </c>
      <c r="J232" s="4">
        <v>0</v>
      </c>
      <c r="K232" s="4">
        <v>0</v>
      </c>
      <c r="L232" s="4">
        <v>4</v>
      </c>
      <c r="M232" s="4">
        <v>0</v>
      </c>
      <c r="N232" s="4">
        <v>0</v>
      </c>
      <c r="O232" s="4">
        <v>4</v>
      </c>
      <c r="P232" s="4">
        <v>4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17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46670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4</v>
      </c>
      <c r="AY232" s="1"/>
      <c r="AZ232" s="1"/>
    </row>
    <row r="233" spans="1:52" ht="15.6">
      <c r="A233" s="1" t="s">
        <v>117</v>
      </c>
      <c r="B233" s="1" t="s">
        <v>450</v>
      </c>
      <c r="C233" s="1" t="s">
        <v>345</v>
      </c>
      <c r="D233" s="1" t="s">
        <v>482</v>
      </c>
      <c r="E233" s="1" t="s">
        <v>668</v>
      </c>
      <c r="F233" s="104">
        <v>46027</v>
      </c>
      <c r="G233" s="1" t="s">
        <v>117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26215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1"/>
      <c r="AZ233" s="1"/>
    </row>
  </sheetData>
  <conditionalFormatting sqref="C2:C233">
    <cfRule type="expression" dxfId="5" priority="1">
      <formula>COUNTIF(C:C,C2)&gt;1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AP1013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5.6640625" customWidth="1"/>
    <col min="2" max="2" width="10.33203125" customWidth="1"/>
    <col min="4" max="4" width="17.21875" customWidth="1"/>
    <col min="5" max="5" width="12.6640625" hidden="1"/>
    <col min="6" max="6" width="24" hidden="1" customWidth="1"/>
    <col min="7" max="7" width="5.88671875" customWidth="1"/>
    <col min="8" max="8" width="13.109375" customWidth="1"/>
    <col min="9" max="9" width="6.88671875" customWidth="1"/>
    <col min="10" max="32" width="9.33203125" hidden="1" customWidth="1"/>
    <col min="33" max="34" width="9.33203125" customWidth="1"/>
    <col min="35" max="35" width="7" customWidth="1"/>
    <col min="36" max="36" width="9.33203125" customWidth="1"/>
    <col min="37" max="37" width="7.88671875" customWidth="1"/>
    <col min="38" max="38" width="7.21875" customWidth="1"/>
    <col min="39" max="40" width="5.44140625" customWidth="1"/>
    <col min="41" max="41" width="6.77734375" customWidth="1"/>
  </cols>
  <sheetData>
    <row r="1" spans="1:42" ht="13.2">
      <c r="A1" s="143"/>
      <c r="B1" s="152" t="s">
        <v>807</v>
      </c>
      <c r="C1" s="152"/>
      <c r="D1" s="152" t="s">
        <v>808</v>
      </c>
      <c r="E1" s="153"/>
      <c r="F1" s="153"/>
      <c r="G1" s="85">
        <v>4</v>
      </c>
      <c r="H1" s="154" t="s">
        <v>809</v>
      </c>
      <c r="I1" s="154">
        <v>2</v>
      </c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3"/>
    </row>
    <row r="2" spans="1:42" ht="13.2">
      <c r="A2" s="155"/>
      <c r="B2" s="156" t="s">
        <v>810</v>
      </c>
      <c r="C2" s="157">
        <f>COUNT(A4:A15)</f>
        <v>12</v>
      </c>
      <c r="D2" s="156" t="s">
        <v>811</v>
      </c>
      <c r="E2" s="158"/>
      <c r="F2" s="158"/>
      <c r="G2" s="157">
        <f>COUNTBLANK(C4:C15)</f>
        <v>5</v>
      </c>
      <c r="H2" s="154" t="s">
        <v>812</v>
      </c>
      <c r="I2" s="154">
        <v>2</v>
      </c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5"/>
    </row>
    <row r="3" spans="1:42" ht="72">
      <c r="A3" s="156" t="s">
        <v>813</v>
      </c>
      <c r="B3" s="156" t="s">
        <v>810</v>
      </c>
      <c r="C3" s="157" t="s">
        <v>814</v>
      </c>
      <c r="D3" s="156" t="s">
        <v>815</v>
      </c>
      <c r="E3" s="160" t="s">
        <v>816</v>
      </c>
      <c r="F3" s="160" t="s">
        <v>817</v>
      </c>
      <c r="G3" s="157" t="s">
        <v>818</v>
      </c>
      <c r="H3" s="157" t="s">
        <v>819</v>
      </c>
      <c r="I3" s="157" t="s">
        <v>25</v>
      </c>
      <c r="J3" s="157"/>
      <c r="K3" s="157" t="s">
        <v>7</v>
      </c>
      <c r="L3" s="157" t="s">
        <v>8</v>
      </c>
      <c r="M3" s="157" t="s">
        <v>23</v>
      </c>
      <c r="N3" s="157" t="s">
        <v>9</v>
      </c>
      <c r="O3" s="157" t="s">
        <v>10</v>
      </c>
      <c r="P3" s="157" t="s">
        <v>11</v>
      </c>
      <c r="Q3" s="157" t="s">
        <v>12</v>
      </c>
      <c r="R3" s="157" t="s">
        <v>13</v>
      </c>
      <c r="S3" s="157" t="s">
        <v>14</v>
      </c>
      <c r="T3" s="157" t="s">
        <v>2</v>
      </c>
      <c r="U3" s="157" t="s">
        <v>15</v>
      </c>
      <c r="V3" s="157" t="s">
        <v>21</v>
      </c>
      <c r="W3" s="157" t="s">
        <v>820</v>
      </c>
      <c r="X3" s="157" t="s">
        <v>16</v>
      </c>
      <c r="Y3" s="157" t="s">
        <v>3</v>
      </c>
      <c r="Z3" s="157" t="s">
        <v>821</v>
      </c>
      <c r="AA3" s="157" t="s">
        <v>17</v>
      </c>
      <c r="AB3" s="157" t="s">
        <v>822</v>
      </c>
      <c r="AC3" s="157" t="s">
        <v>18</v>
      </c>
      <c r="AD3" s="157" t="s">
        <v>22</v>
      </c>
      <c r="AE3" s="157" t="s">
        <v>19</v>
      </c>
      <c r="AF3" s="157" t="s">
        <v>20</v>
      </c>
      <c r="AG3" s="157" t="s">
        <v>823</v>
      </c>
      <c r="AH3" s="157" t="s">
        <v>824</v>
      </c>
      <c r="AI3" s="157" t="s">
        <v>0</v>
      </c>
      <c r="AJ3" s="157" t="s">
        <v>1</v>
      </c>
      <c r="AK3" s="157" t="s">
        <v>3</v>
      </c>
      <c r="AL3" s="157" t="s">
        <v>2</v>
      </c>
      <c r="AM3" s="157" t="s">
        <v>5</v>
      </c>
      <c r="AN3" s="157" t="s">
        <v>4</v>
      </c>
      <c r="AO3" s="157" t="s">
        <v>825</v>
      </c>
      <c r="AP3" s="155"/>
    </row>
    <row r="4" spans="1:42" ht="23.4">
      <c r="A4" s="161">
        <v>1</v>
      </c>
      <c r="B4" s="161" t="s">
        <v>826</v>
      </c>
      <c r="C4" s="85">
        <v>3</v>
      </c>
      <c r="D4" s="162" t="s">
        <v>827</v>
      </c>
      <c r="E4" s="163">
        <v>2</v>
      </c>
      <c r="F4" s="163" t="s">
        <v>828</v>
      </c>
      <c r="G4" s="164">
        <v>12</v>
      </c>
      <c r="H4" s="164">
        <v>4</v>
      </c>
      <c r="I4" s="164">
        <v>158770</v>
      </c>
      <c r="J4" s="164"/>
      <c r="K4" s="164">
        <v>2</v>
      </c>
      <c r="L4" s="164">
        <v>0</v>
      </c>
      <c r="M4" s="164">
        <v>0</v>
      </c>
      <c r="N4" s="164">
        <v>0</v>
      </c>
      <c r="O4" s="164">
        <v>0</v>
      </c>
      <c r="P4" s="164">
        <v>0</v>
      </c>
      <c r="Q4" s="164">
        <v>0</v>
      </c>
      <c r="R4" s="164">
        <v>1</v>
      </c>
      <c r="S4" s="164">
        <v>0</v>
      </c>
      <c r="T4" s="164">
        <v>0</v>
      </c>
      <c r="U4" s="164">
        <v>2</v>
      </c>
      <c r="V4" s="164">
        <v>1</v>
      </c>
      <c r="W4" s="164">
        <v>0</v>
      </c>
      <c r="X4" s="164">
        <v>0</v>
      </c>
      <c r="Y4" s="164">
        <v>0</v>
      </c>
      <c r="Z4" s="164">
        <v>0</v>
      </c>
      <c r="AA4" s="164">
        <v>1</v>
      </c>
      <c r="AB4" s="164">
        <v>0</v>
      </c>
      <c r="AC4" s="164">
        <v>0</v>
      </c>
      <c r="AD4" s="164">
        <v>0</v>
      </c>
      <c r="AE4" s="164">
        <v>0</v>
      </c>
      <c r="AF4" s="164">
        <v>0</v>
      </c>
      <c r="AG4" s="164">
        <v>0</v>
      </c>
      <c r="AH4" s="164">
        <v>117179.9016</v>
      </c>
      <c r="AI4" s="164">
        <v>41589.000119999997</v>
      </c>
      <c r="AJ4" s="164">
        <v>0</v>
      </c>
      <c r="AK4" s="164">
        <v>0</v>
      </c>
      <c r="AL4" s="164">
        <v>0</v>
      </c>
      <c r="AM4" s="164">
        <v>0</v>
      </c>
      <c r="AN4" s="164">
        <v>0</v>
      </c>
      <c r="AO4" s="164">
        <v>0</v>
      </c>
      <c r="AP4" s="143"/>
    </row>
    <row r="5" spans="1:42" ht="13.2">
      <c r="A5" s="161">
        <v>2</v>
      </c>
      <c r="B5" s="165" t="s">
        <v>829</v>
      </c>
      <c r="C5" s="166"/>
      <c r="D5" s="167"/>
      <c r="E5" s="163">
        <v>0</v>
      </c>
      <c r="F5" s="163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43"/>
    </row>
    <row r="6" spans="1:42" ht="23.4">
      <c r="A6" s="161">
        <v>3</v>
      </c>
      <c r="B6" s="161" t="s">
        <v>830</v>
      </c>
      <c r="C6" s="85">
        <v>3</v>
      </c>
      <c r="D6" s="162" t="s">
        <v>827</v>
      </c>
      <c r="E6" s="163">
        <v>2</v>
      </c>
      <c r="F6" s="163" t="s">
        <v>831</v>
      </c>
      <c r="G6" s="164">
        <v>49</v>
      </c>
      <c r="H6" s="164">
        <v>29</v>
      </c>
      <c r="I6" s="164">
        <v>1308636</v>
      </c>
      <c r="J6" s="164"/>
      <c r="K6" s="164">
        <v>16</v>
      </c>
      <c r="L6" s="164">
        <v>0</v>
      </c>
      <c r="M6" s="164">
        <v>0</v>
      </c>
      <c r="N6" s="164">
        <v>0</v>
      </c>
      <c r="O6" s="164">
        <v>0</v>
      </c>
      <c r="P6" s="164">
        <v>0</v>
      </c>
      <c r="Q6" s="164">
        <v>0</v>
      </c>
      <c r="R6" s="164">
        <v>7</v>
      </c>
      <c r="S6" s="164">
        <v>0</v>
      </c>
      <c r="T6" s="164">
        <v>0</v>
      </c>
      <c r="U6" s="164">
        <v>19</v>
      </c>
      <c r="V6" s="164">
        <v>8</v>
      </c>
      <c r="W6" s="164">
        <v>0</v>
      </c>
      <c r="X6" s="164">
        <v>5</v>
      </c>
      <c r="Y6" s="164">
        <v>0</v>
      </c>
      <c r="Z6" s="164">
        <v>0</v>
      </c>
      <c r="AA6" s="164">
        <v>6</v>
      </c>
      <c r="AB6" s="164">
        <v>0</v>
      </c>
      <c r="AC6" s="164">
        <v>0</v>
      </c>
      <c r="AD6" s="164">
        <v>0</v>
      </c>
      <c r="AE6" s="164">
        <v>0</v>
      </c>
      <c r="AF6" s="164">
        <v>0</v>
      </c>
      <c r="AG6" s="164">
        <v>0</v>
      </c>
      <c r="AH6" s="164">
        <v>754083.95449999999</v>
      </c>
      <c r="AI6" s="164">
        <v>255231.4007</v>
      </c>
      <c r="AJ6" s="164">
        <v>299321</v>
      </c>
      <c r="AK6" s="164">
        <v>0</v>
      </c>
      <c r="AL6" s="164">
        <v>0</v>
      </c>
      <c r="AM6" s="164">
        <v>0</v>
      </c>
      <c r="AN6" s="164">
        <v>0</v>
      </c>
      <c r="AO6" s="164">
        <v>0</v>
      </c>
      <c r="AP6" s="143"/>
    </row>
    <row r="7" spans="1:42" ht="23.4">
      <c r="A7" s="161">
        <v>4</v>
      </c>
      <c r="B7" s="161" t="s">
        <v>634</v>
      </c>
      <c r="C7" s="85">
        <v>2</v>
      </c>
      <c r="D7" s="162" t="s">
        <v>832</v>
      </c>
      <c r="E7" s="163">
        <v>2</v>
      </c>
      <c r="F7" s="163" t="s">
        <v>833</v>
      </c>
      <c r="G7" s="164">
        <v>27</v>
      </c>
      <c r="H7" s="164">
        <v>10</v>
      </c>
      <c r="I7" s="164">
        <v>269782</v>
      </c>
      <c r="J7" s="164"/>
      <c r="K7" s="164">
        <v>2</v>
      </c>
      <c r="L7" s="164">
        <v>0</v>
      </c>
      <c r="M7" s="164">
        <v>0</v>
      </c>
      <c r="N7" s="164">
        <v>0</v>
      </c>
      <c r="O7" s="164">
        <v>0</v>
      </c>
      <c r="P7" s="164">
        <v>0</v>
      </c>
      <c r="Q7" s="164">
        <v>0</v>
      </c>
      <c r="R7" s="164">
        <v>0</v>
      </c>
      <c r="S7" s="164">
        <v>0</v>
      </c>
      <c r="T7" s="164">
        <v>0</v>
      </c>
      <c r="U7" s="164">
        <v>8</v>
      </c>
      <c r="V7" s="164">
        <v>0</v>
      </c>
      <c r="W7" s="164">
        <v>0</v>
      </c>
      <c r="X7" s="164">
        <v>2</v>
      </c>
      <c r="Y7" s="164">
        <v>0</v>
      </c>
      <c r="Z7" s="164">
        <v>0</v>
      </c>
      <c r="AA7" s="164">
        <v>2</v>
      </c>
      <c r="AB7" s="164">
        <v>0</v>
      </c>
      <c r="AC7" s="164">
        <v>0</v>
      </c>
      <c r="AD7" s="164">
        <v>0</v>
      </c>
      <c r="AE7" s="164">
        <v>0</v>
      </c>
      <c r="AF7" s="164">
        <v>0</v>
      </c>
      <c r="AG7" s="164">
        <v>0</v>
      </c>
      <c r="AH7" s="164">
        <v>143624.24669999999</v>
      </c>
      <c r="AI7" s="164">
        <v>66363.000239999994</v>
      </c>
      <c r="AJ7" s="164">
        <v>59796</v>
      </c>
      <c r="AK7" s="164">
        <v>0</v>
      </c>
      <c r="AL7" s="164">
        <v>0</v>
      </c>
      <c r="AM7" s="164">
        <v>0</v>
      </c>
      <c r="AN7" s="164">
        <v>0</v>
      </c>
      <c r="AO7" s="164">
        <v>0</v>
      </c>
      <c r="AP7" s="143"/>
    </row>
    <row r="8" spans="1:42" ht="13.2">
      <c r="A8" s="161">
        <v>5</v>
      </c>
      <c r="B8" s="165" t="s">
        <v>834</v>
      </c>
      <c r="C8" s="166"/>
      <c r="D8" s="167"/>
      <c r="E8" s="163"/>
      <c r="F8" s="163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43"/>
    </row>
    <row r="9" spans="1:42" ht="13.2">
      <c r="A9" s="161">
        <v>6</v>
      </c>
      <c r="B9" s="165" t="s">
        <v>835</v>
      </c>
      <c r="C9" s="166"/>
      <c r="D9" s="167"/>
      <c r="E9" s="163"/>
      <c r="F9" s="163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43"/>
    </row>
    <row r="10" spans="1:42" ht="13.2">
      <c r="A10" s="161">
        <v>7</v>
      </c>
      <c r="B10" s="165" t="s">
        <v>836</v>
      </c>
      <c r="C10" s="166"/>
      <c r="D10" s="167"/>
      <c r="E10" s="163"/>
      <c r="F10" s="163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43"/>
    </row>
    <row r="11" spans="1:42" ht="23.4">
      <c r="A11" s="161">
        <v>8</v>
      </c>
      <c r="B11" s="161" t="s">
        <v>633</v>
      </c>
      <c r="C11" s="85">
        <v>3</v>
      </c>
      <c r="D11" s="162" t="s">
        <v>827</v>
      </c>
      <c r="E11" s="163">
        <v>2</v>
      </c>
      <c r="F11" s="163" t="s">
        <v>828</v>
      </c>
      <c r="G11" s="164">
        <v>16</v>
      </c>
      <c r="H11" s="164">
        <v>12</v>
      </c>
      <c r="I11" s="164">
        <v>352873</v>
      </c>
      <c r="J11" s="164"/>
      <c r="K11" s="164">
        <v>12</v>
      </c>
      <c r="L11" s="164">
        <v>0</v>
      </c>
      <c r="M11" s="164">
        <v>0</v>
      </c>
      <c r="N11" s="164">
        <v>0</v>
      </c>
      <c r="O11" s="16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0</v>
      </c>
      <c r="U11" s="164">
        <v>5</v>
      </c>
      <c r="V11" s="164">
        <v>0</v>
      </c>
      <c r="W11" s="164">
        <v>0</v>
      </c>
      <c r="X11" s="164">
        <v>0</v>
      </c>
      <c r="Y11" s="164">
        <v>0</v>
      </c>
      <c r="Z11" s="164">
        <v>0</v>
      </c>
      <c r="AA11" s="164">
        <v>6</v>
      </c>
      <c r="AB11" s="164">
        <v>0</v>
      </c>
      <c r="AC11" s="164">
        <v>0</v>
      </c>
      <c r="AD11" s="164">
        <v>0</v>
      </c>
      <c r="AE11" s="164">
        <v>0</v>
      </c>
      <c r="AF11" s="164">
        <v>0</v>
      </c>
      <c r="AG11" s="164">
        <v>0</v>
      </c>
      <c r="AH11" s="164">
        <v>328251.65980000002</v>
      </c>
      <c r="AI11" s="164">
        <v>24622.600040000001</v>
      </c>
      <c r="AJ11" s="164">
        <v>0</v>
      </c>
      <c r="AK11" s="164">
        <v>0</v>
      </c>
      <c r="AL11" s="164">
        <v>0</v>
      </c>
      <c r="AM11" s="164">
        <v>0</v>
      </c>
      <c r="AN11" s="164">
        <v>0</v>
      </c>
      <c r="AO11" s="164">
        <v>0</v>
      </c>
      <c r="AP11" s="143"/>
    </row>
    <row r="12" spans="1:42" ht="13.2">
      <c r="A12" s="161">
        <v>9</v>
      </c>
      <c r="B12" s="161" t="s">
        <v>837</v>
      </c>
      <c r="C12" s="85">
        <v>1</v>
      </c>
      <c r="D12" s="162" t="s">
        <v>239</v>
      </c>
      <c r="E12" s="163">
        <v>1</v>
      </c>
      <c r="F12" s="163" t="s">
        <v>239</v>
      </c>
      <c r="G12" s="164">
        <v>26</v>
      </c>
      <c r="H12" s="164">
        <v>11</v>
      </c>
      <c r="I12" s="164">
        <v>457656</v>
      </c>
      <c r="J12" s="164"/>
      <c r="K12" s="164">
        <v>0</v>
      </c>
      <c r="L12" s="164">
        <v>0</v>
      </c>
      <c r="M12" s="164">
        <v>0</v>
      </c>
      <c r="N12" s="164">
        <v>0</v>
      </c>
      <c r="O12" s="164">
        <v>0</v>
      </c>
      <c r="P12" s="164">
        <v>0</v>
      </c>
      <c r="Q12" s="164">
        <v>0</v>
      </c>
      <c r="R12" s="164">
        <v>6</v>
      </c>
      <c r="S12" s="164">
        <v>0</v>
      </c>
      <c r="T12" s="164">
        <v>0</v>
      </c>
      <c r="U12" s="164">
        <v>19</v>
      </c>
      <c r="V12" s="164">
        <v>3</v>
      </c>
      <c r="W12" s="164">
        <v>0</v>
      </c>
      <c r="X12" s="164">
        <v>2</v>
      </c>
      <c r="Y12" s="164">
        <v>0</v>
      </c>
      <c r="Z12" s="164">
        <v>0</v>
      </c>
      <c r="AA12" s="164">
        <v>0</v>
      </c>
      <c r="AB12" s="164">
        <v>0</v>
      </c>
      <c r="AC12" s="164">
        <v>0</v>
      </c>
      <c r="AD12" s="164">
        <v>0</v>
      </c>
      <c r="AE12" s="164">
        <v>0</v>
      </c>
      <c r="AF12" s="164">
        <v>0</v>
      </c>
      <c r="AG12" s="164">
        <v>0</v>
      </c>
      <c r="AH12" s="164">
        <v>28352.5</v>
      </c>
      <c r="AI12" s="164">
        <v>424716.60129999998</v>
      </c>
      <c r="AJ12" s="164">
        <v>4587</v>
      </c>
      <c r="AK12" s="164">
        <v>0</v>
      </c>
      <c r="AL12" s="164">
        <v>0</v>
      </c>
      <c r="AM12" s="164">
        <v>0</v>
      </c>
      <c r="AN12" s="164">
        <v>0</v>
      </c>
      <c r="AO12" s="164">
        <v>0</v>
      </c>
      <c r="AP12" s="143"/>
    </row>
    <row r="13" spans="1:42" ht="13.2">
      <c r="A13" s="161">
        <v>10</v>
      </c>
      <c r="B13" s="165" t="s">
        <v>838</v>
      </c>
      <c r="C13" s="166"/>
      <c r="D13" s="167"/>
      <c r="E13" s="163"/>
      <c r="F13" s="163"/>
      <c r="G13" s="164">
        <v>1</v>
      </c>
      <c r="H13" s="164">
        <v>0</v>
      </c>
      <c r="I13" s="164"/>
      <c r="J13" s="164"/>
      <c r="K13" s="164">
        <v>0</v>
      </c>
      <c r="L13" s="164">
        <v>0</v>
      </c>
      <c r="M13" s="164">
        <v>0</v>
      </c>
      <c r="N13" s="164">
        <v>0</v>
      </c>
      <c r="O13" s="164">
        <v>0</v>
      </c>
      <c r="P13" s="164">
        <v>0</v>
      </c>
      <c r="Q13" s="164">
        <v>0</v>
      </c>
      <c r="R13" s="164">
        <v>0</v>
      </c>
      <c r="S13" s="164">
        <v>0</v>
      </c>
      <c r="T13" s="164">
        <v>0</v>
      </c>
      <c r="U13" s="164">
        <v>0</v>
      </c>
      <c r="V13" s="164">
        <v>0</v>
      </c>
      <c r="W13" s="164">
        <v>0</v>
      </c>
      <c r="X13" s="164">
        <v>0</v>
      </c>
      <c r="Y13" s="164">
        <v>0</v>
      </c>
      <c r="Z13" s="164">
        <v>0</v>
      </c>
      <c r="AA13" s="164">
        <v>0</v>
      </c>
      <c r="AB13" s="164">
        <v>0</v>
      </c>
      <c r="AC13" s="164">
        <v>0</v>
      </c>
      <c r="AD13" s="164">
        <v>0</v>
      </c>
      <c r="AE13" s="164">
        <v>0</v>
      </c>
      <c r="AF13" s="164">
        <v>0</v>
      </c>
      <c r="AG13" s="164"/>
      <c r="AH13" s="164"/>
      <c r="AI13" s="164"/>
      <c r="AJ13" s="164"/>
      <c r="AK13" s="164"/>
      <c r="AL13" s="164"/>
      <c r="AM13" s="164"/>
      <c r="AN13" s="164"/>
      <c r="AO13" s="164"/>
      <c r="AP13" s="143"/>
    </row>
    <row r="14" spans="1:42" ht="13.2">
      <c r="A14" s="161">
        <v>11</v>
      </c>
      <c r="B14" s="161" t="s">
        <v>839</v>
      </c>
      <c r="C14" s="85">
        <v>1</v>
      </c>
      <c r="D14" s="162" t="s">
        <v>239</v>
      </c>
      <c r="E14" s="163">
        <v>1</v>
      </c>
      <c r="F14" s="163" t="s">
        <v>239</v>
      </c>
      <c r="G14" s="164">
        <v>2</v>
      </c>
      <c r="H14" s="164">
        <v>1</v>
      </c>
      <c r="I14" s="164">
        <v>37814</v>
      </c>
      <c r="J14" s="164"/>
      <c r="K14" s="164">
        <v>0</v>
      </c>
      <c r="L14" s="164">
        <v>0</v>
      </c>
      <c r="M14" s="164">
        <v>0</v>
      </c>
      <c r="N14" s="164">
        <v>0</v>
      </c>
      <c r="O14" s="164">
        <v>0</v>
      </c>
      <c r="P14" s="164">
        <v>0</v>
      </c>
      <c r="Q14" s="164">
        <v>0</v>
      </c>
      <c r="R14" s="164">
        <v>0</v>
      </c>
      <c r="S14" s="164">
        <v>0</v>
      </c>
      <c r="T14" s="164">
        <v>0</v>
      </c>
      <c r="U14" s="164">
        <v>1</v>
      </c>
      <c r="V14" s="164">
        <v>0</v>
      </c>
      <c r="W14" s="164">
        <v>0</v>
      </c>
      <c r="X14" s="164">
        <v>0</v>
      </c>
      <c r="Y14" s="164">
        <v>0</v>
      </c>
      <c r="Z14" s="164">
        <v>0</v>
      </c>
      <c r="AA14" s="164">
        <v>0</v>
      </c>
      <c r="AB14" s="164">
        <v>0</v>
      </c>
      <c r="AC14" s="164">
        <v>0</v>
      </c>
      <c r="AD14" s="164">
        <v>0</v>
      </c>
      <c r="AE14" s="164">
        <v>0</v>
      </c>
      <c r="AF14" s="164">
        <v>0</v>
      </c>
      <c r="AG14" s="164">
        <v>0</v>
      </c>
      <c r="AH14" s="164">
        <v>0</v>
      </c>
      <c r="AI14" s="164">
        <v>37813.599979999999</v>
      </c>
      <c r="AJ14" s="164">
        <v>0</v>
      </c>
      <c r="AK14" s="164">
        <v>0</v>
      </c>
      <c r="AL14" s="164">
        <v>0</v>
      </c>
      <c r="AM14" s="164">
        <v>0</v>
      </c>
      <c r="AN14" s="164">
        <v>0</v>
      </c>
      <c r="AO14" s="164">
        <v>0</v>
      </c>
      <c r="AP14" s="143"/>
    </row>
    <row r="15" spans="1:42" ht="23.4">
      <c r="A15" s="161">
        <v>12</v>
      </c>
      <c r="B15" s="161" t="s">
        <v>664</v>
      </c>
      <c r="C15" s="85">
        <v>2</v>
      </c>
      <c r="D15" s="162" t="s">
        <v>840</v>
      </c>
      <c r="E15" s="163">
        <v>1</v>
      </c>
      <c r="F15" s="163" t="s">
        <v>239</v>
      </c>
      <c r="G15" s="164">
        <v>4</v>
      </c>
      <c r="H15" s="164">
        <v>2</v>
      </c>
      <c r="I15" s="164">
        <v>34551</v>
      </c>
      <c r="J15" s="164"/>
      <c r="K15" s="164">
        <v>0</v>
      </c>
      <c r="L15" s="164">
        <v>0</v>
      </c>
      <c r="M15" s="164">
        <v>0</v>
      </c>
      <c r="N15" s="164">
        <v>0</v>
      </c>
      <c r="O15" s="16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0</v>
      </c>
      <c r="U15" s="164">
        <v>2</v>
      </c>
      <c r="V15" s="164">
        <v>0</v>
      </c>
      <c r="W15" s="164">
        <v>0</v>
      </c>
      <c r="X15" s="164">
        <v>1</v>
      </c>
      <c r="Y15" s="164">
        <v>0</v>
      </c>
      <c r="Z15" s="164">
        <v>0</v>
      </c>
      <c r="AA15" s="164">
        <v>0</v>
      </c>
      <c r="AB15" s="164">
        <v>0</v>
      </c>
      <c r="AC15" s="164">
        <v>0</v>
      </c>
      <c r="AD15" s="164">
        <v>0</v>
      </c>
      <c r="AE15" s="164">
        <v>0</v>
      </c>
      <c r="AF15" s="164">
        <v>0</v>
      </c>
      <c r="AG15" s="164">
        <v>0</v>
      </c>
      <c r="AH15" s="164">
        <v>0</v>
      </c>
      <c r="AI15" s="164">
        <v>31531.5</v>
      </c>
      <c r="AJ15" s="164">
        <v>3019.5</v>
      </c>
      <c r="AK15" s="164">
        <v>0</v>
      </c>
      <c r="AL15" s="164">
        <v>0</v>
      </c>
      <c r="AM15" s="164">
        <v>0</v>
      </c>
      <c r="AN15" s="164">
        <v>0</v>
      </c>
      <c r="AO15" s="164">
        <v>0</v>
      </c>
      <c r="AP15" s="143"/>
    </row>
    <row r="16" spans="1:42" ht="13.2">
      <c r="A16" s="143"/>
      <c r="B16" s="143"/>
      <c r="C16" s="142"/>
      <c r="D16" s="168"/>
      <c r="E16" s="153"/>
      <c r="F16" s="153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3"/>
    </row>
    <row r="17" spans="1:42" ht="13.2">
      <c r="A17" s="143"/>
      <c r="B17" s="143"/>
      <c r="C17" s="142"/>
      <c r="D17" s="168"/>
      <c r="E17" s="143"/>
      <c r="F17" s="143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69"/>
      <c r="AH17" s="169"/>
      <c r="AI17" s="169"/>
      <c r="AJ17" s="169"/>
      <c r="AK17" s="169"/>
      <c r="AL17" s="169"/>
      <c r="AM17" s="169"/>
      <c r="AN17" s="169"/>
      <c r="AO17" s="169"/>
      <c r="AP17" s="170"/>
    </row>
    <row r="18" spans="1:42" ht="13.2">
      <c r="A18" s="143"/>
      <c r="B18" s="143"/>
      <c r="C18" s="142"/>
      <c r="D18" s="168"/>
      <c r="E18" s="143"/>
      <c r="F18" s="143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69"/>
      <c r="AH18" s="169"/>
      <c r="AI18" s="169"/>
      <c r="AJ18" s="169"/>
      <c r="AK18" s="169"/>
      <c r="AL18" s="169"/>
      <c r="AM18" s="169"/>
      <c r="AN18" s="169"/>
      <c r="AO18" s="169"/>
      <c r="AP18" s="170"/>
    </row>
    <row r="19" spans="1:42" ht="13.2">
      <c r="A19" s="143"/>
      <c r="B19" s="143"/>
      <c r="C19" s="142"/>
      <c r="D19" s="168"/>
      <c r="E19" s="143"/>
      <c r="F19" s="143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69"/>
      <c r="AH19" s="169"/>
      <c r="AI19" s="169"/>
      <c r="AJ19" s="169"/>
      <c r="AK19" s="169"/>
      <c r="AL19" s="169"/>
      <c r="AM19" s="169"/>
      <c r="AN19" s="169"/>
      <c r="AO19" s="169"/>
      <c r="AP19" s="170"/>
    </row>
    <row r="20" spans="1:42" ht="13.2">
      <c r="A20" s="143"/>
      <c r="B20" s="143"/>
      <c r="C20" s="142"/>
      <c r="D20" s="168"/>
      <c r="E20" s="143"/>
      <c r="F20" s="143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69"/>
      <c r="AH20" s="169"/>
      <c r="AI20" s="169"/>
      <c r="AJ20" s="169"/>
      <c r="AK20" s="169"/>
      <c r="AL20" s="169"/>
      <c r="AM20" s="169"/>
      <c r="AN20" s="169"/>
      <c r="AO20" s="169"/>
      <c r="AP20" s="170"/>
    </row>
    <row r="21" spans="1:42" ht="13.2">
      <c r="A21" s="143"/>
      <c r="B21" s="143"/>
      <c r="C21" s="142"/>
      <c r="D21" s="168"/>
      <c r="E21" s="143"/>
      <c r="F21" s="143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69"/>
      <c r="AH21" s="169"/>
      <c r="AI21" s="169"/>
      <c r="AJ21" s="169"/>
      <c r="AK21" s="169"/>
      <c r="AL21" s="169"/>
      <c r="AM21" s="169"/>
      <c r="AN21" s="169"/>
      <c r="AO21" s="169"/>
      <c r="AP21" s="170"/>
    </row>
    <row r="22" spans="1:42" ht="13.2">
      <c r="A22" s="143"/>
      <c r="B22" s="143"/>
      <c r="C22" s="142"/>
      <c r="D22" s="168"/>
      <c r="E22" s="143"/>
      <c r="F22" s="143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69"/>
      <c r="AH22" s="169"/>
      <c r="AI22" s="169"/>
      <c r="AJ22" s="169"/>
      <c r="AK22" s="169"/>
      <c r="AL22" s="169"/>
      <c r="AM22" s="169"/>
      <c r="AN22" s="169"/>
      <c r="AO22" s="169"/>
      <c r="AP22" s="170"/>
    </row>
    <row r="23" spans="1:42" ht="13.2">
      <c r="A23" s="143"/>
      <c r="B23" s="143"/>
      <c r="C23" s="142"/>
      <c r="D23" s="168"/>
      <c r="E23" s="143"/>
      <c r="F23" s="143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69"/>
      <c r="AH23" s="169"/>
      <c r="AI23" s="169"/>
      <c r="AJ23" s="169"/>
      <c r="AK23" s="169"/>
      <c r="AL23" s="169"/>
      <c r="AM23" s="169"/>
      <c r="AN23" s="169"/>
      <c r="AO23" s="169"/>
      <c r="AP23" s="170"/>
    </row>
    <row r="24" spans="1:42" ht="13.2">
      <c r="A24" s="143"/>
      <c r="B24" s="143"/>
      <c r="C24" s="142"/>
      <c r="D24" s="168"/>
      <c r="E24" s="143"/>
      <c r="F24" s="143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69"/>
      <c r="AH24" s="169"/>
      <c r="AI24" s="169"/>
      <c r="AJ24" s="169"/>
      <c r="AK24" s="169"/>
      <c r="AL24" s="169"/>
      <c r="AM24" s="169"/>
      <c r="AN24" s="169"/>
      <c r="AO24" s="169"/>
      <c r="AP24" s="170"/>
    </row>
    <row r="25" spans="1:42" ht="13.2">
      <c r="A25" s="143"/>
      <c r="B25" s="143"/>
      <c r="C25" s="142"/>
      <c r="D25" s="168"/>
      <c r="E25" s="143"/>
      <c r="F25" s="143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69"/>
      <c r="AH25" s="169"/>
      <c r="AI25" s="169"/>
      <c r="AJ25" s="169"/>
      <c r="AK25" s="169"/>
      <c r="AL25" s="169"/>
      <c r="AM25" s="169"/>
      <c r="AN25" s="169"/>
      <c r="AO25" s="169"/>
      <c r="AP25" s="170"/>
    </row>
    <row r="26" spans="1:42" ht="13.2">
      <c r="A26" s="143"/>
      <c r="B26" s="143"/>
      <c r="C26" s="142"/>
      <c r="D26" s="168"/>
      <c r="E26" s="143"/>
      <c r="F26" s="143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69"/>
      <c r="AH26" s="169"/>
      <c r="AI26" s="169"/>
      <c r="AJ26" s="169"/>
      <c r="AK26" s="169"/>
      <c r="AL26" s="169"/>
      <c r="AM26" s="169"/>
      <c r="AN26" s="169"/>
      <c r="AO26" s="169"/>
      <c r="AP26" s="170"/>
    </row>
    <row r="27" spans="1:42" ht="13.2">
      <c r="A27" s="143"/>
      <c r="B27" s="143"/>
      <c r="C27" s="142"/>
      <c r="D27" s="168"/>
      <c r="E27" s="143"/>
      <c r="F27" s="143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69"/>
      <c r="AH27" s="169"/>
      <c r="AI27" s="169"/>
      <c r="AJ27" s="169"/>
      <c r="AK27" s="169"/>
      <c r="AL27" s="169"/>
      <c r="AM27" s="169"/>
      <c r="AN27" s="169"/>
      <c r="AO27" s="169"/>
      <c r="AP27" s="170"/>
    </row>
    <row r="28" spans="1:42" ht="13.2">
      <c r="A28" s="143"/>
      <c r="B28" s="143"/>
      <c r="C28" s="142"/>
      <c r="D28" s="168"/>
      <c r="E28" s="143"/>
      <c r="F28" s="143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69"/>
      <c r="AH28" s="169"/>
      <c r="AI28" s="169"/>
      <c r="AJ28" s="169"/>
      <c r="AK28" s="169"/>
      <c r="AL28" s="169"/>
      <c r="AM28" s="169"/>
      <c r="AN28" s="169"/>
      <c r="AO28" s="169"/>
      <c r="AP28" s="170"/>
    </row>
    <row r="29" spans="1:42" ht="13.2" hidden="1">
      <c r="A29" s="143"/>
      <c r="B29" s="143"/>
      <c r="C29" s="142"/>
      <c r="D29" s="168"/>
      <c r="E29" s="153"/>
      <c r="F29" s="153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71" t="s">
        <v>841</v>
      </c>
      <c r="AH29" s="172" t="s">
        <v>823</v>
      </c>
      <c r="AI29" s="173" t="s">
        <v>824</v>
      </c>
      <c r="AJ29" s="173" t="s">
        <v>0</v>
      </c>
      <c r="AK29" s="173" t="s">
        <v>1</v>
      </c>
      <c r="AL29" s="173" t="s">
        <v>3</v>
      </c>
      <c r="AM29" s="173" t="s">
        <v>2</v>
      </c>
      <c r="AN29" s="173" t="s">
        <v>5</v>
      </c>
      <c r="AO29" s="173" t="s">
        <v>4</v>
      </c>
      <c r="AP29" s="174" t="s">
        <v>825</v>
      </c>
    </row>
    <row r="30" spans="1:42" ht="13.2" hidden="1">
      <c r="A30" s="143"/>
      <c r="B30" s="175" t="s">
        <v>810</v>
      </c>
      <c r="C30" s="176"/>
      <c r="D30" s="177" t="s">
        <v>115</v>
      </c>
      <c r="E30" s="153"/>
      <c r="F30" s="153" t="s">
        <v>841</v>
      </c>
      <c r="G30" s="142"/>
      <c r="H30" s="142"/>
      <c r="I30" s="142"/>
      <c r="J30" s="142"/>
      <c r="K30" s="142" t="s">
        <v>3</v>
      </c>
      <c r="L30" s="142" t="s">
        <v>2</v>
      </c>
      <c r="M30" s="142" t="s">
        <v>5</v>
      </c>
      <c r="N30" s="142" t="s">
        <v>4</v>
      </c>
      <c r="O30" s="142" t="s">
        <v>825</v>
      </c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78" t="s">
        <v>826</v>
      </c>
      <c r="AH30" s="178">
        <v>0</v>
      </c>
      <c r="AI30" s="178">
        <v>117179.9016</v>
      </c>
      <c r="AJ30" s="178">
        <v>41589.000119999997</v>
      </c>
      <c r="AK30" s="178">
        <v>0</v>
      </c>
      <c r="AL30" s="178">
        <v>0</v>
      </c>
      <c r="AM30" s="178">
        <v>0</v>
      </c>
      <c r="AN30" s="178">
        <v>0</v>
      </c>
      <c r="AO30" s="178">
        <v>0</v>
      </c>
      <c r="AP30" s="179">
        <v>0</v>
      </c>
    </row>
    <row r="31" spans="1:42" ht="13.2" hidden="1">
      <c r="A31" s="143"/>
      <c r="B31" s="175" t="s">
        <v>634</v>
      </c>
      <c r="C31" s="176"/>
      <c r="D31" s="180">
        <v>269782</v>
      </c>
      <c r="E31" s="153"/>
      <c r="F31" s="153" t="s">
        <v>826</v>
      </c>
      <c r="G31" s="142"/>
      <c r="H31" s="142"/>
      <c r="I31" s="142"/>
      <c r="J31" s="142"/>
      <c r="K31" s="142">
        <v>0</v>
      </c>
      <c r="L31" s="142">
        <v>0</v>
      </c>
      <c r="M31" s="142">
        <v>0</v>
      </c>
      <c r="N31" s="142">
        <v>0</v>
      </c>
      <c r="O31" s="142">
        <v>0</v>
      </c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78" t="s">
        <v>830</v>
      </c>
      <c r="AH31" s="178">
        <v>0</v>
      </c>
      <c r="AI31" s="178">
        <v>754083.95449999999</v>
      </c>
      <c r="AJ31" s="178">
        <v>255231.4007</v>
      </c>
      <c r="AK31" s="178">
        <v>299321</v>
      </c>
      <c r="AL31" s="178">
        <v>0</v>
      </c>
      <c r="AM31" s="178">
        <v>0</v>
      </c>
      <c r="AN31" s="178">
        <v>0</v>
      </c>
      <c r="AO31" s="178">
        <v>0</v>
      </c>
      <c r="AP31" s="179">
        <v>0</v>
      </c>
    </row>
    <row r="32" spans="1:42" ht="13.2" hidden="1">
      <c r="A32" s="143"/>
      <c r="B32" s="175" t="s">
        <v>837</v>
      </c>
      <c r="C32" s="176"/>
      <c r="D32" s="180">
        <v>457656</v>
      </c>
      <c r="E32" s="153"/>
      <c r="F32" s="153" t="s">
        <v>830</v>
      </c>
      <c r="G32" s="142"/>
      <c r="H32" s="142"/>
      <c r="I32" s="142"/>
      <c r="J32" s="142"/>
      <c r="K32" s="142">
        <v>0</v>
      </c>
      <c r="L32" s="142">
        <v>0</v>
      </c>
      <c r="M32" s="142">
        <v>0</v>
      </c>
      <c r="N32" s="142">
        <v>0</v>
      </c>
      <c r="O32" s="142">
        <v>0</v>
      </c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78" t="s">
        <v>634</v>
      </c>
      <c r="AH32" s="178">
        <v>0</v>
      </c>
      <c r="AI32" s="178">
        <v>143624.24669999999</v>
      </c>
      <c r="AJ32" s="178">
        <v>66363.000239999994</v>
      </c>
      <c r="AK32" s="178">
        <v>59796</v>
      </c>
      <c r="AL32" s="178">
        <v>0</v>
      </c>
      <c r="AM32" s="178">
        <v>0</v>
      </c>
      <c r="AN32" s="178">
        <v>0</v>
      </c>
      <c r="AO32" s="178">
        <v>0</v>
      </c>
      <c r="AP32" s="179">
        <v>0</v>
      </c>
    </row>
    <row r="33" spans="1:42" ht="13.2" hidden="1">
      <c r="A33" s="143"/>
      <c r="B33" s="211" t="s">
        <v>830</v>
      </c>
      <c r="C33" s="205"/>
      <c r="D33" s="180">
        <v>1308636</v>
      </c>
      <c r="E33" s="153"/>
      <c r="F33" s="153" t="s">
        <v>634</v>
      </c>
      <c r="G33" s="142"/>
      <c r="H33" s="142"/>
      <c r="I33" s="142"/>
      <c r="J33" s="142"/>
      <c r="K33" s="142">
        <v>0</v>
      </c>
      <c r="L33" s="142">
        <v>0</v>
      </c>
      <c r="M33" s="142">
        <v>0</v>
      </c>
      <c r="N33" s="142">
        <v>0</v>
      </c>
      <c r="O33" s="142">
        <v>0</v>
      </c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78" t="s">
        <v>633</v>
      </c>
      <c r="AH33" s="178">
        <v>0</v>
      </c>
      <c r="AI33" s="178">
        <v>328251.65980000002</v>
      </c>
      <c r="AJ33" s="178">
        <v>24622.600040000001</v>
      </c>
      <c r="AK33" s="178">
        <v>0</v>
      </c>
      <c r="AL33" s="178">
        <v>0</v>
      </c>
      <c r="AM33" s="178">
        <v>0</v>
      </c>
      <c r="AN33" s="178">
        <v>0</v>
      </c>
      <c r="AO33" s="178">
        <v>0</v>
      </c>
      <c r="AP33" s="179">
        <v>0</v>
      </c>
    </row>
    <row r="34" spans="1:42" ht="13.2" hidden="1">
      <c r="A34" s="143"/>
      <c r="B34" s="211" t="s">
        <v>826</v>
      </c>
      <c r="C34" s="205"/>
      <c r="D34" s="180">
        <v>158770</v>
      </c>
      <c r="E34" s="153"/>
      <c r="F34" s="153" t="s">
        <v>633</v>
      </c>
      <c r="G34" s="142"/>
      <c r="H34" s="142"/>
      <c r="I34" s="142"/>
      <c r="J34" s="142"/>
      <c r="K34" s="142">
        <v>0</v>
      </c>
      <c r="L34" s="142">
        <v>0</v>
      </c>
      <c r="M34" s="142">
        <v>0</v>
      </c>
      <c r="N34" s="142">
        <v>0</v>
      </c>
      <c r="O34" s="142">
        <v>0</v>
      </c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78" t="s">
        <v>837</v>
      </c>
      <c r="AH34" s="178">
        <v>0</v>
      </c>
      <c r="AI34" s="178">
        <v>28352.5</v>
      </c>
      <c r="AJ34" s="178">
        <v>424716.60129999998</v>
      </c>
      <c r="AK34" s="178">
        <v>4587</v>
      </c>
      <c r="AL34" s="178">
        <v>0</v>
      </c>
      <c r="AM34" s="178">
        <v>0</v>
      </c>
      <c r="AN34" s="178">
        <v>0</v>
      </c>
      <c r="AO34" s="178">
        <v>0</v>
      </c>
      <c r="AP34" s="179">
        <v>0</v>
      </c>
    </row>
    <row r="35" spans="1:42" ht="13.2" hidden="1">
      <c r="A35" s="143"/>
      <c r="B35" s="175" t="s">
        <v>839</v>
      </c>
      <c r="C35" s="176"/>
      <c r="D35" s="180">
        <v>37814</v>
      </c>
      <c r="E35" s="153"/>
      <c r="F35" s="153" t="s">
        <v>837</v>
      </c>
      <c r="G35" s="142"/>
      <c r="H35" s="142"/>
      <c r="I35" s="142"/>
      <c r="J35" s="142"/>
      <c r="K35" s="142">
        <v>0</v>
      </c>
      <c r="L35" s="142">
        <v>0</v>
      </c>
      <c r="M35" s="142">
        <v>0</v>
      </c>
      <c r="N35" s="142">
        <v>0</v>
      </c>
      <c r="O35" s="142">
        <v>0</v>
      </c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78" t="s">
        <v>839</v>
      </c>
      <c r="AH35" s="178">
        <v>0</v>
      </c>
      <c r="AI35" s="178">
        <v>0</v>
      </c>
      <c r="AJ35" s="178">
        <v>37813.599979999999</v>
      </c>
      <c r="AK35" s="178">
        <v>0</v>
      </c>
      <c r="AL35" s="178">
        <v>0</v>
      </c>
      <c r="AM35" s="178">
        <v>0</v>
      </c>
      <c r="AN35" s="178">
        <v>0</v>
      </c>
      <c r="AO35" s="178">
        <v>0</v>
      </c>
      <c r="AP35" s="179">
        <v>0</v>
      </c>
    </row>
    <row r="36" spans="1:42" ht="13.2" hidden="1">
      <c r="A36" s="143"/>
      <c r="B36" s="175" t="s">
        <v>664</v>
      </c>
      <c r="C36" s="176"/>
      <c r="D36" s="180">
        <v>34551</v>
      </c>
      <c r="E36" s="153"/>
      <c r="F36" s="153" t="s">
        <v>839</v>
      </c>
      <c r="G36" s="142"/>
      <c r="H36" s="142"/>
      <c r="I36" s="142"/>
      <c r="J36" s="142"/>
      <c r="K36" s="142">
        <v>0</v>
      </c>
      <c r="L36" s="142">
        <v>0</v>
      </c>
      <c r="M36" s="142">
        <v>0</v>
      </c>
      <c r="N36" s="142">
        <v>0</v>
      </c>
      <c r="O36" s="142">
        <v>0</v>
      </c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78" t="s">
        <v>664</v>
      </c>
      <c r="AH36" s="178">
        <v>0</v>
      </c>
      <c r="AI36" s="178">
        <v>0</v>
      </c>
      <c r="AJ36" s="178">
        <v>31531.5</v>
      </c>
      <c r="AK36" s="178">
        <v>3019.5</v>
      </c>
      <c r="AL36" s="178">
        <v>0</v>
      </c>
      <c r="AM36" s="178">
        <v>0</v>
      </c>
      <c r="AN36" s="178">
        <v>0</v>
      </c>
      <c r="AO36" s="178">
        <v>0</v>
      </c>
      <c r="AP36" s="179">
        <v>0</v>
      </c>
    </row>
    <row r="37" spans="1:42" ht="13.2" hidden="1">
      <c r="A37" s="143"/>
      <c r="B37" s="175" t="s">
        <v>633</v>
      </c>
      <c r="C37" s="176"/>
      <c r="D37" s="180">
        <v>352873</v>
      </c>
      <c r="E37" s="153"/>
      <c r="F37" s="153" t="s">
        <v>664</v>
      </c>
      <c r="G37" s="142"/>
      <c r="H37" s="142"/>
      <c r="I37" s="142"/>
      <c r="J37" s="142"/>
      <c r="K37" s="142">
        <v>0</v>
      </c>
      <c r="L37" s="142">
        <v>0</v>
      </c>
      <c r="M37" s="142">
        <v>0</v>
      </c>
      <c r="N37" s="142">
        <v>0</v>
      </c>
      <c r="O37" s="142">
        <v>0</v>
      </c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3"/>
    </row>
    <row r="38" spans="1:42" ht="13.2" hidden="1">
      <c r="A38" s="143"/>
      <c r="B38" s="175" t="s">
        <v>838</v>
      </c>
      <c r="C38" s="176"/>
      <c r="D38" s="180">
        <v>0</v>
      </c>
      <c r="E38" s="153"/>
      <c r="F38" s="153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3"/>
    </row>
    <row r="39" spans="1:42" ht="13.2" hidden="1">
      <c r="A39" s="143"/>
      <c r="B39" s="143"/>
      <c r="C39" s="142"/>
      <c r="D39" s="168">
        <f>SUM(D31:D38)</f>
        <v>2620082</v>
      </c>
      <c r="E39" s="153"/>
      <c r="F39" s="153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3"/>
    </row>
    <row r="40" spans="1:42" ht="13.2" hidden="1">
      <c r="A40" s="143"/>
      <c r="B40" s="143"/>
      <c r="C40" s="142"/>
      <c r="D40" s="168"/>
      <c r="E40" s="153"/>
      <c r="F40" s="153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3"/>
    </row>
    <row r="41" spans="1:42" ht="13.2" hidden="1">
      <c r="A41" s="143"/>
      <c r="B41" s="143"/>
      <c r="C41" s="142"/>
      <c r="D41" s="168"/>
      <c r="E41" s="153"/>
      <c r="F41" s="153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3"/>
    </row>
    <row r="42" spans="1:42" ht="13.2" hidden="1">
      <c r="A42" s="143"/>
      <c r="B42" s="143"/>
      <c r="C42" s="142"/>
      <c r="D42" s="168"/>
      <c r="E42" s="153"/>
      <c r="F42" s="153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3"/>
    </row>
    <row r="43" spans="1:42" ht="13.2" hidden="1">
      <c r="A43" s="143"/>
      <c r="B43" s="143"/>
      <c r="C43" s="142"/>
      <c r="D43" s="168"/>
      <c r="E43" s="153"/>
      <c r="F43" s="153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3"/>
    </row>
    <row r="44" spans="1:42" ht="13.2" hidden="1">
      <c r="A44" s="143"/>
      <c r="B44" s="143"/>
      <c r="C44" s="142"/>
      <c r="D44" s="168"/>
      <c r="E44" s="153"/>
      <c r="F44" s="153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3"/>
    </row>
    <row r="45" spans="1:42" ht="13.2" hidden="1">
      <c r="A45" s="143"/>
      <c r="B45" s="143"/>
      <c r="C45" s="142"/>
      <c r="D45" s="168"/>
      <c r="E45" s="153"/>
      <c r="F45" s="153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3"/>
    </row>
    <row r="46" spans="1:42" ht="13.2" hidden="1">
      <c r="A46" s="143"/>
      <c r="B46" s="143"/>
      <c r="C46" s="142"/>
      <c r="D46" s="168"/>
      <c r="E46" s="153"/>
      <c r="F46" s="153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3"/>
    </row>
    <row r="47" spans="1:42" ht="13.2" hidden="1">
      <c r="A47" s="143"/>
      <c r="B47" s="143"/>
      <c r="C47" s="142"/>
      <c r="D47" s="168"/>
      <c r="E47" s="153"/>
      <c r="F47" s="153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3"/>
    </row>
    <row r="48" spans="1:42" ht="13.2" hidden="1">
      <c r="A48" s="143"/>
      <c r="B48" s="143"/>
      <c r="C48" s="142"/>
      <c r="D48" s="168"/>
      <c r="E48" s="153"/>
      <c r="F48" s="153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3"/>
    </row>
    <row r="49" spans="1:42" ht="13.2" hidden="1">
      <c r="A49" s="143"/>
      <c r="B49" s="143"/>
      <c r="C49" s="142"/>
      <c r="D49" s="168"/>
      <c r="E49" s="153"/>
      <c r="F49" s="153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3"/>
    </row>
    <row r="50" spans="1:42" ht="13.2" hidden="1">
      <c r="A50" s="143"/>
      <c r="B50" s="143"/>
      <c r="C50" s="142"/>
      <c r="D50" s="168"/>
      <c r="E50" s="153"/>
      <c r="F50" s="153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3"/>
    </row>
    <row r="51" spans="1:42" ht="13.2" hidden="1">
      <c r="A51" s="143"/>
      <c r="B51" s="143"/>
      <c r="C51" s="142"/>
      <c r="D51" s="168"/>
      <c r="E51" s="153"/>
      <c r="F51" s="153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3"/>
    </row>
    <row r="52" spans="1:42" ht="13.2" hidden="1">
      <c r="A52" s="143"/>
      <c r="B52" s="143"/>
      <c r="C52" s="142"/>
      <c r="D52" s="168"/>
      <c r="E52" s="153"/>
      <c r="F52" s="153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3"/>
    </row>
    <row r="53" spans="1:42" ht="13.2" hidden="1">
      <c r="A53" s="143"/>
      <c r="B53" s="143"/>
      <c r="C53" s="142"/>
      <c r="D53" s="168"/>
      <c r="E53" s="153"/>
      <c r="F53" s="153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3"/>
    </row>
    <row r="54" spans="1:42" ht="13.2" hidden="1">
      <c r="A54" s="143"/>
      <c r="B54" s="143"/>
      <c r="C54" s="142"/>
      <c r="D54" s="168"/>
      <c r="E54" s="153"/>
      <c r="F54" s="153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3"/>
    </row>
    <row r="55" spans="1:42" ht="13.2" hidden="1">
      <c r="A55" s="143"/>
      <c r="B55" s="143"/>
      <c r="C55" s="142"/>
      <c r="D55" s="168"/>
      <c r="E55" s="153"/>
      <c r="F55" s="153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3"/>
    </row>
    <row r="56" spans="1:42" ht="13.2" hidden="1">
      <c r="A56" s="143"/>
      <c r="B56" s="143"/>
      <c r="C56" s="142"/>
      <c r="D56" s="168"/>
      <c r="E56" s="153"/>
      <c r="F56" s="153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3"/>
    </row>
    <row r="57" spans="1:42" ht="13.2" hidden="1">
      <c r="A57" s="143"/>
      <c r="B57" s="143"/>
      <c r="C57" s="142"/>
      <c r="D57" s="168"/>
      <c r="E57" s="153"/>
      <c r="F57" s="153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3"/>
    </row>
    <row r="58" spans="1:42" ht="13.2" hidden="1">
      <c r="A58" s="143"/>
      <c r="B58" s="143"/>
      <c r="C58" s="142"/>
      <c r="D58" s="168"/>
      <c r="E58" s="153"/>
      <c r="F58" s="153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3"/>
    </row>
    <row r="59" spans="1:42" ht="13.2" hidden="1">
      <c r="A59" s="143"/>
      <c r="B59" s="143"/>
      <c r="C59" s="142"/>
      <c r="D59" s="168"/>
      <c r="E59" s="153"/>
      <c r="F59" s="153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3"/>
    </row>
    <row r="60" spans="1:42" ht="13.2" hidden="1">
      <c r="A60" s="143"/>
      <c r="B60" s="143"/>
      <c r="C60" s="142"/>
      <c r="D60" s="168"/>
      <c r="E60" s="153"/>
      <c r="F60" s="153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3"/>
    </row>
    <row r="61" spans="1:42" ht="13.2" hidden="1">
      <c r="A61" s="143"/>
      <c r="B61" s="143"/>
      <c r="C61" s="142"/>
      <c r="D61" s="168"/>
      <c r="E61" s="153"/>
      <c r="F61" s="153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3"/>
    </row>
    <row r="62" spans="1:42" ht="13.2" hidden="1">
      <c r="A62" s="143"/>
      <c r="B62" s="143"/>
      <c r="C62" s="142"/>
      <c r="D62" s="168"/>
      <c r="E62" s="153"/>
      <c r="F62" s="153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3"/>
    </row>
    <row r="63" spans="1:42" ht="13.2" hidden="1">
      <c r="A63" s="143"/>
      <c r="B63" s="143"/>
      <c r="C63" s="142"/>
      <c r="D63" s="168"/>
      <c r="E63" s="153"/>
      <c r="F63" s="153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3"/>
    </row>
    <row r="64" spans="1:42" ht="13.2" hidden="1">
      <c r="A64" s="143"/>
      <c r="B64" s="143"/>
      <c r="C64" s="142"/>
      <c r="D64" s="168"/>
      <c r="E64" s="153"/>
      <c r="F64" s="153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3"/>
    </row>
    <row r="65" spans="1:42" ht="13.2" hidden="1">
      <c r="A65" s="143"/>
      <c r="B65" s="143"/>
      <c r="C65" s="142"/>
      <c r="D65" s="168"/>
      <c r="E65" s="153"/>
      <c r="F65" s="153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3"/>
    </row>
    <row r="66" spans="1:42" ht="13.2" hidden="1">
      <c r="A66" s="143"/>
      <c r="B66" s="143"/>
      <c r="C66" s="142"/>
      <c r="D66" s="168"/>
      <c r="E66" s="153"/>
      <c r="F66" s="153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3"/>
    </row>
    <row r="67" spans="1:42" ht="13.2" hidden="1">
      <c r="A67" s="143"/>
      <c r="B67" s="143"/>
      <c r="C67" s="142"/>
      <c r="D67" s="168"/>
      <c r="E67" s="153"/>
      <c r="F67" s="153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3"/>
    </row>
    <row r="68" spans="1:42" ht="13.2" hidden="1">
      <c r="A68" s="143"/>
      <c r="B68" s="143"/>
      <c r="C68" s="142"/>
      <c r="D68" s="168"/>
      <c r="E68" s="153"/>
      <c r="F68" s="153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3"/>
    </row>
    <row r="69" spans="1:42" ht="13.2" hidden="1">
      <c r="A69" s="143"/>
      <c r="B69" s="143"/>
      <c r="C69" s="142"/>
      <c r="D69" s="168"/>
      <c r="E69" s="153"/>
      <c r="F69" s="153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3"/>
    </row>
    <row r="70" spans="1:42" ht="13.2" hidden="1">
      <c r="A70" s="143"/>
      <c r="B70" s="143"/>
      <c r="C70" s="142"/>
      <c r="D70" s="168"/>
      <c r="E70" s="153"/>
      <c r="F70" s="153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3"/>
    </row>
    <row r="71" spans="1:42" ht="13.2" hidden="1">
      <c r="A71" s="143"/>
      <c r="B71" s="143"/>
      <c r="C71" s="142"/>
      <c r="D71" s="168"/>
      <c r="E71" s="153"/>
      <c r="F71" s="153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3"/>
    </row>
    <row r="72" spans="1:42" ht="13.2" hidden="1">
      <c r="A72" s="143"/>
      <c r="B72" s="143"/>
      <c r="C72" s="142"/>
      <c r="D72" s="168"/>
      <c r="E72" s="153"/>
      <c r="F72" s="153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3"/>
    </row>
    <row r="73" spans="1:42" ht="13.2" hidden="1">
      <c r="A73" s="143"/>
      <c r="B73" s="143"/>
      <c r="C73" s="142"/>
      <c r="D73" s="168"/>
      <c r="E73" s="153"/>
      <c r="F73" s="153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3"/>
    </row>
    <row r="74" spans="1:42" ht="13.2" hidden="1">
      <c r="A74" s="143"/>
      <c r="B74" s="143"/>
      <c r="C74" s="142"/>
      <c r="D74" s="168"/>
      <c r="E74" s="153"/>
      <c r="F74" s="153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3"/>
    </row>
    <row r="75" spans="1:42" ht="13.2" hidden="1">
      <c r="A75" s="143"/>
      <c r="B75" s="143"/>
      <c r="C75" s="142"/>
      <c r="D75" s="168"/>
      <c r="E75" s="153"/>
      <c r="F75" s="153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3"/>
    </row>
    <row r="76" spans="1:42" ht="13.2" hidden="1">
      <c r="A76" s="143"/>
      <c r="B76" s="143"/>
      <c r="C76" s="142"/>
      <c r="D76" s="168"/>
      <c r="E76" s="153"/>
      <c r="F76" s="153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3"/>
    </row>
    <row r="77" spans="1:42" ht="13.2" hidden="1">
      <c r="A77" s="143"/>
      <c r="B77" s="143"/>
      <c r="C77" s="142"/>
      <c r="D77" s="168"/>
      <c r="E77" s="153"/>
      <c r="F77" s="153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3"/>
    </row>
    <row r="78" spans="1:42" ht="13.2" hidden="1">
      <c r="A78" s="143"/>
      <c r="B78" s="143"/>
      <c r="C78" s="142"/>
      <c r="D78" s="168"/>
      <c r="E78" s="153"/>
      <c r="F78" s="153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3"/>
    </row>
    <row r="79" spans="1:42" ht="13.2" hidden="1">
      <c r="A79" s="143"/>
      <c r="B79" s="143"/>
      <c r="C79" s="142"/>
      <c r="D79" s="168"/>
      <c r="E79" s="153"/>
      <c r="F79" s="153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3"/>
    </row>
    <row r="80" spans="1:42" ht="13.2" hidden="1">
      <c r="A80" s="143"/>
      <c r="B80" s="143"/>
      <c r="C80" s="142"/>
      <c r="D80" s="168"/>
      <c r="E80" s="153"/>
      <c r="F80" s="153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3"/>
    </row>
    <row r="81" spans="1:42" ht="13.2" hidden="1">
      <c r="A81" s="143"/>
      <c r="B81" s="143"/>
      <c r="C81" s="142"/>
      <c r="D81" s="168"/>
      <c r="E81" s="153"/>
      <c r="F81" s="153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3"/>
    </row>
    <row r="82" spans="1:42" ht="13.2" hidden="1">
      <c r="A82" s="143"/>
      <c r="B82" s="143"/>
      <c r="C82" s="142"/>
      <c r="D82" s="168"/>
      <c r="E82" s="153"/>
      <c r="F82" s="153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3"/>
    </row>
    <row r="83" spans="1:42" ht="13.2" hidden="1">
      <c r="A83" s="143"/>
      <c r="B83" s="143"/>
      <c r="C83" s="142"/>
      <c r="D83" s="168"/>
      <c r="E83" s="153"/>
      <c r="F83" s="153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3"/>
    </row>
    <row r="84" spans="1:42" ht="13.2" hidden="1">
      <c r="A84" s="143"/>
      <c r="B84" s="143"/>
      <c r="C84" s="142"/>
      <c r="D84" s="168"/>
      <c r="E84" s="153"/>
      <c r="F84" s="153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3"/>
    </row>
    <row r="85" spans="1:42" ht="13.2" hidden="1">
      <c r="A85" s="143"/>
      <c r="B85" s="143"/>
      <c r="C85" s="142"/>
      <c r="D85" s="168"/>
      <c r="E85" s="153"/>
      <c r="F85" s="153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3"/>
    </row>
    <row r="86" spans="1:42" ht="13.2" hidden="1">
      <c r="A86" s="143"/>
      <c r="B86" s="143"/>
      <c r="C86" s="142"/>
      <c r="D86" s="168"/>
      <c r="E86" s="153"/>
      <c r="F86" s="153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3"/>
    </row>
    <row r="87" spans="1:42" ht="13.2" hidden="1">
      <c r="A87" s="143"/>
      <c r="B87" s="143"/>
      <c r="C87" s="142"/>
      <c r="D87" s="168"/>
      <c r="E87" s="153"/>
      <c r="F87" s="153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3"/>
    </row>
    <row r="88" spans="1:42" ht="13.2" hidden="1">
      <c r="A88" s="143"/>
      <c r="B88" s="143"/>
      <c r="C88" s="142"/>
      <c r="D88" s="168"/>
      <c r="E88" s="153"/>
      <c r="F88" s="153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3"/>
    </row>
    <row r="89" spans="1:42" ht="13.2" hidden="1">
      <c r="A89" s="143"/>
      <c r="B89" s="143"/>
      <c r="C89" s="142"/>
      <c r="D89" s="168"/>
      <c r="E89" s="153"/>
      <c r="F89" s="153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3"/>
    </row>
    <row r="90" spans="1:42" ht="13.2" hidden="1">
      <c r="A90" s="143"/>
      <c r="B90" s="143"/>
      <c r="C90" s="142"/>
      <c r="D90" s="168"/>
      <c r="E90" s="153"/>
      <c r="F90" s="153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3"/>
    </row>
    <row r="91" spans="1:42" ht="13.2" hidden="1">
      <c r="A91" s="143"/>
      <c r="B91" s="143"/>
      <c r="C91" s="142"/>
      <c r="D91" s="168"/>
      <c r="E91" s="153"/>
      <c r="F91" s="153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3"/>
    </row>
    <row r="92" spans="1:42" ht="13.2" hidden="1">
      <c r="A92" s="143"/>
      <c r="B92" s="143"/>
      <c r="C92" s="142"/>
      <c r="D92" s="168"/>
      <c r="E92" s="153"/>
      <c r="F92" s="153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3"/>
    </row>
    <row r="93" spans="1:42" ht="13.2" hidden="1">
      <c r="A93" s="143"/>
      <c r="B93" s="143"/>
      <c r="C93" s="142"/>
      <c r="D93" s="168"/>
      <c r="E93" s="153"/>
      <c r="F93" s="153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3"/>
    </row>
    <row r="94" spans="1:42" ht="13.2" hidden="1">
      <c r="A94" s="143"/>
      <c r="B94" s="143"/>
      <c r="C94" s="142"/>
      <c r="D94" s="168"/>
      <c r="E94" s="153"/>
      <c r="F94" s="153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3"/>
    </row>
    <row r="95" spans="1:42" ht="13.2" hidden="1">
      <c r="A95" s="143"/>
      <c r="B95" s="143"/>
      <c r="C95" s="142"/>
      <c r="D95" s="168"/>
      <c r="E95" s="153"/>
      <c r="F95" s="153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3"/>
    </row>
    <row r="96" spans="1:42" ht="13.2" hidden="1">
      <c r="A96" s="143"/>
      <c r="B96" s="143"/>
      <c r="C96" s="142"/>
      <c r="D96" s="168"/>
      <c r="E96" s="153"/>
      <c r="F96" s="153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3"/>
    </row>
    <row r="97" spans="1:42" ht="13.2" hidden="1">
      <c r="A97" s="143"/>
      <c r="B97" s="143"/>
      <c r="C97" s="142"/>
      <c r="D97" s="168"/>
      <c r="E97" s="153"/>
      <c r="F97" s="153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3"/>
    </row>
    <row r="98" spans="1:42" ht="13.2" hidden="1">
      <c r="A98" s="143"/>
      <c r="B98" s="143"/>
      <c r="C98" s="142"/>
      <c r="D98" s="168"/>
      <c r="E98" s="153"/>
      <c r="F98" s="153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3"/>
    </row>
    <row r="99" spans="1:42" ht="13.2" hidden="1">
      <c r="A99" s="143"/>
      <c r="B99" s="143"/>
      <c r="C99" s="142"/>
      <c r="D99" s="168"/>
      <c r="E99" s="153"/>
      <c r="F99" s="153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3"/>
    </row>
    <row r="100" spans="1:42" ht="13.2" hidden="1">
      <c r="A100" s="143"/>
      <c r="B100" s="143"/>
      <c r="C100" s="142"/>
      <c r="D100" s="168"/>
      <c r="E100" s="153"/>
      <c r="F100" s="153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3"/>
    </row>
    <row r="101" spans="1:42" ht="13.2" hidden="1">
      <c r="A101" s="143"/>
      <c r="B101" s="143"/>
      <c r="C101" s="142"/>
      <c r="D101" s="168"/>
      <c r="E101" s="153"/>
      <c r="F101" s="153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3"/>
    </row>
    <row r="102" spans="1:42" ht="13.2" hidden="1">
      <c r="A102" s="143"/>
      <c r="B102" s="143"/>
      <c r="C102" s="142"/>
      <c r="D102" s="168"/>
      <c r="E102" s="153"/>
      <c r="F102" s="153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3"/>
    </row>
    <row r="103" spans="1:42" ht="13.2" hidden="1">
      <c r="A103" s="143"/>
      <c r="B103" s="143"/>
      <c r="C103" s="142"/>
      <c r="D103" s="168"/>
      <c r="E103" s="153"/>
      <c r="F103" s="153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3"/>
    </row>
    <row r="104" spans="1:42" ht="13.2" hidden="1">
      <c r="A104" s="143"/>
      <c r="B104" s="143"/>
      <c r="C104" s="142"/>
      <c r="D104" s="168"/>
      <c r="E104" s="153"/>
      <c r="F104" s="153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3"/>
    </row>
    <row r="105" spans="1:42" ht="13.2" hidden="1">
      <c r="A105" s="143"/>
      <c r="B105" s="143"/>
      <c r="C105" s="142"/>
      <c r="D105" s="168"/>
      <c r="E105" s="153"/>
      <c r="F105" s="153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3"/>
    </row>
    <row r="106" spans="1:42" ht="13.2" hidden="1">
      <c r="A106" s="143"/>
      <c r="B106" s="143"/>
      <c r="C106" s="142"/>
      <c r="D106" s="168"/>
      <c r="E106" s="153"/>
      <c r="F106" s="153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3"/>
    </row>
    <row r="107" spans="1:42" ht="13.2" hidden="1">
      <c r="A107" s="143"/>
      <c r="B107" s="143"/>
      <c r="C107" s="142"/>
      <c r="D107" s="168"/>
      <c r="E107" s="153"/>
      <c r="F107" s="153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3"/>
    </row>
    <row r="108" spans="1:42" ht="13.2" hidden="1">
      <c r="A108" s="143"/>
      <c r="B108" s="143"/>
      <c r="C108" s="142"/>
      <c r="D108" s="168"/>
      <c r="E108" s="153"/>
      <c r="F108" s="153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3"/>
    </row>
    <row r="109" spans="1:42" ht="13.2" hidden="1">
      <c r="A109" s="143"/>
      <c r="B109" s="143"/>
      <c r="C109" s="142"/>
      <c r="D109" s="168"/>
      <c r="E109" s="153"/>
      <c r="F109" s="153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3"/>
    </row>
    <row r="110" spans="1:42" ht="13.2" hidden="1">
      <c r="A110" s="143"/>
      <c r="B110" s="143"/>
      <c r="C110" s="142"/>
      <c r="D110" s="168"/>
      <c r="E110" s="153"/>
      <c r="F110" s="153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3"/>
    </row>
    <row r="111" spans="1:42" ht="13.2" hidden="1">
      <c r="A111" s="143"/>
      <c r="B111" s="143"/>
      <c r="C111" s="142"/>
      <c r="D111" s="168"/>
      <c r="E111" s="153"/>
      <c r="F111" s="153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3"/>
    </row>
    <row r="112" spans="1:42" ht="13.2" hidden="1">
      <c r="A112" s="143"/>
      <c r="B112" s="143"/>
      <c r="C112" s="142"/>
      <c r="D112" s="168"/>
      <c r="E112" s="153"/>
      <c r="F112" s="153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3"/>
    </row>
    <row r="113" spans="1:42" ht="13.2" hidden="1">
      <c r="A113" s="143"/>
      <c r="B113" s="143"/>
      <c r="C113" s="142"/>
      <c r="D113" s="168"/>
      <c r="E113" s="153"/>
      <c r="F113" s="153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3"/>
    </row>
    <row r="114" spans="1:42" ht="13.2" hidden="1">
      <c r="A114" s="143"/>
      <c r="B114" s="143"/>
      <c r="C114" s="142"/>
      <c r="D114" s="168"/>
      <c r="E114" s="153"/>
      <c r="F114" s="153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3"/>
    </row>
    <row r="115" spans="1:42" ht="13.2" hidden="1">
      <c r="A115" s="143"/>
      <c r="B115" s="143"/>
      <c r="C115" s="142"/>
      <c r="D115" s="168"/>
      <c r="E115" s="153"/>
      <c r="F115" s="153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3"/>
    </row>
    <row r="116" spans="1:42" ht="13.2" hidden="1">
      <c r="A116" s="143"/>
      <c r="B116" s="143"/>
      <c r="C116" s="142"/>
      <c r="D116" s="168"/>
      <c r="E116" s="153"/>
      <c r="F116" s="153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3"/>
    </row>
    <row r="117" spans="1:42" ht="13.2" hidden="1">
      <c r="A117" s="143"/>
      <c r="B117" s="143"/>
      <c r="C117" s="142"/>
      <c r="D117" s="168"/>
      <c r="E117" s="153"/>
      <c r="F117" s="153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3"/>
    </row>
    <row r="118" spans="1:42" ht="13.2" hidden="1">
      <c r="A118" s="143"/>
      <c r="B118" s="143"/>
      <c r="C118" s="142"/>
      <c r="D118" s="168"/>
      <c r="E118" s="153"/>
      <c r="F118" s="153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3"/>
    </row>
    <row r="119" spans="1:42" ht="13.2" hidden="1">
      <c r="A119" s="143"/>
      <c r="B119" s="143"/>
      <c r="C119" s="142"/>
      <c r="D119" s="168"/>
      <c r="E119" s="153"/>
      <c r="F119" s="153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3"/>
    </row>
    <row r="120" spans="1:42" ht="13.2" hidden="1">
      <c r="A120" s="143"/>
      <c r="B120" s="143"/>
      <c r="C120" s="142"/>
      <c r="D120" s="168"/>
      <c r="E120" s="153"/>
      <c r="F120" s="153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3"/>
    </row>
    <row r="121" spans="1:42" ht="13.2" hidden="1">
      <c r="A121" s="143"/>
      <c r="B121" s="143"/>
      <c r="C121" s="142"/>
      <c r="D121" s="168"/>
      <c r="E121" s="153"/>
      <c r="F121" s="153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3"/>
    </row>
    <row r="122" spans="1:42" ht="13.2" hidden="1">
      <c r="A122" s="143"/>
      <c r="B122" s="143"/>
      <c r="C122" s="142"/>
      <c r="D122" s="168"/>
      <c r="E122" s="153"/>
      <c r="F122" s="153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3"/>
    </row>
    <row r="123" spans="1:42" ht="13.2" hidden="1">
      <c r="A123" s="143"/>
      <c r="B123" s="143"/>
      <c r="C123" s="142"/>
      <c r="D123" s="168"/>
      <c r="E123" s="153"/>
      <c r="F123" s="153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3"/>
    </row>
    <row r="124" spans="1:42" ht="13.2" hidden="1">
      <c r="A124" s="143"/>
      <c r="B124" s="143"/>
      <c r="C124" s="142"/>
      <c r="D124" s="168"/>
      <c r="E124" s="153"/>
      <c r="F124" s="153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3"/>
    </row>
    <row r="125" spans="1:42" ht="13.2" hidden="1">
      <c r="A125" s="143"/>
      <c r="B125" s="143"/>
      <c r="C125" s="142"/>
      <c r="D125" s="168"/>
      <c r="E125" s="153"/>
      <c r="F125" s="153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3"/>
    </row>
    <row r="126" spans="1:42" ht="13.2" hidden="1">
      <c r="A126" s="143"/>
      <c r="B126" s="143"/>
      <c r="C126" s="142"/>
      <c r="D126" s="168"/>
      <c r="E126" s="153"/>
      <c r="F126" s="153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3"/>
    </row>
    <row r="127" spans="1:42" ht="13.2" hidden="1">
      <c r="A127" s="143"/>
      <c r="B127" s="143"/>
      <c r="C127" s="142"/>
      <c r="D127" s="168"/>
      <c r="E127" s="153"/>
      <c r="F127" s="153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3"/>
    </row>
    <row r="128" spans="1:42" ht="13.2" hidden="1">
      <c r="A128" s="143"/>
      <c r="B128" s="143"/>
      <c r="C128" s="142"/>
      <c r="D128" s="168"/>
      <c r="E128" s="153"/>
      <c r="F128" s="153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3"/>
    </row>
    <row r="129" spans="1:42" ht="13.2" hidden="1">
      <c r="A129" s="143"/>
      <c r="B129" s="143"/>
      <c r="C129" s="142"/>
      <c r="D129" s="168"/>
      <c r="E129" s="153"/>
      <c r="F129" s="153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3"/>
    </row>
    <row r="130" spans="1:42" ht="13.2" hidden="1">
      <c r="A130" s="143"/>
      <c r="B130" s="143"/>
      <c r="C130" s="142"/>
      <c r="D130" s="168"/>
      <c r="E130" s="153"/>
      <c r="F130" s="153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3"/>
    </row>
    <row r="131" spans="1:42" ht="13.2" hidden="1">
      <c r="A131" s="143"/>
      <c r="B131" s="143"/>
      <c r="C131" s="142"/>
      <c r="D131" s="168"/>
      <c r="E131" s="153"/>
      <c r="F131" s="153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3"/>
    </row>
    <row r="132" spans="1:42" ht="13.2" hidden="1">
      <c r="A132" s="143"/>
      <c r="B132" s="143"/>
      <c r="C132" s="142"/>
      <c r="D132" s="168"/>
      <c r="E132" s="153"/>
      <c r="F132" s="153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3"/>
    </row>
    <row r="133" spans="1:42" ht="13.2" hidden="1">
      <c r="A133" s="143"/>
      <c r="B133" s="143"/>
      <c r="C133" s="142"/>
      <c r="D133" s="168"/>
      <c r="E133" s="153"/>
      <c r="F133" s="153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3"/>
    </row>
    <row r="134" spans="1:42" ht="13.2" hidden="1">
      <c r="A134" s="143"/>
      <c r="B134" s="143"/>
      <c r="C134" s="142"/>
      <c r="D134" s="168"/>
      <c r="E134" s="153"/>
      <c r="F134" s="153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3"/>
    </row>
    <row r="135" spans="1:42" ht="13.2" hidden="1">
      <c r="A135" s="143"/>
      <c r="B135" s="143"/>
      <c r="C135" s="142"/>
      <c r="D135" s="168"/>
      <c r="E135" s="153"/>
      <c r="F135" s="153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3"/>
    </row>
    <row r="136" spans="1:42" ht="13.2" hidden="1">
      <c r="A136" s="143"/>
      <c r="B136" s="143"/>
      <c r="C136" s="142"/>
      <c r="D136" s="168"/>
      <c r="E136" s="153"/>
      <c r="F136" s="153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3"/>
    </row>
    <row r="137" spans="1:42" ht="13.2" hidden="1">
      <c r="A137" s="143"/>
      <c r="B137" s="143"/>
      <c r="C137" s="142"/>
      <c r="D137" s="168"/>
      <c r="E137" s="153"/>
      <c r="F137" s="153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3"/>
    </row>
    <row r="138" spans="1:42" ht="13.2" hidden="1">
      <c r="A138" s="143"/>
      <c r="B138" s="143"/>
      <c r="C138" s="142"/>
      <c r="D138" s="168"/>
      <c r="E138" s="153"/>
      <c r="F138" s="153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3"/>
    </row>
    <row r="139" spans="1:42" ht="13.2" hidden="1">
      <c r="A139" s="143"/>
      <c r="B139" s="143"/>
      <c r="C139" s="142"/>
      <c r="D139" s="168"/>
      <c r="E139" s="153"/>
      <c r="F139" s="153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3"/>
    </row>
    <row r="140" spans="1:42" ht="13.2" hidden="1">
      <c r="A140" s="143"/>
      <c r="B140" s="143"/>
      <c r="C140" s="142"/>
      <c r="D140" s="168"/>
      <c r="E140" s="153"/>
      <c r="F140" s="153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3"/>
    </row>
    <row r="141" spans="1:42" ht="13.2" hidden="1">
      <c r="A141" s="143"/>
      <c r="B141" s="143"/>
      <c r="C141" s="142"/>
      <c r="D141" s="168"/>
      <c r="E141" s="153"/>
      <c r="F141" s="153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3"/>
    </row>
    <row r="142" spans="1:42" ht="13.2" hidden="1">
      <c r="A142" s="143"/>
      <c r="B142" s="143"/>
      <c r="C142" s="142"/>
      <c r="D142" s="168"/>
      <c r="E142" s="153"/>
      <c r="F142" s="153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3"/>
    </row>
    <row r="143" spans="1:42" ht="13.2" hidden="1">
      <c r="A143" s="143"/>
      <c r="B143" s="143"/>
      <c r="C143" s="142"/>
      <c r="D143" s="168"/>
      <c r="E143" s="153"/>
      <c r="F143" s="153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3"/>
    </row>
    <row r="144" spans="1:42" ht="13.2" hidden="1">
      <c r="A144" s="143"/>
      <c r="B144" s="143"/>
      <c r="C144" s="142"/>
      <c r="D144" s="168"/>
      <c r="E144" s="153"/>
      <c r="F144" s="153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3"/>
    </row>
    <row r="145" spans="1:42" ht="13.2" hidden="1">
      <c r="A145" s="143"/>
      <c r="B145" s="143"/>
      <c r="C145" s="142"/>
      <c r="D145" s="168"/>
      <c r="E145" s="153"/>
      <c r="F145" s="153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3"/>
    </row>
    <row r="146" spans="1:42" ht="13.2" hidden="1">
      <c r="A146" s="143"/>
      <c r="B146" s="143"/>
      <c r="C146" s="142"/>
      <c r="D146" s="168"/>
      <c r="E146" s="153"/>
      <c r="F146" s="153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3"/>
    </row>
    <row r="147" spans="1:42" ht="13.2" hidden="1">
      <c r="A147" s="143"/>
      <c r="B147" s="143"/>
      <c r="C147" s="142"/>
      <c r="D147" s="168"/>
      <c r="E147" s="153"/>
      <c r="F147" s="153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3"/>
    </row>
    <row r="148" spans="1:42" ht="13.2" hidden="1">
      <c r="A148" s="143"/>
      <c r="B148" s="143"/>
      <c r="C148" s="142"/>
      <c r="D148" s="168"/>
      <c r="E148" s="153"/>
      <c r="F148" s="153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3"/>
    </row>
    <row r="149" spans="1:42" ht="13.2" hidden="1">
      <c r="A149" s="143"/>
      <c r="B149" s="143"/>
      <c r="C149" s="142"/>
      <c r="D149" s="168"/>
      <c r="E149" s="153"/>
      <c r="F149" s="153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3"/>
    </row>
    <row r="150" spans="1:42" ht="13.2" hidden="1">
      <c r="A150" s="143"/>
      <c r="B150" s="143"/>
      <c r="C150" s="142"/>
      <c r="D150" s="168"/>
      <c r="E150" s="153"/>
      <c r="F150" s="153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3"/>
    </row>
    <row r="151" spans="1:42" ht="13.2" hidden="1">
      <c r="A151" s="143"/>
      <c r="B151" s="143"/>
      <c r="C151" s="142"/>
      <c r="D151" s="168"/>
      <c r="E151" s="153"/>
      <c r="F151" s="153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3"/>
    </row>
    <row r="152" spans="1:42" ht="13.2" hidden="1">
      <c r="A152" s="143"/>
      <c r="B152" s="143"/>
      <c r="C152" s="142"/>
      <c r="D152" s="168"/>
      <c r="E152" s="153"/>
      <c r="F152" s="153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3"/>
    </row>
    <row r="153" spans="1:42" ht="13.2" hidden="1">
      <c r="A153" s="143"/>
      <c r="B153" s="143"/>
      <c r="C153" s="142"/>
      <c r="D153" s="168"/>
      <c r="E153" s="153"/>
      <c r="F153" s="153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3"/>
    </row>
    <row r="154" spans="1:42" ht="13.2" hidden="1">
      <c r="A154" s="143"/>
      <c r="B154" s="143"/>
      <c r="C154" s="142"/>
      <c r="D154" s="168"/>
      <c r="E154" s="153"/>
      <c r="F154" s="153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3"/>
    </row>
    <row r="155" spans="1:42" ht="13.2" hidden="1">
      <c r="A155" s="143"/>
      <c r="B155" s="143"/>
      <c r="C155" s="142"/>
      <c r="D155" s="168"/>
      <c r="E155" s="153"/>
      <c r="F155" s="153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3"/>
    </row>
    <row r="156" spans="1:42" ht="13.2" hidden="1">
      <c r="A156" s="143"/>
      <c r="B156" s="143"/>
      <c r="C156" s="142"/>
      <c r="D156" s="168"/>
      <c r="E156" s="153"/>
      <c r="F156" s="153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3"/>
    </row>
    <row r="157" spans="1:42" ht="13.2" hidden="1">
      <c r="A157" s="143"/>
      <c r="B157" s="143"/>
      <c r="C157" s="142"/>
      <c r="D157" s="168"/>
      <c r="E157" s="153"/>
      <c r="F157" s="153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3"/>
    </row>
    <row r="158" spans="1:42" ht="13.2" hidden="1">
      <c r="A158" s="143"/>
      <c r="B158" s="143"/>
      <c r="C158" s="142"/>
      <c r="D158" s="168"/>
      <c r="E158" s="153"/>
      <c r="F158" s="153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3"/>
    </row>
    <row r="159" spans="1:42" ht="13.2" hidden="1">
      <c r="A159" s="143"/>
      <c r="B159" s="143"/>
      <c r="C159" s="142"/>
      <c r="D159" s="168"/>
      <c r="E159" s="153"/>
      <c r="F159" s="153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3"/>
    </row>
    <row r="160" spans="1:42" ht="13.2" hidden="1">
      <c r="A160" s="143"/>
      <c r="B160" s="143"/>
      <c r="C160" s="142"/>
      <c r="D160" s="168"/>
      <c r="E160" s="153"/>
      <c r="F160" s="153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3"/>
    </row>
    <row r="161" spans="1:42" ht="13.2" hidden="1">
      <c r="A161" s="143"/>
      <c r="B161" s="143"/>
      <c r="C161" s="142"/>
      <c r="D161" s="168"/>
      <c r="E161" s="153"/>
      <c r="F161" s="153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3"/>
    </row>
    <row r="162" spans="1:42" ht="13.2" hidden="1">
      <c r="A162" s="143"/>
      <c r="B162" s="143"/>
      <c r="C162" s="142"/>
      <c r="D162" s="168"/>
      <c r="E162" s="153"/>
      <c r="F162" s="153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3"/>
    </row>
    <row r="163" spans="1:42" ht="13.2" hidden="1">
      <c r="A163" s="143"/>
      <c r="B163" s="143"/>
      <c r="C163" s="142"/>
      <c r="D163" s="168"/>
      <c r="E163" s="153"/>
      <c r="F163" s="153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3"/>
    </row>
    <row r="164" spans="1:42" ht="13.2" hidden="1">
      <c r="A164" s="143"/>
      <c r="B164" s="143"/>
      <c r="C164" s="142"/>
      <c r="D164" s="168"/>
      <c r="E164" s="153"/>
      <c r="F164" s="153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3"/>
    </row>
    <row r="165" spans="1:42" ht="13.2" hidden="1">
      <c r="A165" s="143"/>
      <c r="B165" s="143"/>
      <c r="C165" s="142"/>
      <c r="D165" s="168"/>
      <c r="E165" s="153"/>
      <c r="F165" s="153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3"/>
    </row>
    <row r="166" spans="1:42" ht="13.2" hidden="1">
      <c r="A166" s="143"/>
      <c r="B166" s="143"/>
      <c r="C166" s="142"/>
      <c r="D166" s="168"/>
      <c r="E166" s="153"/>
      <c r="F166" s="153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3"/>
    </row>
    <row r="167" spans="1:42" ht="13.2" hidden="1">
      <c r="A167" s="143"/>
      <c r="B167" s="143"/>
      <c r="C167" s="142"/>
      <c r="D167" s="168"/>
      <c r="E167" s="153"/>
      <c r="F167" s="153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3"/>
    </row>
    <row r="168" spans="1:42" ht="13.2" hidden="1">
      <c r="A168" s="143"/>
      <c r="B168" s="143"/>
      <c r="C168" s="142"/>
      <c r="D168" s="168"/>
      <c r="E168" s="153"/>
      <c r="F168" s="153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3"/>
    </row>
    <row r="169" spans="1:42" ht="13.2" hidden="1">
      <c r="A169" s="143"/>
      <c r="B169" s="143"/>
      <c r="C169" s="142"/>
      <c r="D169" s="168"/>
      <c r="E169" s="153"/>
      <c r="F169" s="153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3"/>
    </row>
    <row r="170" spans="1:42" ht="13.2" hidden="1">
      <c r="A170" s="143"/>
      <c r="B170" s="143"/>
      <c r="C170" s="142"/>
      <c r="D170" s="168"/>
      <c r="E170" s="153"/>
      <c r="F170" s="153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  <c r="AP170" s="143"/>
    </row>
    <row r="171" spans="1:42" ht="13.2" hidden="1">
      <c r="A171" s="143"/>
      <c r="B171" s="143"/>
      <c r="C171" s="142"/>
      <c r="D171" s="168"/>
      <c r="E171" s="153"/>
      <c r="F171" s="153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  <c r="AP171" s="143"/>
    </row>
    <row r="172" spans="1:42" ht="13.2" hidden="1">
      <c r="A172" s="143"/>
      <c r="B172" s="143"/>
      <c r="C172" s="142"/>
      <c r="D172" s="168"/>
      <c r="E172" s="153"/>
      <c r="F172" s="153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  <c r="AP172" s="143"/>
    </row>
    <row r="173" spans="1:42" ht="13.2" hidden="1">
      <c r="A173" s="143"/>
      <c r="B173" s="143"/>
      <c r="C173" s="142"/>
      <c r="D173" s="168"/>
      <c r="E173" s="153"/>
      <c r="F173" s="153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  <c r="AP173" s="143"/>
    </row>
    <row r="174" spans="1:42" ht="13.2" hidden="1">
      <c r="A174" s="143"/>
      <c r="B174" s="143"/>
      <c r="C174" s="142"/>
      <c r="D174" s="168"/>
      <c r="E174" s="153"/>
      <c r="F174" s="153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  <c r="AP174" s="143"/>
    </row>
    <row r="175" spans="1:42" ht="13.2" hidden="1">
      <c r="A175" s="143"/>
      <c r="B175" s="143"/>
      <c r="C175" s="142"/>
      <c r="D175" s="168"/>
      <c r="E175" s="153"/>
      <c r="F175" s="153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3"/>
    </row>
    <row r="176" spans="1:42" ht="13.2" hidden="1">
      <c r="A176" s="143"/>
      <c r="B176" s="143"/>
      <c r="C176" s="142"/>
      <c r="D176" s="168"/>
      <c r="E176" s="153"/>
      <c r="F176" s="153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  <c r="AP176" s="143"/>
    </row>
    <row r="177" spans="1:42" ht="13.2" hidden="1">
      <c r="A177" s="143"/>
      <c r="B177" s="143"/>
      <c r="C177" s="142"/>
      <c r="D177" s="168"/>
      <c r="E177" s="153"/>
      <c r="F177" s="153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3"/>
    </row>
    <row r="178" spans="1:42" ht="13.2" hidden="1">
      <c r="A178" s="143"/>
      <c r="B178" s="143"/>
      <c r="C178" s="142"/>
      <c r="D178" s="168"/>
      <c r="E178" s="153"/>
      <c r="F178" s="153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3"/>
    </row>
    <row r="179" spans="1:42" ht="13.2" hidden="1">
      <c r="A179" s="143"/>
      <c r="B179" s="143"/>
      <c r="C179" s="142"/>
      <c r="D179" s="168"/>
      <c r="E179" s="153"/>
      <c r="F179" s="153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  <c r="AP179" s="143"/>
    </row>
    <row r="180" spans="1:42" ht="13.2" hidden="1">
      <c r="A180" s="143"/>
      <c r="B180" s="143"/>
      <c r="C180" s="142"/>
      <c r="D180" s="168"/>
      <c r="E180" s="153"/>
      <c r="F180" s="153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  <c r="AP180" s="143"/>
    </row>
    <row r="181" spans="1:42" ht="13.2" hidden="1">
      <c r="A181" s="143"/>
      <c r="B181" s="143"/>
      <c r="C181" s="142"/>
      <c r="D181" s="168"/>
      <c r="E181" s="153"/>
      <c r="F181" s="153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  <c r="AP181" s="143"/>
    </row>
    <row r="182" spans="1:42" ht="13.2" hidden="1">
      <c r="A182" s="143"/>
      <c r="B182" s="143"/>
      <c r="C182" s="142"/>
      <c r="D182" s="168"/>
      <c r="E182" s="153"/>
      <c r="F182" s="153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  <c r="AP182" s="143"/>
    </row>
    <row r="183" spans="1:42" ht="13.2" hidden="1">
      <c r="A183" s="143"/>
      <c r="B183" s="143"/>
      <c r="C183" s="142"/>
      <c r="D183" s="168"/>
      <c r="E183" s="153"/>
      <c r="F183" s="153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3"/>
    </row>
    <row r="184" spans="1:42" ht="13.2" hidden="1">
      <c r="A184" s="143"/>
      <c r="B184" s="143"/>
      <c r="C184" s="142"/>
      <c r="D184" s="168"/>
      <c r="E184" s="153"/>
      <c r="F184" s="153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  <c r="AP184" s="143"/>
    </row>
    <row r="185" spans="1:42" ht="13.2" hidden="1">
      <c r="A185" s="143"/>
      <c r="B185" s="143"/>
      <c r="C185" s="142"/>
      <c r="D185" s="168"/>
      <c r="E185" s="153"/>
      <c r="F185" s="153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3"/>
    </row>
    <row r="186" spans="1:42" ht="13.2" hidden="1">
      <c r="A186" s="143"/>
      <c r="B186" s="143"/>
      <c r="C186" s="142"/>
      <c r="D186" s="168"/>
      <c r="E186" s="153"/>
      <c r="F186" s="153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  <c r="AP186" s="143"/>
    </row>
    <row r="187" spans="1:42" ht="13.2" hidden="1">
      <c r="A187" s="143"/>
      <c r="B187" s="143"/>
      <c r="C187" s="142"/>
      <c r="D187" s="168"/>
      <c r="E187" s="153"/>
      <c r="F187" s="153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  <c r="AP187" s="143"/>
    </row>
    <row r="188" spans="1:42" ht="13.2" hidden="1">
      <c r="A188" s="143"/>
      <c r="B188" s="143"/>
      <c r="C188" s="142"/>
      <c r="D188" s="168"/>
      <c r="E188" s="153"/>
      <c r="F188" s="153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  <c r="AP188" s="143"/>
    </row>
    <row r="189" spans="1:42" ht="13.2" hidden="1">
      <c r="A189" s="143"/>
      <c r="B189" s="143"/>
      <c r="C189" s="142"/>
      <c r="D189" s="168"/>
      <c r="E189" s="153"/>
      <c r="F189" s="153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3"/>
    </row>
    <row r="190" spans="1:42" ht="13.2" hidden="1">
      <c r="A190" s="143"/>
      <c r="B190" s="143"/>
      <c r="C190" s="142"/>
      <c r="D190" s="168"/>
      <c r="E190" s="153"/>
      <c r="F190" s="153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  <c r="AP190" s="143"/>
    </row>
    <row r="191" spans="1:42" ht="13.2" hidden="1">
      <c r="A191" s="143"/>
      <c r="B191" s="143"/>
      <c r="C191" s="142"/>
      <c r="D191" s="168"/>
      <c r="E191" s="153"/>
      <c r="F191" s="153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3"/>
    </row>
    <row r="192" spans="1:42" ht="13.2" hidden="1">
      <c r="A192" s="143"/>
      <c r="B192" s="143"/>
      <c r="C192" s="142"/>
      <c r="D192" s="168"/>
      <c r="E192" s="153"/>
      <c r="F192" s="153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  <c r="AP192" s="143"/>
    </row>
    <row r="193" spans="1:42" ht="13.2" hidden="1">
      <c r="A193" s="143"/>
      <c r="B193" s="143"/>
      <c r="C193" s="142"/>
      <c r="D193" s="168"/>
      <c r="E193" s="153"/>
      <c r="F193" s="153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  <c r="AP193" s="143"/>
    </row>
    <row r="194" spans="1:42" ht="13.2" hidden="1">
      <c r="A194" s="143"/>
      <c r="B194" s="143"/>
      <c r="C194" s="142"/>
      <c r="D194" s="168"/>
      <c r="E194" s="153"/>
      <c r="F194" s="153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  <c r="AP194" s="143"/>
    </row>
    <row r="195" spans="1:42" ht="13.2" hidden="1">
      <c r="A195" s="143"/>
      <c r="B195" s="143"/>
      <c r="C195" s="142"/>
      <c r="D195" s="168"/>
      <c r="E195" s="153"/>
      <c r="F195" s="153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  <c r="AP195" s="143"/>
    </row>
    <row r="196" spans="1:42" ht="13.2" hidden="1">
      <c r="A196" s="143"/>
      <c r="B196" s="143"/>
      <c r="C196" s="142"/>
      <c r="D196" s="168"/>
      <c r="E196" s="153"/>
      <c r="F196" s="153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3"/>
    </row>
    <row r="197" spans="1:42" ht="13.2" hidden="1">
      <c r="A197" s="143"/>
      <c r="B197" s="143"/>
      <c r="C197" s="142"/>
      <c r="D197" s="168"/>
      <c r="E197" s="153"/>
      <c r="F197" s="153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  <c r="AP197" s="143"/>
    </row>
    <row r="198" spans="1:42" ht="13.2" hidden="1">
      <c r="A198" s="143"/>
      <c r="B198" s="143"/>
      <c r="C198" s="142"/>
      <c r="D198" s="168"/>
      <c r="E198" s="153"/>
      <c r="F198" s="153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  <c r="AP198" s="143"/>
    </row>
    <row r="199" spans="1:42" ht="13.2" hidden="1">
      <c r="A199" s="143"/>
      <c r="B199" s="143"/>
      <c r="C199" s="142"/>
      <c r="D199" s="168"/>
      <c r="E199" s="153"/>
      <c r="F199" s="153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3"/>
    </row>
    <row r="200" spans="1:42" ht="13.2" hidden="1">
      <c r="A200" s="143"/>
      <c r="B200" s="143"/>
      <c r="C200" s="142"/>
      <c r="D200" s="168"/>
      <c r="E200" s="153"/>
      <c r="F200" s="153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  <c r="AP200" s="143"/>
    </row>
    <row r="201" spans="1:42" ht="13.2" hidden="1">
      <c r="A201" s="143"/>
      <c r="B201" s="143"/>
      <c r="C201" s="142"/>
      <c r="D201" s="168"/>
      <c r="E201" s="153"/>
      <c r="F201" s="153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  <c r="AO201" s="142"/>
      <c r="AP201" s="143"/>
    </row>
    <row r="202" spans="1:42" ht="13.2" hidden="1">
      <c r="A202" s="143"/>
      <c r="B202" s="143"/>
      <c r="C202" s="142"/>
      <c r="D202" s="168"/>
      <c r="E202" s="153"/>
      <c r="F202" s="153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  <c r="AO202" s="142"/>
      <c r="AP202" s="143"/>
    </row>
    <row r="203" spans="1:42" ht="13.2" hidden="1">
      <c r="A203" s="143"/>
      <c r="B203" s="143"/>
      <c r="C203" s="142"/>
      <c r="D203" s="168"/>
      <c r="E203" s="153"/>
      <c r="F203" s="153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  <c r="AO203" s="142"/>
      <c r="AP203" s="143"/>
    </row>
    <row r="204" spans="1:42" ht="13.2" hidden="1">
      <c r="A204" s="143"/>
      <c r="B204" s="143"/>
      <c r="C204" s="142"/>
      <c r="D204" s="168"/>
      <c r="E204" s="153"/>
      <c r="F204" s="153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  <c r="AO204" s="142"/>
      <c r="AP204" s="143"/>
    </row>
    <row r="205" spans="1:42" ht="13.2" hidden="1">
      <c r="A205" s="143"/>
      <c r="B205" s="143"/>
      <c r="C205" s="142"/>
      <c r="D205" s="168"/>
      <c r="E205" s="153"/>
      <c r="F205" s="153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  <c r="AO205" s="142"/>
      <c r="AP205" s="143"/>
    </row>
    <row r="206" spans="1:42" ht="13.2" hidden="1">
      <c r="A206" s="143"/>
      <c r="B206" s="143"/>
      <c r="C206" s="142"/>
      <c r="D206" s="168"/>
      <c r="E206" s="153"/>
      <c r="F206" s="153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  <c r="AO206" s="142"/>
      <c r="AP206" s="143"/>
    </row>
    <row r="207" spans="1:42" ht="13.2" hidden="1">
      <c r="A207" s="143"/>
      <c r="B207" s="143"/>
      <c r="C207" s="142"/>
      <c r="D207" s="168"/>
      <c r="E207" s="153"/>
      <c r="F207" s="153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  <c r="AO207" s="142"/>
      <c r="AP207" s="143"/>
    </row>
    <row r="208" spans="1:42" ht="13.2" hidden="1">
      <c r="A208" s="143"/>
      <c r="B208" s="143"/>
      <c r="C208" s="142"/>
      <c r="D208" s="168"/>
      <c r="E208" s="153"/>
      <c r="F208" s="153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  <c r="AO208" s="142"/>
      <c r="AP208" s="143"/>
    </row>
    <row r="209" spans="1:42" ht="13.2" hidden="1">
      <c r="A209" s="143"/>
      <c r="B209" s="143"/>
      <c r="C209" s="142"/>
      <c r="D209" s="168"/>
      <c r="E209" s="153"/>
      <c r="F209" s="153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  <c r="AO209" s="142"/>
      <c r="AP209" s="143"/>
    </row>
    <row r="210" spans="1:42" ht="13.2" hidden="1">
      <c r="A210" s="143"/>
      <c r="B210" s="143"/>
      <c r="C210" s="142"/>
      <c r="D210" s="168"/>
      <c r="E210" s="153"/>
      <c r="F210" s="153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  <c r="AO210" s="142"/>
      <c r="AP210" s="143"/>
    </row>
    <row r="211" spans="1:42" ht="13.2" hidden="1">
      <c r="A211" s="143"/>
      <c r="B211" s="143"/>
      <c r="C211" s="142"/>
      <c r="D211" s="168"/>
      <c r="E211" s="153"/>
      <c r="F211" s="153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  <c r="AO211" s="142"/>
      <c r="AP211" s="143"/>
    </row>
    <row r="212" spans="1:42" ht="13.2" hidden="1">
      <c r="A212" s="143"/>
      <c r="B212" s="143"/>
      <c r="C212" s="142"/>
      <c r="D212" s="168"/>
      <c r="E212" s="153"/>
      <c r="F212" s="153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  <c r="AO212" s="142"/>
      <c r="AP212" s="143"/>
    </row>
    <row r="213" spans="1:42" ht="13.2" hidden="1">
      <c r="A213" s="143"/>
      <c r="B213" s="143"/>
      <c r="C213" s="142"/>
      <c r="D213" s="168"/>
      <c r="E213" s="153"/>
      <c r="F213" s="153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  <c r="AO213" s="142"/>
      <c r="AP213" s="143"/>
    </row>
    <row r="214" spans="1:42" ht="13.2" hidden="1">
      <c r="A214" s="143"/>
      <c r="B214" s="143"/>
      <c r="C214" s="142"/>
      <c r="D214" s="168"/>
      <c r="E214" s="153"/>
      <c r="F214" s="153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  <c r="AP214" s="143"/>
    </row>
    <row r="215" spans="1:42" ht="13.2" hidden="1">
      <c r="A215" s="143"/>
      <c r="B215" s="143"/>
      <c r="C215" s="142"/>
      <c r="D215" s="168"/>
      <c r="E215" s="153"/>
      <c r="F215" s="153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  <c r="AO215" s="142"/>
      <c r="AP215" s="143"/>
    </row>
    <row r="216" spans="1:42" ht="13.2" hidden="1">
      <c r="A216" s="143"/>
      <c r="B216" s="143"/>
      <c r="C216" s="142"/>
      <c r="D216" s="168"/>
      <c r="E216" s="153"/>
      <c r="F216" s="153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  <c r="AO216" s="142"/>
      <c r="AP216" s="143"/>
    </row>
    <row r="217" spans="1:42" ht="13.2" hidden="1">
      <c r="A217" s="143"/>
      <c r="B217" s="143"/>
      <c r="C217" s="142"/>
      <c r="D217" s="168"/>
      <c r="E217" s="153"/>
      <c r="F217" s="153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  <c r="AP217" s="143"/>
    </row>
    <row r="218" spans="1:42" ht="13.2" hidden="1">
      <c r="A218" s="143"/>
      <c r="B218" s="143"/>
      <c r="C218" s="142"/>
      <c r="D218" s="168"/>
      <c r="E218" s="153"/>
      <c r="F218" s="153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  <c r="AO218" s="142"/>
      <c r="AP218" s="143"/>
    </row>
    <row r="219" spans="1:42" ht="13.2" hidden="1">
      <c r="A219" s="143"/>
      <c r="B219" s="143"/>
      <c r="C219" s="142"/>
      <c r="D219" s="168"/>
      <c r="E219" s="153"/>
      <c r="F219" s="153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  <c r="AO219" s="142"/>
      <c r="AP219" s="143"/>
    </row>
    <row r="220" spans="1:42" ht="13.2" hidden="1">
      <c r="A220" s="143"/>
      <c r="B220" s="143"/>
      <c r="C220" s="142"/>
      <c r="D220" s="168"/>
      <c r="E220" s="153"/>
      <c r="F220" s="153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  <c r="AO220" s="142"/>
      <c r="AP220" s="143"/>
    </row>
    <row r="221" spans="1:42" ht="13.2" hidden="1">
      <c r="A221" s="143"/>
      <c r="B221" s="143"/>
      <c r="C221" s="142"/>
      <c r="D221" s="168"/>
      <c r="E221" s="153"/>
      <c r="F221" s="153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  <c r="AO221" s="142"/>
      <c r="AP221" s="143"/>
    </row>
    <row r="222" spans="1:42" ht="13.2" hidden="1">
      <c r="A222" s="143"/>
      <c r="B222" s="143"/>
      <c r="C222" s="142"/>
      <c r="D222" s="168"/>
      <c r="E222" s="153"/>
      <c r="F222" s="153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  <c r="AO222" s="142"/>
      <c r="AP222" s="143"/>
    </row>
    <row r="223" spans="1:42" ht="13.2" hidden="1">
      <c r="A223" s="143"/>
      <c r="B223" s="143"/>
      <c r="C223" s="142"/>
      <c r="D223" s="168"/>
      <c r="E223" s="153"/>
      <c r="F223" s="153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  <c r="AO223" s="142"/>
      <c r="AP223" s="143"/>
    </row>
    <row r="224" spans="1:42" ht="13.2" hidden="1">
      <c r="A224" s="143"/>
      <c r="B224" s="143"/>
      <c r="C224" s="142"/>
      <c r="D224" s="168"/>
      <c r="E224" s="153"/>
      <c r="F224" s="153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  <c r="AO224" s="142"/>
      <c r="AP224" s="143"/>
    </row>
    <row r="225" spans="1:42" ht="13.2" hidden="1">
      <c r="A225" s="143"/>
      <c r="B225" s="143"/>
      <c r="C225" s="142"/>
      <c r="D225" s="168"/>
      <c r="E225" s="153"/>
      <c r="F225" s="153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  <c r="AO225" s="142"/>
      <c r="AP225" s="143"/>
    </row>
    <row r="226" spans="1:42" ht="13.2" hidden="1">
      <c r="A226" s="143"/>
      <c r="B226" s="143"/>
      <c r="C226" s="142"/>
      <c r="D226" s="168"/>
      <c r="E226" s="153"/>
      <c r="F226" s="153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  <c r="AO226" s="142"/>
      <c r="AP226" s="143"/>
    </row>
    <row r="227" spans="1:42" ht="13.2" hidden="1">
      <c r="A227" s="143"/>
      <c r="B227" s="143"/>
      <c r="C227" s="142"/>
      <c r="D227" s="168"/>
      <c r="E227" s="153"/>
      <c r="F227" s="153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  <c r="AO227" s="142"/>
      <c r="AP227" s="143"/>
    </row>
    <row r="228" spans="1:42" ht="13.2" hidden="1">
      <c r="A228" s="143"/>
      <c r="B228" s="143"/>
      <c r="C228" s="142"/>
      <c r="D228" s="168"/>
      <c r="E228" s="153"/>
      <c r="F228" s="153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  <c r="AO228" s="142"/>
      <c r="AP228" s="143"/>
    </row>
    <row r="229" spans="1:42" ht="13.2" hidden="1">
      <c r="A229" s="143"/>
      <c r="B229" s="143"/>
      <c r="C229" s="142"/>
      <c r="D229" s="168"/>
      <c r="E229" s="153"/>
      <c r="F229" s="153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  <c r="AO229" s="142"/>
      <c r="AP229" s="143"/>
    </row>
    <row r="230" spans="1:42" ht="13.2" hidden="1">
      <c r="A230" s="143"/>
      <c r="B230" s="143"/>
      <c r="C230" s="142"/>
      <c r="D230" s="168"/>
      <c r="E230" s="153"/>
      <c r="F230" s="153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  <c r="AO230" s="142"/>
      <c r="AP230" s="143"/>
    </row>
    <row r="231" spans="1:42" ht="13.2" hidden="1">
      <c r="A231" s="143"/>
      <c r="B231" s="143"/>
      <c r="C231" s="142"/>
      <c r="D231" s="168"/>
      <c r="E231" s="153"/>
      <c r="F231" s="153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  <c r="AO231" s="142"/>
      <c r="AP231" s="143"/>
    </row>
    <row r="232" spans="1:42" ht="13.2" hidden="1">
      <c r="A232" s="143"/>
      <c r="B232" s="143"/>
      <c r="C232" s="142"/>
      <c r="D232" s="168"/>
      <c r="E232" s="153"/>
      <c r="F232" s="153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3"/>
    </row>
    <row r="233" spans="1:42" ht="13.2" hidden="1">
      <c r="A233" s="143"/>
      <c r="B233" s="143"/>
      <c r="C233" s="142"/>
      <c r="D233" s="168"/>
      <c r="E233" s="153"/>
      <c r="F233" s="153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3"/>
    </row>
    <row r="234" spans="1:42" ht="13.2" hidden="1">
      <c r="A234" s="143"/>
      <c r="B234" s="143"/>
      <c r="C234" s="142"/>
      <c r="D234" s="168"/>
      <c r="E234" s="153"/>
      <c r="F234" s="153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3"/>
    </row>
    <row r="235" spans="1:42" ht="13.2" hidden="1">
      <c r="A235" s="143"/>
      <c r="B235" s="143"/>
      <c r="C235" s="142"/>
      <c r="D235" s="168"/>
      <c r="E235" s="153"/>
      <c r="F235" s="153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3"/>
    </row>
    <row r="236" spans="1:42" ht="13.2" hidden="1">
      <c r="A236" s="143"/>
      <c r="B236" s="143"/>
      <c r="C236" s="142"/>
      <c r="D236" s="168"/>
      <c r="E236" s="153"/>
      <c r="F236" s="153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3"/>
    </row>
    <row r="237" spans="1:42" ht="13.2" hidden="1">
      <c r="A237" s="143"/>
      <c r="B237" s="143"/>
      <c r="C237" s="142"/>
      <c r="D237" s="168"/>
      <c r="E237" s="153"/>
      <c r="F237" s="153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3"/>
    </row>
    <row r="238" spans="1:42" ht="13.2" hidden="1">
      <c r="A238" s="143"/>
      <c r="B238" s="143"/>
      <c r="C238" s="142"/>
      <c r="D238" s="168"/>
      <c r="E238" s="153"/>
      <c r="F238" s="153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3"/>
    </row>
    <row r="239" spans="1:42" ht="13.2" hidden="1">
      <c r="A239" s="143"/>
      <c r="B239" s="143"/>
      <c r="C239" s="142"/>
      <c r="D239" s="168"/>
      <c r="E239" s="153"/>
      <c r="F239" s="153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3"/>
    </row>
    <row r="240" spans="1:42" ht="13.2" hidden="1">
      <c r="A240" s="143"/>
      <c r="B240" s="143"/>
      <c r="C240" s="142"/>
      <c r="D240" s="168"/>
      <c r="E240" s="153"/>
      <c r="F240" s="153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3"/>
    </row>
    <row r="241" spans="1:42" ht="13.2" hidden="1">
      <c r="A241" s="143"/>
      <c r="B241" s="143"/>
      <c r="C241" s="142"/>
      <c r="D241" s="168"/>
      <c r="E241" s="153"/>
      <c r="F241" s="153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3"/>
    </row>
    <row r="242" spans="1:42" ht="13.2" hidden="1">
      <c r="A242" s="143"/>
      <c r="B242" s="143"/>
      <c r="C242" s="142"/>
      <c r="D242" s="168"/>
      <c r="E242" s="153"/>
      <c r="F242" s="153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3"/>
    </row>
    <row r="243" spans="1:42" ht="13.2" hidden="1">
      <c r="A243" s="143"/>
      <c r="B243" s="143"/>
      <c r="C243" s="142"/>
      <c r="D243" s="168"/>
      <c r="E243" s="153"/>
      <c r="F243" s="153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3"/>
    </row>
    <row r="244" spans="1:42" ht="13.2" hidden="1">
      <c r="A244" s="143"/>
      <c r="B244" s="143"/>
      <c r="C244" s="142"/>
      <c r="D244" s="168"/>
      <c r="E244" s="153"/>
      <c r="F244" s="153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3"/>
    </row>
    <row r="245" spans="1:42" ht="13.2" hidden="1">
      <c r="A245" s="143"/>
      <c r="B245" s="143"/>
      <c r="C245" s="142"/>
      <c r="D245" s="168"/>
      <c r="E245" s="153"/>
      <c r="F245" s="153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3"/>
    </row>
    <row r="246" spans="1:42" ht="13.2" hidden="1">
      <c r="A246" s="143"/>
      <c r="B246" s="143"/>
      <c r="C246" s="142"/>
      <c r="D246" s="168"/>
      <c r="E246" s="153"/>
      <c r="F246" s="153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3"/>
    </row>
    <row r="247" spans="1:42" ht="13.2" hidden="1">
      <c r="A247" s="143"/>
      <c r="B247" s="143"/>
      <c r="C247" s="142"/>
      <c r="D247" s="168"/>
      <c r="E247" s="153"/>
      <c r="F247" s="153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3"/>
    </row>
    <row r="248" spans="1:42" ht="13.2" hidden="1">
      <c r="A248" s="143"/>
      <c r="B248" s="143"/>
      <c r="C248" s="142"/>
      <c r="D248" s="168"/>
      <c r="E248" s="153"/>
      <c r="F248" s="153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3"/>
    </row>
    <row r="249" spans="1:42" ht="13.2" hidden="1">
      <c r="A249" s="143"/>
      <c r="B249" s="143"/>
      <c r="C249" s="142"/>
      <c r="D249" s="168"/>
      <c r="E249" s="153"/>
      <c r="F249" s="153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3"/>
    </row>
    <row r="250" spans="1:42" ht="13.2" hidden="1">
      <c r="A250" s="143"/>
      <c r="B250" s="143"/>
      <c r="C250" s="142"/>
      <c r="D250" s="168"/>
      <c r="E250" s="153"/>
      <c r="F250" s="153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3"/>
    </row>
    <row r="251" spans="1:42" ht="13.2" hidden="1">
      <c r="A251" s="143"/>
      <c r="B251" s="143"/>
      <c r="C251" s="142"/>
      <c r="D251" s="168"/>
      <c r="E251" s="153"/>
      <c r="F251" s="153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3"/>
    </row>
    <row r="252" spans="1:42" ht="13.2" hidden="1">
      <c r="A252" s="143"/>
      <c r="B252" s="143"/>
      <c r="C252" s="142"/>
      <c r="D252" s="168"/>
      <c r="E252" s="153"/>
      <c r="F252" s="153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3"/>
    </row>
    <row r="253" spans="1:42" ht="13.2" hidden="1">
      <c r="A253" s="143"/>
      <c r="B253" s="143"/>
      <c r="C253" s="142"/>
      <c r="D253" s="168"/>
      <c r="E253" s="153"/>
      <c r="F253" s="153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3"/>
    </row>
    <row r="254" spans="1:42" ht="13.2" hidden="1">
      <c r="A254" s="143"/>
      <c r="B254" s="143"/>
      <c r="C254" s="142"/>
      <c r="D254" s="168"/>
      <c r="E254" s="153"/>
      <c r="F254" s="153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3"/>
    </row>
    <row r="255" spans="1:42" ht="13.2" hidden="1">
      <c r="A255" s="143"/>
      <c r="B255" s="143"/>
      <c r="C255" s="142"/>
      <c r="D255" s="168"/>
      <c r="E255" s="153"/>
      <c r="F255" s="153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3"/>
    </row>
    <row r="256" spans="1:42" ht="13.2" hidden="1">
      <c r="A256" s="143"/>
      <c r="B256" s="143"/>
      <c r="C256" s="142"/>
      <c r="D256" s="168"/>
      <c r="E256" s="153"/>
      <c r="F256" s="153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3"/>
    </row>
    <row r="257" spans="1:42" ht="13.2" hidden="1">
      <c r="A257" s="143"/>
      <c r="B257" s="143"/>
      <c r="C257" s="142"/>
      <c r="D257" s="168"/>
      <c r="E257" s="153"/>
      <c r="F257" s="153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3"/>
    </row>
    <row r="258" spans="1:42" ht="13.2" hidden="1">
      <c r="A258" s="143"/>
      <c r="B258" s="143"/>
      <c r="C258" s="142"/>
      <c r="D258" s="168"/>
      <c r="E258" s="153"/>
      <c r="F258" s="153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3"/>
    </row>
    <row r="259" spans="1:42" ht="13.2" hidden="1">
      <c r="A259" s="143"/>
      <c r="B259" s="143"/>
      <c r="C259" s="142"/>
      <c r="D259" s="168"/>
      <c r="E259" s="153"/>
      <c r="F259" s="153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3"/>
    </row>
    <row r="260" spans="1:42" ht="13.2" hidden="1">
      <c r="A260" s="143"/>
      <c r="B260" s="143"/>
      <c r="C260" s="142"/>
      <c r="D260" s="168"/>
      <c r="E260" s="153"/>
      <c r="F260" s="153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3"/>
    </row>
    <row r="261" spans="1:42" ht="13.2" hidden="1">
      <c r="A261" s="143"/>
      <c r="B261" s="143"/>
      <c r="C261" s="142"/>
      <c r="D261" s="168"/>
      <c r="E261" s="153"/>
      <c r="F261" s="153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3"/>
    </row>
    <row r="262" spans="1:42" ht="13.2" hidden="1">
      <c r="A262" s="143"/>
      <c r="B262" s="143"/>
      <c r="C262" s="142"/>
      <c r="D262" s="168"/>
      <c r="E262" s="153"/>
      <c r="F262" s="153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3"/>
    </row>
    <row r="263" spans="1:42" ht="13.2" hidden="1">
      <c r="A263" s="143"/>
      <c r="B263" s="143"/>
      <c r="C263" s="142"/>
      <c r="D263" s="168"/>
      <c r="E263" s="153"/>
      <c r="F263" s="153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3"/>
    </row>
    <row r="264" spans="1:42" ht="13.2" hidden="1">
      <c r="A264" s="143"/>
      <c r="B264" s="143"/>
      <c r="C264" s="142"/>
      <c r="D264" s="168"/>
      <c r="E264" s="153"/>
      <c r="F264" s="153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3"/>
    </row>
    <row r="265" spans="1:42" ht="13.2" hidden="1">
      <c r="A265" s="143"/>
      <c r="B265" s="143"/>
      <c r="C265" s="142"/>
      <c r="D265" s="168"/>
      <c r="E265" s="153"/>
      <c r="F265" s="153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3"/>
    </row>
    <row r="266" spans="1:42" ht="13.2" hidden="1">
      <c r="A266" s="143"/>
      <c r="B266" s="143"/>
      <c r="C266" s="142"/>
      <c r="D266" s="168"/>
      <c r="E266" s="153"/>
      <c r="F266" s="153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3"/>
    </row>
    <row r="267" spans="1:42" ht="13.2" hidden="1">
      <c r="A267" s="143"/>
      <c r="B267" s="143"/>
      <c r="C267" s="142"/>
      <c r="D267" s="168"/>
      <c r="E267" s="153"/>
      <c r="F267" s="153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3"/>
    </row>
    <row r="268" spans="1:42" ht="13.2" hidden="1">
      <c r="A268" s="143"/>
      <c r="B268" s="143"/>
      <c r="C268" s="142"/>
      <c r="D268" s="168"/>
      <c r="E268" s="153"/>
      <c r="F268" s="153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3"/>
    </row>
    <row r="269" spans="1:42" ht="13.2" hidden="1">
      <c r="A269" s="143"/>
      <c r="B269" s="143"/>
      <c r="C269" s="142"/>
      <c r="D269" s="168"/>
      <c r="E269" s="153"/>
      <c r="F269" s="153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3"/>
    </row>
    <row r="270" spans="1:42" ht="13.2" hidden="1">
      <c r="A270" s="143"/>
      <c r="B270" s="143"/>
      <c r="C270" s="142"/>
      <c r="D270" s="168"/>
      <c r="E270" s="153"/>
      <c r="F270" s="153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3"/>
    </row>
    <row r="271" spans="1:42" ht="13.2" hidden="1">
      <c r="A271" s="143"/>
      <c r="B271" s="143"/>
      <c r="C271" s="142"/>
      <c r="D271" s="168"/>
      <c r="E271" s="153"/>
      <c r="F271" s="153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3"/>
    </row>
    <row r="272" spans="1:42" ht="13.2" hidden="1">
      <c r="A272" s="143"/>
      <c r="B272" s="143"/>
      <c r="C272" s="142"/>
      <c r="D272" s="168"/>
      <c r="E272" s="153"/>
      <c r="F272" s="153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3"/>
    </row>
    <row r="273" spans="1:42" ht="13.2" hidden="1">
      <c r="A273" s="143"/>
      <c r="B273" s="143"/>
      <c r="C273" s="142"/>
      <c r="D273" s="168"/>
      <c r="E273" s="153"/>
      <c r="F273" s="153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3"/>
    </row>
    <row r="274" spans="1:42" ht="13.2" hidden="1">
      <c r="A274" s="143"/>
      <c r="B274" s="143"/>
      <c r="C274" s="142"/>
      <c r="D274" s="168"/>
      <c r="E274" s="153"/>
      <c r="F274" s="153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3"/>
    </row>
    <row r="275" spans="1:42" ht="13.2" hidden="1">
      <c r="A275" s="143"/>
      <c r="B275" s="143"/>
      <c r="C275" s="142"/>
      <c r="D275" s="168"/>
      <c r="E275" s="153"/>
      <c r="F275" s="153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3"/>
    </row>
    <row r="276" spans="1:42" ht="13.2" hidden="1">
      <c r="A276" s="143"/>
      <c r="B276" s="143"/>
      <c r="C276" s="142"/>
      <c r="D276" s="168"/>
      <c r="E276" s="153"/>
      <c r="F276" s="153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3"/>
    </row>
    <row r="277" spans="1:42" ht="13.2" hidden="1">
      <c r="A277" s="143"/>
      <c r="B277" s="143"/>
      <c r="C277" s="142"/>
      <c r="D277" s="168"/>
      <c r="E277" s="153"/>
      <c r="F277" s="153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3"/>
    </row>
    <row r="278" spans="1:42" ht="13.2" hidden="1">
      <c r="A278" s="143"/>
      <c r="B278" s="143"/>
      <c r="C278" s="142"/>
      <c r="D278" s="168"/>
      <c r="E278" s="153"/>
      <c r="F278" s="153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3"/>
    </row>
    <row r="279" spans="1:42" ht="13.2" hidden="1">
      <c r="A279" s="143"/>
      <c r="B279" s="143"/>
      <c r="C279" s="142"/>
      <c r="D279" s="168"/>
      <c r="E279" s="153"/>
      <c r="F279" s="153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3"/>
    </row>
    <row r="280" spans="1:42" ht="13.2" hidden="1">
      <c r="A280" s="143"/>
      <c r="B280" s="143"/>
      <c r="C280" s="142"/>
      <c r="D280" s="168"/>
      <c r="E280" s="153"/>
      <c r="F280" s="153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3"/>
    </row>
    <row r="281" spans="1:42" ht="13.2" hidden="1">
      <c r="A281" s="143"/>
      <c r="B281" s="143"/>
      <c r="C281" s="142"/>
      <c r="D281" s="168"/>
      <c r="E281" s="153"/>
      <c r="F281" s="153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3"/>
    </row>
    <row r="282" spans="1:42" ht="13.2" hidden="1">
      <c r="A282" s="143"/>
      <c r="B282" s="143"/>
      <c r="C282" s="142"/>
      <c r="D282" s="168"/>
      <c r="E282" s="153"/>
      <c r="F282" s="153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3"/>
    </row>
    <row r="283" spans="1:42" ht="13.2" hidden="1">
      <c r="A283" s="143"/>
      <c r="B283" s="143"/>
      <c r="C283" s="142"/>
      <c r="D283" s="168"/>
      <c r="E283" s="153"/>
      <c r="F283" s="153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3"/>
    </row>
    <row r="284" spans="1:42" ht="13.2" hidden="1">
      <c r="A284" s="143"/>
      <c r="B284" s="143"/>
      <c r="C284" s="142"/>
      <c r="D284" s="168"/>
      <c r="E284" s="153"/>
      <c r="F284" s="153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3"/>
    </row>
    <row r="285" spans="1:42" ht="13.2" hidden="1">
      <c r="A285" s="143"/>
      <c r="B285" s="143"/>
      <c r="C285" s="142"/>
      <c r="D285" s="168"/>
      <c r="E285" s="153"/>
      <c r="F285" s="153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3"/>
    </row>
    <row r="286" spans="1:42" ht="13.2" hidden="1">
      <c r="A286" s="143"/>
      <c r="B286" s="143"/>
      <c r="C286" s="142"/>
      <c r="D286" s="168"/>
      <c r="E286" s="153"/>
      <c r="F286" s="153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3"/>
    </row>
    <row r="287" spans="1:42" ht="13.2" hidden="1">
      <c r="A287" s="143"/>
      <c r="B287" s="143"/>
      <c r="C287" s="142"/>
      <c r="D287" s="168"/>
      <c r="E287" s="153"/>
      <c r="F287" s="153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3"/>
    </row>
    <row r="288" spans="1:42" ht="13.2" hidden="1">
      <c r="A288" s="143"/>
      <c r="B288" s="143"/>
      <c r="C288" s="142"/>
      <c r="D288" s="168"/>
      <c r="E288" s="153"/>
      <c r="F288" s="153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3"/>
    </row>
    <row r="289" spans="1:42" ht="13.2" hidden="1">
      <c r="A289" s="143"/>
      <c r="B289" s="143"/>
      <c r="C289" s="142"/>
      <c r="D289" s="168"/>
      <c r="E289" s="153"/>
      <c r="F289" s="153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3"/>
    </row>
    <row r="290" spans="1:42" ht="13.2" hidden="1">
      <c r="A290" s="143"/>
      <c r="B290" s="143"/>
      <c r="C290" s="142"/>
      <c r="D290" s="168"/>
      <c r="E290" s="153"/>
      <c r="F290" s="153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3"/>
    </row>
    <row r="291" spans="1:42" ht="13.2" hidden="1">
      <c r="A291" s="143"/>
      <c r="B291" s="143"/>
      <c r="C291" s="142"/>
      <c r="D291" s="168"/>
      <c r="E291" s="153"/>
      <c r="F291" s="153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3"/>
    </row>
    <row r="292" spans="1:42" ht="13.2" hidden="1">
      <c r="A292" s="143"/>
      <c r="B292" s="143"/>
      <c r="C292" s="142"/>
      <c r="D292" s="168"/>
      <c r="E292" s="153"/>
      <c r="F292" s="153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3"/>
    </row>
    <row r="293" spans="1:42" ht="13.2" hidden="1">
      <c r="A293" s="143"/>
      <c r="B293" s="143"/>
      <c r="C293" s="142"/>
      <c r="D293" s="168"/>
      <c r="E293" s="153"/>
      <c r="F293" s="153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3"/>
    </row>
    <row r="294" spans="1:42" ht="13.2" hidden="1">
      <c r="A294" s="143"/>
      <c r="B294" s="143"/>
      <c r="C294" s="142"/>
      <c r="D294" s="168"/>
      <c r="E294" s="153"/>
      <c r="F294" s="153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3"/>
    </row>
    <row r="295" spans="1:42" ht="13.2" hidden="1">
      <c r="A295" s="143"/>
      <c r="B295" s="143"/>
      <c r="C295" s="142"/>
      <c r="D295" s="168"/>
      <c r="E295" s="153"/>
      <c r="F295" s="153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3"/>
    </row>
    <row r="296" spans="1:42" ht="13.2" hidden="1">
      <c r="A296" s="143"/>
      <c r="B296" s="143"/>
      <c r="C296" s="142"/>
      <c r="D296" s="168"/>
      <c r="E296" s="153"/>
      <c r="F296" s="153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3"/>
    </row>
    <row r="297" spans="1:42" ht="13.2" hidden="1">
      <c r="A297" s="143"/>
      <c r="B297" s="143"/>
      <c r="C297" s="142"/>
      <c r="D297" s="168"/>
      <c r="E297" s="153"/>
      <c r="F297" s="153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3"/>
    </row>
    <row r="298" spans="1:42" ht="13.2" hidden="1">
      <c r="A298" s="143"/>
      <c r="B298" s="143"/>
      <c r="C298" s="142"/>
      <c r="D298" s="168"/>
      <c r="E298" s="153"/>
      <c r="F298" s="153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3"/>
    </row>
    <row r="299" spans="1:42" ht="13.2" hidden="1">
      <c r="A299" s="143"/>
      <c r="B299" s="143"/>
      <c r="C299" s="142"/>
      <c r="D299" s="168"/>
      <c r="E299" s="153"/>
      <c r="F299" s="153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3"/>
    </row>
    <row r="300" spans="1:42" ht="13.2" hidden="1">
      <c r="A300" s="143"/>
      <c r="B300" s="143"/>
      <c r="C300" s="142"/>
      <c r="D300" s="168"/>
      <c r="E300" s="153"/>
      <c r="F300" s="153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3"/>
    </row>
    <row r="301" spans="1:42" ht="13.2" hidden="1">
      <c r="A301" s="143"/>
      <c r="B301" s="143"/>
      <c r="C301" s="142"/>
      <c r="D301" s="168"/>
      <c r="E301" s="153"/>
      <c r="F301" s="153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3"/>
    </row>
    <row r="302" spans="1:42" ht="13.2" hidden="1">
      <c r="A302" s="143"/>
      <c r="B302" s="143"/>
      <c r="C302" s="142"/>
      <c r="D302" s="168"/>
      <c r="E302" s="153"/>
      <c r="F302" s="153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3"/>
    </row>
    <row r="303" spans="1:42" ht="13.2" hidden="1">
      <c r="A303" s="143"/>
      <c r="B303" s="143"/>
      <c r="C303" s="142"/>
      <c r="D303" s="168"/>
      <c r="E303" s="153"/>
      <c r="F303" s="153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3"/>
    </row>
    <row r="304" spans="1:42" ht="13.2" hidden="1">
      <c r="A304" s="143"/>
      <c r="B304" s="143"/>
      <c r="C304" s="142"/>
      <c r="D304" s="168"/>
      <c r="E304" s="153"/>
      <c r="F304" s="153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3"/>
    </row>
    <row r="305" spans="1:42" ht="13.2" hidden="1">
      <c r="A305" s="143"/>
      <c r="B305" s="143"/>
      <c r="C305" s="142"/>
      <c r="D305" s="168"/>
      <c r="E305" s="153"/>
      <c r="F305" s="153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3"/>
    </row>
    <row r="306" spans="1:42" ht="13.2" hidden="1">
      <c r="A306" s="143"/>
      <c r="B306" s="143"/>
      <c r="C306" s="142"/>
      <c r="D306" s="168"/>
      <c r="E306" s="153"/>
      <c r="F306" s="153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3"/>
    </row>
    <row r="307" spans="1:42" ht="13.2" hidden="1">
      <c r="A307" s="143"/>
      <c r="B307" s="143"/>
      <c r="C307" s="142"/>
      <c r="D307" s="168"/>
      <c r="E307" s="153"/>
      <c r="F307" s="153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3"/>
    </row>
    <row r="308" spans="1:42" ht="13.2" hidden="1">
      <c r="A308" s="143"/>
      <c r="B308" s="143"/>
      <c r="C308" s="142"/>
      <c r="D308" s="168"/>
      <c r="E308" s="153"/>
      <c r="F308" s="153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3"/>
    </row>
    <row r="309" spans="1:42" ht="13.2" hidden="1">
      <c r="A309" s="143"/>
      <c r="B309" s="143"/>
      <c r="C309" s="142"/>
      <c r="D309" s="168"/>
      <c r="E309" s="153"/>
      <c r="F309" s="153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3"/>
    </row>
    <row r="310" spans="1:42" ht="13.2" hidden="1">
      <c r="A310" s="143"/>
      <c r="B310" s="143"/>
      <c r="C310" s="142"/>
      <c r="D310" s="168"/>
      <c r="E310" s="153"/>
      <c r="F310" s="153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3"/>
    </row>
    <row r="311" spans="1:42" ht="13.2" hidden="1">
      <c r="A311" s="143"/>
      <c r="B311" s="143"/>
      <c r="C311" s="142"/>
      <c r="D311" s="168"/>
      <c r="E311" s="153"/>
      <c r="F311" s="153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3"/>
    </row>
    <row r="312" spans="1:42" ht="13.2" hidden="1">
      <c r="A312" s="143"/>
      <c r="B312" s="143"/>
      <c r="C312" s="142"/>
      <c r="D312" s="168"/>
      <c r="E312" s="153"/>
      <c r="F312" s="153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3"/>
    </row>
    <row r="313" spans="1:42" ht="13.2" hidden="1">
      <c r="A313" s="143"/>
      <c r="B313" s="143"/>
      <c r="C313" s="142"/>
      <c r="D313" s="168"/>
      <c r="E313" s="153"/>
      <c r="F313" s="153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3"/>
    </row>
    <row r="314" spans="1:42" ht="13.2" hidden="1">
      <c r="A314" s="143"/>
      <c r="B314" s="143"/>
      <c r="C314" s="142"/>
      <c r="D314" s="168"/>
      <c r="E314" s="153"/>
      <c r="F314" s="153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3"/>
    </row>
    <row r="315" spans="1:42" ht="13.2" hidden="1">
      <c r="A315" s="143"/>
      <c r="B315" s="143"/>
      <c r="C315" s="142"/>
      <c r="D315" s="168"/>
      <c r="E315" s="153"/>
      <c r="F315" s="153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3"/>
    </row>
    <row r="316" spans="1:42" ht="13.2" hidden="1">
      <c r="A316" s="143"/>
      <c r="B316" s="143"/>
      <c r="C316" s="142"/>
      <c r="D316" s="168"/>
      <c r="E316" s="153"/>
      <c r="F316" s="153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3"/>
    </row>
    <row r="317" spans="1:42" ht="13.2" hidden="1">
      <c r="A317" s="143"/>
      <c r="B317" s="143"/>
      <c r="C317" s="142"/>
      <c r="D317" s="168"/>
      <c r="E317" s="153"/>
      <c r="F317" s="153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3"/>
    </row>
    <row r="318" spans="1:42" ht="13.2" hidden="1">
      <c r="A318" s="143"/>
      <c r="B318" s="143"/>
      <c r="C318" s="142"/>
      <c r="D318" s="168"/>
      <c r="E318" s="153"/>
      <c r="F318" s="153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3"/>
    </row>
    <row r="319" spans="1:42" ht="13.2" hidden="1">
      <c r="A319" s="143"/>
      <c r="B319" s="143"/>
      <c r="C319" s="142"/>
      <c r="D319" s="168"/>
      <c r="E319" s="153"/>
      <c r="F319" s="153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3"/>
    </row>
    <row r="320" spans="1:42" ht="13.2" hidden="1">
      <c r="A320" s="143"/>
      <c r="B320" s="143"/>
      <c r="C320" s="142"/>
      <c r="D320" s="168"/>
      <c r="E320" s="153"/>
      <c r="F320" s="153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3"/>
    </row>
    <row r="321" spans="1:42" ht="13.2" hidden="1">
      <c r="A321" s="143"/>
      <c r="B321" s="143"/>
      <c r="C321" s="142"/>
      <c r="D321" s="168"/>
      <c r="E321" s="153"/>
      <c r="F321" s="153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3"/>
    </row>
    <row r="322" spans="1:42" ht="13.2" hidden="1">
      <c r="A322" s="143"/>
      <c r="B322" s="143"/>
      <c r="C322" s="142"/>
      <c r="D322" s="168"/>
      <c r="E322" s="153"/>
      <c r="F322" s="153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3"/>
    </row>
    <row r="323" spans="1:42" ht="13.2" hidden="1">
      <c r="A323" s="143"/>
      <c r="B323" s="143"/>
      <c r="C323" s="142"/>
      <c r="D323" s="168"/>
      <c r="E323" s="153"/>
      <c r="F323" s="153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3"/>
    </row>
    <row r="324" spans="1:42" ht="13.2" hidden="1">
      <c r="A324" s="143"/>
      <c r="B324" s="143"/>
      <c r="C324" s="142"/>
      <c r="D324" s="168"/>
      <c r="E324" s="153"/>
      <c r="F324" s="153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3"/>
    </row>
    <row r="325" spans="1:42" ht="13.2" hidden="1">
      <c r="A325" s="143"/>
      <c r="B325" s="143"/>
      <c r="C325" s="142"/>
      <c r="D325" s="168"/>
      <c r="E325" s="153"/>
      <c r="F325" s="153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3"/>
    </row>
    <row r="326" spans="1:42" ht="13.2" hidden="1">
      <c r="A326" s="143"/>
      <c r="B326" s="143"/>
      <c r="C326" s="142"/>
      <c r="D326" s="168"/>
      <c r="E326" s="153"/>
      <c r="F326" s="153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3"/>
    </row>
    <row r="327" spans="1:42" ht="13.2" hidden="1">
      <c r="A327" s="143"/>
      <c r="B327" s="143"/>
      <c r="C327" s="142"/>
      <c r="D327" s="168"/>
      <c r="E327" s="153"/>
      <c r="F327" s="153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3"/>
    </row>
    <row r="328" spans="1:42" ht="13.2" hidden="1">
      <c r="A328" s="143"/>
      <c r="B328" s="143"/>
      <c r="C328" s="142"/>
      <c r="D328" s="168"/>
      <c r="E328" s="153"/>
      <c r="F328" s="153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3"/>
    </row>
    <row r="329" spans="1:42" ht="13.2" hidden="1">
      <c r="A329" s="143"/>
      <c r="B329" s="143"/>
      <c r="C329" s="142"/>
      <c r="D329" s="168"/>
      <c r="E329" s="153"/>
      <c r="F329" s="153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3"/>
    </row>
    <row r="330" spans="1:42" ht="13.2" hidden="1">
      <c r="A330" s="143"/>
      <c r="B330" s="143"/>
      <c r="C330" s="142"/>
      <c r="D330" s="168"/>
      <c r="E330" s="153"/>
      <c r="F330" s="153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3"/>
    </row>
    <row r="331" spans="1:42" ht="13.2" hidden="1">
      <c r="A331" s="143"/>
      <c r="B331" s="143"/>
      <c r="C331" s="142"/>
      <c r="D331" s="168"/>
      <c r="E331" s="153"/>
      <c r="F331" s="153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3"/>
    </row>
    <row r="332" spans="1:42" ht="13.2" hidden="1">
      <c r="A332" s="143"/>
      <c r="B332" s="143"/>
      <c r="C332" s="142"/>
      <c r="D332" s="168"/>
      <c r="E332" s="153"/>
      <c r="F332" s="153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3"/>
    </row>
    <row r="333" spans="1:42" ht="13.2" hidden="1">
      <c r="A333" s="143"/>
      <c r="B333" s="143"/>
      <c r="C333" s="142"/>
      <c r="D333" s="168"/>
      <c r="E333" s="153"/>
      <c r="F333" s="153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3"/>
    </row>
    <row r="334" spans="1:42" ht="13.2" hidden="1">
      <c r="A334" s="143"/>
      <c r="B334" s="143"/>
      <c r="C334" s="142"/>
      <c r="D334" s="168"/>
      <c r="E334" s="153"/>
      <c r="F334" s="153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3"/>
    </row>
    <row r="335" spans="1:42" ht="13.2" hidden="1">
      <c r="A335" s="143"/>
      <c r="B335" s="143"/>
      <c r="C335" s="142"/>
      <c r="D335" s="168"/>
      <c r="E335" s="153"/>
      <c r="F335" s="153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3"/>
    </row>
    <row r="336" spans="1:42" ht="13.2" hidden="1">
      <c r="A336" s="143"/>
      <c r="B336" s="143"/>
      <c r="C336" s="142"/>
      <c r="D336" s="168"/>
      <c r="E336" s="153"/>
      <c r="F336" s="153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3"/>
    </row>
    <row r="337" spans="1:42" ht="13.2" hidden="1">
      <c r="A337" s="143"/>
      <c r="B337" s="143"/>
      <c r="C337" s="142"/>
      <c r="D337" s="168"/>
      <c r="E337" s="153"/>
      <c r="F337" s="153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3"/>
    </row>
    <row r="338" spans="1:42" ht="13.2" hidden="1">
      <c r="A338" s="143"/>
      <c r="B338" s="143"/>
      <c r="C338" s="142"/>
      <c r="D338" s="168"/>
      <c r="E338" s="153"/>
      <c r="F338" s="153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3"/>
    </row>
    <row r="339" spans="1:42" ht="13.2" hidden="1">
      <c r="A339" s="143"/>
      <c r="B339" s="143"/>
      <c r="C339" s="142"/>
      <c r="D339" s="168"/>
      <c r="E339" s="153"/>
      <c r="F339" s="153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3"/>
    </row>
    <row r="340" spans="1:42" ht="13.2" hidden="1">
      <c r="A340" s="143"/>
      <c r="B340" s="143"/>
      <c r="C340" s="142"/>
      <c r="D340" s="168"/>
      <c r="E340" s="153"/>
      <c r="F340" s="153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3"/>
    </row>
    <row r="341" spans="1:42" ht="13.2" hidden="1">
      <c r="A341" s="143"/>
      <c r="B341" s="143"/>
      <c r="C341" s="142"/>
      <c r="D341" s="168"/>
      <c r="E341" s="153"/>
      <c r="F341" s="153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3"/>
    </row>
    <row r="342" spans="1:42" ht="13.2" hidden="1">
      <c r="A342" s="143"/>
      <c r="B342" s="143"/>
      <c r="C342" s="142"/>
      <c r="D342" s="168"/>
      <c r="E342" s="153"/>
      <c r="F342" s="153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3"/>
    </row>
    <row r="343" spans="1:42" ht="13.2" hidden="1">
      <c r="A343" s="143"/>
      <c r="B343" s="143"/>
      <c r="C343" s="142"/>
      <c r="D343" s="168"/>
      <c r="E343" s="153"/>
      <c r="F343" s="153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3"/>
    </row>
    <row r="344" spans="1:42" ht="13.2" hidden="1">
      <c r="A344" s="143"/>
      <c r="B344" s="143"/>
      <c r="C344" s="142"/>
      <c r="D344" s="168"/>
      <c r="E344" s="153"/>
      <c r="F344" s="153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3"/>
    </row>
    <row r="345" spans="1:42" ht="13.2" hidden="1">
      <c r="A345" s="143"/>
      <c r="B345" s="143"/>
      <c r="C345" s="142"/>
      <c r="D345" s="168"/>
      <c r="E345" s="153"/>
      <c r="F345" s="153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3"/>
    </row>
    <row r="346" spans="1:42" ht="13.2" hidden="1">
      <c r="A346" s="143"/>
      <c r="B346" s="143"/>
      <c r="C346" s="142"/>
      <c r="D346" s="168"/>
      <c r="E346" s="153"/>
      <c r="F346" s="153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3"/>
    </row>
    <row r="347" spans="1:42" ht="13.2" hidden="1">
      <c r="A347" s="143"/>
      <c r="B347" s="143"/>
      <c r="C347" s="142"/>
      <c r="D347" s="168"/>
      <c r="E347" s="153"/>
      <c r="F347" s="153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3"/>
    </row>
    <row r="348" spans="1:42" ht="13.2" hidden="1">
      <c r="A348" s="143"/>
      <c r="B348" s="143"/>
      <c r="C348" s="142"/>
      <c r="D348" s="168"/>
      <c r="E348" s="153"/>
      <c r="F348" s="153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3"/>
    </row>
    <row r="349" spans="1:42" ht="13.2" hidden="1">
      <c r="A349" s="143"/>
      <c r="B349" s="143"/>
      <c r="C349" s="142"/>
      <c r="D349" s="168"/>
      <c r="E349" s="153"/>
      <c r="F349" s="153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3"/>
    </row>
    <row r="350" spans="1:42" ht="13.2" hidden="1">
      <c r="A350" s="143"/>
      <c r="B350" s="143"/>
      <c r="C350" s="142"/>
      <c r="D350" s="168"/>
      <c r="E350" s="153"/>
      <c r="F350" s="153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3"/>
    </row>
    <row r="351" spans="1:42" ht="13.2" hidden="1">
      <c r="A351" s="143"/>
      <c r="B351" s="143"/>
      <c r="C351" s="142"/>
      <c r="D351" s="168"/>
      <c r="E351" s="153"/>
      <c r="F351" s="153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3"/>
    </row>
    <row r="352" spans="1:42" ht="13.2" hidden="1">
      <c r="A352" s="143"/>
      <c r="B352" s="143"/>
      <c r="C352" s="142"/>
      <c r="D352" s="168"/>
      <c r="E352" s="153"/>
      <c r="F352" s="153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3"/>
    </row>
    <row r="353" spans="1:42" ht="13.2" hidden="1">
      <c r="A353" s="143"/>
      <c r="B353" s="143"/>
      <c r="C353" s="142"/>
      <c r="D353" s="168"/>
      <c r="E353" s="153"/>
      <c r="F353" s="153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3"/>
    </row>
    <row r="354" spans="1:42" ht="13.2" hidden="1">
      <c r="A354" s="143"/>
      <c r="B354" s="143"/>
      <c r="C354" s="142"/>
      <c r="D354" s="168"/>
      <c r="E354" s="153"/>
      <c r="F354" s="153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3"/>
    </row>
    <row r="355" spans="1:42" ht="13.2" hidden="1">
      <c r="A355" s="143"/>
      <c r="B355" s="143"/>
      <c r="C355" s="142"/>
      <c r="D355" s="168"/>
      <c r="E355" s="153"/>
      <c r="F355" s="153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3"/>
    </row>
    <row r="356" spans="1:42" ht="13.2" hidden="1">
      <c r="A356" s="143"/>
      <c r="B356" s="143"/>
      <c r="C356" s="142"/>
      <c r="D356" s="168"/>
      <c r="E356" s="153"/>
      <c r="F356" s="153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3"/>
    </row>
    <row r="357" spans="1:42" ht="13.2" hidden="1">
      <c r="A357" s="143"/>
      <c r="B357" s="143"/>
      <c r="C357" s="142"/>
      <c r="D357" s="168"/>
      <c r="E357" s="153"/>
      <c r="F357" s="153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3"/>
    </row>
    <row r="358" spans="1:42" ht="13.2" hidden="1">
      <c r="A358" s="143"/>
      <c r="B358" s="143"/>
      <c r="C358" s="142"/>
      <c r="D358" s="168"/>
      <c r="E358" s="153"/>
      <c r="F358" s="153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3"/>
    </row>
    <row r="359" spans="1:42" ht="13.2" hidden="1">
      <c r="A359" s="143"/>
      <c r="B359" s="143"/>
      <c r="C359" s="142"/>
      <c r="D359" s="168"/>
      <c r="E359" s="153"/>
      <c r="F359" s="153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3"/>
    </row>
    <row r="360" spans="1:42" ht="13.2" hidden="1">
      <c r="A360" s="143"/>
      <c r="B360" s="143"/>
      <c r="C360" s="142"/>
      <c r="D360" s="168"/>
      <c r="E360" s="153"/>
      <c r="F360" s="153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3"/>
    </row>
    <row r="361" spans="1:42" ht="13.2" hidden="1">
      <c r="A361" s="143"/>
      <c r="B361" s="143"/>
      <c r="C361" s="142"/>
      <c r="D361" s="168"/>
      <c r="E361" s="153"/>
      <c r="F361" s="153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3"/>
    </row>
    <row r="362" spans="1:42" ht="13.2" hidden="1">
      <c r="A362" s="143"/>
      <c r="B362" s="143"/>
      <c r="C362" s="142"/>
      <c r="D362" s="168"/>
      <c r="E362" s="153"/>
      <c r="F362" s="153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3"/>
    </row>
    <row r="363" spans="1:42" ht="13.2" hidden="1">
      <c r="A363" s="143"/>
      <c r="B363" s="143"/>
      <c r="C363" s="142"/>
      <c r="D363" s="168"/>
      <c r="E363" s="153"/>
      <c r="F363" s="153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3"/>
    </row>
    <row r="364" spans="1:42" ht="13.2" hidden="1">
      <c r="A364" s="143"/>
      <c r="B364" s="143"/>
      <c r="C364" s="142"/>
      <c r="D364" s="168"/>
      <c r="E364" s="153"/>
      <c r="F364" s="153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3"/>
    </row>
    <row r="365" spans="1:42" ht="13.2" hidden="1">
      <c r="A365" s="143"/>
      <c r="B365" s="143"/>
      <c r="C365" s="142"/>
      <c r="D365" s="168"/>
      <c r="E365" s="153"/>
      <c r="F365" s="153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3"/>
    </row>
    <row r="366" spans="1:42" ht="13.2" hidden="1">
      <c r="A366" s="143"/>
      <c r="B366" s="143"/>
      <c r="C366" s="142"/>
      <c r="D366" s="168"/>
      <c r="E366" s="153"/>
      <c r="F366" s="153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3"/>
    </row>
    <row r="367" spans="1:42" ht="13.2" hidden="1">
      <c r="A367" s="143"/>
      <c r="B367" s="143"/>
      <c r="C367" s="142"/>
      <c r="D367" s="168"/>
      <c r="E367" s="153"/>
      <c r="F367" s="153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3"/>
    </row>
    <row r="368" spans="1:42" ht="13.2" hidden="1">
      <c r="A368" s="143"/>
      <c r="B368" s="143"/>
      <c r="C368" s="142"/>
      <c r="D368" s="168"/>
      <c r="E368" s="153"/>
      <c r="F368" s="153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3"/>
    </row>
    <row r="369" spans="1:42" ht="13.2" hidden="1">
      <c r="A369" s="143"/>
      <c r="B369" s="143"/>
      <c r="C369" s="142"/>
      <c r="D369" s="168"/>
      <c r="E369" s="153"/>
      <c r="F369" s="153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3"/>
    </row>
    <row r="370" spans="1:42" ht="13.2" hidden="1">
      <c r="A370" s="143"/>
      <c r="B370" s="143"/>
      <c r="C370" s="142"/>
      <c r="D370" s="168"/>
      <c r="E370" s="153"/>
      <c r="F370" s="153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3"/>
    </row>
    <row r="371" spans="1:42" ht="13.2" hidden="1">
      <c r="A371" s="143"/>
      <c r="B371" s="143"/>
      <c r="C371" s="142"/>
      <c r="D371" s="168"/>
      <c r="E371" s="153"/>
      <c r="F371" s="153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3"/>
    </row>
    <row r="372" spans="1:42" ht="13.2" hidden="1">
      <c r="A372" s="143"/>
      <c r="B372" s="143"/>
      <c r="C372" s="142"/>
      <c r="D372" s="168"/>
      <c r="E372" s="153"/>
      <c r="F372" s="153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3"/>
    </row>
    <row r="373" spans="1:42" ht="13.2" hidden="1">
      <c r="A373" s="143"/>
      <c r="B373" s="143"/>
      <c r="C373" s="142"/>
      <c r="D373" s="168"/>
      <c r="E373" s="153"/>
      <c r="F373" s="153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3"/>
    </row>
    <row r="374" spans="1:42" ht="13.2" hidden="1">
      <c r="A374" s="143"/>
      <c r="B374" s="143"/>
      <c r="C374" s="142"/>
      <c r="D374" s="168"/>
      <c r="E374" s="153"/>
      <c r="F374" s="153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3"/>
    </row>
    <row r="375" spans="1:42" ht="13.2" hidden="1">
      <c r="A375" s="143"/>
      <c r="B375" s="143"/>
      <c r="C375" s="142"/>
      <c r="D375" s="168"/>
      <c r="E375" s="153"/>
      <c r="F375" s="153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3"/>
    </row>
    <row r="376" spans="1:42" ht="13.2" hidden="1">
      <c r="A376" s="143"/>
      <c r="B376" s="143"/>
      <c r="C376" s="142"/>
      <c r="D376" s="168"/>
      <c r="E376" s="153"/>
      <c r="F376" s="153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3"/>
    </row>
    <row r="377" spans="1:42" ht="13.2" hidden="1">
      <c r="A377" s="143"/>
      <c r="B377" s="143"/>
      <c r="C377" s="142"/>
      <c r="D377" s="168"/>
      <c r="E377" s="153"/>
      <c r="F377" s="153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3"/>
    </row>
    <row r="378" spans="1:42" ht="13.2" hidden="1">
      <c r="A378" s="143"/>
      <c r="B378" s="143"/>
      <c r="C378" s="142"/>
      <c r="D378" s="168"/>
      <c r="E378" s="153"/>
      <c r="F378" s="153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3"/>
    </row>
    <row r="379" spans="1:42" ht="13.2" hidden="1">
      <c r="A379" s="143"/>
      <c r="B379" s="143"/>
      <c r="C379" s="142"/>
      <c r="D379" s="168"/>
      <c r="E379" s="153"/>
      <c r="F379" s="153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3"/>
    </row>
    <row r="380" spans="1:42" ht="13.2" hidden="1">
      <c r="A380" s="143"/>
      <c r="B380" s="143"/>
      <c r="C380" s="142"/>
      <c r="D380" s="168"/>
      <c r="E380" s="153"/>
      <c r="F380" s="153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3"/>
    </row>
    <row r="381" spans="1:42" ht="13.2" hidden="1">
      <c r="A381" s="143"/>
      <c r="B381" s="143"/>
      <c r="C381" s="142"/>
      <c r="D381" s="168"/>
      <c r="E381" s="153"/>
      <c r="F381" s="153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3"/>
    </row>
    <row r="382" spans="1:42" ht="13.2" hidden="1">
      <c r="A382" s="143"/>
      <c r="B382" s="143"/>
      <c r="C382" s="142"/>
      <c r="D382" s="168"/>
      <c r="E382" s="153"/>
      <c r="F382" s="153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3"/>
    </row>
    <row r="383" spans="1:42" ht="13.2" hidden="1">
      <c r="A383" s="143"/>
      <c r="B383" s="143"/>
      <c r="C383" s="142"/>
      <c r="D383" s="168"/>
      <c r="E383" s="153"/>
      <c r="F383" s="153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3"/>
    </row>
    <row r="384" spans="1:42" ht="13.2" hidden="1">
      <c r="A384" s="143"/>
      <c r="B384" s="143"/>
      <c r="C384" s="142"/>
      <c r="D384" s="168"/>
      <c r="E384" s="153"/>
      <c r="F384" s="153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3"/>
    </row>
    <row r="385" spans="1:42" ht="13.2" hidden="1">
      <c r="A385" s="143"/>
      <c r="B385" s="143"/>
      <c r="C385" s="142"/>
      <c r="D385" s="168"/>
      <c r="E385" s="153"/>
      <c r="F385" s="153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3"/>
    </row>
    <row r="386" spans="1:42" ht="13.2" hidden="1">
      <c r="A386" s="143"/>
      <c r="B386" s="143"/>
      <c r="C386" s="142"/>
      <c r="D386" s="168"/>
      <c r="E386" s="153"/>
      <c r="F386" s="153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3"/>
    </row>
    <row r="387" spans="1:42" ht="13.2" hidden="1">
      <c r="A387" s="143"/>
      <c r="B387" s="143"/>
      <c r="C387" s="142"/>
      <c r="D387" s="168"/>
      <c r="E387" s="153"/>
      <c r="F387" s="153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3"/>
    </row>
    <row r="388" spans="1:42" ht="13.2" hidden="1">
      <c r="A388" s="143"/>
      <c r="B388" s="143"/>
      <c r="C388" s="142"/>
      <c r="D388" s="168"/>
      <c r="E388" s="153"/>
      <c r="F388" s="153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3"/>
    </row>
    <row r="389" spans="1:42" ht="13.2" hidden="1">
      <c r="A389" s="143"/>
      <c r="B389" s="143"/>
      <c r="C389" s="142"/>
      <c r="D389" s="168"/>
      <c r="E389" s="153"/>
      <c r="F389" s="153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3"/>
    </row>
    <row r="390" spans="1:42" ht="13.2" hidden="1">
      <c r="A390" s="143"/>
      <c r="B390" s="143"/>
      <c r="C390" s="142"/>
      <c r="D390" s="168"/>
      <c r="E390" s="153"/>
      <c r="F390" s="153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3"/>
    </row>
    <row r="391" spans="1:42" ht="13.2" hidden="1">
      <c r="A391" s="143"/>
      <c r="B391" s="143"/>
      <c r="C391" s="142"/>
      <c r="D391" s="168"/>
      <c r="E391" s="153"/>
      <c r="F391" s="153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3"/>
    </row>
    <row r="392" spans="1:42" ht="13.2" hidden="1">
      <c r="A392" s="143"/>
      <c r="B392" s="143"/>
      <c r="C392" s="142"/>
      <c r="D392" s="168"/>
      <c r="E392" s="153"/>
      <c r="F392" s="153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3"/>
    </row>
    <row r="393" spans="1:42" ht="13.2" hidden="1">
      <c r="A393" s="143"/>
      <c r="B393" s="143"/>
      <c r="C393" s="142"/>
      <c r="D393" s="168"/>
      <c r="E393" s="153"/>
      <c r="F393" s="153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3"/>
    </row>
    <row r="394" spans="1:42" ht="13.2" hidden="1">
      <c r="A394" s="143"/>
      <c r="B394" s="143"/>
      <c r="C394" s="142"/>
      <c r="D394" s="168"/>
      <c r="E394" s="153"/>
      <c r="F394" s="153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3"/>
    </row>
    <row r="395" spans="1:42" ht="13.2" hidden="1">
      <c r="A395" s="143"/>
      <c r="B395" s="143"/>
      <c r="C395" s="142"/>
      <c r="D395" s="168"/>
      <c r="E395" s="153"/>
      <c r="F395" s="153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3"/>
    </row>
    <row r="396" spans="1:42" ht="13.2" hidden="1">
      <c r="A396" s="143"/>
      <c r="B396" s="143"/>
      <c r="C396" s="142"/>
      <c r="D396" s="168"/>
      <c r="E396" s="153"/>
      <c r="F396" s="153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3"/>
    </row>
    <row r="397" spans="1:42" ht="13.2" hidden="1">
      <c r="A397" s="143"/>
      <c r="B397" s="143"/>
      <c r="C397" s="142"/>
      <c r="D397" s="168"/>
      <c r="E397" s="153"/>
      <c r="F397" s="153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3"/>
    </row>
    <row r="398" spans="1:42" ht="13.2" hidden="1">
      <c r="A398" s="143"/>
      <c r="B398" s="143"/>
      <c r="C398" s="142"/>
      <c r="D398" s="168"/>
      <c r="E398" s="153"/>
      <c r="F398" s="153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3"/>
    </row>
    <row r="399" spans="1:42" ht="13.2" hidden="1">
      <c r="A399" s="143"/>
      <c r="B399" s="143"/>
      <c r="C399" s="142"/>
      <c r="D399" s="168"/>
      <c r="E399" s="153"/>
      <c r="F399" s="153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3"/>
    </row>
    <row r="400" spans="1:42" ht="13.2" hidden="1">
      <c r="A400" s="143"/>
      <c r="B400" s="143"/>
      <c r="C400" s="142"/>
      <c r="D400" s="168"/>
      <c r="E400" s="153"/>
      <c r="F400" s="153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3"/>
    </row>
    <row r="401" spans="1:42" ht="13.2" hidden="1">
      <c r="A401" s="143"/>
      <c r="B401" s="143"/>
      <c r="C401" s="142"/>
      <c r="D401" s="168"/>
      <c r="E401" s="153"/>
      <c r="F401" s="153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3"/>
    </row>
    <row r="402" spans="1:42" ht="13.2" hidden="1">
      <c r="A402" s="143"/>
      <c r="B402" s="143"/>
      <c r="C402" s="142"/>
      <c r="D402" s="168"/>
      <c r="E402" s="153"/>
      <c r="F402" s="153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3"/>
    </row>
    <row r="403" spans="1:42" ht="13.2" hidden="1">
      <c r="A403" s="143"/>
      <c r="B403" s="143"/>
      <c r="C403" s="142"/>
      <c r="D403" s="168"/>
      <c r="E403" s="153"/>
      <c r="F403" s="153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3"/>
    </row>
    <row r="404" spans="1:42" ht="13.2" hidden="1">
      <c r="A404" s="143"/>
      <c r="B404" s="143"/>
      <c r="C404" s="142"/>
      <c r="D404" s="168"/>
      <c r="E404" s="153"/>
      <c r="F404" s="153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3"/>
    </row>
    <row r="405" spans="1:42" ht="13.2" hidden="1">
      <c r="A405" s="143"/>
      <c r="B405" s="143"/>
      <c r="C405" s="142"/>
      <c r="D405" s="168"/>
      <c r="E405" s="153"/>
      <c r="F405" s="153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3"/>
    </row>
    <row r="406" spans="1:42" ht="13.2" hidden="1">
      <c r="A406" s="143"/>
      <c r="B406" s="143"/>
      <c r="C406" s="142"/>
      <c r="D406" s="168"/>
      <c r="E406" s="153"/>
      <c r="F406" s="153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3"/>
    </row>
    <row r="407" spans="1:42" ht="13.2" hidden="1">
      <c r="A407" s="143"/>
      <c r="B407" s="143"/>
      <c r="C407" s="142"/>
      <c r="D407" s="168"/>
      <c r="E407" s="153"/>
      <c r="F407" s="153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3"/>
    </row>
    <row r="408" spans="1:42" ht="13.2" hidden="1">
      <c r="A408" s="143"/>
      <c r="B408" s="143"/>
      <c r="C408" s="142"/>
      <c r="D408" s="168"/>
      <c r="E408" s="153"/>
      <c r="F408" s="153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3"/>
    </row>
    <row r="409" spans="1:42" ht="13.2" hidden="1">
      <c r="A409" s="143"/>
      <c r="B409" s="143"/>
      <c r="C409" s="142"/>
      <c r="D409" s="168"/>
      <c r="E409" s="153"/>
      <c r="F409" s="153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3"/>
    </row>
    <row r="410" spans="1:42" ht="13.2" hidden="1">
      <c r="A410" s="143"/>
      <c r="B410" s="143"/>
      <c r="C410" s="142"/>
      <c r="D410" s="168"/>
      <c r="E410" s="153"/>
      <c r="F410" s="153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3"/>
    </row>
    <row r="411" spans="1:42" ht="13.2" hidden="1">
      <c r="A411" s="143"/>
      <c r="B411" s="143"/>
      <c r="C411" s="142"/>
      <c r="D411" s="168"/>
      <c r="E411" s="153"/>
      <c r="F411" s="153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3"/>
    </row>
    <row r="412" spans="1:42" ht="13.2" hidden="1">
      <c r="A412" s="143"/>
      <c r="B412" s="143"/>
      <c r="C412" s="142"/>
      <c r="D412" s="168"/>
      <c r="E412" s="153"/>
      <c r="F412" s="153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3"/>
    </row>
    <row r="413" spans="1:42" ht="13.2" hidden="1">
      <c r="A413" s="143"/>
      <c r="B413" s="143"/>
      <c r="C413" s="142"/>
      <c r="D413" s="168"/>
      <c r="E413" s="153"/>
      <c r="F413" s="153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3"/>
    </row>
    <row r="414" spans="1:42" ht="13.2" hidden="1">
      <c r="A414" s="143"/>
      <c r="B414" s="143"/>
      <c r="C414" s="142"/>
      <c r="D414" s="168"/>
      <c r="E414" s="153"/>
      <c r="F414" s="153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3"/>
    </row>
    <row r="415" spans="1:42" ht="13.2" hidden="1">
      <c r="A415" s="143"/>
      <c r="B415" s="143"/>
      <c r="C415" s="142"/>
      <c r="D415" s="168"/>
      <c r="E415" s="153"/>
      <c r="F415" s="153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3"/>
    </row>
    <row r="416" spans="1:42" ht="13.2" hidden="1">
      <c r="A416" s="143"/>
      <c r="B416" s="143"/>
      <c r="C416" s="142"/>
      <c r="D416" s="168"/>
      <c r="E416" s="153"/>
      <c r="F416" s="153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3"/>
    </row>
    <row r="417" spans="1:42" ht="13.2" hidden="1">
      <c r="A417" s="143"/>
      <c r="B417" s="143"/>
      <c r="C417" s="142"/>
      <c r="D417" s="168"/>
      <c r="E417" s="153"/>
      <c r="F417" s="153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3"/>
    </row>
    <row r="418" spans="1:42" ht="13.2" hidden="1">
      <c r="A418" s="143"/>
      <c r="B418" s="143"/>
      <c r="C418" s="142"/>
      <c r="D418" s="168"/>
      <c r="E418" s="153"/>
      <c r="F418" s="153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3"/>
    </row>
    <row r="419" spans="1:42" ht="13.2" hidden="1">
      <c r="A419" s="143"/>
      <c r="B419" s="143"/>
      <c r="C419" s="142"/>
      <c r="D419" s="168"/>
      <c r="E419" s="153"/>
      <c r="F419" s="153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3"/>
    </row>
    <row r="420" spans="1:42" ht="13.2" hidden="1">
      <c r="A420" s="143"/>
      <c r="B420" s="143"/>
      <c r="C420" s="142"/>
      <c r="D420" s="168"/>
      <c r="E420" s="153"/>
      <c r="F420" s="153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3"/>
    </row>
    <row r="421" spans="1:42" ht="13.2" hidden="1">
      <c r="A421" s="143"/>
      <c r="B421" s="143"/>
      <c r="C421" s="142"/>
      <c r="D421" s="168"/>
      <c r="E421" s="153"/>
      <c r="F421" s="153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3"/>
    </row>
    <row r="422" spans="1:42" ht="13.2" hidden="1">
      <c r="A422" s="143"/>
      <c r="B422" s="143"/>
      <c r="C422" s="142"/>
      <c r="D422" s="168"/>
      <c r="E422" s="153"/>
      <c r="F422" s="153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3"/>
    </row>
    <row r="423" spans="1:42" ht="13.2" hidden="1">
      <c r="A423" s="143"/>
      <c r="B423" s="143"/>
      <c r="C423" s="142"/>
      <c r="D423" s="168"/>
      <c r="E423" s="153"/>
      <c r="F423" s="153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3"/>
    </row>
    <row r="424" spans="1:42" ht="13.2" hidden="1">
      <c r="A424" s="143"/>
      <c r="B424" s="143"/>
      <c r="C424" s="142"/>
      <c r="D424" s="168"/>
      <c r="E424" s="153"/>
      <c r="F424" s="153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3"/>
    </row>
    <row r="425" spans="1:42" ht="13.2" hidden="1">
      <c r="A425" s="143"/>
      <c r="B425" s="143"/>
      <c r="C425" s="142"/>
      <c r="D425" s="168"/>
      <c r="E425" s="153"/>
      <c r="F425" s="153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3"/>
    </row>
    <row r="426" spans="1:42" ht="13.2" hidden="1">
      <c r="A426" s="143"/>
      <c r="B426" s="143"/>
      <c r="C426" s="142"/>
      <c r="D426" s="168"/>
      <c r="E426" s="153"/>
      <c r="F426" s="153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3"/>
    </row>
    <row r="427" spans="1:42" ht="13.2" hidden="1">
      <c r="A427" s="143"/>
      <c r="B427" s="143"/>
      <c r="C427" s="142"/>
      <c r="D427" s="168"/>
      <c r="E427" s="153"/>
      <c r="F427" s="153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3"/>
    </row>
    <row r="428" spans="1:42" ht="13.2" hidden="1">
      <c r="A428" s="143"/>
      <c r="B428" s="143"/>
      <c r="C428" s="142"/>
      <c r="D428" s="168"/>
      <c r="E428" s="153"/>
      <c r="F428" s="153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3"/>
    </row>
    <row r="429" spans="1:42" ht="13.2" hidden="1">
      <c r="A429" s="143"/>
      <c r="B429" s="143"/>
      <c r="C429" s="142"/>
      <c r="D429" s="168"/>
      <c r="E429" s="153"/>
      <c r="F429" s="153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3"/>
    </row>
    <row r="430" spans="1:42" ht="13.2" hidden="1">
      <c r="A430" s="143"/>
      <c r="B430" s="143"/>
      <c r="C430" s="142"/>
      <c r="D430" s="168"/>
      <c r="E430" s="153"/>
      <c r="F430" s="153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3"/>
    </row>
    <row r="431" spans="1:42" ht="13.2" hidden="1">
      <c r="A431" s="143"/>
      <c r="B431" s="143"/>
      <c r="C431" s="142"/>
      <c r="D431" s="168"/>
      <c r="E431" s="153"/>
      <c r="F431" s="153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3"/>
    </row>
    <row r="432" spans="1:42" ht="13.2" hidden="1">
      <c r="A432" s="143"/>
      <c r="B432" s="143"/>
      <c r="C432" s="142"/>
      <c r="D432" s="168"/>
      <c r="E432" s="153"/>
      <c r="F432" s="153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3"/>
    </row>
    <row r="433" spans="1:42" ht="13.2" hidden="1">
      <c r="A433" s="143"/>
      <c r="B433" s="143"/>
      <c r="C433" s="142"/>
      <c r="D433" s="168"/>
      <c r="E433" s="153"/>
      <c r="F433" s="153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3"/>
    </row>
    <row r="434" spans="1:42" ht="13.2" hidden="1">
      <c r="A434" s="143"/>
      <c r="B434" s="143"/>
      <c r="C434" s="142"/>
      <c r="D434" s="168"/>
      <c r="E434" s="153"/>
      <c r="F434" s="153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3"/>
    </row>
    <row r="435" spans="1:42" ht="13.2" hidden="1">
      <c r="A435" s="143"/>
      <c r="B435" s="143"/>
      <c r="C435" s="142"/>
      <c r="D435" s="168"/>
      <c r="E435" s="153"/>
      <c r="F435" s="153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3"/>
    </row>
    <row r="436" spans="1:42" ht="13.2" hidden="1">
      <c r="A436" s="143"/>
      <c r="B436" s="143"/>
      <c r="C436" s="142"/>
      <c r="D436" s="168"/>
      <c r="E436" s="153"/>
      <c r="F436" s="153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3"/>
    </row>
    <row r="437" spans="1:42" ht="13.2" hidden="1">
      <c r="A437" s="143"/>
      <c r="B437" s="143"/>
      <c r="C437" s="142"/>
      <c r="D437" s="168"/>
      <c r="E437" s="153"/>
      <c r="F437" s="153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3"/>
    </row>
    <row r="438" spans="1:42" ht="13.2" hidden="1">
      <c r="A438" s="143"/>
      <c r="B438" s="143"/>
      <c r="C438" s="142"/>
      <c r="D438" s="168"/>
      <c r="E438" s="153"/>
      <c r="F438" s="153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3"/>
    </row>
    <row r="439" spans="1:42" ht="13.2" hidden="1">
      <c r="A439" s="143"/>
      <c r="B439" s="143"/>
      <c r="C439" s="142"/>
      <c r="D439" s="168"/>
      <c r="E439" s="153"/>
      <c r="F439" s="153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3"/>
    </row>
    <row r="440" spans="1:42" ht="13.2" hidden="1">
      <c r="A440" s="143"/>
      <c r="B440" s="143"/>
      <c r="C440" s="142"/>
      <c r="D440" s="168"/>
      <c r="E440" s="153"/>
      <c r="F440" s="153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3"/>
    </row>
    <row r="441" spans="1:42" ht="13.2" hidden="1">
      <c r="A441" s="143"/>
      <c r="B441" s="143"/>
      <c r="C441" s="142"/>
      <c r="D441" s="168"/>
      <c r="E441" s="153"/>
      <c r="F441" s="153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3"/>
    </row>
    <row r="442" spans="1:42" ht="13.2" hidden="1">
      <c r="A442" s="143"/>
      <c r="B442" s="143"/>
      <c r="C442" s="142"/>
      <c r="D442" s="168"/>
      <c r="E442" s="153"/>
      <c r="F442" s="153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3"/>
    </row>
    <row r="443" spans="1:42" ht="13.2" hidden="1">
      <c r="A443" s="143"/>
      <c r="B443" s="143"/>
      <c r="C443" s="142"/>
      <c r="D443" s="168"/>
      <c r="E443" s="153"/>
      <c r="F443" s="153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3"/>
    </row>
    <row r="444" spans="1:42" ht="13.2" hidden="1">
      <c r="A444" s="143"/>
      <c r="B444" s="143"/>
      <c r="C444" s="142"/>
      <c r="D444" s="168"/>
      <c r="E444" s="153"/>
      <c r="F444" s="153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3"/>
    </row>
    <row r="445" spans="1:42" ht="13.2" hidden="1">
      <c r="A445" s="143"/>
      <c r="B445" s="143"/>
      <c r="C445" s="142"/>
      <c r="D445" s="168"/>
      <c r="E445" s="153"/>
      <c r="F445" s="153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3"/>
    </row>
    <row r="446" spans="1:42" ht="13.2" hidden="1">
      <c r="A446" s="143"/>
      <c r="B446" s="143"/>
      <c r="C446" s="142"/>
      <c r="D446" s="168"/>
      <c r="E446" s="153"/>
      <c r="F446" s="153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3"/>
    </row>
    <row r="447" spans="1:42" ht="13.2" hidden="1">
      <c r="A447" s="143"/>
      <c r="B447" s="143"/>
      <c r="C447" s="142"/>
      <c r="D447" s="168"/>
      <c r="E447" s="153"/>
      <c r="F447" s="153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3"/>
    </row>
    <row r="448" spans="1:42" ht="13.2" hidden="1">
      <c r="A448" s="143"/>
      <c r="B448" s="143"/>
      <c r="C448" s="142"/>
      <c r="D448" s="168"/>
      <c r="E448" s="153"/>
      <c r="F448" s="153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3"/>
    </row>
    <row r="449" spans="1:42" ht="13.2" hidden="1">
      <c r="A449" s="143"/>
      <c r="B449" s="143"/>
      <c r="C449" s="142"/>
      <c r="D449" s="168"/>
      <c r="E449" s="153"/>
      <c r="F449" s="153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3"/>
    </row>
    <row r="450" spans="1:42" ht="13.2" hidden="1">
      <c r="A450" s="143"/>
      <c r="B450" s="143"/>
      <c r="C450" s="142"/>
      <c r="D450" s="168"/>
      <c r="E450" s="153"/>
      <c r="F450" s="153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3"/>
    </row>
    <row r="451" spans="1:42" ht="13.2" hidden="1">
      <c r="A451" s="143"/>
      <c r="B451" s="143"/>
      <c r="C451" s="142"/>
      <c r="D451" s="168"/>
      <c r="E451" s="153"/>
      <c r="F451" s="153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3"/>
    </row>
    <row r="452" spans="1:42" ht="13.2" hidden="1">
      <c r="A452" s="143"/>
      <c r="B452" s="143"/>
      <c r="C452" s="142"/>
      <c r="D452" s="168"/>
      <c r="E452" s="153"/>
      <c r="F452" s="153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3"/>
    </row>
    <row r="453" spans="1:42" ht="13.2" hidden="1">
      <c r="A453" s="143"/>
      <c r="B453" s="143"/>
      <c r="C453" s="142"/>
      <c r="D453" s="168"/>
      <c r="E453" s="153"/>
      <c r="F453" s="153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3"/>
    </row>
    <row r="454" spans="1:42" ht="13.2" hidden="1">
      <c r="A454" s="143"/>
      <c r="B454" s="143"/>
      <c r="C454" s="142"/>
      <c r="D454" s="168"/>
      <c r="E454" s="153"/>
      <c r="F454" s="153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3"/>
    </row>
    <row r="455" spans="1:42" ht="13.2" hidden="1">
      <c r="A455" s="143"/>
      <c r="B455" s="143"/>
      <c r="C455" s="142"/>
      <c r="D455" s="168"/>
      <c r="E455" s="153"/>
      <c r="F455" s="153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3"/>
    </row>
    <row r="456" spans="1:42" ht="13.2" hidden="1">
      <c r="A456" s="143"/>
      <c r="B456" s="143"/>
      <c r="C456" s="142"/>
      <c r="D456" s="168"/>
      <c r="E456" s="153"/>
      <c r="F456" s="153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3"/>
    </row>
    <row r="457" spans="1:42" ht="13.2" hidden="1">
      <c r="A457" s="143"/>
      <c r="B457" s="143"/>
      <c r="C457" s="142"/>
      <c r="D457" s="168"/>
      <c r="E457" s="153"/>
      <c r="F457" s="153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3"/>
    </row>
    <row r="458" spans="1:42" ht="13.2" hidden="1">
      <c r="A458" s="143"/>
      <c r="B458" s="143"/>
      <c r="C458" s="142"/>
      <c r="D458" s="168"/>
      <c r="E458" s="153"/>
      <c r="F458" s="153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3"/>
    </row>
    <row r="459" spans="1:42" ht="13.2" hidden="1">
      <c r="A459" s="143"/>
      <c r="B459" s="143"/>
      <c r="C459" s="142"/>
      <c r="D459" s="168"/>
      <c r="E459" s="153"/>
      <c r="F459" s="153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3"/>
    </row>
    <row r="460" spans="1:42" ht="13.2" hidden="1">
      <c r="A460" s="143"/>
      <c r="B460" s="143"/>
      <c r="C460" s="142"/>
      <c r="D460" s="168"/>
      <c r="E460" s="153"/>
      <c r="F460" s="153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3"/>
    </row>
    <row r="461" spans="1:42" ht="13.2" hidden="1">
      <c r="A461" s="143"/>
      <c r="B461" s="143"/>
      <c r="C461" s="142"/>
      <c r="D461" s="168"/>
      <c r="E461" s="153"/>
      <c r="F461" s="153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3"/>
    </row>
    <row r="462" spans="1:42" ht="13.2" hidden="1">
      <c r="A462" s="143"/>
      <c r="B462" s="143"/>
      <c r="C462" s="142"/>
      <c r="D462" s="168"/>
      <c r="E462" s="153"/>
      <c r="F462" s="153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3"/>
    </row>
    <row r="463" spans="1:42" ht="13.2" hidden="1">
      <c r="A463" s="143"/>
      <c r="B463" s="143"/>
      <c r="C463" s="142"/>
      <c r="D463" s="168"/>
      <c r="E463" s="153"/>
      <c r="F463" s="153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3"/>
    </row>
    <row r="464" spans="1:42" ht="13.2" hidden="1">
      <c r="A464" s="143"/>
      <c r="B464" s="143"/>
      <c r="C464" s="142"/>
      <c r="D464" s="168"/>
      <c r="E464" s="153"/>
      <c r="F464" s="153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3"/>
    </row>
    <row r="465" spans="1:42" ht="13.2" hidden="1">
      <c r="A465" s="143"/>
      <c r="B465" s="143"/>
      <c r="C465" s="142"/>
      <c r="D465" s="168"/>
      <c r="E465" s="153"/>
      <c r="F465" s="153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3"/>
    </row>
    <row r="466" spans="1:42" ht="13.2" hidden="1">
      <c r="A466" s="143"/>
      <c r="B466" s="143"/>
      <c r="C466" s="142"/>
      <c r="D466" s="168"/>
      <c r="E466" s="153"/>
      <c r="F466" s="153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3"/>
    </row>
    <row r="467" spans="1:42" ht="13.2" hidden="1">
      <c r="A467" s="143"/>
      <c r="B467" s="143"/>
      <c r="C467" s="142"/>
      <c r="D467" s="168"/>
      <c r="E467" s="153"/>
      <c r="F467" s="153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3"/>
    </row>
    <row r="468" spans="1:42" ht="13.2" hidden="1">
      <c r="A468" s="143"/>
      <c r="B468" s="143"/>
      <c r="C468" s="142"/>
      <c r="D468" s="168"/>
      <c r="E468" s="153"/>
      <c r="F468" s="153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3"/>
    </row>
    <row r="469" spans="1:42" ht="13.2" hidden="1">
      <c r="A469" s="143"/>
      <c r="B469" s="143"/>
      <c r="C469" s="142"/>
      <c r="D469" s="168"/>
      <c r="E469" s="153"/>
      <c r="F469" s="153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3"/>
    </row>
    <row r="470" spans="1:42" ht="13.2" hidden="1">
      <c r="A470" s="143"/>
      <c r="B470" s="143"/>
      <c r="C470" s="142"/>
      <c r="D470" s="168"/>
      <c r="E470" s="153"/>
      <c r="F470" s="153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3"/>
    </row>
    <row r="471" spans="1:42" ht="13.2" hidden="1">
      <c r="A471" s="143"/>
      <c r="B471" s="143"/>
      <c r="C471" s="142"/>
      <c r="D471" s="168"/>
      <c r="E471" s="153"/>
      <c r="F471" s="153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3"/>
    </row>
    <row r="472" spans="1:42" ht="13.2" hidden="1">
      <c r="A472" s="143"/>
      <c r="B472" s="143"/>
      <c r="C472" s="142"/>
      <c r="D472" s="168"/>
      <c r="E472" s="153"/>
      <c r="F472" s="153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3"/>
    </row>
    <row r="473" spans="1:42" ht="13.2" hidden="1">
      <c r="A473" s="143"/>
      <c r="B473" s="143"/>
      <c r="C473" s="142"/>
      <c r="D473" s="168"/>
      <c r="E473" s="153"/>
      <c r="F473" s="153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3"/>
    </row>
    <row r="474" spans="1:42" ht="13.2" hidden="1">
      <c r="A474" s="143"/>
      <c r="B474" s="143"/>
      <c r="C474" s="142"/>
      <c r="D474" s="168"/>
      <c r="E474" s="153"/>
      <c r="F474" s="153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3"/>
    </row>
    <row r="475" spans="1:42" ht="13.2" hidden="1">
      <c r="A475" s="143"/>
      <c r="B475" s="143"/>
      <c r="C475" s="142"/>
      <c r="D475" s="168"/>
      <c r="E475" s="153"/>
      <c r="F475" s="153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3"/>
    </row>
    <row r="476" spans="1:42" ht="13.2" hidden="1">
      <c r="A476" s="143"/>
      <c r="B476" s="143"/>
      <c r="C476" s="142"/>
      <c r="D476" s="168"/>
      <c r="E476" s="153"/>
      <c r="F476" s="153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3"/>
    </row>
    <row r="477" spans="1:42" ht="13.2" hidden="1">
      <c r="A477" s="143"/>
      <c r="B477" s="143"/>
      <c r="C477" s="142"/>
      <c r="D477" s="168"/>
      <c r="E477" s="153"/>
      <c r="F477" s="153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3"/>
    </row>
    <row r="478" spans="1:42" ht="13.2" hidden="1">
      <c r="A478" s="143"/>
      <c r="B478" s="143"/>
      <c r="C478" s="142"/>
      <c r="D478" s="168"/>
      <c r="E478" s="153"/>
      <c r="F478" s="153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3"/>
    </row>
    <row r="479" spans="1:42" ht="13.2" hidden="1">
      <c r="A479" s="143"/>
      <c r="B479" s="143"/>
      <c r="C479" s="142"/>
      <c r="D479" s="168"/>
      <c r="E479" s="153"/>
      <c r="F479" s="153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3"/>
    </row>
    <row r="480" spans="1:42" ht="13.2" hidden="1">
      <c r="A480" s="143"/>
      <c r="B480" s="143"/>
      <c r="C480" s="142"/>
      <c r="D480" s="168"/>
      <c r="E480" s="153"/>
      <c r="F480" s="153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3"/>
    </row>
    <row r="481" spans="1:42" ht="13.2" hidden="1">
      <c r="A481" s="143"/>
      <c r="B481" s="143"/>
      <c r="C481" s="142"/>
      <c r="D481" s="168"/>
      <c r="E481" s="153"/>
      <c r="F481" s="153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3"/>
    </row>
    <row r="482" spans="1:42" ht="13.2" hidden="1">
      <c r="A482" s="143"/>
      <c r="B482" s="143"/>
      <c r="C482" s="142"/>
      <c r="D482" s="168"/>
      <c r="E482" s="153"/>
      <c r="F482" s="153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3"/>
    </row>
    <row r="483" spans="1:42" ht="13.2" hidden="1">
      <c r="A483" s="143"/>
      <c r="B483" s="143"/>
      <c r="C483" s="142"/>
      <c r="D483" s="168"/>
      <c r="E483" s="153"/>
      <c r="F483" s="153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3"/>
    </row>
    <row r="484" spans="1:42" ht="13.2" hidden="1">
      <c r="A484" s="143"/>
      <c r="B484" s="143"/>
      <c r="C484" s="142"/>
      <c r="D484" s="168"/>
      <c r="E484" s="153"/>
      <c r="F484" s="153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3"/>
    </row>
    <row r="485" spans="1:42" ht="13.2" hidden="1">
      <c r="A485" s="143"/>
      <c r="B485" s="143"/>
      <c r="C485" s="142"/>
      <c r="D485" s="168"/>
      <c r="E485" s="153"/>
      <c r="F485" s="153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3"/>
    </row>
    <row r="486" spans="1:42" ht="13.2" hidden="1">
      <c r="A486" s="143"/>
      <c r="B486" s="143"/>
      <c r="C486" s="142"/>
      <c r="D486" s="168"/>
      <c r="E486" s="153"/>
      <c r="F486" s="153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3"/>
    </row>
    <row r="487" spans="1:42" ht="13.2" hidden="1">
      <c r="A487" s="143"/>
      <c r="B487" s="143"/>
      <c r="C487" s="142"/>
      <c r="D487" s="168"/>
      <c r="E487" s="153"/>
      <c r="F487" s="153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3"/>
    </row>
    <row r="488" spans="1:42" ht="13.2" hidden="1">
      <c r="A488" s="143"/>
      <c r="B488" s="143"/>
      <c r="C488" s="142"/>
      <c r="D488" s="168"/>
      <c r="E488" s="153"/>
      <c r="F488" s="153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3"/>
    </row>
    <row r="489" spans="1:42" ht="13.2" hidden="1">
      <c r="A489" s="143"/>
      <c r="B489" s="143"/>
      <c r="C489" s="142"/>
      <c r="D489" s="168"/>
      <c r="E489" s="153"/>
      <c r="F489" s="153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3"/>
    </row>
    <row r="490" spans="1:42" ht="13.2" hidden="1">
      <c r="A490" s="143"/>
      <c r="B490" s="143"/>
      <c r="C490" s="142"/>
      <c r="D490" s="168"/>
      <c r="E490" s="153"/>
      <c r="F490" s="153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3"/>
    </row>
    <row r="491" spans="1:42" ht="13.2" hidden="1">
      <c r="A491" s="143"/>
      <c r="B491" s="143"/>
      <c r="C491" s="142"/>
      <c r="D491" s="168"/>
      <c r="E491" s="153"/>
      <c r="F491" s="153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3"/>
    </row>
    <row r="492" spans="1:42" ht="13.2" hidden="1">
      <c r="A492" s="143"/>
      <c r="B492" s="143"/>
      <c r="C492" s="142"/>
      <c r="D492" s="168"/>
      <c r="E492" s="153"/>
      <c r="F492" s="153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3"/>
    </row>
    <row r="493" spans="1:42" ht="13.2" hidden="1">
      <c r="A493" s="143"/>
      <c r="B493" s="143"/>
      <c r="C493" s="142"/>
      <c r="D493" s="168"/>
      <c r="E493" s="153"/>
      <c r="F493" s="153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3"/>
    </row>
    <row r="494" spans="1:42" ht="13.2" hidden="1">
      <c r="A494" s="143"/>
      <c r="B494" s="143"/>
      <c r="C494" s="142"/>
      <c r="D494" s="168"/>
      <c r="E494" s="153"/>
      <c r="F494" s="153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3"/>
    </row>
    <row r="495" spans="1:42" ht="13.2" hidden="1">
      <c r="A495" s="143"/>
      <c r="B495" s="143"/>
      <c r="C495" s="142"/>
      <c r="D495" s="168"/>
      <c r="E495" s="153"/>
      <c r="F495" s="153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3"/>
    </row>
    <row r="496" spans="1:42" ht="13.2" hidden="1">
      <c r="A496" s="143"/>
      <c r="B496" s="143"/>
      <c r="C496" s="142"/>
      <c r="D496" s="168"/>
      <c r="E496" s="153"/>
      <c r="F496" s="153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3"/>
    </row>
    <row r="497" spans="1:42" ht="13.2" hidden="1">
      <c r="A497" s="143"/>
      <c r="B497" s="143"/>
      <c r="C497" s="142"/>
      <c r="D497" s="168"/>
      <c r="E497" s="153"/>
      <c r="F497" s="153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3"/>
    </row>
    <row r="498" spans="1:42" ht="13.2" hidden="1">
      <c r="A498" s="143"/>
      <c r="B498" s="143"/>
      <c r="C498" s="142"/>
      <c r="D498" s="168"/>
      <c r="E498" s="153"/>
      <c r="F498" s="153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3"/>
    </row>
    <row r="499" spans="1:42" ht="13.2" hidden="1">
      <c r="A499" s="143"/>
      <c r="B499" s="143"/>
      <c r="C499" s="142"/>
      <c r="D499" s="168"/>
      <c r="E499" s="153"/>
      <c r="F499" s="153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3"/>
    </row>
    <row r="500" spans="1:42" ht="13.2" hidden="1">
      <c r="A500" s="143"/>
      <c r="B500" s="143"/>
      <c r="C500" s="142"/>
      <c r="D500" s="168"/>
      <c r="E500" s="153"/>
      <c r="F500" s="153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3"/>
    </row>
    <row r="501" spans="1:42" ht="13.2" hidden="1">
      <c r="A501" s="143"/>
      <c r="B501" s="143"/>
      <c r="C501" s="142"/>
      <c r="D501" s="168"/>
      <c r="E501" s="153"/>
      <c r="F501" s="153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3"/>
    </row>
    <row r="502" spans="1:42" ht="13.2" hidden="1">
      <c r="A502" s="143"/>
      <c r="B502" s="143"/>
      <c r="C502" s="142"/>
      <c r="D502" s="168"/>
      <c r="E502" s="153"/>
      <c r="F502" s="153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3"/>
    </row>
    <row r="503" spans="1:42" ht="13.2" hidden="1">
      <c r="A503" s="143"/>
      <c r="B503" s="143"/>
      <c r="C503" s="142"/>
      <c r="D503" s="168"/>
      <c r="E503" s="153"/>
      <c r="F503" s="153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3"/>
    </row>
    <row r="504" spans="1:42" ht="13.2" hidden="1">
      <c r="A504" s="143"/>
      <c r="B504" s="143"/>
      <c r="C504" s="142"/>
      <c r="D504" s="168"/>
      <c r="E504" s="153"/>
      <c r="F504" s="153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3"/>
    </row>
    <row r="505" spans="1:42" ht="13.2" hidden="1">
      <c r="A505" s="143"/>
      <c r="B505" s="143"/>
      <c r="C505" s="142"/>
      <c r="D505" s="168"/>
      <c r="E505" s="153"/>
      <c r="F505" s="153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3"/>
    </row>
    <row r="506" spans="1:42" ht="13.2" hidden="1">
      <c r="A506" s="143"/>
      <c r="B506" s="143"/>
      <c r="C506" s="142"/>
      <c r="D506" s="168"/>
      <c r="E506" s="153"/>
      <c r="F506" s="153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3"/>
    </row>
    <row r="507" spans="1:42" ht="13.2" hidden="1">
      <c r="A507" s="143"/>
      <c r="B507" s="143"/>
      <c r="C507" s="142"/>
      <c r="D507" s="168"/>
      <c r="E507" s="153"/>
      <c r="F507" s="153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3"/>
    </row>
    <row r="508" spans="1:42" ht="13.2" hidden="1">
      <c r="A508" s="143"/>
      <c r="B508" s="143"/>
      <c r="C508" s="142"/>
      <c r="D508" s="168"/>
      <c r="E508" s="153"/>
      <c r="F508" s="153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3"/>
    </row>
    <row r="509" spans="1:42" ht="13.2" hidden="1">
      <c r="A509" s="143"/>
      <c r="B509" s="143"/>
      <c r="C509" s="142"/>
      <c r="D509" s="168"/>
      <c r="E509" s="153"/>
      <c r="F509" s="153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3"/>
    </row>
    <row r="510" spans="1:42" ht="13.2" hidden="1">
      <c r="A510" s="143"/>
      <c r="B510" s="143"/>
      <c r="C510" s="142"/>
      <c r="D510" s="168"/>
      <c r="E510" s="153"/>
      <c r="F510" s="153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3"/>
    </row>
    <row r="511" spans="1:42" ht="13.2" hidden="1">
      <c r="A511" s="143"/>
      <c r="B511" s="143"/>
      <c r="C511" s="142"/>
      <c r="D511" s="168"/>
      <c r="E511" s="153"/>
      <c r="F511" s="153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3"/>
    </row>
    <row r="512" spans="1:42" ht="13.2" hidden="1">
      <c r="A512" s="143"/>
      <c r="B512" s="143"/>
      <c r="C512" s="142"/>
      <c r="D512" s="168"/>
      <c r="E512" s="153"/>
      <c r="F512" s="153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  <c r="AA512" s="142"/>
      <c r="AB512" s="142"/>
      <c r="AC512" s="14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3"/>
    </row>
    <row r="513" spans="1:42" ht="13.2" hidden="1">
      <c r="A513" s="143"/>
      <c r="B513" s="143"/>
      <c r="C513" s="142"/>
      <c r="D513" s="168"/>
      <c r="E513" s="153"/>
      <c r="F513" s="153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3"/>
    </row>
    <row r="514" spans="1:42" ht="13.2" hidden="1">
      <c r="A514" s="143"/>
      <c r="B514" s="143"/>
      <c r="C514" s="142"/>
      <c r="D514" s="168"/>
      <c r="E514" s="153"/>
      <c r="F514" s="153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  <c r="AA514" s="142"/>
      <c r="AB514" s="142"/>
      <c r="AC514" s="14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3"/>
    </row>
    <row r="515" spans="1:42" ht="13.2" hidden="1">
      <c r="A515" s="143"/>
      <c r="B515" s="143"/>
      <c r="C515" s="142"/>
      <c r="D515" s="168"/>
      <c r="E515" s="153"/>
      <c r="F515" s="153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3"/>
    </row>
    <row r="516" spans="1:42" ht="13.2" hidden="1">
      <c r="A516" s="143"/>
      <c r="B516" s="143"/>
      <c r="C516" s="142"/>
      <c r="D516" s="168"/>
      <c r="E516" s="153"/>
      <c r="F516" s="153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  <c r="AA516" s="142"/>
      <c r="AB516" s="142"/>
      <c r="AC516" s="14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3"/>
    </row>
    <row r="517" spans="1:42" ht="13.2" hidden="1">
      <c r="A517" s="143"/>
      <c r="B517" s="143"/>
      <c r="C517" s="142"/>
      <c r="D517" s="168"/>
      <c r="E517" s="153"/>
      <c r="F517" s="153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  <c r="AA517" s="142"/>
      <c r="AB517" s="142"/>
      <c r="AC517" s="14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3"/>
    </row>
    <row r="518" spans="1:42" ht="13.2" hidden="1">
      <c r="A518" s="143"/>
      <c r="B518" s="143"/>
      <c r="C518" s="142"/>
      <c r="D518" s="168"/>
      <c r="E518" s="153"/>
      <c r="F518" s="153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  <c r="AA518" s="142"/>
      <c r="AB518" s="142"/>
      <c r="AC518" s="14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3"/>
    </row>
    <row r="519" spans="1:42" ht="13.2" hidden="1">
      <c r="A519" s="143"/>
      <c r="B519" s="143"/>
      <c r="C519" s="142"/>
      <c r="D519" s="168"/>
      <c r="E519" s="153"/>
      <c r="F519" s="153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3"/>
    </row>
    <row r="520" spans="1:42" ht="13.2" hidden="1">
      <c r="A520" s="143"/>
      <c r="B520" s="143"/>
      <c r="C520" s="142"/>
      <c r="D520" s="168"/>
      <c r="E520" s="153"/>
      <c r="F520" s="153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  <c r="AA520" s="142"/>
      <c r="AB520" s="142"/>
      <c r="AC520" s="14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3"/>
    </row>
    <row r="521" spans="1:42" ht="13.2" hidden="1">
      <c r="A521" s="143"/>
      <c r="B521" s="143"/>
      <c r="C521" s="142"/>
      <c r="D521" s="168"/>
      <c r="E521" s="153"/>
      <c r="F521" s="153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  <c r="AA521" s="142"/>
      <c r="AB521" s="142"/>
      <c r="AC521" s="14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3"/>
    </row>
    <row r="522" spans="1:42" ht="13.2" hidden="1">
      <c r="A522" s="143"/>
      <c r="B522" s="143"/>
      <c r="C522" s="142"/>
      <c r="D522" s="168"/>
      <c r="E522" s="153"/>
      <c r="F522" s="153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3"/>
    </row>
    <row r="523" spans="1:42" ht="13.2" hidden="1">
      <c r="A523" s="143"/>
      <c r="B523" s="143"/>
      <c r="C523" s="142"/>
      <c r="D523" s="168"/>
      <c r="E523" s="153"/>
      <c r="F523" s="153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  <c r="AA523" s="142"/>
      <c r="AB523" s="142"/>
      <c r="AC523" s="14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3"/>
    </row>
    <row r="524" spans="1:42" ht="13.2" hidden="1">
      <c r="A524" s="143"/>
      <c r="B524" s="143"/>
      <c r="C524" s="142"/>
      <c r="D524" s="168"/>
      <c r="E524" s="153"/>
      <c r="F524" s="153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  <c r="AA524" s="142"/>
      <c r="AB524" s="142"/>
      <c r="AC524" s="14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3"/>
    </row>
    <row r="525" spans="1:42" ht="13.2" hidden="1">
      <c r="A525" s="143"/>
      <c r="B525" s="143"/>
      <c r="C525" s="142"/>
      <c r="D525" s="168"/>
      <c r="E525" s="153"/>
      <c r="F525" s="153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3"/>
    </row>
    <row r="526" spans="1:42" ht="13.2" hidden="1">
      <c r="A526" s="143"/>
      <c r="B526" s="143"/>
      <c r="C526" s="142"/>
      <c r="D526" s="168"/>
      <c r="E526" s="153"/>
      <c r="F526" s="153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3"/>
    </row>
    <row r="527" spans="1:42" ht="13.2" hidden="1">
      <c r="A527" s="143"/>
      <c r="B527" s="143"/>
      <c r="C527" s="142"/>
      <c r="D527" s="168"/>
      <c r="E527" s="153"/>
      <c r="F527" s="153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3"/>
    </row>
    <row r="528" spans="1:42" ht="13.2" hidden="1">
      <c r="A528" s="143"/>
      <c r="B528" s="143"/>
      <c r="C528" s="142"/>
      <c r="D528" s="168"/>
      <c r="E528" s="153"/>
      <c r="F528" s="153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3"/>
    </row>
    <row r="529" spans="1:42" ht="13.2" hidden="1">
      <c r="A529" s="143"/>
      <c r="B529" s="143"/>
      <c r="C529" s="142"/>
      <c r="D529" s="168"/>
      <c r="E529" s="153"/>
      <c r="F529" s="153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3"/>
    </row>
    <row r="530" spans="1:42" ht="13.2" hidden="1">
      <c r="A530" s="143"/>
      <c r="B530" s="143"/>
      <c r="C530" s="142"/>
      <c r="D530" s="168"/>
      <c r="E530" s="153"/>
      <c r="F530" s="153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3"/>
    </row>
    <row r="531" spans="1:42" ht="13.2" hidden="1">
      <c r="A531" s="143"/>
      <c r="B531" s="143"/>
      <c r="C531" s="142"/>
      <c r="D531" s="168"/>
      <c r="E531" s="153"/>
      <c r="F531" s="153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  <c r="AA531" s="142"/>
      <c r="AB531" s="142"/>
      <c r="AC531" s="14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3"/>
    </row>
    <row r="532" spans="1:42" ht="13.2" hidden="1">
      <c r="A532" s="143"/>
      <c r="B532" s="143"/>
      <c r="C532" s="142"/>
      <c r="D532" s="168"/>
      <c r="E532" s="153"/>
      <c r="F532" s="153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  <c r="AA532" s="142"/>
      <c r="AB532" s="142"/>
      <c r="AC532" s="14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3"/>
    </row>
    <row r="533" spans="1:42" ht="13.2" hidden="1">
      <c r="A533" s="143"/>
      <c r="B533" s="143"/>
      <c r="C533" s="142"/>
      <c r="D533" s="168"/>
      <c r="E533" s="153"/>
      <c r="F533" s="153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  <c r="AA533" s="142"/>
      <c r="AB533" s="142"/>
      <c r="AC533" s="14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3"/>
    </row>
    <row r="534" spans="1:42" ht="13.2" hidden="1">
      <c r="A534" s="143"/>
      <c r="B534" s="143"/>
      <c r="C534" s="142"/>
      <c r="D534" s="168"/>
      <c r="E534" s="153"/>
      <c r="F534" s="153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  <c r="AA534" s="142"/>
      <c r="AB534" s="142"/>
      <c r="AC534" s="14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3"/>
    </row>
    <row r="535" spans="1:42" ht="13.2" hidden="1">
      <c r="A535" s="143"/>
      <c r="B535" s="143"/>
      <c r="C535" s="142"/>
      <c r="D535" s="168"/>
      <c r="E535" s="153"/>
      <c r="F535" s="153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3"/>
    </row>
    <row r="536" spans="1:42" ht="13.2" hidden="1">
      <c r="A536" s="143"/>
      <c r="B536" s="143"/>
      <c r="C536" s="142"/>
      <c r="D536" s="168"/>
      <c r="E536" s="153"/>
      <c r="F536" s="153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3"/>
    </row>
    <row r="537" spans="1:42" ht="13.2" hidden="1">
      <c r="A537" s="143"/>
      <c r="B537" s="143"/>
      <c r="C537" s="142"/>
      <c r="D537" s="168"/>
      <c r="E537" s="153"/>
      <c r="F537" s="153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3"/>
    </row>
    <row r="538" spans="1:42" ht="13.2" hidden="1">
      <c r="A538" s="143"/>
      <c r="B538" s="143"/>
      <c r="C538" s="142"/>
      <c r="D538" s="168"/>
      <c r="E538" s="153"/>
      <c r="F538" s="153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3"/>
    </row>
    <row r="539" spans="1:42" ht="13.2" hidden="1">
      <c r="A539" s="143"/>
      <c r="B539" s="143"/>
      <c r="C539" s="142"/>
      <c r="D539" s="168"/>
      <c r="E539" s="153"/>
      <c r="F539" s="153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3"/>
    </row>
    <row r="540" spans="1:42" ht="13.2" hidden="1">
      <c r="A540" s="143"/>
      <c r="B540" s="143"/>
      <c r="C540" s="142"/>
      <c r="D540" s="168"/>
      <c r="E540" s="153"/>
      <c r="F540" s="153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3"/>
    </row>
    <row r="541" spans="1:42" ht="13.2" hidden="1">
      <c r="A541" s="143"/>
      <c r="B541" s="143"/>
      <c r="C541" s="142"/>
      <c r="D541" s="168"/>
      <c r="E541" s="153"/>
      <c r="F541" s="153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3"/>
    </row>
    <row r="542" spans="1:42" ht="13.2" hidden="1">
      <c r="A542" s="143"/>
      <c r="B542" s="143"/>
      <c r="C542" s="142"/>
      <c r="D542" s="168"/>
      <c r="E542" s="153"/>
      <c r="F542" s="153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3"/>
    </row>
    <row r="543" spans="1:42" ht="13.2" hidden="1">
      <c r="A543" s="143"/>
      <c r="B543" s="143"/>
      <c r="C543" s="142"/>
      <c r="D543" s="168"/>
      <c r="E543" s="153"/>
      <c r="F543" s="153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3"/>
    </row>
    <row r="544" spans="1:42" ht="13.2" hidden="1">
      <c r="A544" s="143"/>
      <c r="B544" s="143"/>
      <c r="C544" s="142"/>
      <c r="D544" s="168"/>
      <c r="E544" s="153"/>
      <c r="F544" s="153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3"/>
    </row>
    <row r="545" spans="1:42" ht="13.2" hidden="1">
      <c r="A545" s="143"/>
      <c r="B545" s="143"/>
      <c r="C545" s="142"/>
      <c r="D545" s="168"/>
      <c r="E545" s="153"/>
      <c r="F545" s="153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3"/>
    </row>
    <row r="546" spans="1:42" ht="13.2" hidden="1">
      <c r="A546" s="143"/>
      <c r="B546" s="143"/>
      <c r="C546" s="142"/>
      <c r="D546" s="168"/>
      <c r="E546" s="153"/>
      <c r="F546" s="153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3"/>
    </row>
    <row r="547" spans="1:42" ht="13.2" hidden="1">
      <c r="A547" s="143"/>
      <c r="B547" s="143"/>
      <c r="C547" s="142"/>
      <c r="D547" s="168"/>
      <c r="E547" s="153"/>
      <c r="F547" s="153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3"/>
    </row>
    <row r="548" spans="1:42" ht="13.2" hidden="1">
      <c r="A548" s="143"/>
      <c r="B548" s="143"/>
      <c r="C548" s="142"/>
      <c r="D548" s="168"/>
      <c r="E548" s="153"/>
      <c r="F548" s="153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3"/>
    </row>
    <row r="549" spans="1:42" ht="13.2" hidden="1">
      <c r="A549" s="143"/>
      <c r="B549" s="143"/>
      <c r="C549" s="142"/>
      <c r="D549" s="168"/>
      <c r="E549" s="153"/>
      <c r="F549" s="153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3"/>
    </row>
    <row r="550" spans="1:42" ht="13.2" hidden="1">
      <c r="A550" s="143"/>
      <c r="B550" s="143"/>
      <c r="C550" s="142"/>
      <c r="D550" s="168"/>
      <c r="E550" s="153"/>
      <c r="F550" s="153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3"/>
    </row>
    <row r="551" spans="1:42" ht="13.2" hidden="1">
      <c r="A551" s="143"/>
      <c r="B551" s="143"/>
      <c r="C551" s="142"/>
      <c r="D551" s="168"/>
      <c r="E551" s="153"/>
      <c r="F551" s="153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3"/>
    </row>
    <row r="552" spans="1:42" ht="13.2" hidden="1">
      <c r="A552" s="143"/>
      <c r="B552" s="143"/>
      <c r="C552" s="142"/>
      <c r="D552" s="168"/>
      <c r="E552" s="153"/>
      <c r="F552" s="153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3"/>
    </row>
    <row r="553" spans="1:42" ht="13.2" hidden="1">
      <c r="A553" s="143"/>
      <c r="B553" s="143"/>
      <c r="C553" s="142"/>
      <c r="D553" s="168"/>
      <c r="E553" s="153"/>
      <c r="F553" s="153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3"/>
    </row>
    <row r="554" spans="1:42" ht="13.2" hidden="1">
      <c r="A554" s="143"/>
      <c r="B554" s="143"/>
      <c r="C554" s="142"/>
      <c r="D554" s="168"/>
      <c r="E554" s="153"/>
      <c r="F554" s="153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3"/>
    </row>
    <row r="555" spans="1:42" ht="13.2" hidden="1">
      <c r="A555" s="143"/>
      <c r="B555" s="143"/>
      <c r="C555" s="142"/>
      <c r="D555" s="168"/>
      <c r="E555" s="153"/>
      <c r="F555" s="153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3"/>
    </row>
    <row r="556" spans="1:42" ht="13.2" hidden="1">
      <c r="A556" s="143"/>
      <c r="B556" s="143"/>
      <c r="C556" s="142"/>
      <c r="D556" s="168"/>
      <c r="E556" s="153"/>
      <c r="F556" s="153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3"/>
    </row>
    <row r="557" spans="1:42" ht="13.2" hidden="1">
      <c r="A557" s="143"/>
      <c r="B557" s="143"/>
      <c r="C557" s="142"/>
      <c r="D557" s="168"/>
      <c r="E557" s="153"/>
      <c r="F557" s="153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3"/>
    </row>
    <row r="558" spans="1:42" ht="13.2" hidden="1">
      <c r="A558" s="143"/>
      <c r="B558" s="143"/>
      <c r="C558" s="142"/>
      <c r="D558" s="168"/>
      <c r="E558" s="153"/>
      <c r="F558" s="153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3"/>
    </row>
    <row r="559" spans="1:42" ht="13.2" hidden="1">
      <c r="A559" s="143"/>
      <c r="B559" s="143"/>
      <c r="C559" s="142"/>
      <c r="D559" s="168"/>
      <c r="E559" s="153"/>
      <c r="F559" s="153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3"/>
    </row>
    <row r="560" spans="1:42" ht="13.2" hidden="1">
      <c r="A560" s="143"/>
      <c r="B560" s="143"/>
      <c r="C560" s="142"/>
      <c r="D560" s="168"/>
      <c r="E560" s="153"/>
      <c r="F560" s="153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3"/>
    </row>
    <row r="561" spans="1:42" ht="13.2" hidden="1">
      <c r="A561" s="143"/>
      <c r="B561" s="143"/>
      <c r="C561" s="142"/>
      <c r="D561" s="168"/>
      <c r="E561" s="153"/>
      <c r="F561" s="153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3"/>
    </row>
    <row r="562" spans="1:42" ht="13.2" hidden="1">
      <c r="A562" s="143"/>
      <c r="B562" s="143"/>
      <c r="C562" s="142"/>
      <c r="D562" s="168"/>
      <c r="E562" s="153"/>
      <c r="F562" s="153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  <c r="AA562" s="142"/>
      <c r="AB562" s="142"/>
      <c r="AC562" s="14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3"/>
    </row>
    <row r="563" spans="1:42" ht="13.2" hidden="1">
      <c r="A563" s="143"/>
      <c r="B563" s="143"/>
      <c r="C563" s="142"/>
      <c r="D563" s="168"/>
      <c r="E563" s="153"/>
      <c r="F563" s="153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  <c r="AA563" s="142"/>
      <c r="AB563" s="142"/>
      <c r="AC563" s="14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3"/>
    </row>
    <row r="564" spans="1:42" ht="13.2" hidden="1">
      <c r="A564" s="143"/>
      <c r="B564" s="143"/>
      <c r="C564" s="142"/>
      <c r="D564" s="168"/>
      <c r="E564" s="153"/>
      <c r="F564" s="153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  <c r="AA564" s="142"/>
      <c r="AB564" s="14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3"/>
    </row>
    <row r="565" spans="1:42" ht="13.2" hidden="1">
      <c r="A565" s="143"/>
      <c r="B565" s="143"/>
      <c r="C565" s="142"/>
      <c r="D565" s="168"/>
      <c r="E565" s="153"/>
      <c r="F565" s="153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  <c r="AA565" s="142"/>
      <c r="AB565" s="14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3"/>
    </row>
    <row r="566" spans="1:42" ht="13.2" hidden="1">
      <c r="A566" s="143"/>
      <c r="B566" s="143"/>
      <c r="C566" s="142"/>
      <c r="D566" s="168"/>
      <c r="E566" s="153"/>
      <c r="F566" s="153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  <c r="AA566" s="142"/>
      <c r="AB566" s="14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3"/>
    </row>
    <row r="567" spans="1:42" ht="13.2" hidden="1">
      <c r="A567" s="143"/>
      <c r="B567" s="143"/>
      <c r="C567" s="142"/>
      <c r="D567" s="168"/>
      <c r="E567" s="153"/>
      <c r="F567" s="153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  <c r="AA567" s="142"/>
      <c r="AB567" s="14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3"/>
    </row>
    <row r="568" spans="1:42" ht="13.2" hidden="1">
      <c r="A568" s="143"/>
      <c r="B568" s="143"/>
      <c r="C568" s="142"/>
      <c r="D568" s="168"/>
      <c r="E568" s="153"/>
      <c r="F568" s="153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3"/>
    </row>
    <row r="569" spans="1:42" ht="13.2" hidden="1">
      <c r="A569" s="143"/>
      <c r="B569" s="143"/>
      <c r="C569" s="142"/>
      <c r="D569" s="168"/>
      <c r="E569" s="153"/>
      <c r="F569" s="153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3"/>
    </row>
    <row r="570" spans="1:42" ht="13.2" hidden="1">
      <c r="A570" s="143"/>
      <c r="B570" s="143"/>
      <c r="C570" s="142"/>
      <c r="D570" s="168"/>
      <c r="E570" s="153"/>
      <c r="F570" s="153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3"/>
    </row>
    <row r="571" spans="1:42" ht="13.2" hidden="1">
      <c r="A571" s="143"/>
      <c r="B571" s="143"/>
      <c r="C571" s="142"/>
      <c r="D571" s="168"/>
      <c r="E571" s="153"/>
      <c r="F571" s="153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3"/>
    </row>
    <row r="572" spans="1:42" ht="13.2" hidden="1">
      <c r="A572" s="143"/>
      <c r="B572" s="143"/>
      <c r="C572" s="142"/>
      <c r="D572" s="168"/>
      <c r="E572" s="153"/>
      <c r="F572" s="153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3"/>
    </row>
    <row r="573" spans="1:42" ht="13.2" hidden="1">
      <c r="A573" s="143"/>
      <c r="B573" s="143"/>
      <c r="C573" s="142"/>
      <c r="D573" s="168"/>
      <c r="E573" s="153"/>
      <c r="F573" s="153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3"/>
    </row>
    <row r="574" spans="1:42" ht="13.2" hidden="1">
      <c r="A574" s="143"/>
      <c r="B574" s="143"/>
      <c r="C574" s="142"/>
      <c r="D574" s="168"/>
      <c r="E574" s="153"/>
      <c r="F574" s="153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3"/>
    </row>
    <row r="575" spans="1:42" ht="13.2" hidden="1">
      <c r="A575" s="143"/>
      <c r="B575" s="143"/>
      <c r="C575" s="142"/>
      <c r="D575" s="168"/>
      <c r="E575" s="153"/>
      <c r="F575" s="153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  <c r="AO575" s="142"/>
      <c r="AP575" s="143"/>
    </row>
    <row r="576" spans="1:42" ht="13.2" hidden="1">
      <c r="A576" s="143"/>
      <c r="B576" s="143"/>
      <c r="C576" s="142"/>
      <c r="D576" s="168"/>
      <c r="E576" s="153"/>
      <c r="F576" s="153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  <c r="AO576" s="142"/>
      <c r="AP576" s="143"/>
    </row>
    <row r="577" spans="1:42" ht="13.2" hidden="1">
      <c r="A577" s="143"/>
      <c r="B577" s="143"/>
      <c r="C577" s="142"/>
      <c r="D577" s="168"/>
      <c r="E577" s="153"/>
      <c r="F577" s="153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  <c r="AO577" s="142"/>
      <c r="AP577" s="143"/>
    </row>
    <row r="578" spans="1:42" ht="13.2" hidden="1">
      <c r="A578" s="143"/>
      <c r="B578" s="143"/>
      <c r="C578" s="142"/>
      <c r="D578" s="168"/>
      <c r="E578" s="153"/>
      <c r="F578" s="153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  <c r="AO578" s="142"/>
      <c r="AP578" s="143"/>
    </row>
    <row r="579" spans="1:42" ht="13.2" hidden="1">
      <c r="A579" s="143"/>
      <c r="B579" s="143"/>
      <c r="C579" s="142"/>
      <c r="D579" s="168"/>
      <c r="E579" s="153"/>
      <c r="F579" s="153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  <c r="AO579" s="142"/>
      <c r="AP579" s="143"/>
    </row>
    <row r="580" spans="1:42" ht="13.2" hidden="1">
      <c r="A580" s="143"/>
      <c r="B580" s="143"/>
      <c r="C580" s="142"/>
      <c r="D580" s="168"/>
      <c r="E580" s="153"/>
      <c r="F580" s="153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  <c r="AO580" s="142"/>
      <c r="AP580" s="143"/>
    </row>
    <row r="581" spans="1:42" ht="13.2" hidden="1">
      <c r="A581" s="143"/>
      <c r="B581" s="143"/>
      <c r="C581" s="142"/>
      <c r="D581" s="168"/>
      <c r="E581" s="153"/>
      <c r="F581" s="153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  <c r="AO581" s="142"/>
      <c r="AP581" s="143"/>
    </row>
    <row r="582" spans="1:42" ht="13.2" hidden="1">
      <c r="A582" s="143"/>
      <c r="B582" s="143"/>
      <c r="C582" s="142"/>
      <c r="D582" s="168"/>
      <c r="E582" s="153"/>
      <c r="F582" s="153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  <c r="AO582" s="142"/>
      <c r="AP582" s="143"/>
    </row>
    <row r="583" spans="1:42" ht="13.2" hidden="1">
      <c r="A583" s="143"/>
      <c r="B583" s="143"/>
      <c r="C583" s="142"/>
      <c r="D583" s="168"/>
      <c r="E583" s="153"/>
      <c r="F583" s="153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  <c r="AO583" s="142"/>
      <c r="AP583" s="143"/>
    </row>
    <row r="584" spans="1:42" ht="13.2" hidden="1">
      <c r="A584" s="143"/>
      <c r="B584" s="143"/>
      <c r="C584" s="142"/>
      <c r="D584" s="168"/>
      <c r="E584" s="153"/>
      <c r="F584" s="153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  <c r="AO584" s="142"/>
      <c r="AP584" s="143"/>
    </row>
    <row r="585" spans="1:42" ht="13.2" hidden="1">
      <c r="A585" s="143"/>
      <c r="B585" s="143"/>
      <c r="C585" s="142"/>
      <c r="D585" s="168"/>
      <c r="E585" s="153"/>
      <c r="F585" s="153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  <c r="AO585" s="142"/>
      <c r="AP585" s="143"/>
    </row>
    <row r="586" spans="1:42" ht="13.2" hidden="1">
      <c r="A586" s="143"/>
      <c r="B586" s="143"/>
      <c r="C586" s="142"/>
      <c r="D586" s="168"/>
      <c r="E586" s="153"/>
      <c r="F586" s="153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  <c r="AO586" s="142"/>
      <c r="AP586" s="143"/>
    </row>
    <row r="587" spans="1:42" ht="13.2" hidden="1">
      <c r="A587" s="143"/>
      <c r="B587" s="143"/>
      <c r="C587" s="142"/>
      <c r="D587" s="168"/>
      <c r="E587" s="153"/>
      <c r="F587" s="153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  <c r="AO587" s="142"/>
      <c r="AP587" s="143"/>
    </row>
    <row r="588" spans="1:42" ht="13.2" hidden="1">
      <c r="A588" s="143"/>
      <c r="B588" s="143"/>
      <c r="C588" s="142"/>
      <c r="D588" s="168"/>
      <c r="E588" s="153"/>
      <c r="F588" s="153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  <c r="AM588" s="142"/>
      <c r="AN588" s="142"/>
      <c r="AO588" s="142"/>
      <c r="AP588" s="143"/>
    </row>
    <row r="589" spans="1:42" ht="13.2" hidden="1">
      <c r="A589" s="143"/>
      <c r="B589" s="143"/>
      <c r="C589" s="142"/>
      <c r="D589" s="168"/>
      <c r="E589" s="153"/>
      <c r="F589" s="153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  <c r="AA589" s="142"/>
      <c r="AB589" s="14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  <c r="AM589" s="142"/>
      <c r="AN589" s="142"/>
      <c r="AO589" s="142"/>
      <c r="AP589" s="143"/>
    </row>
    <row r="590" spans="1:42" ht="13.2" hidden="1">
      <c r="A590" s="143"/>
      <c r="B590" s="143"/>
      <c r="C590" s="142"/>
      <c r="D590" s="168"/>
      <c r="E590" s="153"/>
      <c r="F590" s="153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  <c r="AM590" s="142"/>
      <c r="AN590" s="142"/>
      <c r="AO590" s="142"/>
      <c r="AP590" s="143"/>
    </row>
    <row r="591" spans="1:42" ht="13.2" hidden="1">
      <c r="A591" s="143"/>
      <c r="B591" s="143"/>
      <c r="C591" s="142"/>
      <c r="D591" s="168"/>
      <c r="E591" s="153"/>
      <c r="F591" s="153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  <c r="AM591" s="142"/>
      <c r="AN591" s="142"/>
      <c r="AO591" s="142"/>
      <c r="AP591" s="143"/>
    </row>
    <row r="592" spans="1:42" ht="13.2" hidden="1">
      <c r="A592" s="143"/>
      <c r="B592" s="143"/>
      <c r="C592" s="142"/>
      <c r="D592" s="168"/>
      <c r="E592" s="153"/>
      <c r="F592" s="153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  <c r="AM592" s="142"/>
      <c r="AN592" s="142"/>
      <c r="AO592" s="142"/>
      <c r="AP592" s="143"/>
    </row>
    <row r="593" spans="1:42" ht="13.2" hidden="1">
      <c r="A593" s="143"/>
      <c r="B593" s="143"/>
      <c r="C593" s="142"/>
      <c r="D593" s="168"/>
      <c r="E593" s="153"/>
      <c r="F593" s="153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  <c r="AM593" s="142"/>
      <c r="AN593" s="142"/>
      <c r="AO593" s="142"/>
      <c r="AP593" s="143"/>
    </row>
    <row r="594" spans="1:42" ht="13.2" hidden="1">
      <c r="A594" s="143"/>
      <c r="B594" s="143"/>
      <c r="C594" s="142"/>
      <c r="D594" s="168"/>
      <c r="E594" s="153"/>
      <c r="F594" s="153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  <c r="AM594" s="142"/>
      <c r="AN594" s="142"/>
      <c r="AO594" s="142"/>
      <c r="AP594" s="143"/>
    </row>
    <row r="595" spans="1:42" ht="13.2" hidden="1">
      <c r="A595" s="143"/>
      <c r="B595" s="143"/>
      <c r="C595" s="142"/>
      <c r="D595" s="168"/>
      <c r="E595" s="153"/>
      <c r="F595" s="153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  <c r="AM595" s="142"/>
      <c r="AN595" s="142"/>
      <c r="AO595" s="142"/>
      <c r="AP595" s="143"/>
    </row>
    <row r="596" spans="1:42" ht="13.2" hidden="1">
      <c r="A596" s="143"/>
      <c r="B596" s="143"/>
      <c r="C596" s="142"/>
      <c r="D596" s="168"/>
      <c r="E596" s="153"/>
      <c r="F596" s="153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  <c r="AM596" s="142"/>
      <c r="AN596" s="142"/>
      <c r="AO596" s="142"/>
      <c r="AP596" s="143"/>
    </row>
    <row r="597" spans="1:42" ht="13.2" hidden="1">
      <c r="A597" s="143"/>
      <c r="B597" s="143"/>
      <c r="C597" s="142"/>
      <c r="D597" s="168"/>
      <c r="E597" s="153"/>
      <c r="F597" s="153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  <c r="AM597" s="142"/>
      <c r="AN597" s="142"/>
      <c r="AO597" s="142"/>
      <c r="AP597" s="143"/>
    </row>
    <row r="598" spans="1:42" ht="13.2" hidden="1">
      <c r="A598" s="143"/>
      <c r="B598" s="143"/>
      <c r="C598" s="142"/>
      <c r="D598" s="168"/>
      <c r="E598" s="153"/>
      <c r="F598" s="153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  <c r="AM598" s="142"/>
      <c r="AN598" s="142"/>
      <c r="AO598" s="142"/>
      <c r="AP598" s="143"/>
    </row>
    <row r="599" spans="1:42" ht="13.2" hidden="1">
      <c r="A599" s="143"/>
      <c r="B599" s="143"/>
      <c r="C599" s="142"/>
      <c r="D599" s="168"/>
      <c r="E599" s="153"/>
      <c r="F599" s="153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  <c r="AM599" s="142"/>
      <c r="AN599" s="142"/>
      <c r="AO599" s="142"/>
      <c r="AP599" s="143"/>
    </row>
    <row r="600" spans="1:42" ht="13.2" hidden="1">
      <c r="A600" s="143"/>
      <c r="B600" s="143"/>
      <c r="C600" s="142"/>
      <c r="D600" s="168"/>
      <c r="E600" s="153"/>
      <c r="F600" s="153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  <c r="AM600" s="142"/>
      <c r="AN600" s="142"/>
      <c r="AO600" s="142"/>
      <c r="AP600" s="143"/>
    </row>
    <row r="601" spans="1:42" ht="13.2" hidden="1">
      <c r="A601" s="143"/>
      <c r="B601" s="143"/>
      <c r="C601" s="142"/>
      <c r="D601" s="168"/>
      <c r="E601" s="153"/>
      <c r="F601" s="153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  <c r="AM601" s="142"/>
      <c r="AN601" s="142"/>
      <c r="AO601" s="142"/>
      <c r="AP601" s="143"/>
    </row>
    <row r="602" spans="1:42" ht="13.2" hidden="1">
      <c r="A602" s="143"/>
      <c r="B602" s="143"/>
      <c r="C602" s="142"/>
      <c r="D602" s="168"/>
      <c r="E602" s="153"/>
      <c r="F602" s="153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  <c r="AM602" s="142"/>
      <c r="AN602" s="142"/>
      <c r="AO602" s="142"/>
      <c r="AP602" s="143"/>
    </row>
    <row r="603" spans="1:42" ht="13.2" hidden="1">
      <c r="A603" s="143"/>
      <c r="B603" s="143"/>
      <c r="C603" s="142"/>
      <c r="D603" s="168"/>
      <c r="E603" s="153"/>
      <c r="F603" s="153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  <c r="AM603" s="142"/>
      <c r="AN603" s="142"/>
      <c r="AO603" s="142"/>
      <c r="AP603" s="143"/>
    </row>
    <row r="604" spans="1:42" ht="13.2" hidden="1">
      <c r="A604" s="143"/>
      <c r="B604" s="143"/>
      <c r="C604" s="142"/>
      <c r="D604" s="168"/>
      <c r="E604" s="153"/>
      <c r="F604" s="153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  <c r="AM604" s="142"/>
      <c r="AN604" s="142"/>
      <c r="AO604" s="142"/>
      <c r="AP604" s="143"/>
    </row>
    <row r="605" spans="1:42" ht="13.2" hidden="1">
      <c r="A605" s="143"/>
      <c r="B605" s="143"/>
      <c r="C605" s="142"/>
      <c r="D605" s="168"/>
      <c r="E605" s="153"/>
      <c r="F605" s="153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  <c r="AM605" s="142"/>
      <c r="AN605" s="142"/>
      <c r="AO605" s="142"/>
      <c r="AP605" s="143"/>
    </row>
    <row r="606" spans="1:42" ht="13.2" hidden="1">
      <c r="A606" s="143"/>
      <c r="B606" s="143"/>
      <c r="C606" s="142"/>
      <c r="D606" s="168"/>
      <c r="E606" s="153"/>
      <c r="F606" s="153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  <c r="AM606" s="142"/>
      <c r="AN606" s="142"/>
      <c r="AO606" s="142"/>
      <c r="AP606" s="143"/>
    </row>
    <row r="607" spans="1:42" ht="13.2" hidden="1">
      <c r="A607" s="143"/>
      <c r="B607" s="143"/>
      <c r="C607" s="142"/>
      <c r="D607" s="168"/>
      <c r="E607" s="153"/>
      <c r="F607" s="153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  <c r="AM607" s="142"/>
      <c r="AN607" s="142"/>
      <c r="AO607" s="142"/>
      <c r="AP607" s="143"/>
    </row>
    <row r="608" spans="1:42" ht="13.2" hidden="1">
      <c r="A608" s="143"/>
      <c r="B608" s="143"/>
      <c r="C608" s="142"/>
      <c r="D608" s="168"/>
      <c r="E608" s="153"/>
      <c r="F608" s="153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  <c r="AM608" s="142"/>
      <c r="AN608" s="142"/>
      <c r="AO608" s="142"/>
      <c r="AP608" s="143"/>
    </row>
    <row r="609" spans="1:42" ht="13.2" hidden="1">
      <c r="A609" s="143"/>
      <c r="B609" s="143"/>
      <c r="C609" s="142"/>
      <c r="D609" s="168"/>
      <c r="E609" s="153"/>
      <c r="F609" s="153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  <c r="AM609" s="142"/>
      <c r="AN609" s="142"/>
      <c r="AO609" s="142"/>
      <c r="AP609" s="143"/>
    </row>
    <row r="610" spans="1:42" ht="13.2" hidden="1">
      <c r="A610" s="143"/>
      <c r="B610" s="143"/>
      <c r="C610" s="142"/>
      <c r="D610" s="168"/>
      <c r="E610" s="153"/>
      <c r="F610" s="153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  <c r="AM610" s="142"/>
      <c r="AN610" s="142"/>
      <c r="AO610" s="142"/>
      <c r="AP610" s="143"/>
    </row>
    <row r="611" spans="1:42" ht="13.2" hidden="1">
      <c r="A611" s="143"/>
      <c r="B611" s="143"/>
      <c r="C611" s="142"/>
      <c r="D611" s="168"/>
      <c r="E611" s="153"/>
      <c r="F611" s="153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  <c r="AM611" s="142"/>
      <c r="AN611" s="142"/>
      <c r="AO611" s="142"/>
      <c r="AP611" s="143"/>
    </row>
    <row r="612" spans="1:42" ht="13.2" hidden="1">
      <c r="A612" s="143"/>
      <c r="B612" s="143"/>
      <c r="C612" s="142"/>
      <c r="D612" s="168"/>
      <c r="E612" s="153"/>
      <c r="F612" s="153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  <c r="AM612" s="142"/>
      <c r="AN612" s="142"/>
      <c r="AO612" s="142"/>
      <c r="AP612" s="143"/>
    </row>
    <row r="613" spans="1:42" ht="13.2" hidden="1">
      <c r="A613" s="143"/>
      <c r="B613" s="143"/>
      <c r="C613" s="142"/>
      <c r="D613" s="168"/>
      <c r="E613" s="153"/>
      <c r="F613" s="153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  <c r="AM613" s="142"/>
      <c r="AN613" s="142"/>
      <c r="AO613" s="142"/>
      <c r="AP613" s="143"/>
    </row>
    <row r="614" spans="1:42" ht="13.2" hidden="1">
      <c r="A614" s="143"/>
      <c r="B614" s="143"/>
      <c r="C614" s="142"/>
      <c r="D614" s="168"/>
      <c r="E614" s="153"/>
      <c r="F614" s="153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  <c r="AM614" s="142"/>
      <c r="AN614" s="142"/>
      <c r="AO614" s="142"/>
      <c r="AP614" s="143"/>
    </row>
    <row r="615" spans="1:42" ht="13.2" hidden="1">
      <c r="A615" s="143"/>
      <c r="B615" s="143"/>
      <c r="C615" s="142"/>
      <c r="D615" s="168"/>
      <c r="E615" s="153"/>
      <c r="F615" s="153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  <c r="AM615" s="142"/>
      <c r="AN615" s="142"/>
      <c r="AO615" s="142"/>
      <c r="AP615" s="143"/>
    </row>
    <row r="616" spans="1:42" ht="13.2" hidden="1">
      <c r="A616" s="143"/>
      <c r="B616" s="143"/>
      <c r="C616" s="142"/>
      <c r="D616" s="168"/>
      <c r="E616" s="153"/>
      <c r="F616" s="153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  <c r="AM616" s="142"/>
      <c r="AN616" s="142"/>
      <c r="AO616" s="142"/>
      <c r="AP616" s="143"/>
    </row>
    <row r="617" spans="1:42" ht="13.2" hidden="1">
      <c r="A617" s="143"/>
      <c r="B617" s="143"/>
      <c r="C617" s="142"/>
      <c r="D617" s="168"/>
      <c r="E617" s="153"/>
      <c r="F617" s="153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  <c r="AM617" s="142"/>
      <c r="AN617" s="142"/>
      <c r="AO617" s="142"/>
      <c r="AP617" s="143"/>
    </row>
    <row r="618" spans="1:42" ht="13.2" hidden="1">
      <c r="A618" s="143"/>
      <c r="B618" s="143"/>
      <c r="C618" s="142"/>
      <c r="D618" s="168"/>
      <c r="E618" s="153"/>
      <c r="F618" s="153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  <c r="AM618" s="142"/>
      <c r="AN618" s="142"/>
      <c r="AO618" s="142"/>
      <c r="AP618" s="143"/>
    </row>
    <row r="619" spans="1:42" ht="13.2" hidden="1">
      <c r="A619" s="143"/>
      <c r="B619" s="143"/>
      <c r="C619" s="142"/>
      <c r="D619" s="168"/>
      <c r="E619" s="153"/>
      <c r="F619" s="153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  <c r="AA619" s="142"/>
      <c r="AB619" s="14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  <c r="AM619" s="142"/>
      <c r="AN619" s="142"/>
      <c r="AO619" s="142"/>
      <c r="AP619" s="143"/>
    </row>
    <row r="620" spans="1:42" ht="13.2" hidden="1">
      <c r="A620" s="143"/>
      <c r="B620" s="143"/>
      <c r="C620" s="142"/>
      <c r="D620" s="168"/>
      <c r="E620" s="153"/>
      <c r="F620" s="153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  <c r="AM620" s="142"/>
      <c r="AN620" s="142"/>
      <c r="AO620" s="142"/>
      <c r="AP620" s="143"/>
    </row>
    <row r="621" spans="1:42" ht="13.2" hidden="1">
      <c r="A621" s="143"/>
      <c r="B621" s="143"/>
      <c r="C621" s="142"/>
      <c r="D621" s="168"/>
      <c r="E621" s="153"/>
      <c r="F621" s="153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  <c r="AM621" s="142"/>
      <c r="AN621" s="142"/>
      <c r="AO621" s="142"/>
      <c r="AP621" s="143"/>
    </row>
    <row r="622" spans="1:42" ht="13.2" hidden="1">
      <c r="A622" s="143"/>
      <c r="B622" s="143"/>
      <c r="C622" s="142"/>
      <c r="D622" s="168"/>
      <c r="E622" s="153"/>
      <c r="F622" s="153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  <c r="AM622" s="142"/>
      <c r="AN622" s="142"/>
      <c r="AO622" s="142"/>
      <c r="AP622" s="143"/>
    </row>
    <row r="623" spans="1:42" ht="13.2" hidden="1">
      <c r="A623" s="143"/>
      <c r="B623" s="143"/>
      <c r="C623" s="142"/>
      <c r="D623" s="168"/>
      <c r="E623" s="153"/>
      <c r="F623" s="153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  <c r="AM623" s="142"/>
      <c r="AN623" s="142"/>
      <c r="AO623" s="142"/>
      <c r="AP623" s="143"/>
    </row>
    <row r="624" spans="1:42" ht="13.2" hidden="1">
      <c r="A624" s="143"/>
      <c r="B624" s="143"/>
      <c r="C624" s="142"/>
      <c r="D624" s="168"/>
      <c r="E624" s="153"/>
      <c r="F624" s="153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  <c r="AM624" s="142"/>
      <c r="AN624" s="142"/>
      <c r="AO624" s="142"/>
      <c r="AP624" s="143"/>
    </row>
    <row r="625" spans="1:42" ht="13.2" hidden="1">
      <c r="A625" s="143"/>
      <c r="B625" s="143"/>
      <c r="C625" s="142"/>
      <c r="D625" s="168"/>
      <c r="E625" s="153"/>
      <c r="F625" s="153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  <c r="AM625" s="142"/>
      <c r="AN625" s="142"/>
      <c r="AO625" s="142"/>
      <c r="AP625" s="143"/>
    </row>
    <row r="626" spans="1:42" ht="13.2" hidden="1">
      <c r="A626" s="143"/>
      <c r="B626" s="143"/>
      <c r="C626" s="142"/>
      <c r="D626" s="168"/>
      <c r="E626" s="153"/>
      <c r="F626" s="153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  <c r="AM626" s="142"/>
      <c r="AN626" s="142"/>
      <c r="AO626" s="142"/>
      <c r="AP626" s="143"/>
    </row>
    <row r="627" spans="1:42" ht="13.2" hidden="1">
      <c r="A627" s="143"/>
      <c r="B627" s="143"/>
      <c r="C627" s="142"/>
      <c r="D627" s="168"/>
      <c r="E627" s="153"/>
      <c r="F627" s="153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  <c r="AM627" s="142"/>
      <c r="AN627" s="142"/>
      <c r="AO627" s="142"/>
      <c r="AP627" s="143"/>
    </row>
    <row r="628" spans="1:42" ht="13.2" hidden="1">
      <c r="A628" s="143"/>
      <c r="B628" s="143"/>
      <c r="C628" s="142"/>
      <c r="D628" s="168"/>
      <c r="E628" s="153"/>
      <c r="F628" s="153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  <c r="AM628" s="142"/>
      <c r="AN628" s="142"/>
      <c r="AO628" s="142"/>
      <c r="AP628" s="143"/>
    </row>
    <row r="629" spans="1:42" ht="13.2" hidden="1">
      <c r="A629" s="143"/>
      <c r="B629" s="143"/>
      <c r="C629" s="142"/>
      <c r="D629" s="168"/>
      <c r="E629" s="153"/>
      <c r="F629" s="153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  <c r="AM629" s="142"/>
      <c r="AN629" s="142"/>
      <c r="AO629" s="142"/>
      <c r="AP629" s="143"/>
    </row>
    <row r="630" spans="1:42" ht="13.2" hidden="1">
      <c r="A630" s="143"/>
      <c r="B630" s="143"/>
      <c r="C630" s="142"/>
      <c r="D630" s="168"/>
      <c r="E630" s="153"/>
      <c r="F630" s="153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  <c r="AM630" s="142"/>
      <c r="AN630" s="142"/>
      <c r="AO630" s="142"/>
      <c r="AP630" s="143"/>
    </row>
    <row r="631" spans="1:42" ht="13.2" hidden="1">
      <c r="A631" s="143"/>
      <c r="B631" s="143"/>
      <c r="C631" s="142"/>
      <c r="D631" s="168"/>
      <c r="E631" s="153"/>
      <c r="F631" s="153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  <c r="AM631" s="142"/>
      <c r="AN631" s="142"/>
      <c r="AO631" s="142"/>
      <c r="AP631" s="143"/>
    </row>
    <row r="632" spans="1:42" ht="13.2" hidden="1">
      <c r="A632" s="143"/>
      <c r="B632" s="143"/>
      <c r="C632" s="142"/>
      <c r="D632" s="168"/>
      <c r="E632" s="153"/>
      <c r="F632" s="153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  <c r="AM632" s="142"/>
      <c r="AN632" s="142"/>
      <c r="AO632" s="142"/>
      <c r="AP632" s="143"/>
    </row>
    <row r="633" spans="1:42" ht="13.2" hidden="1">
      <c r="A633" s="143"/>
      <c r="B633" s="143"/>
      <c r="C633" s="142"/>
      <c r="D633" s="168"/>
      <c r="E633" s="153"/>
      <c r="F633" s="153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  <c r="AM633" s="142"/>
      <c r="AN633" s="142"/>
      <c r="AO633" s="142"/>
      <c r="AP633" s="143"/>
    </row>
    <row r="634" spans="1:42" ht="13.2" hidden="1">
      <c r="A634" s="143"/>
      <c r="B634" s="143"/>
      <c r="C634" s="142"/>
      <c r="D634" s="168"/>
      <c r="E634" s="153"/>
      <c r="F634" s="153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  <c r="AM634" s="142"/>
      <c r="AN634" s="142"/>
      <c r="AO634" s="142"/>
      <c r="AP634" s="143"/>
    </row>
    <row r="635" spans="1:42" ht="13.2" hidden="1">
      <c r="A635" s="143"/>
      <c r="B635" s="143"/>
      <c r="C635" s="142"/>
      <c r="D635" s="168"/>
      <c r="E635" s="153"/>
      <c r="F635" s="153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  <c r="AM635" s="142"/>
      <c r="AN635" s="142"/>
      <c r="AO635" s="142"/>
      <c r="AP635" s="143"/>
    </row>
    <row r="636" spans="1:42" ht="13.2" hidden="1">
      <c r="A636" s="143"/>
      <c r="B636" s="143"/>
      <c r="C636" s="142"/>
      <c r="D636" s="168"/>
      <c r="E636" s="153"/>
      <c r="F636" s="153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  <c r="AM636" s="142"/>
      <c r="AN636" s="142"/>
      <c r="AO636" s="142"/>
      <c r="AP636" s="143"/>
    </row>
    <row r="637" spans="1:42" ht="13.2" hidden="1">
      <c r="A637" s="143"/>
      <c r="B637" s="143"/>
      <c r="C637" s="142"/>
      <c r="D637" s="168"/>
      <c r="E637" s="153"/>
      <c r="F637" s="153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  <c r="AM637" s="142"/>
      <c r="AN637" s="142"/>
      <c r="AO637" s="142"/>
      <c r="AP637" s="143"/>
    </row>
    <row r="638" spans="1:42" ht="13.2" hidden="1">
      <c r="A638" s="143"/>
      <c r="B638" s="143"/>
      <c r="C638" s="142"/>
      <c r="D638" s="168"/>
      <c r="E638" s="153"/>
      <c r="F638" s="153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  <c r="AM638" s="142"/>
      <c r="AN638" s="142"/>
      <c r="AO638" s="142"/>
      <c r="AP638" s="143"/>
    </row>
    <row r="639" spans="1:42" ht="13.2" hidden="1">
      <c r="A639" s="143"/>
      <c r="B639" s="143"/>
      <c r="C639" s="142"/>
      <c r="D639" s="168"/>
      <c r="E639" s="153"/>
      <c r="F639" s="153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  <c r="AM639" s="142"/>
      <c r="AN639" s="142"/>
      <c r="AO639" s="142"/>
      <c r="AP639" s="143"/>
    </row>
    <row r="640" spans="1:42" ht="13.2" hidden="1">
      <c r="A640" s="143"/>
      <c r="B640" s="143"/>
      <c r="C640" s="142"/>
      <c r="D640" s="168"/>
      <c r="E640" s="153"/>
      <c r="F640" s="153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  <c r="AM640" s="142"/>
      <c r="AN640" s="142"/>
      <c r="AO640" s="142"/>
      <c r="AP640" s="143"/>
    </row>
    <row r="641" spans="1:42" ht="13.2" hidden="1">
      <c r="A641" s="143"/>
      <c r="B641" s="143"/>
      <c r="C641" s="142"/>
      <c r="D641" s="168"/>
      <c r="E641" s="153"/>
      <c r="F641" s="153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  <c r="AM641" s="142"/>
      <c r="AN641" s="142"/>
      <c r="AO641" s="142"/>
      <c r="AP641" s="143"/>
    </row>
    <row r="642" spans="1:42" ht="13.2" hidden="1">
      <c r="A642" s="143"/>
      <c r="B642" s="143"/>
      <c r="C642" s="142"/>
      <c r="D642" s="168"/>
      <c r="E642" s="153"/>
      <c r="F642" s="153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  <c r="AM642" s="142"/>
      <c r="AN642" s="142"/>
      <c r="AO642" s="142"/>
      <c r="AP642" s="143"/>
    </row>
    <row r="643" spans="1:42" ht="13.2" hidden="1">
      <c r="A643" s="143"/>
      <c r="B643" s="143"/>
      <c r="C643" s="142"/>
      <c r="D643" s="168"/>
      <c r="E643" s="153"/>
      <c r="F643" s="153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  <c r="AM643" s="142"/>
      <c r="AN643" s="142"/>
      <c r="AO643" s="142"/>
      <c r="AP643" s="143"/>
    </row>
    <row r="644" spans="1:42" ht="13.2" hidden="1">
      <c r="A644" s="143"/>
      <c r="B644" s="143"/>
      <c r="C644" s="142"/>
      <c r="D644" s="168"/>
      <c r="E644" s="153"/>
      <c r="F644" s="153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  <c r="AM644" s="142"/>
      <c r="AN644" s="142"/>
      <c r="AO644" s="142"/>
      <c r="AP644" s="143"/>
    </row>
    <row r="645" spans="1:42" ht="13.2" hidden="1">
      <c r="A645" s="143"/>
      <c r="B645" s="143"/>
      <c r="C645" s="142"/>
      <c r="D645" s="168"/>
      <c r="E645" s="153"/>
      <c r="F645" s="153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  <c r="AA645" s="142"/>
      <c r="AB645" s="14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  <c r="AM645" s="142"/>
      <c r="AN645" s="142"/>
      <c r="AO645" s="142"/>
      <c r="AP645" s="143"/>
    </row>
    <row r="646" spans="1:42" ht="13.2" hidden="1">
      <c r="A646" s="143"/>
      <c r="B646" s="143"/>
      <c r="C646" s="142"/>
      <c r="D646" s="168"/>
      <c r="E646" s="153"/>
      <c r="F646" s="153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  <c r="AM646" s="142"/>
      <c r="AN646" s="142"/>
      <c r="AO646" s="142"/>
      <c r="AP646" s="143"/>
    </row>
    <row r="647" spans="1:42" ht="13.2" hidden="1">
      <c r="A647" s="143"/>
      <c r="B647" s="143"/>
      <c r="C647" s="142"/>
      <c r="D647" s="168"/>
      <c r="E647" s="153"/>
      <c r="F647" s="153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  <c r="AM647" s="142"/>
      <c r="AN647" s="142"/>
      <c r="AO647" s="142"/>
      <c r="AP647" s="143"/>
    </row>
    <row r="648" spans="1:42" ht="13.2" hidden="1">
      <c r="A648" s="143"/>
      <c r="B648" s="143"/>
      <c r="C648" s="142"/>
      <c r="D648" s="168"/>
      <c r="E648" s="153"/>
      <c r="F648" s="153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  <c r="AM648" s="142"/>
      <c r="AN648" s="142"/>
      <c r="AO648" s="142"/>
      <c r="AP648" s="143"/>
    </row>
    <row r="649" spans="1:42" ht="13.2" hidden="1">
      <c r="A649" s="143"/>
      <c r="B649" s="143"/>
      <c r="C649" s="142"/>
      <c r="D649" s="168"/>
      <c r="E649" s="153"/>
      <c r="F649" s="153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  <c r="AM649" s="142"/>
      <c r="AN649" s="142"/>
      <c r="AO649" s="142"/>
      <c r="AP649" s="143"/>
    </row>
    <row r="650" spans="1:42" ht="13.2" hidden="1">
      <c r="A650" s="143"/>
      <c r="B650" s="143"/>
      <c r="C650" s="142"/>
      <c r="D650" s="168"/>
      <c r="E650" s="153"/>
      <c r="F650" s="153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  <c r="AM650" s="142"/>
      <c r="AN650" s="142"/>
      <c r="AO650" s="142"/>
      <c r="AP650" s="143"/>
    </row>
    <row r="651" spans="1:42" ht="13.2" hidden="1">
      <c r="A651" s="143"/>
      <c r="B651" s="143"/>
      <c r="C651" s="142"/>
      <c r="D651" s="168"/>
      <c r="E651" s="153"/>
      <c r="F651" s="153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  <c r="AM651" s="142"/>
      <c r="AN651" s="142"/>
      <c r="AO651" s="142"/>
      <c r="AP651" s="143"/>
    </row>
    <row r="652" spans="1:42" ht="13.2" hidden="1">
      <c r="A652" s="143"/>
      <c r="B652" s="143"/>
      <c r="C652" s="142"/>
      <c r="D652" s="168"/>
      <c r="E652" s="153"/>
      <c r="F652" s="153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  <c r="AM652" s="142"/>
      <c r="AN652" s="142"/>
      <c r="AO652" s="142"/>
      <c r="AP652" s="143"/>
    </row>
    <row r="653" spans="1:42" ht="13.2" hidden="1">
      <c r="A653" s="143"/>
      <c r="B653" s="143"/>
      <c r="C653" s="142"/>
      <c r="D653" s="168"/>
      <c r="E653" s="153"/>
      <c r="F653" s="153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  <c r="AM653" s="142"/>
      <c r="AN653" s="142"/>
      <c r="AO653" s="142"/>
      <c r="AP653" s="143"/>
    </row>
    <row r="654" spans="1:42" ht="13.2" hidden="1">
      <c r="A654" s="143"/>
      <c r="B654" s="143"/>
      <c r="C654" s="142"/>
      <c r="D654" s="168"/>
      <c r="E654" s="153"/>
      <c r="F654" s="153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  <c r="AA654" s="142"/>
      <c r="AB654" s="14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  <c r="AM654" s="142"/>
      <c r="AN654" s="142"/>
      <c r="AO654" s="142"/>
      <c r="AP654" s="143"/>
    </row>
    <row r="655" spans="1:42" ht="13.2" hidden="1">
      <c r="A655" s="143"/>
      <c r="B655" s="143"/>
      <c r="C655" s="142"/>
      <c r="D655" s="168"/>
      <c r="E655" s="153"/>
      <c r="F655" s="153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  <c r="AA655" s="142"/>
      <c r="AB655" s="14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  <c r="AM655" s="142"/>
      <c r="AN655" s="142"/>
      <c r="AO655" s="142"/>
      <c r="AP655" s="143"/>
    </row>
    <row r="656" spans="1:42" ht="13.2" hidden="1">
      <c r="A656" s="143"/>
      <c r="B656" s="143"/>
      <c r="C656" s="142"/>
      <c r="D656" s="168"/>
      <c r="E656" s="153"/>
      <c r="F656" s="153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  <c r="AA656" s="142"/>
      <c r="AB656" s="14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  <c r="AM656" s="142"/>
      <c r="AN656" s="142"/>
      <c r="AO656" s="142"/>
      <c r="AP656" s="143"/>
    </row>
    <row r="657" spans="1:42" ht="13.2" hidden="1">
      <c r="A657" s="143"/>
      <c r="B657" s="143"/>
      <c r="C657" s="142"/>
      <c r="D657" s="168"/>
      <c r="E657" s="153"/>
      <c r="F657" s="153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  <c r="AA657" s="142"/>
      <c r="AB657" s="14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  <c r="AM657" s="142"/>
      <c r="AN657" s="142"/>
      <c r="AO657" s="142"/>
      <c r="AP657" s="143"/>
    </row>
    <row r="658" spans="1:42" ht="13.2" hidden="1">
      <c r="A658" s="143"/>
      <c r="B658" s="143"/>
      <c r="C658" s="142"/>
      <c r="D658" s="168"/>
      <c r="E658" s="153"/>
      <c r="F658" s="153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  <c r="AM658" s="142"/>
      <c r="AN658" s="142"/>
      <c r="AO658" s="142"/>
      <c r="AP658" s="143"/>
    </row>
    <row r="659" spans="1:42" ht="13.2" hidden="1">
      <c r="A659" s="143"/>
      <c r="B659" s="143"/>
      <c r="C659" s="142"/>
      <c r="D659" s="168"/>
      <c r="E659" s="153"/>
      <c r="F659" s="153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  <c r="AM659" s="142"/>
      <c r="AN659" s="142"/>
      <c r="AO659" s="142"/>
      <c r="AP659" s="143"/>
    </row>
    <row r="660" spans="1:42" ht="13.2" hidden="1">
      <c r="A660" s="143"/>
      <c r="B660" s="143"/>
      <c r="C660" s="142"/>
      <c r="D660" s="168"/>
      <c r="E660" s="153"/>
      <c r="F660" s="153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  <c r="AM660" s="142"/>
      <c r="AN660" s="142"/>
      <c r="AO660" s="142"/>
      <c r="AP660" s="143"/>
    </row>
    <row r="661" spans="1:42" ht="13.2" hidden="1">
      <c r="A661" s="143"/>
      <c r="B661" s="143"/>
      <c r="C661" s="142"/>
      <c r="D661" s="168"/>
      <c r="E661" s="153"/>
      <c r="F661" s="153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  <c r="AM661" s="142"/>
      <c r="AN661" s="142"/>
      <c r="AO661" s="142"/>
      <c r="AP661" s="143"/>
    </row>
    <row r="662" spans="1:42" ht="13.2" hidden="1">
      <c r="A662" s="143"/>
      <c r="B662" s="143"/>
      <c r="C662" s="142"/>
      <c r="D662" s="168"/>
      <c r="E662" s="153"/>
      <c r="F662" s="153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  <c r="AM662" s="142"/>
      <c r="AN662" s="142"/>
      <c r="AO662" s="142"/>
      <c r="AP662" s="143"/>
    </row>
    <row r="663" spans="1:42" ht="13.2" hidden="1">
      <c r="A663" s="143"/>
      <c r="B663" s="143"/>
      <c r="C663" s="142"/>
      <c r="D663" s="168"/>
      <c r="E663" s="153"/>
      <c r="F663" s="153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  <c r="AM663" s="142"/>
      <c r="AN663" s="142"/>
      <c r="AO663" s="142"/>
      <c r="AP663" s="143"/>
    </row>
    <row r="664" spans="1:42" ht="13.2" hidden="1">
      <c r="A664" s="143"/>
      <c r="B664" s="143"/>
      <c r="C664" s="142"/>
      <c r="D664" s="168"/>
      <c r="E664" s="153"/>
      <c r="F664" s="153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  <c r="AA664" s="142"/>
      <c r="AB664" s="14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  <c r="AM664" s="142"/>
      <c r="AN664" s="142"/>
      <c r="AO664" s="142"/>
      <c r="AP664" s="143"/>
    </row>
    <row r="665" spans="1:42" ht="13.2" hidden="1">
      <c r="A665" s="143"/>
      <c r="B665" s="143"/>
      <c r="C665" s="142"/>
      <c r="D665" s="168"/>
      <c r="E665" s="153"/>
      <c r="F665" s="153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  <c r="AM665" s="142"/>
      <c r="AN665" s="142"/>
      <c r="AO665" s="142"/>
      <c r="AP665" s="143"/>
    </row>
    <row r="666" spans="1:42" ht="13.2" hidden="1">
      <c r="A666" s="143"/>
      <c r="B666" s="143"/>
      <c r="C666" s="142"/>
      <c r="D666" s="168"/>
      <c r="E666" s="153"/>
      <c r="F666" s="153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  <c r="AA666" s="142"/>
      <c r="AB666" s="14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  <c r="AM666" s="142"/>
      <c r="AN666" s="142"/>
      <c r="AO666" s="142"/>
      <c r="AP666" s="143"/>
    </row>
    <row r="667" spans="1:42" ht="13.2" hidden="1">
      <c r="A667" s="143"/>
      <c r="B667" s="143"/>
      <c r="C667" s="142"/>
      <c r="D667" s="168"/>
      <c r="E667" s="153"/>
      <c r="F667" s="153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  <c r="AA667" s="142"/>
      <c r="AB667" s="14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  <c r="AM667" s="142"/>
      <c r="AN667" s="142"/>
      <c r="AO667" s="142"/>
      <c r="AP667" s="143"/>
    </row>
    <row r="668" spans="1:42" ht="13.2" hidden="1">
      <c r="A668" s="143"/>
      <c r="B668" s="143"/>
      <c r="C668" s="142"/>
      <c r="D668" s="168"/>
      <c r="E668" s="153"/>
      <c r="F668" s="153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  <c r="AM668" s="142"/>
      <c r="AN668" s="142"/>
      <c r="AO668" s="142"/>
      <c r="AP668" s="143"/>
    </row>
    <row r="669" spans="1:42" ht="13.2" hidden="1">
      <c r="A669" s="143"/>
      <c r="B669" s="143"/>
      <c r="C669" s="142"/>
      <c r="D669" s="168"/>
      <c r="E669" s="153"/>
      <c r="F669" s="153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  <c r="AM669" s="142"/>
      <c r="AN669" s="142"/>
      <c r="AO669" s="142"/>
      <c r="AP669" s="143"/>
    </row>
    <row r="670" spans="1:42" ht="13.2" hidden="1">
      <c r="A670" s="143"/>
      <c r="B670" s="143"/>
      <c r="C670" s="142"/>
      <c r="D670" s="168"/>
      <c r="E670" s="153"/>
      <c r="F670" s="153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  <c r="AM670" s="142"/>
      <c r="AN670" s="142"/>
      <c r="AO670" s="142"/>
      <c r="AP670" s="143"/>
    </row>
    <row r="671" spans="1:42" ht="13.2" hidden="1">
      <c r="A671" s="143"/>
      <c r="B671" s="143"/>
      <c r="C671" s="142"/>
      <c r="D671" s="168"/>
      <c r="E671" s="153"/>
      <c r="F671" s="153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  <c r="AM671" s="142"/>
      <c r="AN671" s="142"/>
      <c r="AO671" s="142"/>
      <c r="AP671" s="143"/>
    </row>
    <row r="672" spans="1:42" ht="13.2" hidden="1">
      <c r="A672" s="143"/>
      <c r="B672" s="143"/>
      <c r="C672" s="142"/>
      <c r="D672" s="168"/>
      <c r="E672" s="153"/>
      <c r="F672" s="153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  <c r="AM672" s="142"/>
      <c r="AN672" s="142"/>
      <c r="AO672" s="142"/>
      <c r="AP672" s="143"/>
    </row>
    <row r="673" spans="1:42" ht="13.2" hidden="1">
      <c r="A673" s="143"/>
      <c r="B673" s="143"/>
      <c r="C673" s="142"/>
      <c r="D673" s="168"/>
      <c r="E673" s="153"/>
      <c r="F673" s="153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  <c r="AM673" s="142"/>
      <c r="AN673" s="142"/>
      <c r="AO673" s="142"/>
      <c r="AP673" s="143"/>
    </row>
    <row r="674" spans="1:42" ht="13.2" hidden="1">
      <c r="A674" s="143"/>
      <c r="B674" s="143"/>
      <c r="C674" s="142"/>
      <c r="D674" s="168"/>
      <c r="E674" s="153"/>
      <c r="F674" s="153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  <c r="AM674" s="142"/>
      <c r="AN674" s="142"/>
      <c r="AO674" s="142"/>
      <c r="AP674" s="143"/>
    </row>
    <row r="675" spans="1:42" ht="13.2" hidden="1">
      <c r="A675" s="143"/>
      <c r="B675" s="143"/>
      <c r="C675" s="142"/>
      <c r="D675" s="168"/>
      <c r="E675" s="153"/>
      <c r="F675" s="153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  <c r="AM675" s="142"/>
      <c r="AN675" s="142"/>
      <c r="AO675" s="142"/>
      <c r="AP675" s="143"/>
    </row>
    <row r="676" spans="1:42" ht="13.2" hidden="1">
      <c r="A676" s="143"/>
      <c r="B676" s="143"/>
      <c r="C676" s="142"/>
      <c r="D676" s="168"/>
      <c r="E676" s="153"/>
      <c r="F676" s="153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  <c r="AM676" s="142"/>
      <c r="AN676" s="142"/>
      <c r="AO676" s="142"/>
      <c r="AP676" s="143"/>
    </row>
    <row r="677" spans="1:42" ht="13.2" hidden="1">
      <c r="A677" s="143"/>
      <c r="B677" s="143"/>
      <c r="C677" s="142"/>
      <c r="D677" s="168"/>
      <c r="E677" s="153"/>
      <c r="F677" s="153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  <c r="AM677" s="142"/>
      <c r="AN677" s="142"/>
      <c r="AO677" s="142"/>
      <c r="AP677" s="143"/>
    </row>
    <row r="678" spans="1:42" ht="13.2" hidden="1">
      <c r="A678" s="143"/>
      <c r="B678" s="143"/>
      <c r="C678" s="142"/>
      <c r="D678" s="168"/>
      <c r="E678" s="153"/>
      <c r="F678" s="153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  <c r="AM678" s="142"/>
      <c r="AN678" s="142"/>
      <c r="AO678" s="142"/>
      <c r="AP678" s="143"/>
    </row>
    <row r="679" spans="1:42" ht="13.2" hidden="1">
      <c r="A679" s="143"/>
      <c r="B679" s="143"/>
      <c r="C679" s="142"/>
      <c r="D679" s="168"/>
      <c r="E679" s="153"/>
      <c r="F679" s="153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  <c r="AM679" s="142"/>
      <c r="AN679" s="142"/>
      <c r="AO679" s="142"/>
      <c r="AP679" s="143"/>
    </row>
    <row r="680" spans="1:42" ht="13.2" hidden="1">
      <c r="A680" s="143"/>
      <c r="B680" s="143"/>
      <c r="C680" s="142"/>
      <c r="D680" s="168"/>
      <c r="E680" s="153"/>
      <c r="F680" s="153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  <c r="AM680" s="142"/>
      <c r="AN680" s="142"/>
      <c r="AO680" s="142"/>
      <c r="AP680" s="143"/>
    </row>
    <row r="681" spans="1:42" ht="13.2" hidden="1">
      <c r="A681" s="143"/>
      <c r="B681" s="143"/>
      <c r="C681" s="142"/>
      <c r="D681" s="168"/>
      <c r="E681" s="153"/>
      <c r="F681" s="153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  <c r="AM681" s="142"/>
      <c r="AN681" s="142"/>
      <c r="AO681" s="142"/>
      <c r="AP681" s="143"/>
    </row>
    <row r="682" spans="1:42" ht="13.2" hidden="1">
      <c r="A682" s="143"/>
      <c r="B682" s="143"/>
      <c r="C682" s="142"/>
      <c r="D682" s="168"/>
      <c r="E682" s="153"/>
      <c r="F682" s="153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  <c r="AM682" s="142"/>
      <c r="AN682" s="142"/>
      <c r="AO682" s="142"/>
      <c r="AP682" s="143"/>
    </row>
    <row r="683" spans="1:42" ht="13.2" hidden="1">
      <c r="A683" s="143"/>
      <c r="B683" s="143"/>
      <c r="C683" s="142"/>
      <c r="D683" s="168"/>
      <c r="E683" s="153"/>
      <c r="F683" s="153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  <c r="AM683" s="142"/>
      <c r="AN683" s="142"/>
      <c r="AO683" s="142"/>
      <c r="AP683" s="143"/>
    </row>
    <row r="684" spans="1:42" ht="13.2" hidden="1">
      <c r="A684" s="143"/>
      <c r="B684" s="143"/>
      <c r="C684" s="142"/>
      <c r="D684" s="168"/>
      <c r="E684" s="153"/>
      <c r="F684" s="153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  <c r="AM684" s="142"/>
      <c r="AN684" s="142"/>
      <c r="AO684" s="142"/>
      <c r="AP684" s="143"/>
    </row>
    <row r="685" spans="1:42" ht="13.2" hidden="1">
      <c r="A685" s="143"/>
      <c r="B685" s="143"/>
      <c r="C685" s="142"/>
      <c r="D685" s="168"/>
      <c r="E685" s="153"/>
      <c r="F685" s="153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  <c r="AM685" s="142"/>
      <c r="AN685" s="142"/>
      <c r="AO685" s="142"/>
      <c r="AP685" s="143"/>
    </row>
    <row r="686" spans="1:42" ht="13.2" hidden="1">
      <c r="A686" s="143"/>
      <c r="B686" s="143"/>
      <c r="C686" s="142"/>
      <c r="D686" s="168"/>
      <c r="E686" s="153"/>
      <c r="F686" s="153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  <c r="AM686" s="142"/>
      <c r="AN686" s="142"/>
      <c r="AO686" s="142"/>
      <c r="AP686" s="143"/>
    </row>
    <row r="687" spans="1:42" ht="13.2" hidden="1">
      <c r="A687" s="143"/>
      <c r="B687" s="143"/>
      <c r="C687" s="142"/>
      <c r="D687" s="168"/>
      <c r="E687" s="153"/>
      <c r="F687" s="153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  <c r="AM687" s="142"/>
      <c r="AN687" s="142"/>
      <c r="AO687" s="142"/>
      <c r="AP687" s="143"/>
    </row>
    <row r="688" spans="1:42" ht="13.2" hidden="1">
      <c r="A688" s="143"/>
      <c r="B688" s="143"/>
      <c r="C688" s="142"/>
      <c r="D688" s="168"/>
      <c r="E688" s="153"/>
      <c r="F688" s="153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  <c r="AM688" s="142"/>
      <c r="AN688" s="142"/>
      <c r="AO688" s="142"/>
      <c r="AP688" s="143"/>
    </row>
    <row r="689" spans="1:42" ht="13.2" hidden="1">
      <c r="A689" s="143"/>
      <c r="B689" s="143"/>
      <c r="C689" s="142"/>
      <c r="D689" s="168"/>
      <c r="E689" s="153"/>
      <c r="F689" s="153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  <c r="AM689" s="142"/>
      <c r="AN689" s="142"/>
      <c r="AO689" s="142"/>
      <c r="AP689" s="143"/>
    </row>
    <row r="690" spans="1:42" ht="13.2" hidden="1">
      <c r="A690" s="143"/>
      <c r="B690" s="143"/>
      <c r="C690" s="142"/>
      <c r="D690" s="168"/>
      <c r="E690" s="153"/>
      <c r="F690" s="153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  <c r="AM690" s="142"/>
      <c r="AN690" s="142"/>
      <c r="AO690" s="142"/>
      <c r="AP690" s="143"/>
    </row>
    <row r="691" spans="1:42" ht="13.2" hidden="1">
      <c r="A691" s="143"/>
      <c r="B691" s="143"/>
      <c r="C691" s="142"/>
      <c r="D691" s="168"/>
      <c r="E691" s="153"/>
      <c r="F691" s="153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  <c r="AM691" s="142"/>
      <c r="AN691" s="142"/>
      <c r="AO691" s="142"/>
      <c r="AP691" s="143"/>
    </row>
    <row r="692" spans="1:42" ht="13.2" hidden="1">
      <c r="A692" s="143"/>
      <c r="B692" s="143"/>
      <c r="C692" s="142"/>
      <c r="D692" s="168"/>
      <c r="E692" s="153"/>
      <c r="F692" s="153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  <c r="AM692" s="142"/>
      <c r="AN692" s="142"/>
      <c r="AO692" s="142"/>
      <c r="AP692" s="143"/>
    </row>
    <row r="693" spans="1:42" ht="13.2" hidden="1">
      <c r="A693" s="143"/>
      <c r="B693" s="143"/>
      <c r="C693" s="142"/>
      <c r="D693" s="168"/>
      <c r="E693" s="153"/>
      <c r="F693" s="153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  <c r="AM693" s="142"/>
      <c r="AN693" s="142"/>
      <c r="AO693" s="142"/>
      <c r="AP693" s="143"/>
    </row>
    <row r="694" spans="1:42" ht="13.2" hidden="1">
      <c r="A694" s="143"/>
      <c r="B694" s="143"/>
      <c r="C694" s="142"/>
      <c r="D694" s="168"/>
      <c r="E694" s="153"/>
      <c r="F694" s="153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  <c r="AM694" s="142"/>
      <c r="AN694" s="142"/>
      <c r="AO694" s="142"/>
      <c r="AP694" s="143"/>
    </row>
    <row r="695" spans="1:42" ht="13.2" hidden="1">
      <c r="A695" s="143"/>
      <c r="B695" s="143"/>
      <c r="C695" s="142"/>
      <c r="D695" s="168"/>
      <c r="E695" s="153"/>
      <c r="F695" s="153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  <c r="AM695" s="142"/>
      <c r="AN695" s="142"/>
      <c r="AO695" s="142"/>
      <c r="AP695" s="143"/>
    </row>
    <row r="696" spans="1:42" ht="13.2" hidden="1">
      <c r="A696" s="143"/>
      <c r="B696" s="143"/>
      <c r="C696" s="142"/>
      <c r="D696" s="168"/>
      <c r="E696" s="153"/>
      <c r="F696" s="153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  <c r="AM696" s="142"/>
      <c r="AN696" s="142"/>
      <c r="AO696" s="142"/>
      <c r="AP696" s="143"/>
    </row>
    <row r="697" spans="1:42" ht="13.2" hidden="1">
      <c r="A697" s="143"/>
      <c r="B697" s="143"/>
      <c r="C697" s="142"/>
      <c r="D697" s="168"/>
      <c r="E697" s="153"/>
      <c r="F697" s="153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  <c r="AM697" s="142"/>
      <c r="AN697" s="142"/>
      <c r="AO697" s="142"/>
      <c r="AP697" s="143"/>
    </row>
    <row r="698" spans="1:42" ht="13.2" hidden="1">
      <c r="A698" s="143"/>
      <c r="B698" s="143"/>
      <c r="C698" s="142"/>
      <c r="D698" s="168"/>
      <c r="E698" s="153"/>
      <c r="F698" s="153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  <c r="AM698" s="142"/>
      <c r="AN698" s="142"/>
      <c r="AO698" s="142"/>
      <c r="AP698" s="143"/>
    </row>
    <row r="699" spans="1:42" ht="13.2" hidden="1">
      <c r="A699" s="143"/>
      <c r="B699" s="143"/>
      <c r="C699" s="142"/>
      <c r="D699" s="168"/>
      <c r="E699" s="153"/>
      <c r="F699" s="153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  <c r="AM699" s="142"/>
      <c r="AN699" s="142"/>
      <c r="AO699" s="142"/>
      <c r="AP699" s="143"/>
    </row>
    <row r="700" spans="1:42" ht="13.2" hidden="1">
      <c r="A700" s="143"/>
      <c r="B700" s="143"/>
      <c r="C700" s="142"/>
      <c r="D700" s="168"/>
      <c r="E700" s="153"/>
      <c r="F700" s="153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  <c r="AM700" s="142"/>
      <c r="AN700" s="142"/>
      <c r="AO700" s="142"/>
      <c r="AP700" s="143"/>
    </row>
    <row r="701" spans="1:42" ht="13.2" hidden="1">
      <c r="A701" s="143"/>
      <c r="B701" s="143"/>
      <c r="C701" s="142"/>
      <c r="D701" s="168"/>
      <c r="E701" s="153"/>
      <c r="F701" s="153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  <c r="AA701" s="142"/>
      <c r="AB701" s="14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  <c r="AM701" s="142"/>
      <c r="AN701" s="142"/>
      <c r="AO701" s="142"/>
      <c r="AP701" s="143"/>
    </row>
    <row r="702" spans="1:42" ht="13.2" hidden="1">
      <c r="A702" s="143"/>
      <c r="B702" s="143"/>
      <c r="C702" s="142"/>
      <c r="D702" s="168"/>
      <c r="E702" s="153"/>
      <c r="F702" s="153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  <c r="AM702" s="142"/>
      <c r="AN702" s="142"/>
      <c r="AO702" s="142"/>
      <c r="AP702" s="143"/>
    </row>
    <row r="703" spans="1:42" ht="13.2" hidden="1">
      <c r="A703" s="143"/>
      <c r="B703" s="143"/>
      <c r="C703" s="142"/>
      <c r="D703" s="168"/>
      <c r="E703" s="153"/>
      <c r="F703" s="153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  <c r="AA703" s="142"/>
      <c r="AB703" s="14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  <c r="AM703" s="142"/>
      <c r="AN703" s="142"/>
      <c r="AO703" s="142"/>
      <c r="AP703" s="143"/>
    </row>
    <row r="704" spans="1:42" ht="13.2" hidden="1">
      <c r="A704" s="143"/>
      <c r="B704" s="143"/>
      <c r="C704" s="142"/>
      <c r="D704" s="168"/>
      <c r="E704" s="153"/>
      <c r="F704" s="153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  <c r="AA704" s="142"/>
      <c r="AB704" s="14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  <c r="AM704" s="142"/>
      <c r="AN704" s="142"/>
      <c r="AO704" s="142"/>
      <c r="AP704" s="143"/>
    </row>
    <row r="705" spans="1:42" ht="13.2" hidden="1">
      <c r="A705" s="143"/>
      <c r="B705" s="143"/>
      <c r="C705" s="142"/>
      <c r="D705" s="168"/>
      <c r="E705" s="153"/>
      <c r="F705" s="153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  <c r="AA705" s="142"/>
      <c r="AB705" s="14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  <c r="AM705" s="142"/>
      <c r="AN705" s="142"/>
      <c r="AO705" s="142"/>
      <c r="AP705" s="143"/>
    </row>
    <row r="706" spans="1:42" ht="13.2" hidden="1">
      <c r="A706" s="143"/>
      <c r="B706" s="143"/>
      <c r="C706" s="142"/>
      <c r="D706" s="168"/>
      <c r="E706" s="153"/>
      <c r="F706" s="153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  <c r="AA706" s="142"/>
      <c r="AB706" s="14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  <c r="AM706" s="142"/>
      <c r="AN706" s="142"/>
      <c r="AO706" s="142"/>
      <c r="AP706" s="143"/>
    </row>
    <row r="707" spans="1:42" ht="13.2" hidden="1">
      <c r="A707" s="143"/>
      <c r="B707" s="143"/>
      <c r="C707" s="142"/>
      <c r="D707" s="168"/>
      <c r="E707" s="153"/>
      <c r="F707" s="153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  <c r="AM707" s="142"/>
      <c r="AN707" s="142"/>
      <c r="AO707" s="142"/>
      <c r="AP707" s="143"/>
    </row>
    <row r="708" spans="1:42" ht="13.2" hidden="1">
      <c r="A708" s="143"/>
      <c r="B708" s="143"/>
      <c r="C708" s="142"/>
      <c r="D708" s="168"/>
      <c r="E708" s="153"/>
      <c r="F708" s="153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  <c r="AA708" s="142"/>
      <c r="AB708" s="14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  <c r="AM708" s="142"/>
      <c r="AN708" s="142"/>
      <c r="AO708" s="142"/>
      <c r="AP708" s="143"/>
    </row>
    <row r="709" spans="1:42" ht="13.2" hidden="1">
      <c r="A709" s="143"/>
      <c r="B709" s="143"/>
      <c r="C709" s="142"/>
      <c r="D709" s="168"/>
      <c r="E709" s="153"/>
      <c r="F709" s="153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  <c r="AA709" s="142"/>
      <c r="AB709" s="14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  <c r="AM709" s="142"/>
      <c r="AN709" s="142"/>
      <c r="AO709" s="142"/>
      <c r="AP709" s="143"/>
    </row>
    <row r="710" spans="1:42" ht="13.2" hidden="1">
      <c r="A710" s="143"/>
      <c r="B710" s="143"/>
      <c r="C710" s="142"/>
      <c r="D710" s="168"/>
      <c r="E710" s="153"/>
      <c r="F710" s="153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  <c r="AM710" s="142"/>
      <c r="AN710" s="142"/>
      <c r="AO710" s="142"/>
      <c r="AP710" s="143"/>
    </row>
    <row r="711" spans="1:42" ht="13.2" hidden="1">
      <c r="A711" s="143"/>
      <c r="B711" s="143"/>
      <c r="C711" s="142"/>
      <c r="D711" s="168"/>
      <c r="E711" s="153"/>
      <c r="F711" s="153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  <c r="AM711" s="142"/>
      <c r="AN711" s="142"/>
      <c r="AO711" s="142"/>
      <c r="AP711" s="143"/>
    </row>
    <row r="712" spans="1:42" ht="13.2" hidden="1">
      <c r="A712" s="143"/>
      <c r="B712" s="143"/>
      <c r="C712" s="142"/>
      <c r="D712" s="168"/>
      <c r="E712" s="153"/>
      <c r="F712" s="153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  <c r="AM712" s="142"/>
      <c r="AN712" s="142"/>
      <c r="AO712" s="142"/>
      <c r="AP712" s="143"/>
    </row>
    <row r="713" spans="1:42" ht="13.2" hidden="1">
      <c r="A713" s="143"/>
      <c r="B713" s="143"/>
      <c r="C713" s="142"/>
      <c r="D713" s="168"/>
      <c r="E713" s="153"/>
      <c r="F713" s="153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  <c r="AA713" s="142"/>
      <c r="AB713" s="14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  <c r="AM713" s="142"/>
      <c r="AN713" s="142"/>
      <c r="AO713" s="142"/>
      <c r="AP713" s="143"/>
    </row>
    <row r="714" spans="1:42" ht="13.2" hidden="1">
      <c r="A714" s="143"/>
      <c r="B714" s="143"/>
      <c r="C714" s="142"/>
      <c r="D714" s="168"/>
      <c r="E714" s="153"/>
      <c r="F714" s="153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  <c r="AA714" s="142"/>
      <c r="AB714" s="14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  <c r="AM714" s="142"/>
      <c r="AN714" s="142"/>
      <c r="AO714" s="142"/>
      <c r="AP714" s="143"/>
    </row>
    <row r="715" spans="1:42" ht="13.2" hidden="1">
      <c r="A715" s="143"/>
      <c r="B715" s="143"/>
      <c r="C715" s="142"/>
      <c r="D715" s="168"/>
      <c r="E715" s="153"/>
      <c r="F715" s="153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  <c r="AA715" s="142"/>
      <c r="AB715" s="14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  <c r="AM715" s="142"/>
      <c r="AN715" s="142"/>
      <c r="AO715" s="142"/>
      <c r="AP715" s="143"/>
    </row>
    <row r="716" spans="1:42" ht="13.2" hidden="1">
      <c r="A716" s="143"/>
      <c r="B716" s="143"/>
      <c r="C716" s="142"/>
      <c r="D716" s="168"/>
      <c r="E716" s="153"/>
      <c r="F716" s="153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  <c r="AA716" s="142"/>
      <c r="AB716" s="14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  <c r="AM716" s="142"/>
      <c r="AN716" s="142"/>
      <c r="AO716" s="142"/>
      <c r="AP716" s="143"/>
    </row>
    <row r="717" spans="1:42" ht="13.2" hidden="1">
      <c r="A717" s="143"/>
      <c r="B717" s="143"/>
      <c r="C717" s="142"/>
      <c r="D717" s="168"/>
      <c r="E717" s="153"/>
      <c r="F717" s="153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  <c r="AA717" s="142"/>
      <c r="AB717" s="14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  <c r="AM717" s="142"/>
      <c r="AN717" s="142"/>
      <c r="AO717" s="142"/>
      <c r="AP717" s="143"/>
    </row>
    <row r="718" spans="1:42" ht="13.2" hidden="1">
      <c r="A718" s="143"/>
      <c r="B718" s="143"/>
      <c r="C718" s="142"/>
      <c r="D718" s="168"/>
      <c r="E718" s="153"/>
      <c r="F718" s="153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  <c r="AA718" s="142"/>
      <c r="AB718" s="14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  <c r="AM718" s="142"/>
      <c r="AN718" s="142"/>
      <c r="AO718" s="142"/>
      <c r="AP718" s="143"/>
    </row>
    <row r="719" spans="1:42" ht="13.2" hidden="1">
      <c r="A719" s="143"/>
      <c r="B719" s="143"/>
      <c r="C719" s="142"/>
      <c r="D719" s="168"/>
      <c r="E719" s="153"/>
      <c r="F719" s="153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  <c r="AM719" s="142"/>
      <c r="AN719" s="142"/>
      <c r="AO719" s="142"/>
      <c r="AP719" s="143"/>
    </row>
    <row r="720" spans="1:42" ht="13.2" hidden="1">
      <c r="A720" s="143"/>
      <c r="B720" s="143"/>
      <c r="C720" s="142"/>
      <c r="D720" s="168"/>
      <c r="E720" s="153"/>
      <c r="F720" s="153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  <c r="AA720" s="142"/>
      <c r="AB720" s="14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  <c r="AM720" s="142"/>
      <c r="AN720" s="142"/>
      <c r="AO720" s="142"/>
      <c r="AP720" s="143"/>
    </row>
    <row r="721" spans="1:42" ht="13.2" hidden="1">
      <c r="A721" s="143"/>
      <c r="B721" s="143"/>
      <c r="C721" s="142"/>
      <c r="D721" s="168"/>
      <c r="E721" s="153"/>
      <c r="F721" s="153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  <c r="AM721" s="142"/>
      <c r="AN721" s="142"/>
      <c r="AO721" s="142"/>
      <c r="AP721" s="143"/>
    </row>
    <row r="722" spans="1:42" ht="13.2" hidden="1">
      <c r="A722" s="143"/>
      <c r="B722" s="143"/>
      <c r="C722" s="142"/>
      <c r="D722" s="168"/>
      <c r="E722" s="153"/>
      <c r="F722" s="153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  <c r="AM722" s="142"/>
      <c r="AN722" s="142"/>
      <c r="AO722" s="142"/>
      <c r="AP722" s="143"/>
    </row>
    <row r="723" spans="1:42" ht="13.2" hidden="1">
      <c r="A723" s="143"/>
      <c r="B723" s="143"/>
      <c r="C723" s="142"/>
      <c r="D723" s="168"/>
      <c r="E723" s="153"/>
      <c r="F723" s="153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  <c r="AM723" s="142"/>
      <c r="AN723" s="142"/>
      <c r="AO723" s="142"/>
      <c r="AP723" s="143"/>
    </row>
    <row r="724" spans="1:42" ht="13.2" hidden="1">
      <c r="A724" s="143"/>
      <c r="B724" s="143"/>
      <c r="C724" s="142"/>
      <c r="D724" s="168"/>
      <c r="E724" s="153"/>
      <c r="F724" s="153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  <c r="AM724" s="142"/>
      <c r="AN724" s="142"/>
      <c r="AO724" s="142"/>
      <c r="AP724" s="143"/>
    </row>
    <row r="725" spans="1:42" ht="13.2" hidden="1">
      <c r="A725" s="143"/>
      <c r="B725" s="143"/>
      <c r="C725" s="142"/>
      <c r="D725" s="168"/>
      <c r="E725" s="153"/>
      <c r="F725" s="153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  <c r="AM725" s="142"/>
      <c r="AN725" s="142"/>
      <c r="AO725" s="142"/>
      <c r="AP725" s="143"/>
    </row>
    <row r="726" spans="1:42" ht="13.2" hidden="1">
      <c r="A726" s="143"/>
      <c r="B726" s="143"/>
      <c r="C726" s="142"/>
      <c r="D726" s="168"/>
      <c r="E726" s="153"/>
      <c r="F726" s="153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  <c r="AM726" s="142"/>
      <c r="AN726" s="142"/>
      <c r="AO726" s="142"/>
      <c r="AP726" s="143"/>
    </row>
    <row r="727" spans="1:42" ht="13.2" hidden="1">
      <c r="A727" s="143"/>
      <c r="B727" s="143"/>
      <c r="C727" s="142"/>
      <c r="D727" s="168"/>
      <c r="E727" s="153"/>
      <c r="F727" s="153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  <c r="AM727" s="142"/>
      <c r="AN727" s="142"/>
      <c r="AO727" s="142"/>
      <c r="AP727" s="143"/>
    </row>
    <row r="728" spans="1:42" ht="13.2" hidden="1">
      <c r="A728" s="143"/>
      <c r="B728" s="143"/>
      <c r="C728" s="142"/>
      <c r="D728" s="168"/>
      <c r="E728" s="153"/>
      <c r="F728" s="153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  <c r="AM728" s="142"/>
      <c r="AN728" s="142"/>
      <c r="AO728" s="142"/>
      <c r="AP728" s="143"/>
    </row>
    <row r="729" spans="1:42" ht="13.2" hidden="1">
      <c r="A729" s="143"/>
      <c r="B729" s="143"/>
      <c r="C729" s="142"/>
      <c r="D729" s="168"/>
      <c r="E729" s="153"/>
      <c r="F729" s="153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  <c r="AM729" s="142"/>
      <c r="AN729" s="142"/>
      <c r="AO729" s="142"/>
      <c r="AP729" s="143"/>
    </row>
    <row r="730" spans="1:42" ht="13.2" hidden="1">
      <c r="A730" s="143"/>
      <c r="B730" s="143"/>
      <c r="C730" s="142"/>
      <c r="D730" s="168"/>
      <c r="E730" s="153"/>
      <c r="F730" s="153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  <c r="AM730" s="142"/>
      <c r="AN730" s="142"/>
      <c r="AO730" s="142"/>
      <c r="AP730" s="143"/>
    </row>
    <row r="731" spans="1:42" ht="13.2" hidden="1">
      <c r="A731" s="143"/>
      <c r="B731" s="143"/>
      <c r="C731" s="142"/>
      <c r="D731" s="168"/>
      <c r="E731" s="153"/>
      <c r="F731" s="153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  <c r="AM731" s="142"/>
      <c r="AN731" s="142"/>
      <c r="AO731" s="142"/>
      <c r="AP731" s="143"/>
    </row>
    <row r="732" spans="1:42" ht="13.2" hidden="1">
      <c r="A732" s="143"/>
      <c r="B732" s="143"/>
      <c r="C732" s="142"/>
      <c r="D732" s="168"/>
      <c r="E732" s="153"/>
      <c r="F732" s="153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  <c r="AM732" s="142"/>
      <c r="AN732" s="142"/>
      <c r="AO732" s="142"/>
      <c r="AP732" s="143"/>
    </row>
    <row r="733" spans="1:42" ht="13.2" hidden="1">
      <c r="A733" s="143"/>
      <c r="B733" s="143"/>
      <c r="C733" s="142"/>
      <c r="D733" s="168"/>
      <c r="E733" s="153"/>
      <c r="F733" s="153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  <c r="AM733" s="142"/>
      <c r="AN733" s="142"/>
      <c r="AO733" s="142"/>
      <c r="AP733" s="143"/>
    </row>
    <row r="734" spans="1:42" ht="13.2" hidden="1">
      <c r="A734" s="143"/>
      <c r="B734" s="143"/>
      <c r="C734" s="142"/>
      <c r="D734" s="168"/>
      <c r="E734" s="153"/>
      <c r="F734" s="153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  <c r="AM734" s="142"/>
      <c r="AN734" s="142"/>
      <c r="AO734" s="142"/>
      <c r="AP734" s="143"/>
    </row>
    <row r="735" spans="1:42" ht="13.2" hidden="1">
      <c r="A735" s="143"/>
      <c r="B735" s="143"/>
      <c r="C735" s="142"/>
      <c r="D735" s="168"/>
      <c r="E735" s="153"/>
      <c r="F735" s="153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  <c r="AM735" s="142"/>
      <c r="AN735" s="142"/>
      <c r="AO735" s="142"/>
      <c r="AP735" s="143"/>
    </row>
    <row r="736" spans="1:42" ht="13.2" hidden="1">
      <c r="A736" s="143"/>
      <c r="B736" s="143"/>
      <c r="C736" s="142"/>
      <c r="D736" s="168"/>
      <c r="E736" s="153"/>
      <c r="F736" s="153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  <c r="AM736" s="142"/>
      <c r="AN736" s="142"/>
      <c r="AO736" s="142"/>
      <c r="AP736" s="143"/>
    </row>
    <row r="737" spans="1:42" ht="13.2" hidden="1">
      <c r="A737" s="143"/>
      <c r="B737" s="143"/>
      <c r="C737" s="142"/>
      <c r="D737" s="168"/>
      <c r="E737" s="153"/>
      <c r="F737" s="153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  <c r="AM737" s="142"/>
      <c r="AN737" s="142"/>
      <c r="AO737" s="142"/>
      <c r="AP737" s="143"/>
    </row>
    <row r="738" spans="1:42" ht="13.2" hidden="1">
      <c r="A738" s="143"/>
      <c r="B738" s="143"/>
      <c r="C738" s="142"/>
      <c r="D738" s="168"/>
      <c r="E738" s="153"/>
      <c r="F738" s="153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  <c r="AM738" s="142"/>
      <c r="AN738" s="142"/>
      <c r="AO738" s="142"/>
      <c r="AP738" s="143"/>
    </row>
    <row r="739" spans="1:42" ht="13.2" hidden="1">
      <c r="A739" s="143"/>
      <c r="B739" s="143"/>
      <c r="C739" s="142"/>
      <c r="D739" s="168"/>
      <c r="E739" s="153"/>
      <c r="F739" s="153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  <c r="AM739" s="142"/>
      <c r="AN739" s="142"/>
      <c r="AO739" s="142"/>
      <c r="AP739" s="143"/>
    </row>
    <row r="740" spans="1:42" ht="13.2" hidden="1">
      <c r="A740" s="143"/>
      <c r="B740" s="143"/>
      <c r="C740" s="142"/>
      <c r="D740" s="168"/>
      <c r="E740" s="153"/>
      <c r="F740" s="153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  <c r="AM740" s="142"/>
      <c r="AN740" s="142"/>
      <c r="AO740" s="142"/>
      <c r="AP740" s="143"/>
    </row>
    <row r="741" spans="1:42" ht="13.2" hidden="1">
      <c r="A741" s="143"/>
      <c r="B741" s="143"/>
      <c r="C741" s="142"/>
      <c r="D741" s="168"/>
      <c r="E741" s="153"/>
      <c r="F741" s="153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  <c r="AM741" s="142"/>
      <c r="AN741" s="142"/>
      <c r="AO741" s="142"/>
      <c r="AP741" s="143"/>
    </row>
    <row r="742" spans="1:42" ht="13.2" hidden="1">
      <c r="A742" s="143"/>
      <c r="B742" s="143"/>
      <c r="C742" s="142"/>
      <c r="D742" s="168"/>
      <c r="E742" s="153"/>
      <c r="F742" s="153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  <c r="AM742" s="142"/>
      <c r="AN742" s="142"/>
      <c r="AO742" s="142"/>
      <c r="AP742" s="143"/>
    </row>
    <row r="743" spans="1:42" ht="13.2" hidden="1">
      <c r="A743" s="143"/>
      <c r="B743" s="143"/>
      <c r="C743" s="142"/>
      <c r="D743" s="168"/>
      <c r="E743" s="153"/>
      <c r="F743" s="153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  <c r="AM743" s="142"/>
      <c r="AN743" s="142"/>
      <c r="AO743" s="142"/>
      <c r="AP743" s="143"/>
    </row>
    <row r="744" spans="1:42" ht="13.2" hidden="1">
      <c r="A744" s="143"/>
      <c r="B744" s="143"/>
      <c r="C744" s="142"/>
      <c r="D744" s="168"/>
      <c r="E744" s="153"/>
      <c r="F744" s="153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  <c r="AM744" s="142"/>
      <c r="AN744" s="142"/>
      <c r="AO744" s="142"/>
      <c r="AP744" s="143"/>
    </row>
    <row r="745" spans="1:42" ht="13.2" hidden="1">
      <c r="A745" s="143"/>
      <c r="B745" s="143"/>
      <c r="C745" s="142"/>
      <c r="D745" s="168"/>
      <c r="E745" s="153"/>
      <c r="F745" s="153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  <c r="AM745" s="142"/>
      <c r="AN745" s="142"/>
      <c r="AO745" s="142"/>
      <c r="AP745" s="143"/>
    </row>
    <row r="746" spans="1:42" ht="13.2" hidden="1">
      <c r="A746" s="143"/>
      <c r="B746" s="143"/>
      <c r="C746" s="142"/>
      <c r="D746" s="168"/>
      <c r="E746" s="153"/>
      <c r="F746" s="153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  <c r="AM746" s="142"/>
      <c r="AN746" s="142"/>
      <c r="AO746" s="142"/>
      <c r="AP746" s="143"/>
    </row>
    <row r="747" spans="1:42" ht="13.2" hidden="1">
      <c r="A747" s="143"/>
      <c r="B747" s="143"/>
      <c r="C747" s="142"/>
      <c r="D747" s="168"/>
      <c r="E747" s="153"/>
      <c r="F747" s="153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  <c r="AM747" s="142"/>
      <c r="AN747" s="142"/>
      <c r="AO747" s="142"/>
      <c r="AP747" s="143"/>
    </row>
    <row r="748" spans="1:42" ht="13.2" hidden="1">
      <c r="A748" s="143"/>
      <c r="B748" s="143"/>
      <c r="C748" s="142"/>
      <c r="D748" s="168"/>
      <c r="E748" s="153"/>
      <c r="F748" s="153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  <c r="AM748" s="142"/>
      <c r="AN748" s="142"/>
      <c r="AO748" s="142"/>
      <c r="AP748" s="143"/>
    </row>
    <row r="749" spans="1:42" ht="13.2" hidden="1">
      <c r="A749" s="143"/>
      <c r="B749" s="143"/>
      <c r="C749" s="142"/>
      <c r="D749" s="168"/>
      <c r="E749" s="153"/>
      <c r="F749" s="153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  <c r="AM749" s="142"/>
      <c r="AN749" s="142"/>
      <c r="AO749" s="142"/>
      <c r="AP749" s="143"/>
    </row>
    <row r="750" spans="1:42" ht="13.2" hidden="1">
      <c r="A750" s="143"/>
      <c r="B750" s="143"/>
      <c r="C750" s="142"/>
      <c r="D750" s="168"/>
      <c r="E750" s="153"/>
      <c r="F750" s="153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  <c r="AM750" s="142"/>
      <c r="AN750" s="142"/>
      <c r="AO750" s="142"/>
      <c r="AP750" s="143"/>
    </row>
    <row r="751" spans="1:42" ht="13.2" hidden="1">
      <c r="A751" s="143"/>
      <c r="B751" s="143"/>
      <c r="C751" s="142"/>
      <c r="D751" s="168"/>
      <c r="E751" s="153"/>
      <c r="F751" s="153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  <c r="AM751" s="142"/>
      <c r="AN751" s="142"/>
      <c r="AO751" s="142"/>
      <c r="AP751" s="143"/>
    </row>
    <row r="752" spans="1:42" ht="13.2" hidden="1">
      <c r="A752" s="143"/>
      <c r="B752" s="143"/>
      <c r="C752" s="142"/>
      <c r="D752" s="168"/>
      <c r="E752" s="153"/>
      <c r="F752" s="153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  <c r="AM752" s="142"/>
      <c r="AN752" s="142"/>
      <c r="AO752" s="142"/>
      <c r="AP752" s="143"/>
    </row>
    <row r="753" spans="1:42" ht="13.2" hidden="1">
      <c r="A753" s="143"/>
      <c r="B753" s="143"/>
      <c r="C753" s="142"/>
      <c r="D753" s="168"/>
      <c r="E753" s="153"/>
      <c r="F753" s="153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  <c r="AA753" s="142"/>
      <c r="AB753" s="14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  <c r="AM753" s="142"/>
      <c r="AN753" s="142"/>
      <c r="AO753" s="142"/>
      <c r="AP753" s="143"/>
    </row>
    <row r="754" spans="1:42" ht="13.2" hidden="1">
      <c r="A754" s="143"/>
      <c r="B754" s="143"/>
      <c r="C754" s="142"/>
      <c r="D754" s="168"/>
      <c r="E754" s="153"/>
      <c r="F754" s="153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  <c r="AA754" s="142"/>
      <c r="AB754" s="14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  <c r="AM754" s="142"/>
      <c r="AN754" s="142"/>
      <c r="AO754" s="142"/>
      <c r="AP754" s="143"/>
    </row>
    <row r="755" spans="1:42" ht="13.2" hidden="1">
      <c r="A755" s="143"/>
      <c r="B755" s="143"/>
      <c r="C755" s="142"/>
      <c r="D755" s="168"/>
      <c r="E755" s="153"/>
      <c r="F755" s="153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  <c r="AA755" s="142"/>
      <c r="AB755" s="14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  <c r="AM755" s="142"/>
      <c r="AN755" s="142"/>
      <c r="AO755" s="142"/>
      <c r="AP755" s="143"/>
    </row>
    <row r="756" spans="1:42" ht="13.2" hidden="1">
      <c r="A756" s="143"/>
      <c r="B756" s="143"/>
      <c r="C756" s="142"/>
      <c r="D756" s="168"/>
      <c r="E756" s="153"/>
      <c r="F756" s="153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  <c r="AA756" s="142"/>
      <c r="AB756" s="14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  <c r="AM756" s="142"/>
      <c r="AN756" s="142"/>
      <c r="AO756" s="142"/>
      <c r="AP756" s="143"/>
    </row>
    <row r="757" spans="1:42" ht="13.2" hidden="1">
      <c r="A757" s="143"/>
      <c r="B757" s="143"/>
      <c r="C757" s="142"/>
      <c r="D757" s="168"/>
      <c r="E757" s="153"/>
      <c r="F757" s="153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  <c r="AA757" s="142"/>
      <c r="AB757" s="14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  <c r="AM757" s="142"/>
      <c r="AN757" s="142"/>
      <c r="AO757" s="142"/>
      <c r="AP757" s="143"/>
    </row>
    <row r="758" spans="1:42" ht="13.2" hidden="1">
      <c r="A758" s="143"/>
      <c r="B758" s="143"/>
      <c r="C758" s="142"/>
      <c r="D758" s="168"/>
      <c r="E758" s="153"/>
      <c r="F758" s="153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  <c r="AA758" s="142"/>
      <c r="AB758" s="14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  <c r="AM758" s="142"/>
      <c r="AN758" s="142"/>
      <c r="AO758" s="142"/>
      <c r="AP758" s="143"/>
    </row>
    <row r="759" spans="1:42" ht="13.2" hidden="1">
      <c r="A759" s="143"/>
      <c r="B759" s="143"/>
      <c r="C759" s="142"/>
      <c r="D759" s="168"/>
      <c r="E759" s="153"/>
      <c r="F759" s="153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  <c r="AA759" s="142"/>
      <c r="AB759" s="14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  <c r="AM759" s="142"/>
      <c r="AN759" s="142"/>
      <c r="AO759" s="142"/>
      <c r="AP759" s="143"/>
    </row>
    <row r="760" spans="1:42" ht="13.2" hidden="1">
      <c r="A760" s="143"/>
      <c r="B760" s="143"/>
      <c r="C760" s="142"/>
      <c r="D760" s="168"/>
      <c r="E760" s="153"/>
      <c r="F760" s="153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  <c r="AA760" s="142"/>
      <c r="AB760" s="14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  <c r="AM760" s="142"/>
      <c r="AN760" s="142"/>
      <c r="AO760" s="142"/>
      <c r="AP760" s="143"/>
    </row>
    <row r="761" spans="1:42" ht="13.2" hidden="1">
      <c r="A761" s="143"/>
      <c r="B761" s="143"/>
      <c r="C761" s="142"/>
      <c r="D761" s="168"/>
      <c r="E761" s="153"/>
      <c r="F761" s="153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  <c r="AA761" s="142"/>
      <c r="AB761" s="14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  <c r="AM761" s="142"/>
      <c r="AN761" s="142"/>
      <c r="AO761" s="142"/>
      <c r="AP761" s="143"/>
    </row>
    <row r="762" spans="1:42" ht="13.2" hidden="1">
      <c r="A762" s="143"/>
      <c r="B762" s="143"/>
      <c r="C762" s="142"/>
      <c r="D762" s="168"/>
      <c r="E762" s="153"/>
      <c r="F762" s="153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  <c r="AA762" s="142"/>
      <c r="AB762" s="14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  <c r="AM762" s="142"/>
      <c r="AN762" s="142"/>
      <c r="AO762" s="142"/>
      <c r="AP762" s="143"/>
    </row>
    <row r="763" spans="1:42" ht="13.2" hidden="1">
      <c r="A763" s="143"/>
      <c r="B763" s="143"/>
      <c r="C763" s="142"/>
      <c r="D763" s="168"/>
      <c r="E763" s="153"/>
      <c r="F763" s="153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  <c r="AA763" s="142"/>
      <c r="AB763" s="14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  <c r="AM763" s="142"/>
      <c r="AN763" s="142"/>
      <c r="AO763" s="142"/>
      <c r="AP763" s="143"/>
    </row>
    <row r="764" spans="1:42" ht="13.2" hidden="1">
      <c r="A764" s="143"/>
      <c r="B764" s="143"/>
      <c r="C764" s="142"/>
      <c r="D764" s="168"/>
      <c r="E764" s="153"/>
      <c r="F764" s="153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  <c r="AA764" s="142"/>
      <c r="AB764" s="14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  <c r="AM764" s="142"/>
      <c r="AN764" s="142"/>
      <c r="AO764" s="142"/>
      <c r="AP764" s="143"/>
    </row>
    <row r="765" spans="1:42" ht="13.2" hidden="1">
      <c r="A765" s="143"/>
      <c r="B765" s="143"/>
      <c r="C765" s="142"/>
      <c r="D765" s="168"/>
      <c r="E765" s="153"/>
      <c r="F765" s="153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  <c r="AA765" s="142"/>
      <c r="AB765" s="14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  <c r="AM765" s="142"/>
      <c r="AN765" s="142"/>
      <c r="AO765" s="142"/>
      <c r="AP765" s="143"/>
    </row>
    <row r="766" spans="1:42" ht="13.2" hidden="1">
      <c r="A766" s="143"/>
      <c r="B766" s="143"/>
      <c r="C766" s="142"/>
      <c r="D766" s="168"/>
      <c r="E766" s="153"/>
      <c r="F766" s="153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  <c r="AA766" s="142"/>
      <c r="AB766" s="14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  <c r="AM766" s="142"/>
      <c r="AN766" s="142"/>
      <c r="AO766" s="142"/>
      <c r="AP766" s="143"/>
    </row>
    <row r="767" spans="1:42" ht="13.2" hidden="1">
      <c r="A767" s="143"/>
      <c r="B767" s="143"/>
      <c r="C767" s="142"/>
      <c r="D767" s="168"/>
      <c r="E767" s="153"/>
      <c r="F767" s="153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  <c r="AA767" s="142"/>
      <c r="AB767" s="14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  <c r="AM767" s="142"/>
      <c r="AN767" s="142"/>
      <c r="AO767" s="142"/>
      <c r="AP767" s="143"/>
    </row>
    <row r="768" spans="1:42" ht="13.2" hidden="1">
      <c r="A768" s="143"/>
      <c r="B768" s="143"/>
      <c r="C768" s="142"/>
      <c r="D768" s="168"/>
      <c r="E768" s="153"/>
      <c r="F768" s="153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  <c r="AA768" s="142"/>
      <c r="AB768" s="14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  <c r="AM768" s="142"/>
      <c r="AN768" s="142"/>
      <c r="AO768" s="142"/>
      <c r="AP768" s="143"/>
    </row>
    <row r="769" spans="1:42" ht="13.2" hidden="1">
      <c r="A769" s="143"/>
      <c r="B769" s="143"/>
      <c r="C769" s="142"/>
      <c r="D769" s="168"/>
      <c r="E769" s="153"/>
      <c r="F769" s="153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  <c r="AA769" s="142"/>
      <c r="AB769" s="14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  <c r="AM769" s="142"/>
      <c r="AN769" s="142"/>
      <c r="AO769" s="142"/>
      <c r="AP769" s="143"/>
    </row>
    <row r="770" spans="1:42" ht="13.2" hidden="1">
      <c r="A770" s="143"/>
      <c r="B770" s="143"/>
      <c r="C770" s="142"/>
      <c r="D770" s="168"/>
      <c r="E770" s="153"/>
      <c r="F770" s="153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  <c r="AA770" s="142"/>
      <c r="AB770" s="14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  <c r="AM770" s="142"/>
      <c r="AN770" s="142"/>
      <c r="AO770" s="142"/>
      <c r="AP770" s="143"/>
    </row>
    <row r="771" spans="1:42" ht="13.2" hidden="1">
      <c r="A771" s="143"/>
      <c r="B771" s="143"/>
      <c r="C771" s="142"/>
      <c r="D771" s="168"/>
      <c r="E771" s="153"/>
      <c r="F771" s="153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  <c r="AA771" s="142"/>
      <c r="AB771" s="14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  <c r="AM771" s="142"/>
      <c r="AN771" s="142"/>
      <c r="AO771" s="142"/>
      <c r="AP771" s="143"/>
    </row>
    <row r="772" spans="1:42" ht="13.2" hidden="1">
      <c r="A772" s="143"/>
      <c r="B772" s="143"/>
      <c r="C772" s="142"/>
      <c r="D772" s="168"/>
      <c r="E772" s="153"/>
      <c r="F772" s="153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  <c r="AA772" s="142"/>
      <c r="AB772" s="14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  <c r="AM772" s="142"/>
      <c r="AN772" s="142"/>
      <c r="AO772" s="142"/>
      <c r="AP772" s="143"/>
    </row>
    <row r="773" spans="1:42" ht="13.2" hidden="1">
      <c r="A773" s="143"/>
      <c r="B773" s="143"/>
      <c r="C773" s="142"/>
      <c r="D773" s="168"/>
      <c r="E773" s="153"/>
      <c r="F773" s="153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  <c r="AA773" s="142"/>
      <c r="AB773" s="14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  <c r="AM773" s="142"/>
      <c r="AN773" s="142"/>
      <c r="AO773" s="142"/>
      <c r="AP773" s="143"/>
    </row>
    <row r="774" spans="1:42" ht="13.2" hidden="1">
      <c r="A774" s="143"/>
      <c r="B774" s="143"/>
      <c r="C774" s="142"/>
      <c r="D774" s="168"/>
      <c r="E774" s="153"/>
      <c r="F774" s="153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  <c r="AA774" s="142"/>
      <c r="AB774" s="14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  <c r="AM774" s="142"/>
      <c r="AN774" s="142"/>
      <c r="AO774" s="142"/>
      <c r="AP774" s="143"/>
    </row>
    <row r="775" spans="1:42" ht="13.2" hidden="1">
      <c r="A775" s="143"/>
      <c r="B775" s="143"/>
      <c r="C775" s="142"/>
      <c r="D775" s="168"/>
      <c r="E775" s="153"/>
      <c r="F775" s="153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  <c r="AA775" s="142"/>
      <c r="AB775" s="14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  <c r="AM775" s="142"/>
      <c r="AN775" s="142"/>
      <c r="AO775" s="142"/>
      <c r="AP775" s="143"/>
    </row>
    <row r="776" spans="1:42" ht="13.2" hidden="1">
      <c r="A776" s="143"/>
      <c r="B776" s="143"/>
      <c r="C776" s="142"/>
      <c r="D776" s="168"/>
      <c r="E776" s="153"/>
      <c r="F776" s="153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  <c r="AA776" s="142"/>
      <c r="AB776" s="14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  <c r="AM776" s="142"/>
      <c r="AN776" s="142"/>
      <c r="AO776" s="142"/>
      <c r="AP776" s="143"/>
    </row>
    <row r="777" spans="1:42" ht="13.2" hidden="1">
      <c r="A777" s="143"/>
      <c r="B777" s="143"/>
      <c r="C777" s="142"/>
      <c r="D777" s="168"/>
      <c r="E777" s="153"/>
      <c r="F777" s="153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  <c r="AA777" s="142"/>
      <c r="AB777" s="14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  <c r="AM777" s="142"/>
      <c r="AN777" s="142"/>
      <c r="AO777" s="142"/>
      <c r="AP777" s="143"/>
    </row>
    <row r="778" spans="1:42" ht="13.2" hidden="1">
      <c r="A778" s="143"/>
      <c r="B778" s="143"/>
      <c r="C778" s="142"/>
      <c r="D778" s="168"/>
      <c r="E778" s="153"/>
      <c r="F778" s="153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  <c r="AA778" s="142"/>
      <c r="AB778" s="14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  <c r="AM778" s="142"/>
      <c r="AN778" s="142"/>
      <c r="AO778" s="142"/>
      <c r="AP778" s="143"/>
    </row>
    <row r="779" spans="1:42" ht="13.2" hidden="1">
      <c r="A779" s="143"/>
      <c r="B779" s="143"/>
      <c r="C779" s="142"/>
      <c r="D779" s="168"/>
      <c r="E779" s="153"/>
      <c r="F779" s="153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  <c r="AA779" s="142"/>
      <c r="AB779" s="14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  <c r="AM779" s="142"/>
      <c r="AN779" s="142"/>
      <c r="AO779" s="142"/>
      <c r="AP779" s="143"/>
    </row>
    <row r="780" spans="1:42" ht="13.2" hidden="1">
      <c r="A780" s="143"/>
      <c r="B780" s="143"/>
      <c r="C780" s="142"/>
      <c r="D780" s="168"/>
      <c r="E780" s="153"/>
      <c r="F780" s="153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  <c r="AA780" s="142"/>
      <c r="AB780" s="14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  <c r="AM780" s="142"/>
      <c r="AN780" s="142"/>
      <c r="AO780" s="142"/>
      <c r="AP780" s="143"/>
    </row>
    <row r="781" spans="1:42" ht="13.2" hidden="1">
      <c r="A781" s="143"/>
      <c r="B781" s="143"/>
      <c r="C781" s="142"/>
      <c r="D781" s="168"/>
      <c r="E781" s="153"/>
      <c r="F781" s="153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  <c r="AA781" s="142"/>
      <c r="AB781" s="14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  <c r="AM781" s="142"/>
      <c r="AN781" s="142"/>
      <c r="AO781" s="142"/>
      <c r="AP781" s="143"/>
    </row>
    <row r="782" spans="1:42" ht="13.2" hidden="1">
      <c r="A782" s="143"/>
      <c r="B782" s="143"/>
      <c r="C782" s="142"/>
      <c r="D782" s="168"/>
      <c r="E782" s="153"/>
      <c r="F782" s="153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  <c r="AA782" s="142"/>
      <c r="AB782" s="14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  <c r="AM782" s="142"/>
      <c r="AN782" s="142"/>
      <c r="AO782" s="142"/>
      <c r="AP782" s="143"/>
    </row>
    <row r="783" spans="1:42" ht="13.2" hidden="1">
      <c r="A783" s="143"/>
      <c r="B783" s="143"/>
      <c r="C783" s="142"/>
      <c r="D783" s="168"/>
      <c r="E783" s="153"/>
      <c r="F783" s="153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  <c r="AA783" s="142"/>
      <c r="AB783" s="14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  <c r="AM783" s="142"/>
      <c r="AN783" s="142"/>
      <c r="AO783" s="142"/>
      <c r="AP783" s="143"/>
    </row>
    <row r="784" spans="1:42" ht="13.2" hidden="1">
      <c r="A784" s="143"/>
      <c r="B784" s="143"/>
      <c r="C784" s="142"/>
      <c r="D784" s="168"/>
      <c r="E784" s="153"/>
      <c r="F784" s="153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  <c r="AA784" s="142"/>
      <c r="AB784" s="14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  <c r="AM784" s="142"/>
      <c r="AN784" s="142"/>
      <c r="AO784" s="142"/>
      <c r="AP784" s="143"/>
    </row>
    <row r="785" spans="1:42" ht="13.2" hidden="1">
      <c r="A785" s="143"/>
      <c r="B785" s="143"/>
      <c r="C785" s="142"/>
      <c r="D785" s="168"/>
      <c r="E785" s="153"/>
      <c r="F785" s="153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  <c r="AA785" s="142"/>
      <c r="AB785" s="14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  <c r="AM785" s="142"/>
      <c r="AN785" s="142"/>
      <c r="AO785" s="142"/>
      <c r="AP785" s="143"/>
    </row>
    <row r="786" spans="1:42" ht="13.2" hidden="1">
      <c r="A786" s="143"/>
      <c r="B786" s="143"/>
      <c r="C786" s="142"/>
      <c r="D786" s="168"/>
      <c r="E786" s="153"/>
      <c r="F786" s="153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  <c r="AA786" s="142"/>
      <c r="AB786" s="14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  <c r="AM786" s="142"/>
      <c r="AN786" s="142"/>
      <c r="AO786" s="142"/>
      <c r="AP786" s="143"/>
    </row>
    <row r="787" spans="1:42" ht="13.2" hidden="1">
      <c r="A787" s="143"/>
      <c r="B787" s="143"/>
      <c r="C787" s="142"/>
      <c r="D787" s="168"/>
      <c r="E787" s="153"/>
      <c r="F787" s="153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  <c r="AA787" s="142"/>
      <c r="AB787" s="14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  <c r="AM787" s="142"/>
      <c r="AN787" s="142"/>
      <c r="AO787" s="142"/>
      <c r="AP787" s="143"/>
    </row>
    <row r="788" spans="1:42" ht="13.2" hidden="1">
      <c r="A788" s="143"/>
      <c r="B788" s="143"/>
      <c r="C788" s="142"/>
      <c r="D788" s="168"/>
      <c r="E788" s="153"/>
      <c r="F788" s="153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  <c r="AA788" s="142"/>
      <c r="AB788" s="14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  <c r="AM788" s="142"/>
      <c r="AN788" s="142"/>
      <c r="AO788" s="142"/>
      <c r="AP788" s="143"/>
    </row>
    <row r="789" spans="1:42" ht="13.2" hidden="1">
      <c r="A789" s="143"/>
      <c r="B789" s="143"/>
      <c r="C789" s="142"/>
      <c r="D789" s="168"/>
      <c r="E789" s="153"/>
      <c r="F789" s="153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  <c r="AA789" s="142"/>
      <c r="AB789" s="14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  <c r="AM789" s="142"/>
      <c r="AN789" s="142"/>
      <c r="AO789" s="142"/>
      <c r="AP789" s="143"/>
    </row>
    <row r="790" spans="1:42" ht="13.2" hidden="1">
      <c r="A790" s="143"/>
      <c r="B790" s="143"/>
      <c r="C790" s="142"/>
      <c r="D790" s="168"/>
      <c r="E790" s="153"/>
      <c r="F790" s="153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  <c r="AA790" s="142"/>
      <c r="AB790" s="14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  <c r="AM790" s="142"/>
      <c r="AN790" s="142"/>
      <c r="AO790" s="142"/>
      <c r="AP790" s="143"/>
    </row>
    <row r="791" spans="1:42" ht="13.2" hidden="1">
      <c r="A791" s="143"/>
      <c r="B791" s="143"/>
      <c r="C791" s="142"/>
      <c r="D791" s="168"/>
      <c r="E791" s="153"/>
      <c r="F791" s="153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  <c r="AA791" s="142"/>
      <c r="AB791" s="14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  <c r="AM791" s="142"/>
      <c r="AN791" s="142"/>
      <c r="AO791" s="142"/>
      <c r="AP791" s="143"/>
    </row>
    <row r="792" spans="1:42" ht="13.2" hidden="1">
      <c r="A792" s="143"/>
      <c r="B792" s="143"/>
      <c r="C792" s="142"/>
      <c r="D792" s="168"/>
      <c r="E792" s="153"/>
      <c r="F792" s="153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  <c r="AA792" s="142"/>
      <c r="AB792" s="14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  <c r="AM792" s="142"/>
      <c r="AN792" s="142"/>
      <c r="AO792" s="142"/>
      <c r="AP792" s="143"/>
    </row>
    <row r="793" spans="1:42" ht="13.2" hidden="1">
      <c r="A793" s="143"/>
      <c r="B793" s="143"/>
      <c r="C793" s="142"/>
      <c r="D793" s="168"/>
      <c r="E793" s="153"/>
      <c r="F793" s="153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  <c r="AA793" s="142"/>
      <c r="AB793" s="14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  <c r="AM793" s="142"/>
      <c r="AN793" s="142"/>
      <c r="AO793" s="142"/>
      <c r="AP793" s="143"/>
    </row>
    <row r="794" spans="1:42" ht="13.2" hidden="1">
      <c r="A794" s="143"/>
      <c r="B794" s="143"/>
      <c r="C794" s="142"/>
      <c r="D794" s="168"/>
      <c r="E794" s="153"/>
      <c r="F794" s="153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  <c r="AA794" s="142"/>
      <c r="AB794" s="14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  <c r="AM794" s="142"/>
      <c r="AN794" s="142"/>
      <c r="AO794" s="142"/>
      <c r="AP794" s="143"/>
    </row>
    <row r="795" spans="1:42" ht="13.2" hidden="1">
      <c r="A795" s="143"/>
      <c r="B795" s="143"/>
      <c r="C795" s="142"/>
      <c r="D795" s="168"/>
      <c r="E795" s="153"/>
      <c r="F795" s="153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  <c r="AA795" s="142"/>
      <c r="AB795" s="14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  <c r="AM795" s="142"/>
      <c r="AN795" s="142"/>
      <c r="AO795" s="142"/>
      <c r="AP795" s="143"/>
    </row>
    <row r="796" spans="1:42" ht="13.2" hidden="1">
      <c r="A796" s="143"/>
      <c r="B796" s="143"/>
      <c r="C796" s="142"/>
      <c r="D796" s="168"/>
      <c r="E796" s="153"/>
      <c r="F796" s="153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  <c r="AA796" s="142"/>
      <c r="AB796" s="14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  <c r="AM796" s="142"/>
      <c r="AN796" s="142"/>
      <c r="AO796" s="142"/>
      <c r="AP796" s="143"/>
    </row>
    <row r="797" spans="1:42" ht="13.2" hidden="1">
      <c r="A797" s="143"/>
      <c r="B797" s="143"/>
      <c r="C797" s="142"/>
      <c r="D797" s="168"/>
      <c r="E797" s="153"/>
      <c r="F797" s="153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  <c r="AA797" s="142"/>
      <c r="AB797" s="14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  <c r="AM797" s="142"/>
      <c r="AN797" s="142"/>
      <c r="AO797" s="142"/>
      <c r="AP797" s="143"/>
    </row>
    <row r="798" spans="1:42" ht="13.2" hidden="1">
      <c r="A798" s="143"/>
      <c r="B798" s="143"/>
      <c r="C798" s="142"/>
      <c r="D798" s="168"/>
      <c r="E798" s="153"/>
      <c r="F798" s="153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  <c r="AA798" s="142"/>
      <c r="AB798" s="14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  <c r="AM798" s="142"/>
      <c r="AN798" s="142"/>
      <c r="AO798" s="142"/>
      <c r="AP798" s="143"/>
    </row>
    <row r="799" spans="1:42" ht="13.2" hidden="1">
      <c r="A799" s="143"/>
      <c r="B799" s="143"/>
      <c r="C799" s="142"/>
      <c r="D799" s="168"/>
      <c r="E799" s="153"/>
      <c r="F799" s="153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  <c r="AA799" s="142"/>
      <c r="AB799" s="14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  <c r="AM799" s="142"/>
      <c r="AN799" s="142"/>
      <c r="AO799" s="142"/>
      <c r="AP799" s="143"/>
    </row>
    <row r="800" spans="1:42" ht="13.2" hidden="1">
      <c r="A800" s="143"/>
      <c r="B800" s="143"/>
      <c r="C800" s="142"/>
      <c r="D800" s="168"/>
      <c r="E800" s="153"/>
      <c r="F800" s="153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  <c r="AA800" s="142"/>
      <c r="AB800" s="14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  <c r="AM800" s="142"/>
      <c r="AN800" s="142"/>
      <c r="AO800" s="142"/>
      <c r="AP800" s="143"/>
    </row>
    <row r="801" spans="1:42" ht="13.2" hidden="1">
      <c r="A801" s="143"/>
      <c r="B801" s="143"/>
      <c r="C801" s="142"/>
      <c r="D801" s="168"/>
      <c r="E801" s="153"/>
      <c r="F801" s="153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  <c r="AA801" s="142"/>
      <c r="AB801" s="14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  <c r="AM801" s="142"/>
      <c r="AN801" s="142"/>
      <c r="AO801" s="142"/>
      <c r="AP801" s="143"/>
    </row>
    <row r="802" spans="1:42" ht="13.2" hidden="1">
      <c r="A802" s="143"/>
      <c r="B802" s="143"/>
      <c r="C802" s="142"/>
      <c r="D802" s="168"/>
      <c r="E802" s="153"/>
      <c r="F802" s="153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  <c r="AA802" s="142"/>
      <c r="AB802" s="14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  <c r="AM802" s="142"/>
      <c r="AN802" s="142"/>
      <c r="AO802" s="142"/>
      <c r="AP802" s="143"/>
    </row>
    <row r="803" spans="1:42" ht="13.2" hidden="1">
      <c r="A803" s="143"/>
      <c r="B803" s="143"/>
      <c r="C803" s="142"/>
      <c r="D803" s="168"/>
      <c r="E803" s="153"/>
      <c r="F803" s="153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  <c r="AA803" s="142"/>
      <c r="AB803" s="14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  <c r="AM803" s="142"/>
      <c r="AN803" s="142"/>
      <c r="AO803" s="142"/>
      <c r="AP803" s="143"/>
    </row>
    <row r="804" spans="1:42" ht="13.2" hidden="1">
      <c r="A804" s="143"/>
      <c r="B804" s="143"/>
      <c r="C804" s="142"/>
      <c r="D804" s="168"/>
      <c r="E804" s="153"/>
      <c r="F804" s="153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  <c r="AA804" s="142"/>
      <c r="AB804" s="14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  <c r="AM804" s="142"/>
      <c r="AN804" s="142"/>
      <c r="AO804" s="142"/>
      <c r="AP804" s="143"/>
    </row>
    <row r="805" spans="1:42" ht="13.2" hidden="1">
      <c r="A805" s="143"/>
      <c r="B805" s="143"/>
      <c r="C805" s="142"/>
      <c r="D805" s="168"/>
      <c r="E805" s="153"/>
      <c r="F805" s="153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  <c r="AA805" s="142"/>
      <c r="AB805" s="14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  <c r="AM805" s="142"/>
      <c r="AN805" s="142"/>
      <c r="AO805" s="142"/>
      <c r="AP805" s="143"/>
    </row>
    <row r="806" spans="1:42" ht="13.2" hidden="1">
      <c r="A806" s="143"/>
      <c r="B806" s="143"/>
      <c r="C806" s="142"/>
      <c r="D806" s="168"/>
      <c r="E806" s="153"/>
      <c r="F806" s="153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  <c r="AA806" s="142"/>
      <c r="AB806" s="14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  <c r="AM806" s="142"/>
      <c r="AN806" s="142"/>
      <c r="AO806" s="142"/>
      <c r="AP806" s="143"/>
    </row>
    <row r="807" spans="1:42" ht="13.2" hidden="1">
      <c r="A807" s="143"/>
      <c r="B807" s="143"/>
      <c r="C807" s="142"/>
      <c r="D807" s="168"/>
      <c r="E807" s="153"/>
      <c r="F807" s="153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  <c r="AA807" s="142"/>
      <c r="AB807" s="14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  <c r="AM807" s="142"/>
      <c r="AN807" s="142"/>
      <c r="AO807" s="142"/>
      <c r="AP807" s="143"/>
    </row>
    <row r="808" spans="1:42" ht="13.2" hidden="1">
      <c r="A808" s="143"/>
      <c r="B808" s="143"/>
      <c r="C808" s="142"/>
      <c r="D808" s="168"/>
      <c r="E808" s="153"/>
      <c r="F808" s="153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  <c r="AA808" s="142"/>
      <c r="AB808" s="14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  <c r="AM808" s="142"/>
      <c r="AN808" s="142"/>
      <c r="AO808" s="142"/>
      <c r="AP808" s="143"/>
    </row>
    <row r="809" spans="1:42" ht="13.2" hidden="1">
      <c r="A809" s="143"/>
      <c r="B809" s="143"/>
      <c r="C809" s="142"/>
      <c r="D809" s="168"/>
      <c r="E809" s="153"/>
      <c r="F809" s="153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  <c r="AA809" s="142"/>
      <c r="AB809" s="14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  <c r="AM809" s="142"/>
      <c r="AN809" s="142"/>
      <c r="AO809" s="142"/>
      <c r="AP809" s="143"/>
    </row>
    <row r="810" spans="1:42" ht="13.2" hidden="1">
      <c r="A810" s="143"/>
      <c r="B810" s="143"/>
      <c r="C810" s="142"/>
      <c r="D810" s="168"/>
      <c r="E810" s="153"/>
      <c r="F810" s="153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  <c r="AA810" s="142"/>
      <c r="AB810" s="14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  <c r="AM810" s="142"/>
      <c r="AN810" s="142"/>
      <c r="AO810" s="142"/>
      <c r="AP810" s="143"/>
    </row>
    <row r="811" spans="1:42" ht="13.2" hidden="1">
      <c r="A811" s="143"/>
      <c r="B811" s="143"/>
      <c r="C811" s="142"/>
      <c r="D811" s="168"/>
      <c r="E811" s="153"/>
      <c r="F811" s="153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  <c r="AA811" s="142"/>
      <c r="AB811" s="14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  <c r="AM811" s="142"/>
      <c r="AN811" s="142"/>
      <c r="AO811" s="142"/>
      <c r="AP811" s="143"/>
    </row>
    <row r="812" spans="1:42" ht="13.2" hidden="1">
      <c r="A812" s="143"/>
      <c r="B812" s="143"/>
      <c r="C812" s="142"/>
      <c r="D812" s="168"/>
      <c r="E812" s="153"/>
      <c r="F812" s="153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  <c r="AA812" s="142"/>
      <c r="AB812" s="14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  <c r="AM812" s="142"/>
      <c r="AN812" s="142"/>
      <c r="AO812" s="142"/>
      <c r="AP812" s="143"/>
    </row>
    <row r="813" spans="1:42" ht="13.2" hidden="1">
      <c r="A813" s="143"/>
      <c r="B813" s="143"/>
      <c r="C813" s="142"/>
      <c r="D813" s="168"/>
      <c r="E813" s="153"/>
      <c r="F813" s="153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  <c r="AA813" s="142"/>
      <c r="AB813" s="14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  <c r="AM813" s="142"/>
      <c r="AN813" s="142"/>
      <c r="AO813" s="142"/>
      <c r="AP813" s="143"/>
    </row>
    <row r="814" spans="1:42" ht="13.2" hidden="1">
      <c r="A814" s="143"/>
      <c r="B814" s="143"/>
      <c r="C814" s="142"/>
      <c r="D814" s="168"/>
      <c r="E814" s="153"/>
      <c r="F814" s="153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  <c r="AA814" s="142"/>
      <c r="AB814" s="14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  <c r="AM814" s="142"/>
      <c r="AN814" s="142"/>
      <c r="AO814" s="142"/>
      <c r="AP814" s="143"/>
    </row>
    <row r="815" spans="1:42" ht="13.2" hidden="1">
      <c r="A815" s="143"/>
      <c r="B815" s="143"/>
      <c r="C815" s="142"/>
      <c r="D815" s="168"/>
      <c r="E815" s="153"/>
      <c r="F815" s="153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  <c r="AA815" s="142"/>
      <c r="AB815" s="14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  <c r="AM815" s="142"/>
      <c r="AN815" s="142"/>
      <c r="AO815" s="142"/>
      <c r="AP815" s="143"/>
    </row>
    <row r="816" spans="1:42" ht="13.2" hidden="1">
      <c r="A816" s="143"/>
      <c r="B816" s="143"/>
      <c r="C816" s="142"/>
      <c r="D816" s="168"/>
      <c r="E816" s="153"/>
      <c r="F816" s="153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  <c r="AA816" s="142"/>
      <c r="AB816" s="14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  <c r="AM816" s="142"/>
      <c r="AN816" s="142"/>
      <c r="AO816" s="142"/>
      <c r="AP816" s="143"/>
    </row>
    <row r="817" spans="1:42" ht="13.2" hidden="1">
      <c r="A817" s="143"/>
      <c r="B817" s="143"/>
      <c r="C817" s="142"/>
      <c r="D817" s="168"/>
      <c r="E817" s="153"/>
      <c r="F817" s="153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  <c r="AA817" s="142"/>
      <c r="AB817" s="14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  <c r="AM817" s="142"/>
      <c r="AN817" s="142"/>
      <c r="AO817" s="142"/>
      <c r="AP817" s="143"/>
    </row>
    <row r="818" spans="1:42" ht="13.2" hidden="1">
      <c r="A818" s="143"/>
      <c r="B818" s="143"/>
      <c r="C818" s="142"/>
      <c r="D818" s="168"/>
      <c r="E818" s="153"/>
      <c r="F818" s="153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  <c r="AA818" s="142"/>
      <c r="AB818" s="14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  <c r="AM818" s="142"/>
      <c r="AN818" s="142"/>
      <c r="AO818" s="142"/>
      <c r="AP818" s="143"/>
    </row>
    <row r="819" spans="1:42" ht="13.2" hidden="1">
      <c r="A819" s="143"/>
      <c r="B819" s="143"/>
      <c r="C819" s="142"/>
      <c r="D819" s="168"/>
      <c r="E819" s="153"/>
      <c r="F819" s="153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  <c r="AA819" s="142"/>
      <c r="AB819" s="14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  <c r="AM819" s="142"/>
      <c r="AN819" s="142"/>
      <c r="AO819" s="142"/>
      <c r="AP819" s="143"/>
    </row>
    <row r="820" spans="1:42" ht="13.2" hidden="1">
      <c r="A820" s="143"/>
      <c r="B820" s="143"/>
      <c r="C820" s="142"/>
      <c r="D820" s="168"/>
      <c r="E820" s="153"/>
      <c r="F820" s="153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  <c r="AA820" s="142"/>
      <c r="AB820" s="14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  <c r="AM820" s="142"/>
      <c r="AN820" s="142"/>
      <c r="AO820" s="142"/>
      <c r="AP820" s="143"/>
    </row>
    <row r="821" spans="1:42" ht="13.2" hidden="1">
      <c r="A821" s="143"/>
      <c r="B821" s="143"/>
      <c r="C821" s="142"/>
      <c r="D821" s="168"/>
      <c r="E821" s="153"/>
      <c r="F821" s="153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  <c r="AA821" s="142"/>
      <c r="AB821" s="14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  <c r="AM821" s="142"/>
      <c r="AN821" s="142"/>
      <c r="AO821" s="142"/>
      <c r="AP821" s="143"/>
    </row>
    <row r="822" spans="1:42" ht="13.2" hidden="1">
      <c r="A822" s="143"/>
      <c r="B822" s="143"/>
      <c r="C822" s="142"/>
      <c r="D822" s="168"/>
      <c r="E822" s="153"/>
      <c r="F822" s="153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  <c r="AA822" s="142"/>
      <c r="AB822" s="14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  <c r="AM822" s="142"/>
      <c r="AN822" s="142"/>
      <c r="AO822" s="142"/>
      <c r="AP822" s="143"/>
    </row>
    <row r="823" spans="1:42" ht="13.2" hidden="1">
      <c r="A823" s="143"/>
      <c r="B823" s="143"/>
      <c r="C823" s="142"/>
      <c r="D823" s="168"/>
      <c r="E823" s="153"/>
      <c r="F823" s="153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  <c r="AA823" s="142"/>
      <c r="AB823" s="14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  <c r="AM823" s="142"/>
      <c r="AN823" s="142"/>
      <c r="AO823" s="142"/>
      <c r="AP823" s="143"/>
    </row>
    <row r="824" spans="1:42" ht="13.2" hidden="1">
      <c r="A824" s="143"/>
      <c r="B824" s="143"/>
      <c r="C824" s="142"/>
      <c r="D824" s="168"/>
      <c r="E824" s="153"/>
      <c r="F824" s="153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  <c r="AA824" s="142"/>
      <c r="AB824" s="14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  <c r="AM824" s="142"/>
      <c r="AN824" s="142"/>
      <c r="AO824" s="142"/>
      <c r="AP824" s="143"/>
    </row>
    <row r="825" spans="1:42" ht="13.2" hidden="1">
      <c r="A825" s="143"/>
      <c r="B825" s="143"/>
      <c r="C825" s="142"/>
      <c r="D825" s="168"/>
      <c r="E825" s="153"/>
      <c r="F825" s="153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  <c r="AA825" s="142"/>
      <c r="AB825" s="14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  <c r="AM825" s="142"/>
      <c r="AN825" s="142"/>
      <c r="AO825" s="142"/>
      <c r="AP825" s="143"/>
    </row>
    <row r="826" spans="1:42" ht="13.2" hidden="1">
      <c r="A826" s="143"/>
      <c r="B826" s="143"/>
      <c r="C826" s="142"/>
      <c r="D826" s="168"/>
      <c r="E826" s="153"/>
      <c r="F826" s="153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  <c r="AA826" s="142"/>
      <c r="AB826" s="14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  <c r="AM826" s="142"/>
      <c r="AN826" s="142"/>
      <c r="AO826" s="142"/>
      <c r="AP826" s="143"/>
    </row>
    <row r="827" spans="1:42" ht="13.2" hidden="1">
      <c r="A827" s="143"/>
      <c r="B827" s="143"/>
      <c r="C827" s="142"/>
      <c r="D827" s="168"/>
      <c r="E827" s="153"/>
      <c r="F827" s="153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  <c r="AA827" s="142"/>
      <c r="AB827" s="14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  <c r="AM827" s="142"/>
      <c r="AN827" s="142"/>
      <c r="AO827" s="142"/>
      <c r="AP827" s="143"/>
    </row>
    <row r="828" spans="1:42" ht="13.2" hidden="1">
      <c r="A828" s="143"/>
      <c r="B828" s="143"/>
      <c r="C828" s="142"/>
      <c r="D828" s="168"/>
      <c r="E828" s="153"/>
      <c r="F828" s="153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  <c r="AA828" s="142"/>
      <c r="AB828" s="14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  <c r="AM828" s="142"/>
      <c r="AN828" s="142"/>
      <c r="AO828" s="142"/>
      <c r="AP828" s="143"/>
    </row>
    <row r="829" spans="1:42" ht="13.2" hidden="1">
      <c r="A829" s="143"/>
      <c r="B829" s="143"/>
      <c r="C829" s="142"/>
      <c r="D829" s="168"/>
      <c r="E829" s="153"/>
      <c r="F829" s="153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  <c r="AA829" s="142"/>
      <c r="AB829" s="14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  <c r="AM829" s="142"/>
      <c r="AN829" s="142"/>
      <c r="AO829" s="142"/>
      <c r="AP829" s="143"/>
    </row>
    <row r="830" spans="1:42" ht="13.2" hidden="1">
      <c r="A830" s="143"/>
      <c r="B830" s="143"/>
      <c r="C830" s="142"/>
      <c r="D830" s="168"/>
      <c r="E830" s="153"/>
      <c r="F830" s="153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  <c r="AA830" s="142"/>
      <c r="AB830" s="14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  <c r="AM830" s="142"/>
      <c r="AN830" s="142"/>
      <c r="AO830" s="142"/>
      <c r="AP830" s="143"/>
    </row>
    <row r="831" spans="1:42" ht="13.2" hidden="1">
      <c r="A831" s="143"/>
      <c r="B831" s="143"/>
      <c r="C831" s="142"/>
      <c r="D831" s="168"/>
      <c r="E831" s="153"/>
      <c r="F831" s="153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  <c r="AA831" s="142"/>
      <c r="AB831" s="14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  <c r="AM831" s="142"/>
      <c r="AN831" s="142"/>
      <c r="AO831" s="142"/>
      <c r="AP831" s="143"/>
    </row>
    <row r="832" spans="1:42" ht="13.2" hidden="1">
      <c r="A832" s="143"/>
      <c r="B832" s="143"/>
      <c r="C832" s="142"/>
      <c r="D832" s="168"/>
      <c r="E832" s="153"/>
      <c r="F832" s="153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  <c r="AA832" s="142"/>
      <c r="AB832" s="142"/>
      <c r="AC832" s="142"/>
      <c r="AD832" s="142"/>
      <c r="AE832" s="142"/>
      <c r="AF832" s="142"/>
      <c r="AG832" s="142"/>
      <c r="AH832" s="142"/>
      <c r="AI832" s="142"/>
      <c r="AJ832" s="142"/>
      <c r="AK832" s="142"/>
      <c r="AL832" s="142"/>
      <c r="AM832" s="142"/>
      <c r="AN832" s="142"/>
      <c r="AO832" s="142"/>
      <c r="AP832" s="143"/>
    </row>
    <row r="833" spans="1:42" ht="13.2" hidden="1">
      <c r="A833" s="143"/>
      <c r="B833" s="143"/>
      <c r="C833" s="142"/>
      <c r="D833" s="168"/>
      <c r="E833" s="153"/>
      <c r="F833" s="153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  <c r="AA833" s="142"/>
      <c r="AB833" s="142"/>
      <c r="AC833" s="142"/>
      <c r="AD833" s="142"/>
      <c r="AE833" s="142"/>
      <c r="AF833" s="142"/>
      <c r="AG833" s="142"/>
      <c r="AH833" s="142"/>
      <c r="AI833" s="142"/>
      <c r="AJ833" s="142"/>
      <c r="AK833" s="142"/>
      <c r="AL833" s="142"/>
      <c r="AM833" s="142"/>
      <c r="AN833" s="142"/>
      <c r="AO833" s="142"/>
      <c r="AP833" s="143"/>
    </row>
    <row r="834" spans="1:42" ht="13.2" hidden="1">
      <c r="A834" s="143"/>
      <c r="B834" s="143"/>
      <c r="C834" s="142"/>
      <c r="D834" s="168"/>
      <c r="E834" s="153"/>
      <c r="F834" s="153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  <c r="AA834" s="142"/>
      <c r="AB834" s="142"/>
      <c r="AC834" s="142"/>
      <c r="AD834" s="142"/>
      <c r="AE834" s="142"/>
      <c r="AF834" s="142"/>
      <c r="AG834" s="142"/>
      <c r="AH834" s="142"/>
      <c r="AI834" s="142"/>
      <c r="AJ834" s="142"/>
      <c r="AK834" s="142"/>
      <c r="AL834" s="142"/>
      <c r="AM834" s="142"/>
      <c r="AN834" s="142"/>
      <c r="AO834" s="142"/>
      <c r="AP834" s="143"/>
    </row>
    <row r="835" spans="1:42" ht="13.2" hidden="1">
      <c r="A835" s="143"/>
      <c r="B835" s="143"/>
      <c r="C835" s="142"/>
      <c r="D835" s="168"/>
      <c r="E835" s="153"/>
      <c r="F835" s="153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  <c r="AA835" s="142"/>
      <c r="AB835" s="142"/>
      <c r="AC835" s="142"/>
      <c r="AD835" s="142"/>
      <c r="AE835" s="142"/>
      <c r="AF835" s="142"/>
      <c r="AG835" s="142"/>
      <c r="AH835" s="142"/>
      <c r="AI835" s="142"/>
      <c r="AJ835" s="142"/>
      <c r="AK835" s="142"/>
      <c r="AL835" s="142"/>
      <c r="AM835" s="142"/>
      <c r="AN835" s="142"/>
      <c r="AO835" s="142"/>
      <c r="AP835" s="143"/>
    </row>
    <row r="836" spans="1:42" ht="13.2" hidden="1">
      <c r="A836" s="143"/>
      <c r="B836" s="143"/>
      <c r="C836" s="142"/>
      <c r="D836" s="168"/>
      <c r="E836" s="153"/>
      <c r="F836" s="153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  <c r="AA836" s="142"/>
      <c r="AB836" s="142"/>
      <c r="AC836" s="142"/>
      <c r="AD836" s="142"/>
      <c r="AE836" s="142"/>
      <c r="AF836" s="142"/>
      <c r="AG836" s="142"/>
      <c r="AH836" s="142"/>
      <c r="AI836" s="142"/>
      <c r="AJ836" s="142"/>
      <c r="AK836" s="142"/>
      <c r="AL836" s="142"/>
      <c r="AM836" s="142"/>
      <c r="AN836" s="142"/>
      <c r="AO836" s="142"/>
      <c r="AP836" s="143"/>
    </row>
    <row r="837" spans="1:42" ht="13.2" hidden="1">
      <c r="A837" s="143"/>
      <c r="B837" s="143"/>
      <c r="C837" s="142"/>
      <c r="D837" s="168"/>
      <c r="E837" s="153"/>
      <c r="F837" s="153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  <c r="AA837" s="142"/>
      <c r="AB837" s="142"/>
      <c r="AC837" s="142"/>
      <c r="AD837" s="142"/>
      <c r="AE837" s="142"/>
      <c r="AF837" s="142"/>
      <c r="AG837" s="142"/>
      <c r="AH837" s="142"/>
      <c r="AI837" s="142"/>
      <c r="AJ837" s="142"/>
      <c r="AK837" s="142"/>
      <c r="AL837" s="142"/>
      <c r="AM837" s="142"/>
      <c r="AN837" s="142"/>
      <c r="AO837" s="142"/>
      <c r="AP837" s="143"/>
    </row>
    <row r="838" spans="1:42" ht="13.2" hidden="1">
      <c r="A838" s="143"/>
      <c r="B838" s="143"/>
      <c r="C838" s="142"/>
      <c r="D838" s="168"/>
      <c r="E838" s="153"/>
      <c r="F838" s="153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  <c r="AA838" s="142"/>
      <c r="AB838" s="142"/>
      <c r="AC838" s="142"/>
      <c r="AD838" s="142"/>
      <c r="AE838" s="142"/>
      <c r="AF838" s="142"/>
      <c r="AG838" s="142"/>
      <c r="AH838" s="142"/>
      <c r="AI838" s="142"/>
      <c r="AJ838" s="142"/>
      <c r="AK838" s="142"/>
      <c r="AL838" s="142"/>
      <c r="AM838" s="142"/>
      <c r="AN838" s="142"/>
      <c r="AO838" s="142"/>
      <c r="AP838" s="143"/>
    </row>
    <row r="839" spans="1:42" ht="13.2" hidden="1">
      <c r="A839" s="143"/>
      <c r="B839" s="143"/>
      <c r="C839" s="142"/>
      <c r="D839" s="168"/>
      <c r="E839" s="153"/>
      <c r="F839" s="153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  <c r="AA839" s="142"/>
      <c r="AB839" s="142"/>
      <c r="AC839" s="142"/>
      <c r="AD839" s="142"/>
      <c r="AE839" s="142"/>
      <c r="AF839" s="142"/>
      <c r="AG839" s="142"/>
      <c r="AH839" s="142"/>
      <c r="AI839" s="142"/>
      <c r="AJ839" s="142"/>
      <c r="AK839" s="142"/>
      <c r="AL839" s="142"/>
      <c r="AM839" s="142"/>
      <c r="AN839" s="142"/>
      <c r="AO839" s="142"/>
      <c r="AP839" s="143"/>
    </row>
    <row r="840" spans="1:42" ht="13.2" hidden="1">
      <c r="A840" s="143"/>
      <c r="B840" s="143"/>
      <c r="C840" s="142"/>
      <c r="D840" s="168"/>
      <c r="E840" s="153"/>
      <c r="F840" s="153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  <c r="AA840" s="142"/>
      <c r="AB840" s="142"/>
      <c r="AC840" s="142"/>
      <c r="AD840" s="142"/>
      <c r="AE840" s="142"/>
      <c r="AF840" s="142"/>
      <c r="AG840" s="142"/>
      <c r="AH840" s="142"/>
      <c r="AI840" s="142"/>
      <c r="AJ840" s="142"/>
      <c r="AK840" s="142"/>
      <c r="AL840" s="142"/>
      <c r="AM840" s="142"/>
      <c r="AN840" s="142"/>
      <c r="AO840" s="142"/>
      <c r="AP840" s="143"/>
    </row>
    <row r="841" spans="1:42" ht="13.2" hidden="1">
      <c r="A841" s="143"/>
      <c r="B841" s="143"/>
      <c r="C841" s="142"/>
      <c r="D841" s="168"/>
      <c r="E841" s="153"/>
      <c r="F841" s="153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  <c r="AA841" s="142"/>
      <c r="AB841" s="142"/>
      <c r="AC841" s="142"/>
      <c r="AD841" s="142"/>
      <c r="AE841" s="142"/>
      <c r="AF841" s="142"/>
      <c r="AG841" s="142"/>
      <c r="AH841" s="142"/>
      <c r="AI841" s="142"/>
      <c r="AJ841" s="142"/>
      <c r="AK841" s="142"/>
      <c r="AL841" s="142"/>
      <c r="AM841" s="142"/>
      <c r="AN841" s="142"/>
      <c r="AO841" s="142"/>
      <c r="AP841" s="143"/>
    </row>
    <row r="842" spans="1:42" ht="13.2" hidden="1">
      <c r="A842" s="143"/>
      <c r="B842" s="143"/>
      <c r="C842" s="142"/>
      <c r="D842" s="168"/>
      <c r="E842" s="153"/>
      <c r="F842" s="153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  <c r="AA842" s="142"/>
      <c r="AB842" s="142"/>
      <c r="AC842" s="142"/>
      <c r="AD842" s="142"/>
      <c r="AE842" s="142"/>
      <c r="AF842" s="142"/>
      <c r="AG842" s="142"/>
      <c r="AH842" s="142"/>
      <c r="AI842" s="142"/>
      <c r="AJ842" s="142"/>
      <c r="AK842" s="142"/>
      <c r="AL842" s="142"/>
      <c r="AM842" s="142"/>
      <c r="AN842" s="142"/>
      <c r="AO842" s="142"/>
      <c r="AP842" s="143"/>
    </row>
    <row r="843" spans="1:42" ht="13.2" hidden="1">
      <c r="A843" s="143"/>
      <c r="B843" s="143"/>
      <c r="C843" s="142"/>
      <c r="D843" s="168"/>
      <c r="E843" s="153"/>
      <c r="F843" s="153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  <c r="AA843" s="142"/>
      <c r="AB843" s="142"/>
      <c r="AC843" s="142"/>
      <c r="AD843" s="142"/>
      <c r="AE843" s="142"/>
      <c r="AF843" s="142"/>
      <c r="AG843" s="142"/>
      <c r="AH843" s="142"/>
      <c r="AI843" s="142"/>
      <c r="AJ843" s="142"/>
      <c r="AK843" s="142"/>
      <c r="AL843" s="142"/>
      <c r="AM843" s="142"/>
      <c r="AN843" s="142"/>
      <c r="AO843" s="142"/>
      <c r="AP843" s="143"/>
    </row>
    <row r="844" spans="1:42" ht="13.2" hidden="1">
      <c r="A844" s="143"/>
      <c r="B844" s="143"/>
      <c r="C844" s="142"/>
      <c r="D844" s="168"/>
      <c r="E844" s="153"/>
      <c r="F844" s="153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  <c r="AA844" s="142"/>
      <c r="AB844" s="142"/>
      <c r="AC844" s="142"/>
      <c r="AD844" s="142"/>
      <c r="AE844" s="142"/>
      <c r="AF844" s="142"/>
      <c r="AG844" s="142"/>
      <c r="AH844" s="142"/>
      <c r="AI844" s="142"/>
      <c r="AJ844" s="142"/>
      <c r="AK844" s="142"/>
      <c r="AL844" s="142"/>
      <c r="AM844" s="142"/>
      <c r="AN844" s="142"/>
      <c r="AO844" s="142"/>
      <c r="AP844" s="143"/>
    </row>
    <row r="845" spans="1:42" ht="13.2" hidden="1">
      <c r="A845" s="143"/>
      <c r="B845" s="143"/>
      <c r="C845" s="142"/>
      <c r="D845" s="168"/>
      <c r="E845" s="153"/>
      <c r="F845" s="153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  <c r="AA845" s="142"/>
      <c r="AB845" s="142"/>
      <c r="AC845" s="142"/>
      <c r="AD845" s="142"/>
      <c r="AE845" s="142"/>
      <c r="AF845" s="142"/>
      <c r="AG845" s="142"/>
      <c r="AH845" s="142"/>
      <c r="AI845" s="142"/>
      <c r="AJ845" s="142"/>
      <c r="AK845" s="142"/>
      <c r="AL845" s="142"/>
      <c r="AM845" s="142"/>
      <c r="AN845" s="142"/>
      <c r="AO845" s="142"/>
      <c r="AP845" s="143"/>
    </row>
    <row r="846" spans="1:42" ht="13.2" hidden="1">
      <c r="A846" s="143"/>
      <c r="B846" s="143"/>
      <c r="C846" s="142"/>
      <c r="D846" s="168"/>
      <c r="E846" s="153"/>
      <c r="F846" s="153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  <c r="AA846" s="142"/>
      <c r="AB846" s="142"/>
      <c r="AC846" s="142"/>
      <c r="AD846" s="142"/>
      <c r="AE846" s="142"/>
      <c r="AF846" s="142"/>
      <c r="AG846" s="142"/>
      <c r="AH846" s="142"/>
      <c r="AI846" s="142"/>
      <c r="AJ846" s="142"/>
      <c r="AK846" s="142"/>
      <c r="AL846" s="142"/>
      <c r="AM846" s="142"/>
      <c r="AN846" s="142"/>
      <c r="AO846" s="142"/>
      <c r="AP846" s="143"/>
    </row>
    <row r="847" spans="1:42" ht="13.2" hidden="1">
      <c r="A847" s="143"/>
      <c r="B847" s="143"/>
      <c r="C847" s="142"/>
      <c r="D847" s="168"/>
      <c r="E847" s="153"/>
      <c r="F847" s="153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  <c r="AA847" s="142"/>
      <c r="AB847" s="142"/>
      <c r="AC847" s="142"/>
      <c r="AD847" s="142"/>
      <c r="AE847" s="142"/>
      <c r="AF847" s="142"/>
      <c r="AG847" s="142"/>
      <c r="AH847" s="142"/>
      <c r="AI847" s="142"/>
      <c r="AJ847" s="142"/>
      <c r="AK847" s="142"/>
      <c r="AL847" s="142"/>
      <c r="AM847" s="142"/>
      <c r="AN847" s="142"/>
      <c r="AO847" s="142"/>
      <c r="AP847" s="143"/>
    </row>
    <row r="848" spans="1:42" ht="13.2" hidden="1">
      <c r="A848" s="143"/>
      <c r="B848" s="143"/>
      <c r="C848" s="142"/>
      <c r="D848" s="168"/>
      <c r="E848" s="153"/>
      <c r="F848" s="153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  <c r="AA848" s="142"/>
      <c r="AB848" s="142"/>
      <c r="AC848" s="142"/>
      <c r="AD848" s="142"/>
      <c r="AE848" s="142"/>
      <c r="AF848" s="142"/>
      <c r="AG848" s="142"/>
      <c r="AH848" s="142"/>
      <c r="AI848" s="142"/>
      <c r="AJ848" s="142"/>
      <c r="AK848" s="142"/>
      <c r="AL848" s="142"/>
      <c r="AM848" s="142"/>
      <c r="AN848" s="142"/>
      <c r="AO848" s="142"/>
      <c r="AP848" s="143"/>
    </row>
    <row r="849" spans="1:42" ht="13.2" hidden="1">
      <c r="A849" s="143"/>
      <c r="B849" s="143"/>
      <c r="C849" s="142"/>
      <c r="D849" s="168"/>
      <c r="E849" s="153"/>
      <c r="F849" s="153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  <c r="AA849" s="142"/>
      <c r="AB849" s="142"/>
      <c r="AC849" s="142"/>
      <c r="AD849" s="142"/>
      <c r="AE849" s="142"/>
      <c r="AF849" s="142"/>
      <c r="AG849" s="142"/>
      <c r="AH849" s="142"/>
      <c r="AI849" s="142"/>
      <c r="AJ849" s="142"/>
      <c r="AK849" s="142"/>
      <c r="AL849" s="142"/>
      <c r="AM849" s="142"/>
      <c r="AN849" s="142"/>
      <c r="AO849" s="142"/>
      <c r="AP849" s="143"/>
    </row>
    <row r="850" spans="1:42" ht="13.2" hidden="1">
      <c r="A850" s="143"/>
      <c r="B850" s="143"/>
      <c r="C850" s="142"/>
      <c r="D850" s="168"/>
      <c r="E850" s="153"/>
      <c r="F850" s="153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  <c r="AA850" s="142"/>
      <c r="AB850" s="142"/>
      <c r="AC850" s="142"/>
      <c r="AD850" s="142"/>
      <c r="AE850" s="142"/>
      <c r="AF850" s="142"/>
      <c r="AG850" s="142"/>
      <c r="AH850" s="142"/>
      <c r="AI850" s="142"/>
      <c r="AJ850" s="142"/>
      <c r="AK850" s="142"/>
      <c r="AL850" s="142"/>
      <c r="AM850" s="142"/>
      <c r="AN850" s="142"/>
      <c r="AO850" s="142"/>
      <c r="AP850" s="143"/>
    </row>
    <row r="851" spans="1:42" ht="13.2" hidden="1">
      <c r="A851" s="143"/>
      <c r="B851" s="143"/>
      <c r="C851" s="142"/>
      <c r="D851" s="168"/>
      <c r="E851" s="153"/>
      <c r="F851" s="153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  <c r="AA851" s="142"/>
      <c r="AB851" s="142"/>
      <c r="AC851" s="142"/>
      <c r="AD851" s="142"/>
      <c r="AE851" s="142"/>
      <c r="AF851" s="142"/>
      <c r="AG851" s="142"/>
      <c r="AH851" s="142"/>
      <c r="AI851" s="142"/>
      <c r="AJ851" s="142"/>
      <c r="AK851" s="142"/>
      <c r="AL851" s="142"/>
      <c r="AM851" s="142"/>
      <c r="AN851" s="142"/>
      <c r="AO851" s="142"/>
      <c r="AP851" s="143"/>
    </row>
    <row r="852" spans="1:42" ht="13.2" hidden="1">
      <c r="A852" s="143"/>
      <c r="B852" s="143"/>
      <c r="C852" s="142"/>
      <c r="D852" s="168"/>
      <c r="E852" s="153"/>
      <c r="F852" s="153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  <c r="AA852" s="142"/>
      <c r="AB852" s="142"/>
      <c r="AC852" s="142"/>
      <c r="AD852" s="142"/>
      <c r="AE852" s="142"/>
      <c r="AF852" s="142"/>
      <c r="AG852" s="142"/>
      <c r="AH852" s="142"/>
      <c r="AI852" s="142"/>
      <c r="AJ852" s="142"/>
      <c r="AK852" s="142"/>
      <c r="AL852" s="142"/>
      <c r="AM852" s="142"/>
      <c r="AN852" s="142"/>
      <c r="AO852" s="142"/>
      <c r="AP852" s="143"/>
    </row>
    <row r="853" spans="1:42" ht="13.2" hidden="1">
      <c r="A853" s="143"/>
      <c r="B853" s="143"/>
      <c r="C853" s="142"/>
      <c r="D853" s="168"/>
      <c r="E853" s="153"/>
      <c r="F853" s="153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  <c r="AA853" s="142"/>
      <c r="AB853" s="142"/>
      <c r="AC853" s="142"/>
      <c r="AD853" s="142"/>
      <c r="AE853" s="142"/>
      <c r="AF853" s="142"/>
      <c r="AG853" s="142"/>
      <c r="AH853" s="142"/>
      <c r="AI853" s="142"/>
      <c r="AJ853" s="142"/>
      <c r="AK853" s="142"/>
      <c r="AL853" s="142"/>
      <c r="AM853" s="142"/>
      <c r="AN853" s="142"/>
      <c r="AO853" s="142"/>
      <c r="AP853" s="143"/>
    </row>
    <row r="854" spans="1:42" ht="13.2" hidden="1">
      <c r="A854" s="143"/>
      <c r="B854" s="143"/>
      <c r="C854" s="142"/>
      <c r="D854" s="168"/>
      <c r="E854" s="153"/>
      <c r="F854" s="153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  <c r="AA854" s="142"/>
      <c r="AB854" s="142"/>
      <c r="AC854" s="142"/>
      <c r="AD854" s="142"/>
      <c r="AE854" s="142"/>
      <c r="AF854" s="142"/>
      <c r="AG854" s="142"/>
      <c r="AH854" s="142"/>
      <c r="AI854" s="142"/>
      <c r="AJ854" s="142"/>
      <c r="AK854" s="142"/>
      <c r="AL854" s="142"/>
      <c r="AM854" s="142"/>
      <c r="AN854" s="142"/>
      <c r="AO854" s="142"/>
      <c r="AP854" s="143"/>
    </row>
    <row r="855" spans="1:42" ht="13.2" hidden="1">
      <c r="A855" s="143"/>
      <c r="B855" s="143"/>
      <c r="C855" s="142"/>
      <c r="D855" s="168"/>
      <c r="E855" s="153"/>
      <c r="F855" s="153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  <c r="AA855" s="142"/>
      <c r="AB855" s="142"/>
      <c r="AC855" s="142"/>
      <c r="AD855" s="142"/>
      <c r="AE855" s="142"/>
      <c r="AF855" s="142"/>
      <c r="AG855" s="142"/>
      <c r="AH855" s="142"/>
      <c r="AI855" s="142"/>
      <c r="AJ855" s="142"/>
      <c r="AK855" s="142"/>
      <c r="AL855" s="142"/>
      <c r="AM855" s="142"/>
      <c r="AN855" s="142"/>
      <c r="AO855" s="142"/>
      <c r="AP855" s="143"/>
    </row>
    <row r="856" spans="1:42" ht="13.2" hidden="1">
      <c r="A856" s="143"/>
      <c r="B856" s="143"/>
      <c r="C856" s="142"/>
      <c r="D856" s="168"/>
      <c r="E856" s="153"/>
      <c r="F856" s="153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  <c r="AA856" s="142"/>
      <c r="AB856" s="142"/>
      <c r="AC856" s="142"/>
      <c r="AD856" s="142"/>
      <c r="AE856" s="142"/>
      <c r="AF856" s="142"/>
      <c r="AG856" s="142"/>
      <c r="AH856" s="142"/>
      <c r="AI856" s="142"/>
      <c r="AJ856" s="142"/>
      <c r="AK856" s="142"/>
      <c r="AL856" s="142"/>
      <c r="AM856" s="142"/>
      <c r="AN856" s="142"/>
      <c r="AO856" s="142"/>
      <c r="AP856" s="143"/>
    </row>
    <row r="857" spans="1:42" ht="13.2" hidden="1">
      <c r="A857" s="143"/>
      <c r="B857" s="143"/>
      <c r="C857" s="142"/>
      <c r="D857" s="168"/>
      <c r="E857" s="153"/>
      <c r="F857" s="153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  <c r="AA857" s="142"/>
      <c r="AB857" s="142"/>
      <c r="AC857" s="142"/>
      <c r="AD857" s="142"/>
      <c r="AE857" s="142"/>
      <c r="AF857" s="142"/>
      <c r="AG857" s="142"/>
      <c r="AH857" s="142"/>
      <c r="AI857" s="142"/>
      <c r="AJ857" s="142"/>
      <c r="AK857" s="142"/>
      <c r="AL857" s="142"/>
      <c r="AM857" s="142"/>
      <c r="AN857" s="142"/>
      <c r="AO857" s="142"/>
      <c r="AP857" s="143"/>
    </row>
    <row r="858" spans="1:42" ht="13.2" hidden="1">
      <c r="A858" s="143"/>
      <c r="B858" s="143"/>
      <c r="C858" s="142"/>
      <c r="D858" s="168"/>
      <c r="E858" s="153"/>
      <c r="F858" s="153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  <c r="AA858" s="142"/>
      <c r="AB858" s="142"/>
      <c r="AC858" s="142"/>
      <c r="AD858" s="142"/>
      <c r="AE858" s="142"/>
      <c r="AF858" s="142"/>
      <c r="AG858" s="142"/>
      <c r="AH858" s="142"/>
      <c r="AI858" s="142"/>
      <c r="AJ858" s="142"/>
      <c r="AK858" s="142"/>
      <c r="AL858" s="142"/>
      <c r="AM858" s="142"/>
      <c r="AN858" s="142"/>
      <c r="AO858" s="142"/>
      <c r="AP858" s="143"/>
    </row>
    <row r="859" spans="1:42" ht="13.2" hidden="1">
      <c r="A859" s="143"/>
      <c r="B859" s="143"/>
      <c r="C859" s="142"/>
      <c r="D859" s="168"/>
      <c r="E859" s="153"/>
      <c r="F859" s="153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  <c r="AA859" s="142"/>
      <c r="AB859" s="142"/>
      <c r="AC859" s="142"/>
      <c r="AD859" s="142"/>
      <c r="AE859" s="142"/>
      <c r="AF859" s="142"/>
      <c r="AG859" s="142"/>
      <c r="AH859" s="142"/>
      <c r="AI859" s="142"/>
      <c r="AJ859" s="142"/>
      <c r="AK859" s="142"/>
      <c r="AL859" s="142"/>
      <c r="AM859" s="142"/>
      <c r="AN859" s="142"/>
      <c r="AO859" s="142"/>
      <c r="AP859" s="143"/>
    </row>
    <row r="860" spans="1:42" ht="13.2" hidden="1">
      <c r="A860" s="143"/>
      <c r="B860" s="143"/>
      <c r="C860" s="142"/>
      <c r="D860" s="168"/>
      <c r="E860" s="153"/>
      <c r="F860" s="153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  <c r="AA860" s="142"/>
      <c r="AB860" s="142"/>
      <c r="AC860" s="142"/>
      <c r="AD860" s="142"/>
      <c r="AE860" s="142"/>
      <c r="AF860" s="142"/>
      <c r="AG860" s="142"/>
      <c r="AH860" s="142"/>
      <c r="AI860" s="142"/>
      <c r="AJ860" s="142"/>
      <c r="AK860" s="142"/>
      <c r="AL860" s="142"/>
      <c r="AM860" s="142"/>
      <c r="AN860" s="142"/>
      <c r="AO860" s="142"/>
      <c r="AP860" s="143"/>
    </row>
    <row r="861" spans="1:42" ht="13.2" hidden="1">
      <c r="A861" s="143"/>
      <c r="B861" s="143"/>
      <c r="C861" s="142"/>
      <c r="D861" s="168"/>
      <c r="E861" s="153"/>
      <c r="F861" s="153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  <c r="AA861" s="142"/>
      <c r="AB861" s="142"/>
      <c r="AC861" s="142"/>
      <c r="AD861" s="142"/>
      <c r="AE861" s="142"/>
      <c r="AF861" s="142"/>
      <c r="AG861" s="142"/>
      <c r="AH861" s="142"/>
      <c r="AI861" s="142"/>
      <c r="AJ861" s="142"/>
      <c r="AK861" s="142"/>
      <c r="AL861" s="142"/>
      <c r="AM861" s="142"/>
      <c r="AN861" s="142"/>
      <c r="AO861" s="142"/>
      <c r="AP861" s="143"/>
    </row>
    <row r="862" spans="1:42" ht="13.2" hidden="1">
      <c r="A862" s="143"/>
      <c r="B862" s="143"/>
      <c r="C862" s="142"/>
      <c r="D862" s="168"/>
      <c r="E862" s="153"/>
      <c r="F862" s="153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  <c r="AA862" s="142"/>
      <c r="AB862" s="142"/>
      <c r="AC862" s="142"/>
      <c r="AD862" s="142"/>
      <c r="AE862" s="142"/>
      <c r="AF862" s="142"/>
      <c r="AG862" s="142"/>
      <c r="AH862" s="142"/>
      <c r="AI862" s="142"/>
      <c r="AJ862" s="142"/>
      <c r="AK862" s="142"/>
      <c r="AL862" s="142"/>
      <c r="AM862" s="142"/>
      <c r="AN862" s="142"/>
      <c r="AO862" s="142"/>
      <c r="AP862" s="143"/>
    </row>
    <row r="863" spans="1:42" ht="13.2" hidden="1">
      <c r="A863" s="143"/>
      <c r="B863" s="143"/>
      <c r="C863" s="142"/>
      <c r="D863" s="168"/>
      <c r="E863" s="153"/>
      <c r="F863" s="153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  <c r="AA863" s="142"/>
      <c r="AB863" s="142"/>
      <c r="AC863" s="142"/>
      <c r="AD863" s="142"/>
      <c r="AE863" s="142"/>
      <c r="AF863" s="142"/>
      <c r="AG863" s="142"/>
      <c r="AH863" s="142"/>
      <c r="AI863" s="142"/>
      <c r="AJ863" s="142"/>
      <c r="AK863" s="142"/>
      <c r="AL863" s="142"/>
      <c r="AM863" s="142"/>
      <c r="AN863" s="142"/>
      <c r="AO863" s="142"/>
      <c r="AP863" s="143"/>
    </row>
    <row r="864" spans="1:42" ht="13.2" hidden="1">
      <c r="A864" s="143"/>
      <c r="B864" s="143"/>
      <c r="C864" s="142"/>
      <c r="D864" s="168"/>
      <c r="E864" s="153"/>
      <c r="F864" s="153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  <c r="AA864" s="142"/>
      <c r="AB864" s="142"/>
      <c r="AC864" s="142"/>
      <c r="AD864" s="142"/>
      <c r="AE864" s="142"/>
      <c r="AF864" s="142"/>
      <c r="AG864" s="142"/>
      <c r="AH864" s="142"/>
      <c r="AI864" s="142"/>
      <c r="AJ864" s="142"/>
      <c r="AK864" s="142"/>
      <c r="AL864" s="142"/>
      <c r="AM864" s="142"/>
      <c r="AN864" s="142"/>
      <c r="AO864" s="142"/>
      <c r="AP864" s="143"/>
    </row>
    <row r="865" spans="1:42" ht="13.2" hidden="1">
      <c r="A865" s="143"/>
      <c r="B865" s="143"/>
      <c r="C865" s="142"/>
      <c r="D865" s="168"/>
      <c r="E865" s="153"/>
      <c r="F865" s="153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  <c r="AA865" s="142"/>
      <c r="AB865" s="142"/>
      <c r="AC865" s="142"/>
      <c r="AD865" s="142"/>
      <c r="AE865" s="142"/>
      <c r="AF865" s="142"/>
      <c r="AG865" s="142"/>
      <c r="AH865" s="142"/>
      <c r="AI865" s="142"/>
      <c r="AJ865" s="142"/>
      <c r="AK865" s="142"/>
      <c r="AL865" s="142"/>
      <c r="AM865" s="142"/>
      <c r="AN865" s="142"/>
      <c r="AO865" s="142"/>
      <c r="AP865" s="143"/>
    </row>
    <row r="866" spans="1:42" ht="13.2" hidden="1">
      <c r="A866" s="143"/>
      <c r="B866" s="143"/>
      <c r="C866" s="142"/>
      <c r="D866" s="168"/>
      <c r="E866" s="153"/>
      <c r="F866" s="153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  <c r="AA866" s="142"/>
      <c r="AB866" s="142"/>
      <c r="AC866" s="142"/>
      <c r="AD866" s="142"/>
      <c r="AE866" s="142"/>
      <c r="AF866" s="142"/>
      <c r="AG866" s="142"/>
      <c r="AH866" s="142"/>
      <c r="AI866" s="142"/>
      <c r="AJ866" s="142"/>
      <c r="AK866" s="142"/>
      <c r="AL866" s="142"/>
      <c r="AM866" s="142"/>
      <c r="AN866" s="142"/>
      <c r="AO866" s="142"/>
      <c r="AP866" s="143"/>
    </row>
    <row r="867" spans="1:42" ht="13.2" hidden="1">
      <c r="A867" s="143"/>
      <c r="B867" s="143"/>
      <c r="C867" s="142"/>
      <c r="D867" s="168"/>
      <c r="E867" s="153"/>
      <c r="F867" s="153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  <c r="AA867" s="142"/>
      <c r="AB867" s="142"/>
      <c r="AC867" s="142"/>
      <c r="AD867" s="142"/>
      <c r="AE867" s="142"/>
      <c r="AF867" s="142"/>
      <c r="AG867" s="142"/>
      <c r="AH867" s="142"/>
      <c r="AI867" s="142"/>
      <c r="AJ867" s="142"/>
      <c r="AK867" s="142"/>
      <c r="AL867" s="142"/>
      <c r="AM867" s="142"/>
      <c r="AN867" s="142"/>
      <c r="AO867" s="142"/>
      <c r="AP867" s="143"/>
    </row>
    <row r="868" spans="1:42" ht="13.2" hidden="1">
      <c r="A868" s="143"/>
      <c r="B868" s="143"/>
      <c r="C868" s="142"/>
      <c r="D868" s="168"/>
      <c r="E868" s="153"/>
      <c r="F868" s="153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  <c r="AA868" s="142"/>
      <c r="AB868" s="142"/>
      <c r="AC868" s="142"/>
      <c r="AD868" s="142"/>
      <c r="AE868" s="142"/>
      <c r="AF868" s="142"/>
      <c r="AG868" s="142"/>
      <c r="AH868" s="142"/>
      <c r="AI868" s="142"/>
      <c r="AJ868" s="142"/>
      <c r="AK868" s="142"/>
      <c r="AL868" s="142"/>
      <c r="AM868" s="142"/>
      <c r="AN868" s="142"/>
      <c r="AO868" s="142"/>
      <c r="AP868" s="143"/>
    </row>
    <row r="869" spans="1:42" ht="13.2" hidden="1">
      <c r="A869" s="143"/>
      <c r="B869" s="143"/>
      <c r="C869" s="142"/>
      <c r="D869" s="168"/>
      <c r="E869" s="153"/>
      <c r="F869" s="153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  <c r="AA869" s="142"/>
      <c r="AB869" s="142"/>
      <c r="AC869" s="142"/>
      <c r="AD869" s="142"/>
      <c r="AE869" s="142"/>
      <c r="AF869" s="142"/>
      <c r="AG869" s="142"/>
      <c r="AH869" s="142"/>
      <c r="AI869" s="142"/>
      <c r="AJ869" s="142"/>
      <c r="AK869" s="142"/>
      <c r="AL869" s="142"/>
      <c r="AM869" s="142"/>
      <c r="AN869" s="142"/>
      <c r="AO869" s="142"/>
      <c r="AP869" s="143"/>
    </row>
    <row r="870" spans="1:42" ht="13.2" hidden="1">
      <c r="A870" s="143"/>
      <c r="B870" s="143"/>
      <c r="C870" s="142"/>
      <c r="D870" s="168"/>
      <c r="E870" s="153"/>
      <c r="F870" s="153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  <c r="AA870" s="142"/>
      <c r="AB870" s="142"/>
      <c r="AC870" s="142"/>
      <c r="AD870" s="142"/>
      <c r="AE870" s="142"/>
      <c r="AF870" s="142"/>
      <c r="AG870" s="142"/>
      <c r="AH870" s="142"/>
      <c r="AI870" s="142"/>
      <c r="AJ870" s="142"/>
      <c r="AK870" s="142"/>
      <c r="AL870" s="142"/>
      <c r="AM870" s="142"/>
      <c r="AN870" s="142"/>
      <c r="AO870" s="142"/>
      <c r="AP870" s="143"/>
    </row>
    <row r="871" spans="1:42" ht="13.2" hidden="1">
      <c r="A871" s="143"/>
      <c r="B871" s="143"/>
      <c r="C871" s="142"/>
      <c r="D871" s="168"/>
      <c r="E871" s="153"/>
      <c r="F871" s="153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  <c r="AA871" s="142"/>
      <c r="AB871" s="142"/>
      <c r="AC871" s="142"/>
      <c r="AD871" s="142"/>
      <c r="AE871" s="142"/>
      <c r="AF871" s="142"/>
      <c r="AG871" s="142"/>
      <c r="AH871" s="142"/>
      <c r="AI871" s="142"/>
      <c r="AJ871" s="142"/>
      <c r="AK871" s="142"/>
      <c r="AL871" s="142"/>
      <c r="AM871" s="142"/>
      <c r="AN871" s="142"/>
      <c r="AO871" s="142"/>
      <c r="AP871" s="143"/>
    </row>
    <row r="872" spans="1:42" ht="13.2" hidden="1">
      <c r="A872" s="143"/>
      <c r="B872" s="143"/>
      <c r="C872" s="142"/>
      <c r="D872" s="168"/>
      <c r="E872" s="153"/>
      <c r="F872" s="153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  <c r="AA872" s="142"/>
      <c r="AB872" s="142"/>
      <c r="AC872" s="142"/>
      <c r="AD872" s="142"/>
      <c r="AE872" s="142"/>
      <c r="AF872" s="142"/>
      <c r="AG872" s="142"/>
      <c r="AH872" s="142"/>
      <c r="AI872" s="142"/>
      <c r="AJ872" s="142"/>
      <c r="AK872" s="142"/>
      <c r="AL872" s="142"/>
      <c r="AM872" s="142"/>
      <c r="AN872" s="142"/>
      <c r="AO872" s="142"/>
      <c r="AP872" s="143"/>
    </row>
    <row r="873" spans="1:42" ht="13.2" hidden="1">
      <c r="A873" s="143"/>
      <c r="B873" s="143"/>
      <c r="C873" s="142"/>
      <c r="D873" s="168"/>
      <c r="E873" s="153"/>
      <c r="F873" s="153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  <c r="AA873" s="142"/>
      <c r="AB873" s="142"/>
      <c r="AC873" s="142"/>
      <c r="AD873" s="142"/>
      <c r="AE873" s="142"/>
      <c r="AF873" s="142"/>
      <c r="AG873" s="142"/>
      <c r="AH873" s="142"/>
      <c r="AI873" s="142"/>
      <c r="AJ873" s="142"/>
      <c r="AK873" s="142"/>
      <c r="AL873" s="142"/>
      <c r="AM873" s="142"/>
      <c r="AN873" s="142"/>
      <c r="AO873" s="142"/>
      <c r="AP873" s="143"/>
    </row>
    <row r="874" spans="1:42" ht="13.2" hidden="1">
      <c r="A874" s="143"/>
      <c r="B874" s="143"/>
      <c r="C874" s="142"/>
      <c r="D874" s="168"/>
      <c r="E874" s="153"/>
      <c r="F874" s="153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  <c r="AA874" s="142"/>
      <c r="AB874" s="142"/>
      <c r="AC874" s="142"/>
      <c r="AD874" s="142"/>
      <c r="AE874" s="142"/>
      <c r="AF874" s="142"/>
      <c r="AG874" s="142"/>
      <c r="AH874" s="142"/>
      <c r="AI874" s="142"/>
      <c r="AJ874" s="142"/>
      <c r="AK874" s="142"/>
      <c r="AL874" s="142"/>
      <c r="AM874" s="142"/>
      <c r="AN874" s="142"/>
      <c r="AO874" s="142"/>
      <c r="AP874" s="143"/>
    </row>
    <row r="875" spans="1:42" ht="13.2" hidden="1">
      <c r="A875" s="143"/>
      <c r="B875" s="143"/>
      <c r="C875" s="142"/>
      <c r="D875" s="168"/>
      <c r="E875" s="153"/>
      <c r="F875" s="153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  <c r="AA875" s="142"/>
      <c r="AB875" s="142"/>
      <c r="AC875" s="142"/>
      <c r="AD875" s="142"/>
      <c r="AE875" s="142"/>
      <c r="AF875" s="142"/>
      <c r="AG875" s="142"/>
      <c r="AH875" s="142"/>
      <c r="AI875" s="142"/>
      <c r="AJ875" s="142"/>
      <c r="AK875" s="142"/>
      <c r="AL875" s="142"/>
      <c r="AM875" s="142"/>
      <c r="AN875" s="142"/>
      <c r="AO875" s="142"/>
      <c r="AP875" s="143"/>
    </row>
    <row r="876" spans="1:42" ht="13.2" hidden="1">
      <c r="A876" s="143"/>
      <c r="B876" s="143"/>
      <c r="C876" s="142"/>
      <c r="D876" s="168"/>
      <c r="E876" s="153"/>
      <c r="F876" s="153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  <c r="AA876" s="142"/>
      <c r="AB876" s="142"/>
      <c r="AC876" s="142"/>
      <c r="AD876" s="142"/>
      <c r="AE876" s="142"/>
      <c r="AF876" s="142"/>
      <c r="AG876" s="142"/>
      <c r="AH876" s="142"/>
      <c r="AI876" s="142"/>
      <c r="AJ876" s="142"/>
      <c r="AK876" s="142"/>
      <c r="AL876" s="142"/>
      <c r="AM876" s="142"/>
      <c r="AN876" s="142"/>
      <c r="AO876" s="142"/>
      <c r="AP876" s="143"/>
    </row>
    <row r="877" spans="1:42" ht="13.2" hidden="1">
      <c r="A877" s="143"/>
      <c r="B877" s="143"/>
      <c r="C877" s="142"/>
      <c r="D877" s="168"/>
      <c r="E877" s="153"/>
      <c r="F877" s="153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  <c r="AA877" s="142"/>
      <c r="AB877" s="142"/>
      <c r="AC877" s="142"/>
      <c r="AD877" s="142"/>
      <c r="AE877" s="142"/>
      <c r="AF877" s="142"/>
      <c r="AG877" s="142"/>
      <c r="AH877" s="142"/>
      <c r="AI877" s="142"/>
      <c r="AJ877" s="142"/>
      <c r="AK877" s="142"/>
      <c r="AL877" s="142"/>
      <c r="AM877" s="142"/>
      <c r="AN877" s="142"/>
      <c r="AO877" s="142"/>
      <c r="AP877" s="143"/>
    </row>
    <row r="878" spans="1:42" ht="13.2" hidden="1">
      <c r="A878" s="143"/>
      <c r="B878" s="143"/>
      <c r="C878" s="142"/>
      <c r="D878" s="168"/>
      <c r="E878" s="153"/>
      <c r="F878" s="153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  <c r="AA878" s="142"/>
      <c r="AB878" s="142"/>
      <c r="AC878" s="142"/>
      <c r="AD878" s="142"/>
      <c r="AE878" s="142"/>
      <c r="AF878" s="142"/>
      <c r="AG878" s="142"/>
      <c r="AH878" s="142"/>
      <c r="AI878" s="142"/>
      <c r="AJ878" s="142"/>
      <c r="AK878" s="142"/>
      <c r="AL878" s="142"/>
      <c r="AM878" s="142"/>
      <c r="AN878" s="142"/>
      <c r="AO878" s="142"/>
      <c r="AP878" s="143"/>
    </row>
    <row r="879" spans="1:42" ht="13.2" hidden="1">
      <c r="A879" s="143"/>
      <c r="B879" s="143"/>
      <c r="C879" s="142"/>
      <c r="D879" s="168"/>
      <c r="E879" s="153"/>
      <c r="F879" s="153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  <c r="AA879" s="142"/>
      <c r="AB879" s="142"/>
      <c r="AC879" s="142"/>
      <c r="AD879" s="142"/>
      <c r="AE879" s="142"/>
      <c r="AF879" s="142"/>
      <c r="AG879" s="142"/>
      <c r="AH879" s="142"/>
      <c r="AI879" s="142"/>
      <c r="AJ879" s="142"/>
      <c r="AK879" s="142"/>
      <c r="AL879" s="142"/>
      <c r="AM879" s="142"/>
      <c r="AN879" s="142"/>
      <c r="AO879" s="142"/>
      <c r="AP879" s="143"/>
    </row>
    <row r="880" spans="1:42" ht="13.2" hidden="1">
      <c r="A880" s="143"/>
      <c r="B880" s="143"/>
      <c r="C880" s="142"/>
      <c r="D880" s="168"/>
      <c r="E880" s="153"/>
      <c r="F880" s="153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  <c r="AA880" s="142"/>
      <c r="AB880" s="142"/>
      <c r="AC880" s="142"/>
      <c r="AD880" s="142"/>
      <c r="AE880" s="142"/>
      <c r="AF880" s="142"/>
      <c r="AG880" s="142"/>
      <c r="AH880" s="142"/>
      <c r="AI880" s="142"/>
      <c r="AJ880" s="142"/>
      <c r="AK880" s="142"/>
      <c r="AL880" s="142"/>
      <c r="AM880" s="142"/>
      <c r="AN880" s="142"/>
      <c r="AO880" s="142"/>
      <c r="AP880" s="143"/>
    </row>
    <row r="881" spans="1:42" ht="13.2" hidden="1">
      <c r="A881" s="143"/>
      <c r="B881" s="143"/>
      <c r="C881" s="142"/>
      <c r="D881" s="168"/>
      <c r="E881" s="153"/>
      <c r="F881" s="153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  <c r="AA881" s="142"/>
      <c r="AB881" s="142"/>
      <c r="AC881" s="142"/>
      <c r="AD881" s="142"/>
      <c r="AE881" s="142"/>
      <c r="AF881" s="142"/>
      <c r="AG881" s="142"/>
      <c r="AH881" s="142"/>
      <c r="AI881" s="142"/>
      <c r="AJ881" s="142"/>
      <c r="AK881" s="142"/>
      <c r="AL881" s="142"/>
      <c r="AM881" s="142"/>
      <c r="AN881" s="142"/>
      <c r="AO881" s="142"/>
      <c r="AP881" s="143"/>
    </row>
    <row r="882" spans="1:42" ht="13.2" hidden="1">
      <c r="A882" s="143"/>
      <c r="B882" s="143"/>
      <c r="C882" s="142"/>
      <c r="D882" s="168"/>
      <c r="E882" s="153"/>
      <c r="F882" s="153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  <c r="AA882" s="142"/>
      <c r="AB882" s="142"/>
      <c r="AC882" s="142"/>
      <c r="AD882" s="142"/>
      <c r="AE882" s="142"/>
      <c r="AF882" s="142"/>
      <c r="AG882" s="142"/>
      <c r="AH882" s="142"/>
      <c r="AI882" s="142"/>
      <c r="AJ882" s="142"/>
      <c r="AK882" s="142"/>
      <c r="AL882" s="142"/>
      <c r="AM882" s="142"/>
      <c r="AN882" s="142"/>
      <c r="AO882" s="142"/>
      <c r="AP882" s="143"/>
    </row>
    <row r="883" spans="1:42" ht="13.2" hidden="1">
      <c r="A883" s="143"/>
      <c r="B883" s="143"/>
      <c r="C883" s="142"/>
      <c r="D883" s="168"/>
      <c r="E883" s="153"/>
      <c r="F883" s="153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  <c r="AA883" s="142"/>
      <c r="AB883" s="142"/>
      <c r="AC883" s="142"/>
      <c r="AD883" s="142"/>
      <c r="AE883" s="142"/>
      <c r="AF883" s="142"/>
      <c r="AG883" s="142"/>
      <c r="AH883" s="142"/>
      <c r="AI883" s="142"/>
      <c r="AJ883" s="142"/>
      <c r="AK883" s="142"/>
      <c r="AL883" s="142"/>
      <c r="AM883" s="142"/>
      <c r="AN883" s="142"/>
      <c r="AO883" s="142"/>
      <c r="AP883" s="143"/>
    </row>
    <row r="884" spans="1:42" ht="13.2" hidden="1">
      <c r="A884" s="143"/>
      <c r="B884" s="143"/>
      <c r="C884" s="142"/>
      <c r="D884" s="168"/>
      <c r="E884" s="153"/>
      <c r="F884" s="153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  <c r="AA884" s="142"/>
      <c r="AB884" s="142"/>
      <c r="AC884" s="142"/>
      <c r="AD884" s="142"/>
      <c r="AE884" s="142"/>
      <c r="AF884" s="142"/>
      <c r="AG884" s="142"/>
      <c r="AH884" s="142"/>
      <c r="AI884" s="142"/>
      <c r="AJ884" s="142"/>
      <c r="AK884" s="142"/>
      <c r="AL884" s="142"/>
      <c r="AM884" s="142"/>
      <c r="AN884" s="142"/>
      <c r="AO884" s="142"/>
      <c r="AP884" s="143"/>
    </row>
    <row r="885" spans="1:42" ht="13.2" hidden="1">
      <c r="A885" s="143"/>
      <c r="B885" s="143"/>
      <c r="C885" s="142"/>
      <c r="D885" s="168"/>
      <c r="E885" s="153"/>
      <c r="F885" s="153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  <c r="AA885" s="142"/>
      <c r="AB885" s="142"/>
      <c r="AC885" s="142"/>
      <c r="AD885" s="142"/>
      <c r="AE885" s="142"/>
      <c r="AF885" s="142"/>
      <c r="AG885" s="142"/>
      <c r="AH885" s="142"/>
      <c r="AI885" s="142"/>
      <c r="AJ885" s="142"/>
      <c r="AK885" s="142"/>
      <c r="AL885" s="142"/>
      <c r="AM885" s="142"/>
      <c r="AN885" s="142"/>
      <c r="AO885" s="142"/>
      <c r="AP885" s="143"/>
    </row>
    <row r="886" spans="1:42" ht="13.2" hidden="1">
      <c r="A886" s="143"/>
      <c r="B886" s="143"/>
      <c r="C886" s="142"/>
      <c r="D886" s="168"/>
      <c r="E886" s="153"/>
      <c r="F886" s="153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  <c r="AA886" s="142"/>
      <c r="AB886" s="142"/>
      <c r="AC886" s="142"/>
      <c r="AD886" s="142"/>
      <c r="AE886" s="142"/>
      <c r="AF886" s="142"/>
      <c r="AG886" s="142"/>
      <c r="AH886" s="142"/>
      <c r="AI886" s="142"/>
      <c r="AJ886" s="142"/>
      <c r="AK886" s="142"/>
      <c r="AL886" s="142"/>
      <c r="AM886" s="142"/>
      <c r="AN886" s="142"/>
      <c r="AO886" s="142"/>
      <c r="AP886" s="143"/>
    </row>
    <row r="887" spans="1:42" ht="13.2" hidden="1">
      <c r="A887" s="143"/>
      <c r="B887" s="143"/>
      <c r="C887" s="142"/>
      <c r="D887" s="168"/>
      <c r="E887" s="153"/>
      <c r="F887" s="153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  <c r="AA887" s="142"/>
      <c r="AB887" s="142"/>
      <c r="AC887" s="142"/>
      <c r="AD887" s="142"/>
      <c r="AE887" s="142"/>
      <c r="AF887" s="142"/>
      <c r="AG887" s="142"/>
      <c r="AH887" s="142"/>
      <c r="AI887" s="142"/>
      <c r="AJ887" s="142"/>
      <c r="AK887" s="142"/>
      <c r="AL887" s="142"/>
      <c r="AM887" s="142"/>
      <c r="AN887" s="142"/>
      <c r="AO887" s="142"/>
      <c r="AP887" s="143"/>
    </row>
    <row r="888" spans="1:42" ht="13.2" hidden="1">
      <c r="A888" s="143"/>
      <c r="B888" s="143"/>
      <c r="C888" s="142"/>
      <c r="D888" s="168"/>
      <c r="E888" s="153"/>
      <c r="F888" s="153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  <c r="AA888" s="142"/>
      <c r="AB888" s="142"/>
      <c r="AC888" s="142"/>
      <c r="AD888" s="142"/>
      <c r="AE888" s="142"/>
      <c r="AF888" s="142"/>
      <c r="AG888" s="142"/>
      <c r="AH888" s="142"/>
      <c r="AI888" s="142"/>
      <c r="AJ888" s="142"/>
      <c r="AK888" s="142"/>
      <c r="AL888" s="142"/>
      <c r="AM888" s="142"/>
      <c r="AN888" s="142"/>
      <c r="AO888" s="142"/>
      <c r="AP888" s="143"/>
    </row>
    <row r="889" spans="1:42" ht="13.2" hidden="1">
      <c r="A889" s="143"/>
      <c r="B889" s="143"/>
      <c r="C889" s="142"/>
      <c r="D889" s="168"/>
      <c r="E889" s="153"/>
      <c r="F889" s="153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  <c r="AA889" s="142"/>
      <c r="AB889" s="142"/>
      <c r="AC889" s="142"/>
      <c r="AD889" s="142"/>
      <c r="AE889" s="142"/>
      <c r="AF889" s="142"/>
      <c r="AG889" s="142"/>
      <c r="AH889" s="142"/>
      <c r="AI889" s="142"/>
      <c r="AJ889" s="142"/>
      <c r="AK889" s="142"/>
      <c r="AL889" s="142"/>
      <c r="AM889" s="142"/>
      <c r="AN889" s="142"/>
      <c r="AO889" s="142"/>
      <c r="AP889" s="143"/>
    </row>
    <row r="890" spans="1:42" ht="13.2" hidden="1">
      <c r="A890" s="143"/>
      <c r="B890" s="143"/>
      <c r="C890" s="142"/>
      <c r="D890" s="168"/>
      <c r="E890" s="153"/>
      <c r="F890" s="153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  <c r="AA890" s="142"/>
      <c r="AB890" s="142"/>
      <c r="AC890" s="142"/>
      <c r="AD890" s="142"/>
      <c r="AE890" s="142"/>
      <c r="AF890" s="142"/>
      <c r="AG890" s="142"/>
      <c r="AH890" s="142"/>
      <c r="AI890" s="142"/>
      <c r="AJ890" s="142"/>
      <c r="AK890" s="142"/>
      <c r="AL890" s="142"/>
      <c r="AM890" s="142"/>
      <c r="AN890" s="142"/>
      <c r="AO890" s="142"/>
      <c r="AP890" s="143"/>
    </row>
    <row r="891" spans="1:42" ht="13.2" hidden="1">
      <c r="A891" s="143"/>
      <c r="B891" s="143"/>
      <c r="C891" s="142"/>
      <c r="D891" s="168"/>
      <c r="E891" s="153"/>
      <c r="F891" s="153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  <c r="AA891" s="142"/>
      <c r="AB891" s="142"/>
      <c r="AC891" s="142"/>
      <c r="AD891" s="142"/>
      <c r="AE891" s="142"/>
      <c r="AF891" s="142"/>
      <c r="AG891" s="142"/>
      <c r="AH891" s="142"/>
      <c r="AI891" s="142"/>
      <c r="AJ891" s="142"/>
      <c r="AK891" s="142"/>
      <c r="AL891" s="142"/>
      <c r="AM891" s="142"/>
      <c r="AN891" s="142"/>
      <c r="AO891" s="142"/>
      <c r="AP891" s="143"/>
    </row>
    <row r="892" spans="1:42" ht="13.2" hidden="1">
      <c r="A892" s="143"/>
      <c r="B892" s="143"/>
      <c r="C892" s="142"/>
      <c r="D892" s="168"/>
      <c r="E892" s="153"/>
      <c r="F892" s="153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  <c r="AA892" s="142"/>
      <c r="AB892" s="142"/>
      <c r="AC892" s="142"/>
      <c r="AD892" s="142"/>
      <c r="AE892" s="142"/>
      <c r="AF892" s="142"/>
      <c r="AG892" s="142"/>
      <c r="AH892" s="142"/>
      <c r="AI892" s="142"/>
      <c r="AJ892" s="142"/>
      <c r="AK892" s="142"/>
      <c r="AL892" s="142"/>
      <c r="AM892" s="142"/>
      <c r="AN892" s="142"/>
      <c r="AO892" s="142"/>
      <c r="AP892" s="143"/>
    </row>
    <row r="893" spans="1:42" ht="13.2" hidden="1">
      <c r="A893" s="143"/>
      <c r="B893" s="143"/>
      <c r="C893" s="142"/>
      <c r="D893" s="168"/>
      <c r="E893" s="153"/>
      <c r="F893" s="153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  <c r="AA893" s="142"/>
      <c r="AB893" s="142"/>
      <c r="AC893" s="142"/>
      <c r="AD893" s="142"/>
      <c r="AE893" s="142"/>
      <c r="AF893" s="142"/>
      <c r="AG893" s="142"/>
      <c r="AH893" s="142"/>
      <c r="AI893" s="142"/>
      <c r="AJ893" s="142"/>
      <c r="AK893" s="142"/>
      <c r="AL893" s="142"/>
      <c r="AM893" s="142"/>
      <c r="AN893" s="142"/>
      <c r="AO893" s="142"/>
      <c r="AP893" s="143"/>
    </row>
    <row r="894" spans="1:42" ht="13.2" hidden="1">
      <c r="A894" s="143"/>
      <c r="B894" s="143"/>
      <c r="C894" s="142"/>
      <c r="D894" s="168"/>
      <c r="E894" s="153"/>
      <c r="F894" s="153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  <c r="AA894" s="142"/>
      <c r="AB894" s="142"/>
      <c r="AC894" s="142"/>
      <c r="AD894" s="142"/>
      <c r="AE894" s="142"/>
      <c r="AF894" s="142"/>
      <c r="AG894" s="142"/>
      <c r="AH894" s="142"/>
      <c r="AI894" s="142"/>
      <c r="AJ894" s="142"/>
      <c r="AK894" s="142"/>
      <c r="AL894" s="142"/>
      <c r="AM894" s="142"/>
      <c r="AN894" s="142"/>
      <c r="AO894" s="142"/>
      <c r="AP894" s="143"/>
    </row>
    <row r="895" spans="1:42" ht="13.2" hidden="1">
      <c r="A895" s="143"/>
      <c r="B895" s="143"/>
      <c r="C895" s="142"/>
      <c r="D895" s="168"/>
      <c r="E895" s="153"/>
      <c r="F895" s="153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  <c r="AA895" s="142"/>
      <c r="AB895" s="142"/>
      <c r="AC895" s="142"/>
      <c r="AD895" s="142"/>
      <c r="AE895" s="142"/>
      <c r="AF895" s="142"/>
      <c r="AG895" s="142"/>
      <c r="AH895" s="142"/>
      <c r="AI895" s="142"/>
      <c r="AJ895" s="142"/>
      <c r="AK895" s="142"/>
      <c r="AL895" s="142"/>
      <c r="AM895" s="142"/>
      <c r="AN895" s="142"/>
      <c r="AO895" s="142"/>
      <c r="AP895" s="143"/>
    </row>
    <row r="896" spans="1:42" ht="13.2" hidden="1">
      <c r="A896" s="143"/>
      <c r="B896" s="143"/>
      <c r="C896" s="142"/>
      <c r="D896" s="168"/>
      <c r="E896" s="153"/>
      <c r="F896" s="153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  <c r="AA896" s="142"/>
      <c r="AB896" s="142"/>
      <c r="AC896" s="142"/>
      <c r="AD896" s="142"/>
      <c r="AE896" s="142"/>
      <c r="AF896" s="142"/>
      <c r="AG896" s="142"/>
      <c r="AH896" s="142"/>
      <c r="AI896" s="142"/>
      <c r="AJ896" s="142"/>
      <c r="AK896" s="142"/>
      <c r="AL896" s="142"/>
      <c r="AM896" s="142"/>
      <c r="AN896" s="142"/>
      <c r="AO896" s="142"/>
      <c r="AP896" s="143"/>
    </row>
    <row r="897" spans="1:42" ht="13.2" hidden="1">
      <c r="A897" s="143"/>
      <c r="B897" s="143"/>
      <c r="C897" s="142"/>
      <c r="D897" s="168"/>
      <c r="E897" s="153"/>
      <c r="F897" s="153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  <c r="AA897" s="142"/>
      <c r="AB897" s="142"/>
      <c r="AC897" s="142"/>
      <c r="AD897" s="142"/>
      <c r="AE897" s="142"/>
      <c r="AF897" s="142"/>
      <c r="AG897" s="142"/>
      <c r="AH897" s="142"/>
      <c r="AI897" s="142"/>
      <c r="AJ897" s="142"/>
      <c r="AK897" s="142"/>
      <c r="AL897" s="142"/>
      <c r="AM897" s="142"/>
      <c r="AN897" s="142"/>
      <c r="AO897" s="142"/>
      <c r="AP897" s="143"/>
    </row>
    <row r="898" spans="1:42" ht="13.2" hidden="1">
      <c r="A898" s="143"/>
      <c r="B898" s="143"/>
      <c r="C898" s="142"/>
      <c r="D898" s="168"/>
      <c r="E898" s="153"/>
      <c r="F898" s="153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  <c r="AA898" s="142"/>
      <c r="AB898" s="142"/>
      <c r="AC898" s="142"/>
      <c r="AD898" s="142"/>
      <c r="AE898" s="142"/>
      <c r="AF898" s="142"/>
      <c r="AG898" s="142"/>
      <c r="AH898" s="142"/>
      <c r="AI898" s="142"/>
      <c r="AJ898" s="142"/>
      <c r="AK898" s="142"/>
      <c r="AL898" s="142"/>
      <c r="AM898" s="142"/>
      <c r="AN898" s="142"/>
      <c r="AO898" s="142"/>
      <c r="AP898" s="143"/>
    </row>
    <row r="899" spans="1:42" ht="13.2" hidden="1">
      <c r="A899" s="143"/>
      <c r="B899" s="143"/>
      <c r="C899" s="142"/>
      <c r="D899" s="168"/>
      <c r="E899" s="153"/>
      <c r="F899" s="153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  <c r="AA899" s="142"/>
      <c r="AB899" s="142"/>
      <c r="AC899" s="142"/>
      <c r="AD899" s="142"/>
      <c r="AE899" s="142"/>
      <c r="AF899" s="142"/>
      <c r="AG899" s="142"/>
      <c r="AH899" s="142"/>
      <c r="AI899" s="142"/>
      <c r="AJ899" s="142"/>
      <c r="AK899" s="142"/>
      <c r="AL899" s="142"/>
      <c r="AM899" s="142"/>
      <c r="AN899" s="142"/>
      <c r="AO899" s="142"/>
      <c r="AP899" s="143"/>
    </row>
    <row r="900" spans="1:42" ht="13.2" hidden="1">
      <c r="A900" s="143"/>
      <c r="B900" s="143"/>
      <c r="C900" s="142"/>
      <c r="D900" s="168"/>
      <c r="E900" s="153"/>
      <c r="F900" s="153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  <c r="AA900" s="142"/>
      <c r="AB900" s="142"/>
      <c r="AC900" s="142"/>
      <c r="AD900" s="142"/>
      <c r="AE900" s="142"/>
      <c r="AF900" s="142"/>
      <c r="AG900" s="142"/>
      <c r="AH900" s="142"/>
      <c r="AI900" s="142"/>
      <c r="AJ900" s="142"/>
      <c r="AK900" s="142"/>
      <c r="AL900" s="142"/>
      <c r="AM900" s="142"/>
      <c r="AN900" s="142"/>
      <c r="AO900" s="142"/>
      <c r="AP900" s="143"/>
    </row>
    <row r="901" spans="1:42" ht="13.2" hidden="1">
      <c r="A901" s="143"/>
      <c r="B901" s="143"/>
      <c r="C901" s="142"/>
      <c r="D901" s="168"/>
      <c r="E901" s="153"/>
      <c r="F901" s="153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  <c r="AA901" s="142"/>
      <c r="AB901" s="142"/>
      <c r="AC901" s="142"/>
      <c r="AD901" s="142"/>
      <c r="AE901" s="142"/>
      <c r="AF901" s="142"/>
      <c r="AG901" s="142"/>
      <c r="AH901" s="142"/>
      <c r="AI901" s="142"/>
      <c r="AJ901" s="142"/>
      <c r="AK901" s="142"/>
      <c r="AL901" s="142"/>
      <c r="AM901" s="142"/>
      <c r="AN901" s="142"/>
      <c r="AO901" s="142"/>
      <c r="AP901" s="143"/>
    </row>
    <row r="902" spans="1:42" ht="13.2" hidden="1">
      <c r="A902" s="143"/>
      <c r="B902" s="143"/>
      <c r="C902" s="142"/>
      <c r="D902" s="168"/>
      <c r="E902" s="153"/>
      <c r="F902" s="153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  <c r="AA902" s="142"/>
      <c r="AB902" s="142"/>
      <c r="AC902" s="142"/>
      <c r="AD902" s="142"/>
      <c r="AE902" s="142"/>
      <c r="AF902" s="142"/>
      <c r="AG902" s="142"/>
      <c r="AH902" s="142"/>
      <c r="AI902" s="142"/>
      <c r="AJ902" s="142"/>
      <c r="AK902" s="142"/>
      <c r="AL902" s="142"/>
      <c r="AM902" s="142"/>
      <c r="AN902" s="142"/>
      <c r="AO902" s="142"/>
      <c r="AP902" s="143"/>
    </row>
    <row r="903" spans="1:42" ht="13.2" hidden="1">
      <c r="A903" s="143"/>
      <c r="B903" s="143"/>
      <c r="C903" s="142"/>
      <c r="D903" s="168"/>
      <c r="E903" s="153"/>
      <c r="F903" s="153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  <c r="AA903" s="142"/>
      <c r="AB903" s="142"/>
      <c r="AC903" s="142"/>
      <c r="AD903" s="142"/>
      <c r="AE903" s="142"/>
      <c r="AF903" s="142"/>
      <c r="AG903" s="142"/>
      <c r="AH903" s="142"/>
      <c r="AI903" s="142"/>
      <c r="AJ903" s="142"/>
      <c r="AK903" s="142"/>
      <c r="AL903" s="142"/>
      <c r="AM903" s="142"/>
      <c r="AN903" s="142"/>
      <c r="AO903" s="142"/>
      <c r="AP903" s="143"/>
    </row>
    <row r="904" spans="1:42" ht="13.2" hidden="1">
      <c r="A904" s="143"/>
      <c r="B904" s="143"/>
      <c r="C904" s="142"/>
      <c r="D904" s="168"/>
      <c r="E904" s="153"/>
      <c r="F904" s="153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  <c r="AA904" s="142"/>
      <c r="AB904" s="142"/>
      <c r="AC904" s="142"/>
      <c r="AD904" s="142"/>
      <c r="AE904" s="142"/>
      <c r="AF904" s="142"/>
      <c r="AG904" s="142"/>
      <c r="AH904" s="142"/>
      <c r="AI904" s="142"/>
      <c r="AJ904" s="142"/>
      <c r="AK904" s="142"/>
      <c r="AL904" s="142"/>
      <c r="AM904" s="142"/>
      <c r="AN904" s="142"/>
      <c r="AO904" s="142"/>
      <c r="AP904" s="143"/>
    </row>
    <row r="905" spans="1:42" ht="13.2" hidden="1">
      <c r="A905" s="143"/>
      <c r="B905" s="143"/>
      <c r="C905" s="142"/>
      <c r="D905" s="168"/>
      <c r="E905" s="153"/>
      <c r="F905" s="153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  <c r="AA905" s="142"/>
      <c r="AB905" s="142"/>
      <c r="AC905" s="142"/>
      <c r="AD905" s="142"/>
      <c r="AE905" s="142"/>
      <c r="AF905" s="142"/>
      <c r="AG905" s="142"/>
      <c r="AH905" s="142"/>
      <c r="AI905" s="142"/>
      <c r="AJ905" s="142"/>
      <c r="AK905" s="142"/>
      <c r="AL905" s="142"/>
      <c r="AM905" s="142"/>
      <c r="AN905" s="142"/>
      <c r="AO905" s="142"/>
      <c r="AP905" s="143"/>
    </row>
    <row r="906" spans="1:42" ht="13.2" hidden="1">
      <c r="A906" s="143"/>
      <c r="B906" s="143"/>
      <c r="C906" s="142"/>
      <c r="D906" s="168"/>
      <c r="E906" s="153"/>
      <c r="F906" s="153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  <c r="AA906" s="142"/>
      <c r="AB906" s="142"/>
      <c r="AC906" s="142"/>
      <c r="AD906" s="142"/>
      <c r="AE906" s="142"/>
      <c r="AF906" s="142"/>
      <c r="AG906" s="142"/>
      <c r="AH906" s="142"/>
      <c r="AI906" s="142"/>
      <c r="AJ906" s="142"/>
      <c r="AK906" s="142"/>
      <c r="AL906" s="142"/>
      <c r="AM906" s="142"/>
      <c r="AN906" s="142"/>
      <c r="AO906" s="142"/>
      <c r="AP906" s="143"/>
    </row>
    <row r="907" spans="1:42" ht="13.2" hidden="1">
      <c r="A907" s="143"/>
      <c r="B907" s="143"/>
      <c r="C907" s="142"/>
      <c r="D907" s="168"/>
      <c r="E907" s="153"/>
      <c r="F907" s="153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  <c r="AA907" s="142"/>
      <c r="AB907" s="142"/>
      <c r="AC907" s="142"/>
      <c r="AD907" s="142"/>
      <c r="AE907" s="142"/>
      <c r="AF907" s="142"/>
      <c r="AG907" s="142"/>
      <c r="AH907" s="142"/>
      <c r="AI907" s="142"/>
      <c r="AJ907" s="142"/>
      <c r="AK907" s="142"/>
      <c r="AL907" s="142"/>
      <c r="AM907" s="142"/>
      <c r="AN907" s="142"/>
      <c r="AO907" s="142"/>
      <c r="AP907" s="143"/>
    </row>
    <row r="908" spans="1:42" ht="13.2" hidden="1">
      <c r="A908" s="143"/>
      <c r="B908" s="143"/>
      <c r="C908" s="142"/>
      <c r="D908" s="168"/>
      <c r="E908" s="153"/>
      <c r="F908" s="153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  <c r="AA908" s="142"/>
      <c r="AB908" s="142"/>
      <c r="AC908" s="142"/>
      <c r="AD908" s="142"/>
      <c r="AE908" s="142"/>
      <c r="AF908" s="142"/>
      <c r="AG908" s="142"/>
      <c r="AH908" s="142"/>
      <c r="AI908" s="142"/>
      <c r="AJ908" s="142"/>
      <c r="AK908" s="142"/>
      <c r="AL908" s="142"/>
      <c r="AM908" s="142"/>
      <c r="AN908" s="142"/>
      <c r="AO908" s="142"/>
      <c r="AP908" s="143"/>
    </row>
    <row r="909" spans="1:42" ht="13.2" hidden="1">
      <c r="A909" s="143"/>
      <c r="B909" s="143"/>
      <c r="C909" s="142"/>
      <c r="D909" s="168"/>
      <c r="E909" s="153"/>
      <c r="F909" s="153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  <c r="AA909" s="142"/>
      <c r="AB909" s="142"/>
      <c r="AC909" s="142"/>
      <c r="AD909" s="142"/>
      <c r="AE909" s="142"/>
      <c r="AF909" s="142"/>
      <c r="AG909" s="142"/>
      <c r="AH909" s="142"/>
      <c r="AI909" s="142"/>
      <c r="AJ909" s="142"/>
      <c r="AK909" s="142"/>
      <c r="AL909" s="142"/>
      <c r="AM909" s="142"/>
      <c r="AN909" s="142"/>
      <c r="AO909" s="142"/>
      <c r="AP909" s="143"/>
    </row>
    <row r="910" spans="1:42" ht="13.2" hidden="1">
      <c r="A910" s="143"/>
      <c r="B910" s="143"/>
      <c r="C910" s="142"/>
      <c r="D910" s="168"/>
      <c r="E910" s="153"/>
      <c r="F910" s="153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  <c r="AA910" s="142"/>
      <c r="AB910" s="142"/>
      <c r="AC910" s="142"/>
      <c r="AD910" s="142"/>
      <c r="AE910" s="142"/>
      <c r="AF910" s="142"/>
      <c r="AG910" s="142"/>
      <c r="AH910" s="142"/>
      <c r="AI910" s="142"/>
      <c r="AJ910" s="142"/>
      <c r="AK910" s="142"/>
      <c r="AL910" s="142"/>
      <c r="AM910" s="142"/>
      <c r="AN910" s="142"/>
      <c r="AO910" s="142"/>
      <c r="AP910" s="143"/>
    </row>
    <row r="911" spans="1:42" ht="13.2" hidden="1">
      <c r="A911" s="143"/>
      <c r="B911" s="143"/>
      <c r="C911" s="142"/>
      <c r="D911" s="168"/>
      <c r="E911" s="153"/>
      <c r="F911" s="153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  <c r="AA911" s="142"/>
      <c r="AB911" s="142"/>
      <c r="AC911" s="142"/>
      <c r="AD911" s="142"/>
      <c r="AE911" s="142"/>
      <c r="AF911" s="142"/>
      <c r="AG911" s="142"/>
      <c r="AH911" s="142"/>
      <c r="AI911" s="142"/>
      <c r="AJ911" s="142"/>
      <c r="AK911" s="142"/>
      <c r="AL911" s="142"/>
      <c r="AM911" s="142"/>
      <c r="AN911" s="142"/>
      <c r="AO911" s="142"/>
      <c r="AP911" s="143"/>
    </row>
    <row r="912" spans="1:42" ht="13.2" hidden="1">
      <c r="A912" s="143"/>
      <c r="B912" s="143"/>
      <c r="C912" s="142"/>
      <c r="D912" s="168"/>
      <c r="E912" s="153"/>
      <c r="F912" s="153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  <c r="AA912" s="142"/>
      <c r="AB912" s="142"/>
      <c r="AC912" s="142"/>
      <c r="AD912" s="142"/>
      <c r="AE912" s="142"/>
      <c r="AF912" s="142"/>
      <c r="AG912" s="142"/>
      <c r="AH912" s="142"/>
      <c r="AI912" s="142"/>
      <c r="AJ912" s="142"/>
      <c r="AK912" s="142"/>
      <c r="AL912" s="142"/>
      <c r="AM912" s="142"/>
      <c r="AN912" s="142"/>
      <c r="AO912" s="142"/>
      <c r="AP912" s="143"/>
    </row>
    <row r="913" spans="1:42" ht="13.2" hidden="1">
      <c r="A913" s="143"/>
      <c r="B913" s="143"/>
      <c r="C913" s="142"/>
      <c r="D913" s="168"/>
      <c r="E913" s="153"/>
      <c r="F913" s="153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  <c r="AA913" s="142"/>
      <c r="AB913" s="142"/>
      <c r="AC913" s="142"/>
      <c r="AD913" s="142"/>
      <c r="AE913" s="142"/>
      <c r="AF913" s="142"/>
      <c r="AG913" s="142"/>
      <c r="AH913" s="142"/>
      <c r="AI913" s="142"/>
      <c r="AJ913" s="142"/>
      <c r="AK913" s="142"/>
      <c r="AL913" s="142"/>
      <c r="AM913" s="142"/>
      <c r="AN913" s="142"/>
      <c r="AO913" s="142"/>
      <c r="AP913" s="143"/>
    </row>
    <row r="914" spans="1:42" ht="13.2" hidden="1">
      <c r="A914" s="143"/>
      <c r="B914" s="143"/>
      <c r="C914" s="142"/>
      <c r="D914" s="168"/>
      <c r="E914" s="153"/>
      <c r="F914" s="153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  <c r="AA914" s="142"/>
      <c r="AB914" s="142"/>
      <c r="AC914" s="142"/>
      <c r="AD914" s="142"/>
      <c r="AE914" s="142"/>
      <c r="AF914" s="142"/>
      <c r="AG914" s="142"/>
      <c r="AH914" s="142"/>
      <c r="AI914" s="142"/>
      <c r="AJ914" s="142"/>
      <c r="AK914" s="142"/>
      <c r="AL914" s="142"/>
      <c r="AM914" s="142"/>
      <c r="AN914" s="142"/>
      <c r="AO914" s="142"/>
      <c r="AP914" s="143"/>
    </row>
    <row r="915" spans="1:42" ht="13.2" hidden="1">
      <c r="A915" s="143"/>
      <c r="B915" s="143"/>
      <c r="C915" s="142"/>
      <c r="D915" s="168"/>
      <c r="E915" s="153"/>
      <c r="F915" s="153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  <c r="AA915" s="142"/>
      <c r="AB915" s="142"/>
      <c r="AC915" s="142"/>
      <c r="AD915" s="142"/>
      <c r="AE915" s="142"/>
      <c r="AF915" s="142"/>
      <c r="AG915" s="142"/>
      <c r="AH915" s="142"/>
      <c r="AI915" s="142"/>
      <c r="AJ915" s="142"/>
      <c r="AK915" s="142"/>
      <c r="AL915" s="142"/>
      <c r="AM915" s="142"/>
      <c r="AN915" s="142"/>
      <c r="AO915" s="142"/>
      <c r="AP915" s="143"/>
    </row>
    <row r="916" spans="1:42" ht="13.2" hidden="1">
      <c r="A916" s="143"/>
      <c r="B916" s="143"/>
      <c r="C916" s="142"/>
      <c r="D916" s="168"/>
      <c r="E916" s="153"/>
      <c r="F916" s="153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  <c r="AA916" s="142"/>
      <c r="AB916" s="142"/>
      <c r="AC916" s="142"/>
      <c r="AD916" s="142"/>
      <c r="AE916" s="142"/>
      <c r="AF916" s="142"/>
      <c r="AG916" s="142"/>
      <c r="AH916" s="142"/>
      <c r="AI916" s="142"/>
      <c r="AJ916" s="142"/>
      <c r="AK916" s="142"/>
      <c r="AL916" s="142"/>
      <c r="AM916" s="142"/>
      <c r="AN916" s="142"/>
      <c r="AO916" s="142"/>
      <c r="AP916" s="143"/>
    </row>
    <row r="917" spans="1:42" ht="13.2" hidden="1">
      <c r="A917" s="143"/>
      <c r="B917" s="143"/>
      <c r="C917" s="142"/>
      <c r="D917" s="168"/>
      <c r="E917" s="153"/>
      <c r="F917" s="153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  <c r="AA917" s="142"/>
      <c r="AB917" s="142"/>
      <c r="AC917" s="142"/>
      <c r="AD917" s="142"/>
      <c r="AE917" s="142"/>
      <c r="AF917" s="142"/>
      <c r="AG917" s="142"/>
      <c r="AH917" s="142"/>
      <c r="AI917" s="142"/>
      <c r="AJ917" s="142"/>
      <c r="AK917" s="142"/>
      <c r="AL917" s="142"/>
      <c r="AM917" s="142"/>
      <c r="AN917" s="142"/>
      <c r="AO917" s="142"/>
      <c r="AP917" s="143"/>
    </row>
    <row r="918" spans="1:42" ht="13.2" hidden="1">
      <c r="A918" s="143"/>
      <c r="B918" s="143"/>
      <c r="C918" s="142"/>
      <c r="D918" s="168"/>
      <c r="E918" s="153"/>
      <c r="F918" s="153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  <c r="AA918" s="142"/>
      <c r="AB918" s="142"/>
      <c r="AC918" s="142"/>
      <c r="AD918" s="142"/>
      <c r="AE918" s="142"/>
      <c r="AF918" s="142"/>
      <c r="AG918" s="142"/>
      <c r="AH918" s="142"/>
      <c r="AI918" s="142"/>
      <c r="AJ918" s="142"/>
      <c r="AK918" s="142"/>
      <c r="AL918" s="142"/>
      <c r="AM918" s="142"/>
      <c r="AN918" s="142"/>
      <c r="AO918" s="142"/>
      <c r="AP918" s="143"/>
    </row>
    <row r="919" spans="1:42" ht="13.2" hidden="1">
      <c r="A919" s="143"/>
      <c r="B919" s="143"/>
      <c r="C919" s="142"/>
      <c r="D919" s="168"/>
      <c r="E919" s="153"/>
      <c r="F919" s="153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  <c r="AA919" s="142"/>
      <c r="AB919" s="142"/>
      <c r="AC919" s="142"/>
      <c r="AD919" s="142"/>
      <c r="AE919" s="142"/>
      <c r="AF919" s="142"/>
      <c r="AG919" s="142"/>
      <c r="AH919" s="142"/>
      <c r="AI919" s="142"/>
      <c r="AJ919" s="142"/>
      <c r="AK919" s="142"/>
      <c r="AL919" s="142"/>
      <c r="AM919" s="142"/>
      <c r="AN919" s="142"/>
      <c r="AO919" s="142"/>
      <c r="AP919" s="143"/>
    </row>
    <row r="920" spans="1:42" ht="13.2" hidden="1">
      <c r="A920" s="143"/>
      <c r="B920" s="143"/>
      <c r="C920" s="142"/>
      <c r="D920" s="168"/>
      <c r="E920" s="153"/>
      <c r="F920" s="153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  <c r="AA920" s="142"/>
      <c r="AB920" s="142"/>
      <c r="AC920" s="142"/>
      <c r="AD920" s="142"/>
      <c r="AE920" s="142"/>
      <c r="AF920" s="142"/>
      <c r="AG920" s="142"/>
      <c r="AH920" s="142"/>
      <c r="AI920" s="142"/>
      <c r="AJ920" s="142"/>
      <c r="AK920" s="142"/>
      <c r="AL920" s="142"/>
      <c r="AM920" s="142"/>
      <c r="AN920" s="142"/>
      <c r="AO920" s="142"/>
      <c r="AP920" s="143"/>
    </row>
    <row r="921" spans="1:42" ht="13.2" hidden="1">
      <c r="A921" s="143"/>
      <c r="B921" s="143"/>
      <c r="C921" s="142"/>
      <c r="D921" s="168"/>
      <c r="E921" s="153"/>
      <c r="F921" s="153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  <c r="AA921" s="142"/>
      <c r="AB921" s="142"/>
      <c r="AC921" s="142"/>
      <c r="AD921" s="142"/>
      <c r="AE921" s="142"/>
      <c r="AF921" s="142"/>
      <c r="AG921" s="142"/>
      <c r="AH921" s="142"/>
      <c r="AI921" s="142"/>
      <c r="AJ921" s="142"/>
      <c r="AK921" s="142"/>
      <c r="AL921" s="142"/>
      <c r="AM921" s="142"/>
      <c r="AN921" s="142"/>
      <c r="AO921" s="142"/>
      <c r="AP921" s="143"/>
    </row>
    <row r="922" spans="1:42" ht="13.2" hidden="1">
      <c r="A922" s="143"/>
      <c r="B922" s="143"/>
      <c r="C922" s="142"/>
      <c r="D922" s="168"/>
      <c r="E922" s="153"/>
      <c r="F922" s="153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  <c r="AA922" s="142"/>
      <c r="AB922" s="142"/>
      <c r="AC922" s="142"/>
      <c r="AD922" s="142"/>
      <c r="AE922" s="142"/>
      <c r="AF922" s="142"/>
      <c r="AG922" s="142"/>
      <c r="AH922" s="142"/>
      <c r="AI922" s="142"/>
      <c r="AJ922" s="142"/>
      <c r="AK922" s="142"/>
      <c r="AL922" s="142"/>
      <c r="AM922" s="142"/>
      <c r="AN922" s="142"/>
      <c r="AO922" s="142"/>
      <c r="AP922" s="143"/>
    </row>
    <row r="923" spans="1:42" ht="13.2" hidden="1">
      <c r="A923" s="143"/>
      <c r="B923" s="143"/>
      <c r="C923" s="142"/>
      <c r="D923" s="168"/>
      <c r="E923" s="153"/>
      <c r="F923" s="153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  <c r="AA923" s="142"/>
      <c r="AB923" s="142"/>
      <c r="AC923" s="142"/>
      <c r="AD923" s="142"/>
      <c r="AE923" s="142"/>
      <c r="AF923" s="142"/>
      <c r="AG923" s="142"/>
      <c r="AH923" s="142"/>
      <c r="AI923" s="142"/>
      <c r="AJ923" s="142"/>
      <c r="AK923" s="142"/>
      <c r="AL923" s="142"/>
      <c r="AM923" s="142"/>
      <c r="AN923" s="142"/>
      <c r="AO923" s="142"/>
      <c r="AP923" s="143"/>
    </row>
    <row r="924" spans="1:42" ht="13.2" hidden="1">
      <c r="A924" s="143"/>
      <c r="B924" s="143"/>
      <c r="C924" s="142"/>
      <c r="D924" s="168"/>
      <c r="E924" s="153"/>
      <c r="F924" s="153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  <c r="AA924" s="142"/>
      <c r="AB924" s="142"/>
      <c r="AC924" s="142"/>
      <c r="AD924" s="142"/>
      <c r="AE924" s="142"/>
      <c r="AF924" s="142"/>
      <c r="AG924" s="142"/>
      <c r="AH924" s="142"/>
      <c r="AI924" s="142"/>
      <c r="AJ924" s="142"/>
      <c r="AK924" s="142"/>
      <c r="AL924" s="142"/>
      <c r="AM924" s="142"/>
      <c r="AN924" s="142"/>
      <c r="AO924" s="142"/>
      <c r="AP924" s="143"/>
    </row>
    <row r="925" spans="1:42" ht="13.2" hidden="1">
      <c r="A925" s="143"/>
      <c r="B925" s="143"/>
      <c r="C925" s="142"/>
      <c r="D925" s="168"/>
      <c r="E925" s="153"/>
      <c r="F925" s="153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  <c r="AA925" s="142"/>
      <c r="AB925" s="142"/>
      <c r="AC925" s="142"/>
      <c r="AD925" s="142"/>
      <c r="AE925" s="142"/>
      <c r="AF925" s="142"/>
      <c r="AG925" s="142"/>
      <c r="AH925" s="142"/>
      <c r="AI925" s="142"/>
      <c r="AJ925" s="142"/>
      <c r="AK925" s="142"/>
      <c r="AL925" s="142"/>
      <c r="AM925" s="142"/>
      <c r="AN925" s="142"/>
      <c r="AO925" s="142"/>
      <c r="AP925" s="143"/>
    </row>
    <row r="926" spans="1:42" ht="13.2" hidden="1">
      <c r="A926" s="143"/>
      <c r="B926" s="143"/>
      <c r="C926" s="142"/>
      <c r="D926" s="168"/>
      <c r="E926" s="153"/>
      <c r="F926" s="153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  <c r="AA926" s="142"/>
      <c r="AB926" s="142"/>
      <c r="AC926" s="142"/>
      <c r="AD926" s="142"/>
      <c r="AE926" s="142"/>
      <c r="AF926" s="142"/>
      <c r="AG926" s="142"/>
      <c r="AH926" s="142"/>
      <c r="AI926" s="142"/>
      <c r="AJ926" s="142"/>
      <c r="AK926" s="142"/>
      <c r="AL926" s="142"/>
      <c r="AM926" s="142"/>
      <c r="AN926" s="142"/>
      <c r="AO926" s="142"/>
      <c r="AP926" s="143"/>
    </row>
    <row r="927" spans="1:42" ht="13.2" hidden="1">
      <c r="A927" s="143"/>
      <c r="B927" s="143"/>
      <c r="C927" s="142"/>
      <c r="D927" s="168"/>
      <c r="E927" s="153"/>
      <c r="F927" s="153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  <c r="AA927" s="142"/>
      <c r="AB927" s="142"/>
      <c r="AC927" s="142"/>
      <c r="AD927" s="142"/>
      <c r="AE927" s="142"/>
      <c r="AF927" s="142"/>
      <c r="AG927" s="142"/>
      <c r="AH927" s="142"/>
      <c r="AI927" s="142"/>
      <c r="AJ927" s="142"/>
      <c r="AK927" s="142"/>
      <c r="AL927" s="142"/>
      <c r="AM927" s="142"/>
      <c r="AN927" s="142"/>
      <c r="AO927" s="142"/>
      <c r="AP927" s="143"/>
    </row>
    <row r="928" spans="1:42" ht="13.2" hidden="1">
      <c r="A928" s="143"/>
      <c r="B928" s="143"/>
      <c r="C928" s="142"/>
      <c r="D928" s="168"/>
      <c r="E928" s="153"/>
      <c r="F928" s="153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  <c r="AA928" s="142"/>
      <c r="AB928" s="142"/>
      <c r="AC928" s="142"/>
      <c r="AD928" s="142"/>
      <c r="AE928" s="142"/>
      <c r="AF928" s="142"/>
      <c r="AG928" s="142"/>
      <c r="AH928" s="142"/>
      <c r="AI928" s="142"/>
      <c r="AJ928" s="142"/>
      <c r="AK928" s="142"/>
      <c r="AL928" s="142"/>
      <c r="AM928" s="142"/>
      <c r="AN928" s="142"/>
      <c r="AO928" s="142"/>
      <c r="AP928" s="143"/>
    </row>
    <row r="929" spans="1:42" ht="13.2" hidden="1">
      <c r="A929" s="143"/>
      <c r="B929" s="143"/>
      <c r="C929" s="142"/>
      <c r="D929" s="168"/>
      <c r="E929" s="153"/>
      <c r="F929" s="153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  <c r="AA929" s="142"/>
      <c r="AB929" s="142"/>
      <c r="AC929" s="142"/>
      <c r="AD929" s="142"/>
      <c r="AE929" s="142"/>
      <c r="AF929" s="142"/>
      <c r="AG929" s="142"/>
      <c r="AH929" s="142"/>
      <c r="AI929" s="142"/>
      <c r="AJ929" s="142"/>
      <c r="AK929" s="142"/>
      <c r="AL929" s="142"/>
      <c r="AM929" s="142"/>
      <c r="AN929" s="142"/>
      <c r="AO929" s="142"/>
      <c r="AP929" s="143"/>
    </row>
    <row r="930" spans="1:42" ht="13.2" hidden="1">
      <c r="A930" s="143"/>
      <c r="B930" s="143"/>
      <c r="C930" s="142"/>
      <c r="D930" s="168"/>
      <c r="E930" s="153"/>
      <c r="F930" s="153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  <c r="AA930" s="142"/>
      <c r="AB930" s="142"/>
      <c r="AC930" s="142"/>
      <c r="AD930" s="142"/>
      <c r="AE930" s="142"/>
      <c r="AF930" s="142"/>
      <c r="AG930" s="142"/>
      <c r="AH930" s="142"/>
      <c r="AI930" s="142"/>
      <c r="AJ930" s="142"/>
      <c r="AK930" s="142"/>
      <c r="AL930" s="142"/>
      <c r="AM930" s="142"/>
      <c r="AN930" s="142"/>
      <c r="AO930" s="142"/>
      <c r="AP930" s="143"/>
    </row>
    <row r="931" spans="1:42" ht="13.2" hidden="1">
      <c r="A931" s="143"/>
      <c r="B931" s="143"/>
      <c r="C931" s="142"/>
      <c r="D931" s="168"/>
      <c r="E931" s="153"/>
      <c r="F931" s="153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  <c r="AA931" s="142"/>
      <c r="AB931" s="142"/>
      <c r="AC931" s="142"/>
      <c r="AD931" s="142"/>
      <c r="AE931" s="142"/>
      <c r="AF931" s="142"/>
      <c r="AG931" s="142"/>
      <c r="AH931" s="142"/>
      <c r="AI931" s="142"/>
      <c r="AJ931" s="142"/>
      <c r="AK931" s="142"/>
      <c r="AL931" s="142"/>
      <c r="AM931" s="142"/>
      <c r="AN931" s="142"/>
      <c r="AO931" s="142"/>
      <c r="AP931" s="143"/>
    </row>
    <row r="932" spans="1:42" ht="13.2" hidden="1">
      <c r="A932" s="143"/>
      <c r="B932" s="143"/>
      <c r="C932" s="142"/>
      <c r="D932" s="168"/>
      <c r="E932" s="153"/>
      <c r="F932" s="153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  <c r="AA932" s="142"/>
      <c r="AB932" s="142"/>
      <c r="AC932" s="142"/>
      <c r="AD932" s="142"/>
      <c r="AE932" s="142"/>
      <c r="AF932" s="142"/>
      <c r="AG932" s="142"/>
      <c r="AH932" s="142"/>
      <c r="AI932" s="142"/>
      <c r="AJ932" s="142"/>
      <c r="AK932" s="142"/>
      <c r="AL932" s="142"/>
      <c r="AM932" s="142"/>
      <c r="AN932" s="142"/>
      <c r="AO932" s="142"/>
      <c r="AP932" s="143"/>
    </row>
    <row r="933" spans="1:42" ht="13.2" hidden="1">
      <c r="A933" s="143"/>
      <c r="B933" s="143"/>
      <c r="C933" s="142"/>
      <c r="D933" s="168"/>
      <c r="E933" s="153"/>
      <c r="F933" s="153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  <c r="AA933" s="142"/>
      <c r="AB933" s="142"/>
      <c r="AC933" s="142"/>
      <c r="AD933" s="142"/>
      <c r="AE933" s="142"/>
      <c r="AF933" s="142"/>
      <c r="AG933" s="142"/>
      <c r="AH933" s="142"/>
      <c r="AI933" s="142"/>
      <c r="AJ933" s="142"/>
      <c r="AK933" s="142"/>
      <c r="AL933" s="142"/>
      <c r="AM933" s="142"/>
      <c r="AN933" s="142"/>
      <c r="AO933" s="142"/>
      <c r="AP933" s="143"/>
    </row>
    <row r="934" spans="1:42" ht="13.2" hidden="1">
      <c r="A934" s="143"/>
      <c r="B934" s="143"/>
      <c r="C934" s="142"/>
      <c r="D934" s="168"/>
      <c r="E934" s="153"/>
      <c r="F934" s="153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  <c r="AA934" s="142"/>
      <c r="AB934" s="142"/>
      <c r="AC934" s="142"/>
      <c r="AD934" s="142"/>
      <c r="AE934" s="142"/>
      <c r="AF934" s="142"/>
      <c r="AG934" s="142"/>
      <c r="AH934" s="142"/>
      <c r="AI934" s="142"/>
      <c r="AJ934" s="142"/>
      <c r="AK934" s="142"/>
      <c r="AL934" s="142"/>
      <c r="AM934" s="142"/>
      <c r="AN934" s="142"/>
      <c r="AO934" s="142"/>
      <c r="AP934" s="143"/>
    </row>
    <row r="935" spans="1:42" ht="13.2" hidden="1">
      <c r="A935" s="143"/>
      <c r="B935" s="143"/>
      <c r="C935" s="142"/>
      <c r="D935" s="168"/>
      <c r="E935" s="153"/>
      <c r="F935" s="153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  <c r="AA935" s="142"/>
      <c r="AB935" s="142"/>
      <c r="AC935" s="142"/>
      <c r="AD935" s="142"/>
      <c r="AE935" s="142"/>
      <c r="AF935" s="142"/>
      <c r="AG935" s="142"/>
      <c r="AH935" s="142"/>
      <c r="AI935" s="142"/>
      <c r="AJ935" s="142"/>
      <c r="AK935" s="142"/>
      <c r="AL935" s="142"/>
      <c r="AM935" s="142"/>
      <c r="AN935" s="142"/>
      <c r="AO935" s="142"/>
      <c r="AP935" s="143"/>
    </row>
    <row r="936" spans="1:42" ht="13.2" hidden="1">
      <c r="A936" s="143"/>
      <c r="B936" s="143"/>
      <c r="C936" s="142"/>
      <c r="D936" s="168"/>
      <c r="E936" s="153"/>
      <c r="F936" s="153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  <c r="AA936" s="142"/>
      <c r="AB936" s="142"/>
      <c r="AC936" s="142"/>
      <c r="AD936" s="142"/>
      <c r="AE936" s="142"/>
      <c r="AF936" s="142"/>
      <c r="AG936" s="142"/>
      <c r="AH936" s="142"/>
      <c r="AI936" s="142"/>
      <c r="AJ936" s="142"/>
      <c r="AK936" s="142"/>
      <c r="AL936" s="142"/>
      <c r="AM936" s="142"/>
      <c r="AN936" s="142"/>
      <c r="AO936" s="142"/>
      <c r="AP936" s="143"/>
    </row>
    <row r="937" spans="1:42" ht="13.2" hidden="1">
      <c r="A937" s="143"/>
      <c r="B937" s="143"/>
      <c r="C937" s="142"/>
      <c r="D937" s="168"/>
      <c r="E937" s="153"/>
      <c r="F937" s="153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  <c r="AA937" s="142"/>
      <c r="AB937" s="142"/>
      <c r="AC937" s="142"/>
      <c r="AD937" s="142"/>
      <c r="AE937" s="142"/>
      <c r="AF937" s="142"/>
      <c r="AG937" s="142"/>
      <c r="AH937" s="142"/>
      <c r="AI937" s="142"/>
      <c r="AJ937" s="142"/>
      <c r="AK937" s="142"/>
      <c r="AL937" s="142"/>
      <c r="AM937" s="142"/>
      <c r="AN937" s="142"/>
      <c r="AO937" s="142"/>
      <c r="AP937" s="143"/>
    </row>
    <row r="938" spans="1:42" ht="13.2" hidden="1">
      <c r="A938" s="143"/>
      <c r="B938" s="143"/>
      <c r="C938" s="142"/>
      <c r="D938" s="168"/>
      <c r="E938" s="153"/>
      <c r="F938" s="153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  <c r="AA938" s="142"/>
      <c r="AB938" s="142"/>
      <c r="AC938" s="142"/>
      <c r="AD938" s="142"/>
      <c r="AE938" s="142"/>
      <c r="AF938" s="142"/>
      <c r="AG938" s="142"/>
      <c r="AH938" s="142"/>
      <c r="AI938" s="142"/>
      <c r="AJ938" s="142"/>
      <c r="AK938" s="142"/>
      <c r="AL938" s="142"/>
      <c r="AM938" s="142"/>
      <c r="AN938" s="142"/>
      <c r="AO938" s="142"/>
      <c r="AP938" s="143"/>
    </row>
    <row r="939" spans="1:42" ht="13.2" hidden="1">
      <c r="A939" s="143"/>
      <c r="B939" s="143"/>
      <c r="C939" s="142"/>
      <c r="D939" s="168"/>
      <c r="E939" s="153"/>
      <c r="F939" s="153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  <c r="AA939" s="142"/>
      <c r="AB939" s="142"/>
      <c r="AC939" s="142"/>
      <c r="AD939" s="142"/>
      <c r="AE939" s="142"/>
      <c r="AF939" s="142"/>
      <c r="AG939" s="142"/>
      <c r="AH939" s="142"/>
      <c r="AI939" s="142"/>
      <c r="AJ939" s="142"/>
      <c r="AK939" s="142"/>
      <c r="AL939" s="142"/>
      <c r="AM939" s="142"/>
      <c r="AN939" s="142"/>
      <c r="AO939" s="142"/>
      <c r="AP939" s="143"/>
    </row>
    <row r="940" spans="1:42" ht="13.2" hidden="1">
      <c r="A940" s="143"/>
      <c r="B940" s="143"/>
      <c r="C940" s="142"/>
      <c r="D940" s="168"/>
      <c r="E940" s="153"/>
      <c r="F940" s="153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  <c r="AA940" s="142"/>
      <c r="AB940" s="142"/>
      <c r="AC940" s="142"/>
      <c r="AD940" s="142"/>
      <c r="AE940" s="142"/>
      <c r="AF940" s="142"/>
      <c r="AG940" s="142"/>
      <c r="AH940" s="142"/>
      <c r="AI940" s="142"/>
      <c r="AJ940" s="142"/>
      <c r="AK940" s="142"/>
      <c r="AL940" s="142"/>
      <c r="AM940" s="142"/>
      <c r="AN940" s="142"/>
      <c r="AO940" s="142"/>
      <c r="AP940" s="143"/>
    </row>
    <row r="941" spans="1:42" ht="13.2" hidden="1">
      <c r="A941" s="143"/>
      <c r="B941" s="143"/>
      <c r="C941" s="142"/>
      <c r="D941" s="168"/>
      <c r="E941" s="153"/>
      <c r="F941" s="153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  <c r="AA941" s="142"/>
      <c r="AB941" s="142"/>
      <c r="AC941" s="142"/>
      <c r="AD941" s="142"/>
      <c r="AE941" s="142"/>
      <c r="AF941" s="142"/>
      <c r="AG941" s="142"/>
      <c r="AH941" s="142"/>
      <c r="AI941" s="142"/>
      <c r="AJ941" s="142"/>
      <c r="AK941" s="142"/>
      <c r="AL941" s="142"/>
      <c r="AM941" s="142"/>
      <c r="AN941" s="142"/>
      <c r="AO941" s="142"/>
      <c r="AP941" s="143"/>
    </row>
    <row r="942" spans="1:42" ht="13.2" hidden="1">
      <c r="A942" s="143"/>
      <c r="B942" s="143"/>
      <c r="C942" s="142"/>
      <c r="D942" s="168"/>
      <c r="E942" s="153"/>
      <c r="F942" s="153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  <c r="AA942" s="142"/>
      <c r="AB942" s="142"/>
      <c r="AC942" s="142"/>
      <c r="AD942" s="142"/>
      <c r="AE942" s="142"/>
      <c r="AF942" s="142"/>
      <c r="AG942" s="142"/>
      <c r="AH942" s="142"/>
      <c r="AI942" s="142"/>
      <c r="AJ942" s="142"/>
      <c r="AK942" s="142"/>
      <c r="AL942" s="142"/>
      <c r="AM942" s="142"/>
      <c r="AN942" s="142"/>
      <c r="AO942" s="142"/>
      <c r="AP942" s="143"/>
    </row>
    <row r="943" spans="1:42" ht="13.2" hidden="1">
      <c r="A943" s="143"/>
      <c r="B943" s="143"/>
      <c r="C943" s="142"/>
      <c r="D943" s="168"/>
      <c r="E943" s="153"/>
      <c r="F943" s="153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  <c r="AA943" s="142"/>
      <c r="AB943" s="142"/>
      <c r="AC943" s="142"/>
      <c r="AD943" s="142"/>
      <c r="AE943" s="142"/>
      <c r="AF943" s="142"/>
      <c r="AG943" s="142"/>
      <c r="AH943" s="142"/>
      <c r="AI943" s="142"/>
      <c r="AJ943" s="142"/>
      <c r="AK943" s="142"/>
      <c r="AL943" s="142"/>
      <c r="AM943" s="142"/>
      <c r="AN943" s="142"/>
      <c r="AO943" s="142"/>
      <c r="AP943" s="143"/>
    </row>
    <row r="944" spans="1:42" ht="13.2" hidden="1">
      <c r="A944" s="143"/>
      <c r="B944" s="143"/>
      <c r="C944" s="142"/>
      <c r="D944" s="168"/>
      <c r="E944" s="153"/>
      <c r="F944" s="153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  <c r="AA944" s="142"/>
      <c r="AB944" s="142"/>
      <c r="AC944" s="142"/>
      <c r="AD944" s="142"/>
      <c r="AE944" s="142"/>
      <c r="AF944" s="142"/>
      <c r="AG944" s="142"/>
      <c r="AH944" s="142"/>
      <c r="AI944" s="142"/>
      <c r="AJ944" s="142"/>
      <c r="AK944" s="142"/>
      <c r="AL944" s="142"/>
      <c r="AM944" s="142"/>
      <c r="AN944" s="142"/>
      <c r="AO944" s="142"/>
      <c r="AP944" s="143"/>
    </row>
    <row r="945" spans="1:42" ht="13.2" hidden="1">
      <c r="A945" s="143"/>
      <c r="B945" s="143"/>
      <c r="C945" s="142"/>
      <c r="D945" s="168"/>
      <c r="E945" s="153"/>
      <c r="F945" s="153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  <c r="AA945" s="142"/>
      <c r="AB945" s="142"/>
      <c r="AC945" s="142"/>
      <c r="AD945" s="142"/>
      <c r="AE945" s="142"/>
      <c r="AF945" s="142"/>
      <c r="AG945" s="142"/>
      <c r="AH945" s="142"/>
      <c r="AI945" s="142"/>
      <c r="AJ945" s="142"/>
      <c r="AK945" s="142"/>
      <c r="AL945" s="142"/>
      <c r="AM945" s="142"/>
      <c r="AN945" s="142"/>
      <c r="AO945" s="142"/>
      <c r="AP945" s="143"/>
    </row>
    <row r="946" spans="1:42" ht="13.2" hidden="1">
      <c r="A946" s="143"/>
      <c r="B946" s="143"/>
      <c r="C946" s="142"/>
      <c r="D946" s="168"/>
      <c r="E946" s="153"/>
      <c r="F946" s="153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  <c r="AA946" s="142"/>
      <c r="AB946" s="142"/>
      <c r="AC946" s="142"/>
      <c r="AD946" s="142"/>
      <c r="AE946" s="142"/>
      <c r="AF946" s="142"/>
      <c r="AG946" s="142"/>
      <c r="AH946" s="142"/>
      <c r="AI946" s="142"/>
      <c r="AJ946" s="142"/>
      <c r="AK946" s="142"/>
      <c r="AL946" s="142"/>
      <c r="AM946" s="142"/>
      <c r="AN946" s="142"/>
      <c r="AO946" s="142"/>
      <c r="AP946" s="143"/>
    </row>
    <row r="947" spans="1:42" ht="13.2" hidden="1">
      <c r="A947" s="143"/>
      <c r="B947" s="143"/>
      <c r="C947" s="142"/>
      <c r="D947" s="168"/>
      <c r="E947" s="153"/>
      <c r="F947" s="153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  <c r="AA947" s="142"/>
      <c r="AB947" s="142"/>
      <c r="AC947" s="142"/>
      <c r="AD947" s="142"/>
      <c r="AE947" s="142"/>
      <c r="AF947" s="142"/>
      <c r="AG947" s="142"/>
      <c r="AH947" s="142"/>
      <c r="AI947" s="142"/>
      <c r="AJ947" s="142"/>
      <c r="AK947" s="142"/>
      <c r="AL947" s="142"/>
      <c r="AM947" s="142"/>
      <c r="AN947" s="142"/>
      <c r="AO947" s="142"/>
      <c r="AP947" s="143"/>
    </row>
    <row r="948" spans="1:42" ht="13.2" hidden="1">
      <c r="A948" s="143"/>
      <c r="B948" s="143"/>
      <c r="C948" s="142"/>
      <c r="D948" s="168"/>
      <c r="E948" s="153"/>
      <c r="F948" s="153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  <c r="AA948" s="142"/>
      <c r="AB948" s="142"/>
      <c r="AC948" s="142"/>
      <c r="AD948" s="142"/>
      <c r="AE948" s="142"/>
      <c r="AF948" s="142"/>
      <c r="AG948" s="142"/>
      <c r="AH948" s="142"/>
      <c r="AI948" s="142"/>
      <c r="AJ948" s="142"/>
      <c r="AK948" s="142"/>
      <c r="AL948" s="142"/>
      <c r="AM948" s="142"/>
      <c r="AN948" s="142"/>
      <c r="AO948" s="142"/>
      <c r="AP948" s="143"/>
    </row>
    <row r="949" spans="1:42" ht="13.2" hidden="1">
      <c r="A949" s="143"/>
      <c r="B949" s="143"/>
      <c r="C949" s="142"/>
      <c r="D949" s="168"/>
      <c r="E949" s="153"/>
      <c r="F949" s="153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  <c r="AA949" s="142"/>
      <c r="AB949" s="142"/>
      <c r="AC949" s="142"/>
      <c r="AD949" s="142"/>
      <c r="AE949" s="142"/>
      <c r="AF949" s="142"/>
      <c r="AG949" s="142"/>
      <c r="AH949" s="142"/>
      <c r="AI949" s="142"/>
      <c r="AJ949" s="142"/>
      <c r="AK949" s="142"/>
      <c r="AL949" s="142"/>
      <c r="AM949" s="142"/>
      <c r="AN949" s="142"/>
      <c r="AO949" s="142"/>
      <c r="AP949" s="143"/>
    </row>
    <row r="950" spans="1:42" ht="13.2" hidden="1">
      <c r="A950" s="143"/>
      <c r="B950" s="143"/>
      <c r="C950" s="142"/>
      <c r="D950" s="168"/>
      <c r="E950" s="153"/>
      <c r="F950" s="153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  <c r="AA950" s="142"/>
      <c r="AB950" s="142"/>
      <c r="AC950" s="142"/>
      <c r="AD950" s="142"/>
      <c r="AE950" s="142"/>
      <c r="AF950" s="142"/>
      <c r="AG950" s="142"/>
      <c r="AH950" s="142"/>
      <c r="AI950" s="142"/>
      <c r="AJ950" s="142"/>
      <c r="AK950" s="142"/>
      <c r="AL950" s="142"/>
      <c r="AM950" s="142"/>
      <c r="AN950" s="142"/>
      <c r="AO950" s="142"/>
      <c r="AP950" s="143"/>
    </row>
    <row r="951" spans="1:42" ht="13.2" hidden="1">
      <c r="A951" s="143"/>
      <c r="B951" s="143"/>
      <c r="C951" s="142"/>
      <c r="D951" s="168"/>
      <c r="E951" s="153"/>
      <c r="F951" s="153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  <c r="AA951" s="142"/>
      <c r="AB951" s="142"/>
      <c r="AC951" s="142"/>
      <c r="AD951" s="142"/>
      <c r="AE951" s="142"/>
      <c r="AF951" s="142"/>
      <c r="AG951" s="142"/>
      <c r="AH951" s="142"/>
      <c r="AI951" s="142"/>
      <c r="AJ951" s="142"/>
      <c r="AK951" s="142"/>
      <c r="AL951" s="142"/>
      <c r="AM951" s="142"/>
      <c r="AN951" s="142"/>
      <c r="AO951" s="142"/>
      <c r="AP951" s="143"/>
    </row>
    <row r="952" spans="1:42" ht="13.2" hidden="1">
      <c r="A952" s="143"/>
      <c r="B952" s="143"/>
      <c r="C952" s="142"/>
      <c r="D952" s="168"/>
      <c r="E952" s="153"/>
      <c r="F952" s="153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  <c r="AA952" s="142"/>
      <c r="AB952" s="142"/>
      <c r="AC952" s="142"/>
      <c r="AD952" s="142"/>
      <c r="AE952" s="142"/>
      <c r="AF952" s="142"/>
      <c r="AG952" s="142"/>
      <c r="AH952" s="142"/>
      <c r="AI952" s="142"/>
      <c r="AJ952" s="142"/>
      <c r="AK952" s="142"/>
      <c r="AL952" s="142"/>
      <c r="AM952" s="142"/>
      <c r="AN952" s="142"/>
      <c r="AO952" s="142"/>
      <c r="AP952" s="143"/>
    </row>
    <row r="953" spans="1:42" ht="13.2" hidden="1">
      <c r="A953" s="143"/>
      <c r="B953" s="143"/>
      <c r="C953" s="142"/>
      <c r="D953" s="168"/>
      <c r="E953" s="153"/>
      <c r="F953" s="153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  <c r="AA953" s="142"/>
      <c r="AB953" s="142"/>
      <c r="AC953" s="142"/>
      <c r="AD953" s="142"/>
      <c r="AE953" s="142"/>
      <c r="AF953" s="142"/>
      <c r="AG953" s="142"/>
      <c r="AH953" s="142"/>
      <c r="AI953" s="142"/>
      <c r="AJ953" s="142"/>
      <c r="AK953" s="142"/>
      <c r="AL953" s="142"/>
      <c r="AM953" s="142"/>
      <c r="AN953" s="142"/>
      <c r="AO953" s="142"/>
      <c r="AP953" s="143"/>
    </row>
    <row r="954" spans="1:42" ht="13.2" hidden="1">
      <c r="A954" s="143"/>
      <c r="B954" s="143"/>
      <c r="C954" s="142"/>
      <c r="D954" s="168"/>
      <c r="E954" s="153"/>
      <c r="F954" s="153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  <c r="AA954" s="142"/>
      <c r="AB954" s="142"/>
      <c r="AC954" s="142"/>
      <c r="AD954" s="142"/>
      <c r="AE954" s="142"/>
      <c r="AF954" s="142"/>
      <c r="AG954" s="142"/>
      <c r="AH954" s="142"/>
      <c r="AI954" s="142"/>
      <c r="AJ954" s="142"/>
      <c r="AK954" s="142"/>
      <c r="AL954" s="142"/>
      <c r="AM954" s="142"/>
      <c r="AN954" s="142"/>
      <c r="AO954" s="142"/>
      <c r="AP954" s="143"/>
    </row>
    <row r="955" spans="1:42" ht="13.2" hidden="1">
      <c r="A955" s="143"/>
      <c r="B955" s="143"/>
      <c r="C955" s="142"/>
      <c r="D955" s="168"/>
      <c r="E955" s="153"/>
      <c r="F955" s="153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  <c r="AA955" s="142"/>
      <c r="AB955" s="142"/>
      <c r="AC955" s="142"/>
      <c r="AD955" s="142"/>
      <c r="AE955" s="142"/>
      <c r="AF955" s="142"/>
      <c r="AG955" s="142"/>
      <c r="AH955" s="142"/>
      <c r="AI955" s="142"/>
      <c r="AJ955" s="142"/>
      <c r="AK955" s="142"/>
      <c r="AL955" s="142"/>
      <c r="AM955" s="142"/>
      <c r="AN955" s="142"/>
      <c r="AO955" s="142"/>
      <c r="AP955" s="143"/>
    </row>
    <row r="956" spans="1:42" ht="13.2" hidden="1">
      <c r="A956" s="143"/>
      <c r="B956" s="143"/>
      <c r="C956" s="142"/>
      <c r="D956" s="168"/>
      <c r="E956" s="153"/>
      <c r="F956" s="153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  <c r="AA956" s="142"/>
      <c r="AB956" s="142"/>
      <c r="AC956" s="142"/>
      <c r="AD956" s="142"/>
      <c r="AE956" s="142"/>
      <c r="AF956" s="142"/>
      <c r="AG956" s="142"/>
      <c r="AH956" s="142"/>
      <c r="AI956" s="142"/>
      <c r="AJ956" s="142"/>
      <c r="AK956" s="142"/>
      <c r="AL956" s="142"/>
      <c r="AM956" s="142"/>
      <c r="AN956" s="142"/>
      <c r="AO956" s="142"/>
      <c r="AP956" s="143"/>
    </row>
    <row r="957" spans="1:42" ht="13.2" hidden="1">
      <c r="A957" s="143"/>
      <c r="B957" s="143"/>
      <c r="C957" s="142"/>
      <c r="D957" s="168"/>
      <c r="E957" s="153"/>
      <c r="F957" s="153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  <c r="AA957" s="142"/>
      <c r="AB957" s="142"/>
      <c r="AC957" s="142"/>
      <c r="AD957" s="142"/>
      <c r="AE957" s="142"/>
      <c r="AF957" s="142"/>
      <c r="AG957" s="142"/>
      <c r="AH957" s="142"/>
      <c r="AI957" s="142"/>
      <c r="AJ957" s="142"/>
      <c r="AK957" s="142"/>
      <c r="AL957" s="142"/>
      <c r="AM957" s="142"/>
      <c r="AN957" s="142"/>
      <c r="AO957" s="142"/>
      <c r="AP957" s="143"/>
    </row>
    <row r="958" spans="1:42" ht="13.2" hidden="1">
      <c r="A958" s="143"/>
      <c r="B958" s="143"/>
      <c r="C958" s="142"/>
      <c r="D958" s="168"/>
      <c r="E958" s="153"/>
      <c r="F958" s="153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  <c r="AA958" s="142"/>
      <c r="AB958" s="142"/>
      <c r="AC958" s="142"/>
      <c r="AD958" s="142"/>
      <c r="AE958" s="142"/>
      <c r="AF958" s="142"/>
      <c r="AG958" s="142"/>
      <c r="AH958" s="142"/>
      <c r="AI958" s="142"/>
      <c r="AJ958" s="142"/>
      <c r="AK958" s="142"/>
      <c r="AL958" s="142"/>
      <c r="AM958" s="142"/>
      <c r="AN958" s="142"/>
      <c r="AO958" s="142"/>
      <c r="AP958" s="143"/>
    </row>
    <row r="959" spans="1:42" ht="13.2" hidden="1">
      <c r="A959" s="143"/>
      <c r="B959" s="143"/>
      <c r="C959" s="142"/>
      <c r="D959" s="168"/>
      <c r="E959" s="153"/>
      <c r="F959" s="153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  <c r="AA959" s="142"/>
      <c r="AB959" s="142"/>
      <c r="AC959" s="142"/>
      <c r="AD959" s="142"/>
      <c r="AE959" s="142"/>
      <c r="AF959" s="142"/>
      <c r="AG959" s="142"/>
      <c r="AH959" s="142"/>
      <c r="AI959" s="142"/>
      <c r="AJ959" s="142"/>
      <c r="AK959" s="142"/>
      <c r="AL959" s="142"/>
      <c r="AM959" s="142"/>
      <c r="AN959" s="142"/>
      <c r="AO959" s="142"/>
      <c r="AP959" s="143"/>
    </row>
    <row r="960" spans="1:42" ht="13.2" hidden="1">
      <c r="A960" s="143"/>
      <c r="B960" s="143"/>
      <c r="C960" s="142"/>
      <c r="D960" s="168"/>
      <c r="E960" s="153"/>
      <c r="F960" s="153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  <c r="AA960" s="142"/>
      <c r="AB960" s="142"/>
      <c r="AC960" s="142"/>
      <c r="AD960" s="142"/>
      <c r="AE960" s="142"/>
      <c r="AF960" s="142"/>
      <c r="AG960" s="142"/>
      <c r="AH960" s="142"/>
      <c r="AI960" s="142"/>
      <c r="AJ960" s="142"/>
      <c r="AK960" s="142"/>
      <c r="AL960" s="142"/>
      <c r="AM960" s="142"/>
      <c r="AN960" s="142"/>
      <c r="AO960" s="142"/>
      <c r="AP960" s="143"/>
    </row>
    <row r="961" spans="1:42" ht="13.2" hidden="1">
      <c r="A961" s="143"/>
      <c r="B961" s="143"/>
      <c r="C961" s="142"/>
      <c r="D961" s="168"/>
      <c r="E961" s="153"/>
      <c r="F961" s="153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  <c r="AA961" s="142"/>
      <c r="AB961" s="142"/>
      <c r="AC961" s="142"/>
      <c r="AD961" s="142"/>
      <c r="AE961" s="142"/>
      <c r="AF961" s="142"/>
      <c r="AG961" s="142"/>
      <c r="AH961" s="142"/>
      <c r="AI961" s="142"/>
      <c r="AJ961" s="142"/>
      <c r="AK961" s="142"/>
      <c r="AL961" s="142"/>
      <c r="AM961" s="142"/>
      <c r="AN961" s="142"/>
      <c r="AO961" s="142"/>
      <c r="AP961" s="143"/>
    </row>
    <row r="962" spans="1:42" ht="13.2" hidden="1">
      <c r="A962" s="143"/>
      <c r="B962" s="143"/>
      <c r="C962" s="142"/>
      <c r="D962" s="168"/>
      <c r="E962" s="153"/>
      <c r="F962" s="153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  <c r="AA962" s="142"/>
      <c r="AB962" s="142"/>
      <c r="AC962" s="142"/>
      <c r="AD962" s="142"/>
      <c r="AE962" s="142"/>
      <c r="AF962" s="142"/>
      <c r="AG962" s="142"/>
      <c r="AH962" s="142"/>
      <c r="AI962" s="142"/>
      <c r="AJ962" s="142"/>
      <c r="AK962" s="142"/>
      <c r="AL962" s="142"/>
      <c r="AM962" s="142"/>
      <c r="AN962" s="142"/>
      <c r="AO962" s="142"/>
      <c r="AP962" s="143"/>
    </row>
    <row r="963" spans="1:42" ht="13.2" hidden="1">
      <c r="A963" s="143"/>
      <c r="B963" s="143"/>
      <c r="C963" s="142"/>
      <c r="D963" s="168"/>
      <c r="E963" s="153"/>
      <c r="F963" s="153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  <c r="AA963" s="142"/>
      <c r="AB963" s="142"/>
      <c r="AC963" s="142"/>
      <c r="AD963" s="142"/>
      <c r="AE963" s="142"/>
      <c r="AF963" s="142"/>
      <c r="AG963" s="142"/>
      <c r="AH963" s="142"/>
      <c r="AI963" s="142"/>
      <c r="AJ963" s="142"/>
      <c r="AK963" s="142"/>
      <c r="AL963" s="142"/>
      <c r="AM963" s="142"/>
      <c r="AN963" s="142"/>
      <c r="AO963" s="142"/>
      <c r="AP963" s="143"/>
    </row>
    <row r="964" spans="1:42" ht="13.2" hidden="1">
      <c r="A964" s="143"/>
      <c r="B964" s="143"/>
      <c r="C964" s="142"/>
      <c r="D964" s="168"/>
      <c r="E964" s="153"/>
      <c r="F964" s="153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  <c r="AA964" s="142"/>
      <c r="AB964" s="142"/>
      <c r="AC964" s="142"/>
      <c r="AD964" s="142"/>
      <c r="AE964" s="142"/>
      <c r="AF964" s="142"/>
      <c r="AG964" s="142"/>
      <c r="AH964" s="142"/>
      <c r="AI964" s="142"/>
      <c r="AJ964" s="142"/>
      <c r="AK964" s="142"/>
      <c r="AL964" s="142"/>
      <c r="AM964" s="142"/>
      <c r="AN964" s="142"/>
      <c r="AO964" s="142"/>
      <c r="AP964" s="143"/>
    </row>
    <row r="965" spans="1:42" ht="13.2" hidden="1">
      <c r="A965" s="143"/>
      <c r="B965" s="143"/>
      <c r="C965" s="142"/>
      <c r="D965" s="168"/>
      <c r="E965" s="153"/>
      <c r="F965" s="153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  <c r="AA965" s="142"/>
      <c r="AB965" s="142"/>
      <c r="AC965" s="142"/>
      <c r="AD965" s="142"/>
      <c r="AE965" s="142"/>
      <c r="AF965" s="142"/>
      <c r="AG965" s="142"/>
      <c r="AH965" s="142"/>
      <c r="AI965" s="142"/>
      <c r="AJ965" s="142"/>
      <c r="AK965" s="142"/>
      <c r="AL965" s="142"/>
      <c r="AM965" s="142"/>
      <c r="AN965" s="142"/>
      <c r="AO965" s="142"/>
      <c r="AP965" s="143"/>
    </row>
    <row r="966" spans="1:42" ht="13.2" hidden="1">
      <c r="A966" s="143"/>
      <c r="B966" s="143"/>
      <c r="C966" s="142"/>
      <c r="D966" s="168"/>
      <c r="E966" s="153"/>
      <c r="F966" s="153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  <c r="AA966" s="142"/>
      <c r="AB966" s="142"/>
      <c r="AC966" s="142"/>
      <c r="AD966" s="142"/>
      <c r="AE966" s="142"/>
      <c r="AF966" s="142"/>
      <c r="AG966" s="142"/>
      <c r="AH966" s="142"/>
      <c r="AI966" s="142"/>
      <c r="AJ966" s="142"/>
      <c r="AK966" s="142"/>
      <c r="AL966" s="142"/>
      <c r="AM966" s="142"/>
      <c r="AN966" s="142"/>
      <c r="AO966" s="142"/>
      <c r="AP966" s="143"/>
    </row>
    <row r="967" spans="1:42" ht="13.2" hidden="1">
      <c r="A967" s="143"/>
      <c r="B967" s="143"/>
      <c r="C967" s="142"/>
      <c r="D967" s="168"/>
      <c r="E967" s="153"/>
      <c r="F967" s="153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  <c r="AA967" s="142"/>
      <c r="AB967" s="142"/>
      <c r="AC967" s="142"/>
      <c r="AD967" s="142"/>
      <c r="AE967" s="142"/>
      <c r="AF967" s="142"/>
      <c r="AG967" s="142"/>
      <c r="AH967" s="142"/>
      <c r="AI967" s="142"/>
      <c r="AJ967" s="142"/>
      <c r="AK967" s="142"/>
      <c r="AL967" s="142"/>
      <c r="AM967" s="142"/>
      <c r="AN967" s="142"/>
      <c r="AO967" s="142"/>
      <c r="AP967" s="143"/>
    </row>
    <row r="968" spans="1:42" ht="13.2" hidden="1">
      <c r="A968" s="143"/>
      <c r="B968" s="143"/>
      <c r="C968" s="142"/>
      <c r="D968" s="168"/>
      <c r="E968" s="153"/>
      <c r="F968" s="153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  <c r="AA968" s="142"/>
      <c r="AB968" s="142"/>
      <c r="AC968" s="142"/>
      <c r="AD968" s="142"/>
      <c r="AE968" s="142"/>
      <c r="AF968" s="142"/>
      <c r="AG968" s="142"/>
      <c r="AH968" s="142"/>
      <c r="AI968" s="142"/>
      <c r="AJ968" s="142"/>
      <c r="AK968" s="142"/>
      <c r="AL968" s="142"/>
      <c r="AM968" s="142"/>
      <c r="AN968" s="142"/>
      <c r="AO968" s="142"/>
      <c r="AP968" s="143"/>
    </row>
    <row r="969" spans="1:42" ht="13.2" hidden="1">
      <c r="A969" s="143"/>
      <c r="B969" s="143"/>
      <c r="C969" s="142"/>
      <c r="D969" s="168"/>
      <c r="E969" s="153"/>
      <c r="F969" s="153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  <c r="AA969" s="142"/>
      <c r="AB969" s="142"/>
      <c r="AC969" s="142"/>
      <c r="AD969" s="142"/>
      <c r="AE969" s="142"/>
      <c r="AF969" s="142"/>
      <c r="AG969" s="142"/>
      <c r="AH969" s="142"/>
      <c r="AI969" s="142"/>
      <c r="AJ969" s="142"/>
      <c r="AK969" s="142"/>
      <c r="AL969" s="142"/>
      <c r="AM969" s="142"/>
      <c r="AN969" s="142"/>
      <c r="AO969" s="142"/>
      <c r="AP969" s="143"/>
    </row>
    <row r="970" spans="1:42" ht="13.2" hidden="1">
      <c r="A970" s="143"/>
      <c r="B970" s="143"/>
      <c r="C970" s="142"/>
      <c r="D970" s="168"/>
      <c r="E970" s="153"/>
      <c r="F970" s="153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  <c r="AA970" s="142"/>
      <c r="AB970" s="142"/>
      <c r="AC970" s="142"/>
      <c r="AD970" s="142"/>
      <c r="AE970" s="142"/>
      <c r="AF970" s="142"/>
      <c r="AG970" s="142"/>
      <c r="AH970" s="142"/>
      <c r="AI970" s="142"/>
      <c r="AJ970" s="142"/>
      <c r="AK970" s="142"/>
      <c r="AL970" s="142"/>
      <c r="AM970" s="142"/>
      <c r="AN970" s="142"/>
      <c r="AO970" s="142"/>
      <c r="AP970" s="143"/>
    </row>
    <row r="971" spans="1:42" ht="13.2" hidden="1">
      <c r="A971" s="143"/>
      <c r="B971" s="143"/>
      <c r="C971" s="142"/>
      <c r="D971" s="168"/>
      <c r="E971" s="153"/>
      <c r="F971" s="153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  <c r="AA971" s="142"/>
      <c r="AB971" s="142"/>
      <c r="AC971" s="142"/>
      <c r="AD971" s="142"/>
      <c r="AE971" s="142"/>
      <c r="AF971" s="142"/>
      <c r="AG971" s="142"/>
      <c r="AH971" s="142"/>
      <c r="AI971" s="142"/>
      <c r="AJ971" s="142"/>
      <c r="AK971" s="142"/>
      <c r="AL971" s="142"/>
      <c r="AM971" s="142"/>
      <c r="AN971" s="142"/>
      <c r="AO971" s="142"/>
      <c r="AP971" s="143"/>
    </row>
    <row r="972" spans="1:42" ht="13.2" hidden="1">
      <c r="A972" s="143"/>
      <c r="B972" s="143"/>
      <c r="C972" s="142"/>
      <c r="D972" s="168"/>
      <c r="E972" s="153"/>
      <c r="F972" s="153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  <c r="AA972" s="142"/>
      <c r="AB972" s="142"/>
      <c r="AC972" s="142"/>
      <c r="AD972" s="142"/>
      <c r="AE972" s="142"/>
      <c r="AF972" s="142"/>
      <c r="AG972" s="142"/>
      <c r="AH972" s="142"/>
      <c r="AI972" s="142"/>
      <c r="AJ972" s="142"/>
      <c r="AK972" s="142"/>
      <c r="AL972" s="142"/>
      <c r="AM972" s="142"/>
      <c r="AN972" s="142"/>
      <c r="AO972" s="142"/>
      <c r="AP972" s="143"/>
    </row>
    <row r="973" spans="1:42" ht="13.2" hidden="1">
      <c r="A973" s="143"/>
      <c r="B973" s="143"/>
      <c r="C973" s="142"/>
      <c r="D973" s="168"/>
      <c r="E973" s="153"/>
      <c r="F973" s="153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  <c r="AA973" s="142"/>
      <c r="AB973" s="142"/>
      <c r="AC973" s="142"/>
      <c r="AD973" s="142"/>
      <c r="AE973" s="142"/>
      <c r="AF973" s="142"/>
      <c r="AG973" s="142"/>
      <c r="AH973" s="142"/>
      <c r="AI973" s="142"/>
      <c r="AJ973" s="142"/>
      <c r="AK973" s="142"/>
      <c r="AL973" s="142"/>
      <c r="AM973" s="142"/>
      <c r="AN973" s="142"/>
      <c r="AO973" s="142"/>
      <c r="AP973" s="143"/>
    </row>
    <row r="974" spans="1:42" ht="13.2" hidden="1">
      <c r="A974" s="143"/>
      <c r="B974" s="143"/>
      <c r="C974" s="142"/>
      <c r="D974" s="168"/>
      <c r="E974" s="153"/>
      <c r="F974" s="153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  <c r="AA974" s="142"/>
      <c r="AB974" s="142"/>
      <c r="AC974" s="142"/>
      <c r="AD974" s="142"/>
      <c r="AE974" s="142"/>
      <c r="AF974" s="142"/>
      <c r="AG974" s="142"/>
      <c r="AH974" s="142"/>
      <c r="AI974" s="142"/>
      <c r="AJ974" s="142"/>
      <c r="AK974" s="142"/>
      <c r="AL974" s="142"/>
      <c r="AM974" s="142"/>
      <c r="AN974" s="142"/>
      <c r="AO974" s="142"/>
      <c r="AP974" s="143"/>
    </row>
    <row r="975" spans="1:42" ht="13.2" hidden="1">
      <c r="A975" s="143"/>
      <c r="B975" s="143"/>
      <c r="C975" s="142"/>
      <c r="D975" s="168"/>
      <c r="E975" s="153"/>
      <c r="F975" s="153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  <c r="AA975" s="142"/>
      <c r="AB975" s="142"/>
      <c r="AC975" s="142"/>
      <c r="AD975" s="142"/>
      <c r="AE975" s="142"/>
      <c r="AF975" s="142"/>
      <c r="AG975" s="142"/>
      <c r="AH975" s="142"/>
      <c r="AI975" s="142"/>
      <c r="AJ975" s="142"/>
      <c r="AK975" s="142"/>
      <c r="AL975" s="142"/>
      <c r="AM975" s="142"/>
      <c r="AN975" s="142"/>
      <c r="AO975" s="142"/>
      <c r="AP975" s="143"/>
    </row>
    <row r="976" spans="1:42" ht="13.2" hidden="1">
      <c r="A976" s="143"/>
      <c r="B976" s="143"/>
      <c r="C976" s="142"/>
      <c r="D976" s="168"/>
      <c r="E976" s="153"/>
      <c r="F976" s="153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  <c r="AA976" s="142"/>
      <c r="AB976" s="142"/>
      <c r="AC976" s="142"/>
      <c r="AD976" s="142"/>
      <c r="AE976" s="142"/>
      <c r="AF976" s="142"/>
      <c r="AG976" s="142"/>
      <c r="AH976" s="142"/>
      <c r="AI976" s="142"/>
      <c r="AJ976" s="142"/>
      <c r="AK976" s="142"/>
      <c r="AL976" s="142"/>
      <c r="AM976" s="142"/>
      <c r="AN976" s="142"/>
      <c r="AO976" s="142"/>
      <c r="AP976" s="143"/>
    </row>
    <row r="977" spans="1:42" ht="13.2" hidden="1">
      <c r="A977" s="143"/>
      <c r="B977" s="143"/>
      <c r="C977" s="142"/>
      <c r="D977" s="168"/>
      <c r="E977" s="153"/>
      <c r="F977" s="153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  <c r="AA977" s="142"/>
      <c r="AB977" s="142"/>
      <c r="AC977" s="142"/>
      <c r="AD977" s="142"/>
      <c r="AE977" s="142"/>
      <c r="AF977" s="142"/>
      <c r="AG977" s="142"/>
      <c r="AH977" s="142"/>
      <c r="AI977" s="142"/>
      <c r="AJ977" s="142"/>
      <c r="AK977" s="142"/>
      <c r="AL977" s="142"/>
      <c r="AM977" s="142"/>
      <c r="AN977" s="142"/>
      <c r="AO977" s="142"/>
      <c r="AP977" s="143"/>
    </row>
    <row r="978" spans="1:42" ht="13.2" hidden="1">
      <c r="A978" s="143"/>
      <c r="B978" s="143"/>
      <c r="C978" s="142"/>
      <c r="D978" s="168"/>
      <c r="E978" s="153"/>
      <c r="F978" s="153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  <c r="AA978" s="142"/>
      <c r="AB978" s="142"/>
      <c r="AC978" s="142"/>
      <c r="AD978" s="142"/>
      <c r="AE978" s="142"/>
      <c r="AF978" s="142"/>
      <c r="AG978" s="142"/>
      <c r="AH978" s="142"/>
      <c r="AI978" s="142"/>
      <c r="AJ978" s="142"/>
      <c r="AK978" s="142"/>
      <c r="AL978" s="142"/>
      <c r="AM978" s="142"/>
      <c r="AN978" s="142"/>
      <c r="AO978" s="142"/>
      <c r="AP978" s="143"/>
    </row>
    <row r="979" spans="1:42" ht="13.2" hidden="1">
      <c r="A979" s="143"/>
      <c r="B979" s="143"/>
      <c r="C979" s="142"/>
      <c r="D979" s="168"/>
      <c r="E979" s="153"/>
      <c r="F979" s="153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  <c r="AA979" s="142"/>
      <c r="AB979" s="142"/>
      <c r="AC979" s="142"/>
      <c r="AD979" s="142"/>
      <c r="AE979" s="142"/>
      <c r="AF979" s="142"/>
      <c r="AG979" s="142"/>
      <c r="AH979" s="142"/>
      <c r="AI979" s="142"/>
      <c r="AJ979" s="142"/>
      <c r="AK979" s="142"/>
      <c r="AL979" s="142"/>
      <c r="AM979" s="142"/>
      <c r="AN979" s="142"/>
      <c r="AO979" s="142"/>
      <c r="AP979" s="143"/>
    </row>
    <row r="980" spans="1:42" ht="13.2" hidden="1">
      <c r="A980" s="143"/>
      <c r="B980" s="143"/>
      <c r="C980" s="142"/>
      <c r="D980" s="168"/>
      <c r="E980" s="153"/>
      <c r="F980" s="153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  <c r="AA980" s="142"/>
      <c r="AB980" s="142"/>
      <c r="AC980" s="142"/>
      <c r="AD980" s="142"/>
      <c r="AE980" s="142"/>
      <c r="AF980" s="142"/>
      <c r="AG980" s="142"/>
      <c r="AH980" s="142"/>
      <c r="AI980" s="142"/>
      <c r="AJ980" s="142"/>
      <c r="AK980" s="142"/>
      <c r="AL980" s="142"/>
      <c r="AM980" s="142"/>
      <c r="AN980" s="142"/>
      <c r="AO980" s="142"/>
      <c r="AP980" s="143"/>
    </row>
    <row r="981" spans="1:42" ht="13.2" hidden="1">
      <c r="A981" s="143"/>
      <c r="B981" s="143"/>
      <c r="C981" s="142"/>
      <c r="D981" s="168"/>
      <c r="E981" s="153"/>
      <c r="F981" s="153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  <c r="AA981" s="142"/>
      <c r="AB981" s="142"/>
      <c r="AC981" s="142"/>
      <c r="AD981" s="142"/>
      <c r="AE981" s="142"/>
      <c r="AF981" s="142"/>
      <c r="AG981" s="142"/>
      <c r="AH981" s="142"/>
      <c r="AI981" s="142"/>
      <c r="AJ981" s="142"/>
      <c r="AK981" s="142"/>
      <c r="AL981" s="142"/>
      <c r="AM981" s="142"/>
      <c r="AN981" s="142"/>
      <c r="AO981" s="142"/>
      <c r="AP981" s="143"/>
    </row>
    <row r="982" spans="1:42" ht="13.2" hidden="1">
      <c r="A982" s="143"/>
      <c r="B982" s="143"/>
      <c r="C982" s="142"/>
      <c r="D982" s="168"/>
      <c r="E982" s="153"/>
      <c r="F982" s="153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  <c r="AA982" s="142"/>
      <c r="AB982" s="142"/>
      <c r="AC982" s="142"/>
      <c r="AD982" s="142"/>
      <c r="AE982" s="142"/>
      <c r="AF982" s="142"/>
      <c r="AG982" s="142"/>
      <c r="AH982" s="142"/>
      <c r="AI982" s="142"/>
      <c r="AJ982" s="142"/>
      <c r="AK982" s="142"/>
      <c r="AL982" s="142"/>
      <c r="AM982" s="142"/>
      <c r="AN982" s="142"/>
      <c r="AO982" s="142"/>
      <c r="AP982" s="143"/>
    </row>
    <row r="983" spans="1:42" ht="13.2" hidden="1">
      <c r="A983" s="143"/>
      <c r="B983" s="143"/>
      <c r="C983" s="142"/>
      <c r="D983" s="168"/>
      <c r="E983" s="153"/>
      <c r="F983" s="153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  <c r="AA983" s="142"/>
      <c r="AB983" s="142"/>
      <c r="AC983" s="142"/>
      <c r="AD983" s="142"/>
      <c r="AE983" s="142"/>
      <c r="AF983" s="142"/>
      <c r="AG983" s="142"/>
      <c r="AH983" s="142"/>
      <c r="AI983" s="142"/>
      <c r="AJ983" s="142"/>
      <c r="AK983" s="142"/>
      <c r="AL983" s="142"/>
      <c r="AM983" s="142"/>
      <c r="AN983" s="142"/>
      <c r="AO983" s="142"/>
      <c r="AP983" s="143"/>
    </row>
    <row r="984" spans="1:42" ht="13.2" hidden="1">
      <c r="A984" s="143"/>
      <c r="B984" s="143"/>
      <c r="C984" s="142"/>
      <c r="D984" s="168"/>
      <c r="E984" s="153"/>
      <c r="F984" s="153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  <c r="AA984" s="142"/>
      <c r="AB984" s="142"/>
      <c r="AC984" s="142"/>
      <c r="AD984" s="142"/>
      <c r="AE984" s="142"/>
      <c r="AF984" s="142"/>
      <c r="AG984" s="142"/>
      <c r="AH984" s="142"/>
      <c r="AI984" s="142"/>
      <c r="AJ984" s="142"/>
      <c r="AK984" s="142"/>
      <c r="AL984" s="142"/>
      <c r="AM984" s="142"/>
      <c r="AN984" s="142"/>
      <c r="AO984" s="142"/>
      <c r="AP984" s="143"/>
    </row>
    <row r="985" spans="1:42" ht="13.2" hidden="1">
      <c r="A985" s="143"/>
      <c r="B985" s="143"/>
      <c r="C985" s="142"/>
      <c r="D985" s="168"/>
      <c r="E985" s="153"/>
      <c r="F985" s="153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  <c r="AA985" s="142"/>
      <c r="AB985" s="142"/>
      <c r="AC985" s="142"/>
      <c r="AD985" s="142"/>
      <c r="AE985" s="142"/>
      <c r="AF985" s="142"/>
      <c r="AG985" s="142"/>
      <c r="AH985" s="142"/>
      <c r="AI985" s="142"/>
      <c r="AJ985" s="142"/>
      <c r="AK985" s="142"/>
      <c r="AL985" s="142"/>
      <c r="AM985" s="142"/>
      <c r="AN985" s="142"/>
      <c r="AO985" s="142"/>
      <c r="AP985" s="143"/>
    </row>
    <row r="986" spans="1:42" ht="13.2" hidden="1">
      <c r="A986" s="143"/>
      <c r="B986" s="143"/>
      <c r="C986" s="142"/>
      <c r="D986" s="168"/>
      <c r="E986" s="153"/>
      <c r="F986" s="153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  <c r="AA986" s="142"/>
      <c r="AB986" s="142"/>
      <c r="AC986" s="142"/>
      <c r="AD986" s="142"/>
      <c r="AE986" s="142"/>
      <c r="AF986" s="142"/>
      <c r="AG986" s="142"/>
      <c r="AH986" s="142"/>
      <c r="AI986" s="142"/>
      <c r="AJ986" s="142"/>
      <c r="AK986" s="142"/>
      <c r="AL986" s="142"/>
      <c r="AM986" s="142"/>
      <c r="AN986" s="142"/>
      <c r="AO986" s="142"/>
      <c r="AP986" s="143"/>
    </row>
    <row r="987" spans="1:42" ht="13.2" hidden="1">
      <c r="A987" s="143"/>
      <c r="B987" s="143"/>
      <c r="C987" s="142"/>
      <c r="D987" s="168"/>
      <c r="E987" s="153"/>
      <c r="F987" s="153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  <c r="AA987" s="142"/>
      <c r="AB987" s="142"/>
      <c r="AC987" s="142"/>
      <c r="AD987" s="142"/>
      <c r="AE987" s="142"/>
      <c r="AF987" s="142"/>
      <c r="AG987" s="142"/>
      <c r="AH987" s="142"/>
      <c r="AI987" s="142"/>
      <c r="AJ987" s="142"/>
      <c r="AK987" s="142"/>
      <c r="AL987" s="142"/>
      <c r="AM987" s="142"/>
      <c r="AN987" s="142"/>
      <c r="AO987" s="142"/>
      <c r="AP987" s="143"/>
    </row>
    <row r="988" spans="1:42" ht="13.2" hidden="1">
      <c r="A988" s="143"/>
      <c r="B988" s="143"/>
      <c r="C988" s="142"/>
      <c r="D988" s="168"/>
      <c r="E988" s="153"/>
      <c r="F988" s="153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  <c r="AA988" s="142"/>
      <c r="AB988" s="142"/>
      <c r="AC988" s="142"/>
      <c r="AD988" s="142"/>
      <c r="AE988" s="142"/>
      <c r="AF988" s="142"/>
      <c r="AG988" s="142"/>
      <c r="AH988" s="142"/>
      <c r="AI988" s="142"/>
      <c r="AJ988" s="142"/>
      <c r="AK988" s="142"/>
      <c r="AL988" s="142"/>
      <c r="AM988" s="142"/>
      <c r="AN988" s="142"/>
      <c r="AO988" s="142"/>
      <c r="AP988" s="143"/>
    </row>
    <row r="989" spans="1:42" ht="13.2" hidden="1">
      <c r="A989" s="143"/>
      <c r="B989" s="143"/>
      <c r="C989" s="142"/>
      <c r="D989" s="168"/>
      <c r="E989" s="153"/>
      <c r="F989" s="153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  <c r="AA989" s="142"/>
      <c r="AB989" s="142"/>
      <c r="AC989" s="142"/>
      <c r="AD989" s="142"/>
      <c r="AE989" s="142"/>
      <c r="AF989" s="142"/>
      <c r="AG989" s="142"/>
      <c r="AH989" s="142"/>
      <c r="AI989" s="142"/>
      <c r="AJ989" s="142"/>
      <c r="AK989" s="142"/>
      <c r="AL989" s="142"/>
      <c r="AM989" s="142"/>
      <c r="AN989" s="142"/>
      <c r="AO989" s="142"/>
      <c r="AP989" s="143"/>
    </row>
    <row r="990" spans="1:42" ht="13.2" hidden="1">
      <c r="A990" s="143"/>
      <c r="B990" s="143"/>
      <c r="C990" s="142"/>
      <c r="D990" s="168"/>
      <c r="E990" s="153"/>
      <c r="F990" s="153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  <c r="AA990" s="142"/>
      <c r="AB990" s="142"/>
      <c r="AC990" s="142"/>
      <c r="AD990" s="142"/>
      <c r="AE990" s="142"/>
      <c r="AF990" s="142"/>
      <c r="AG990" s="142"/>
      <c r="AH990" s="142"/>
      <c r="AI990" s="142"/>
      <c r="AJ990" s="142"/>
      <c r="AK990" s="142"/>
      <c r="AL990" s="142"/>
      <c r="AM990" s="142"/>
      <c r="AN990" s="142"/>
      <c r="AO990" s="142"/>
      <c r="AP990" s="143"/>
    </row>
    <row r="991" spans="1:42" ht="13.2" hidden="1">
      <c r="A991" s="143"/>
      <c r="B991" s="143"/>
      <c r="C991" s="142"/>
      <c r="D991" s="168"/>
      <c r="E991" s="153"/>
      <c r="F991" s="153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  <c r="AA991" s="142"/>
      <c r="AB991" s="142"/>
      <c r="AC991" s="142"/>
      <c r="AD991" s="142"/>
      <c r="AE991" s="142"/>
      <c r="AF991" s="142"/>
      <c r="AG991" s="142"/>
      <c r="AH991" s="142"/>
      <c r="AI991" s="142"/>
      <c r="AJ991" s="142"/>
      <c r="AK991" s="142"/>
      <c r="AL991" s="142"/>
      <c r="AM991" s="142"/>
      <c r="AN991" s="142"/>
      <c r="AO991" s="142"/>
      <c r="AP991" s="143"/>
    </row>
    <row r="992" spans="1:42" ht="13.2" hidden="1">
      <c r="A992" s="143"/>
      <c r="B992" s="143"/>
      <c r="C992" s="142"/>
      <c r="D992" s="168"/>
      <c r="E992" s="153"/>
      <c r="F992" s="153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  <c r="AA992" s="142"/>
      <c r="AB992" s="142"/>
      <c r="AC992" s="142"/>
      <c r="AD992" s="142"/>
      <c r="AE992" s="142"/>
      <c r="AF992" s="142"/>
      <c r="AG992" s="142"/>
      <c r="AH992" s="142"/>
      <c r="AI992" s="142"/>
      <c r="AJ992" s="142"/>
      <c r="AK992" s="142"/>
      <c r="AL992" s="142"/>
      <c r="AM992" s="142"/>
      <c r="AN992" s="142"/>
      <c r="AO992" s="142"/>
      <c r="AP992" s="143"/>
    </row>
    <row r="993" spans="1:42" ht="13.2" hidden="1">
      <c r="A993" s="143"/>
      <c r="B993" s="143"/>
      <c r="C993" s="142"/>
      <c r="D993" s="168"/>
      <c r="E993" s="153"/>
      <c r="F993" s="153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  <c r="AA993" s="142"/>
      <c r="AB993" s="142"/>
      <c r="AC993" s="142"/>
      <c r="AD993" s="142"/>
      <c r="AE993" s="142"/>
      <c r="AF993" s="142"/>
      <c r="AG993" s="142"/>
      <c r="AH993" s="142"/>
      <c r="AI993" s="142"/>
      <c r="AJ993" s="142"/>
      <c r="AK993" s="142"/>
      <c r="AL993" s="142"/>
      <c r="AM993" s="142"/>
      <c r="AN993" s="142"/>
      <c r="AO993" s="142"/>
      <c r="AP993" s="143"/>
    </row>
    <row r="994" spans="1:42" ht="13.2" hidden="1">
      <c r="A994" s="143"/>
      <c r="B994" s="143"/>
      <c r="C994" s="142"/>
      <c r="D994" s="168"/>
      <c r="E994" s="153"/>
      <c r="F994" s="153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  <c r="AA994" s="142"/>
      <c r="AB994" s="142"/>
      <c r="AC994" s="142"/>
      <c r="AD994" s="142"/>
      <c r="AE994" s="142"/>
      <c r="AF994" s="142"/>
      <c r="AG994" s="142"/>
      <c r="AH994" s="142"/>
      <c r="AI994" s="142"/>
      <c r="AJ994" s="142"/>
      <c r="AK994" s="142"/>
      <c r="AL994" s="142"/>
      <c r="AM994" s="142"/>
      <c r="AN994" s="142"/>
      <c r="AO994" s="142"/>
      <c r="AP994" s="143"/>
    </row>
    <row r="995" spans="1:42" ht="13.2" hidden="1">
      <c r="A995" s="143"/>
      <c r="B995" s="143"/>
      <c r="C995" s="142"/>
      <c r="D995" s="168"/>
      <c r="E995" s="153"/>
      <c r="F995" s="153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  <c r="AA995" s="142"/>
      <c r="AB995" s="142"/>
      <c r="AC995" s="142"/>
      <c r="AD995" s="142"/>
      <c r="AE995" s="142"/>
      <c r="AF995" s="142"/>
      <c r="AG995" s="142"/>
      <c r="AH995" s="142"/>
      <c r="AI995" s="142"/>
      <c r="AJ995" s="142"/>
      <c r="AK995" s="142"/>
      <c r="AL995" s="142"/>
      <c r="AM995" s="142"/>
      <c r="AN995" s="142"/>
      <c r="AO995" s="142"/>
      <c r="AP995" s="143"/>
    </row>
    <row r="996" spans="1:42" ht="13.2" hidden="1">
      <c r="A996" s="143"/>
      <c r="B996" s="143"/>
      <c r="C996" s="142"/>
      <c r="D996" s="168"/>
      <c r="E996" s="153"/>
      <c r="F996" s="153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  <c r="AA996" s="142"/>
      <c r="AB996" s="142"/>
      <c r="AC996" s="142"/>
      <c r="AD996" s="142"/>
      <c r="AE996" s="142"/>
      <c r="AF996" s="142"/>
      <c r="AG996" s="142"/>
      <c r="AH996" s="142"/>
      <c r="AI996" s="142"/>
      <c r="AJ996" s="142"/>
      <c r="AK996" s="142"/>
      <c r="AL996" s="142"/>
      <c r="AM996" s="142"/>
      <c r="AN996" s="142"/>
      <c r="AO996" s="142"/>
      <c r="AP996" s="143"/>
    </row>
    <row r="997" spans="1:42" ht="13.2" hidden="1">
      <c r="A997" s="143"/>
      <c r="B997" s="143"/>
      <c r="C997" s="142"/>
      <c r="D997" s="168"/>
      <c r="E997" s="153"/>
      <c r="F997" s="153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  <c r="AA997" s="142"/>
      <c r="AB997" s="142"/>
      <c r="AC997" s="142"/>
      <c r="AD997" s="142"/>
      <c r="AE997" s="142"/>
      <c r="AF997" s="142"/>
      <c r="AG997" s="142"/>
      <c r="AH997" s="142"/>
      <c r="AI997" s="142"/>
      <c r="AJ997" s="142"/>
      <c r="AK997" s="142"/>
      <c r="AL997" s="142"/>
      <c r="AM997" s="142"/>
      <c r="AN997" s="142"/>
      <c r="AO997" s="142"/>
      <c r="AP997" s="143"/>
    </row>
    <row r="998" spans="1:42" ht="13.2" hidden="1">
      <c r="A998" s="143"/>
      <c r="B998" s="143"/>
      <c r="C998" s="142"/>
      <c r="D998" s="168"/>
      <c r="E998" s="153"/>
      <c r="F998" s="153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  <c r="AA998" s="142"/>
      <c r="AB998" s="142"/>
      <c r="AC998" s="142"/>
      <c r="AD998" s="142"/>
      <c r="AE998" s="142"/>
      <c r="AF998" s="142"/>
      <c r="AG998" s="142"/>
      <c r="AH998" s="142"/>
      <c r="AI998" s="142"/>
      <c r="AJ998" s="142"/>
      <c r="AK998" s="142"/>
      <c r="AL998" s="142"/>
      <c r="AM998" s="142"/>
      <c r="AN998" s="142"/>
      <c r="AO998" s="142"/>
      <c r="AP998" s="143"/>
    </row>
    <row r="999" spans="1:42" ht="13.2" hidden="1">
      <c r="A999" s="143"/>
      <c r="B999" s="143"/>
      <c r="C999" s="142"/>
      <c r="D999" s="168"/>
      <c r="E999" s="153"/>
      <c r="F999" s="153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  <c r="AA999" s="142"/>
      <c r="AB999" s="142"/>
      <c r="AC999" s="142"/>
      <c r="AD999" s="142"/>
      <c r="AE999" s="142"/>
      <c r="AF999" s="142"/>
      <c r="AG999" s="142"/>
      <c r="AH999" s="142"/>
      <c r="AI999" s="142"/>
      <c r="AJ999" s="142"/>
      <c r="AK999" s="142"/>
      <c r="AL999" s="142"/>
      <c r="AM999" s="142"/>
      <c r="AN999" s="142"/>
      <c r="AO999" s="142"/>
      <c r="AP999" s="143"/>
    </row>
    <row r="1000" spans="1:42" ht="13.2" hidden="1">
      <c r="A1000" s="143"/>
      <c r="B1000" s="143"/>
      <c r="C1000" s="142"/>
      <c r="D1000" s="168"/>
      <c r="E1000" s="153"/>
      <c r="F1000" s="153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  <c r="AA1000" s="142"/>
      <c r="AB1000" s="142"/>
      <c r="AC1000" s="142"/>
      <c r="AD1000" s="142"/>
      <c r="AE1000" s="142"/>
      <c r="AF1000" s="142"/>
      <c r="AG1000" s="142"/>
      <c r="AH1000" s="142"/>
      <c r="AI1000" s="142"/>
      <c r="AJ1000" s="142"/>
      <c r="AK1000" s="142"/>
      <c r="AL1000" s="142"/>
      <c r="AM1000" s="142"/>
      <c r="AN1000" s="142"/>
      <c r="AO1000" s="142"/>
      <c r="AP1000" s="143"/>
    </row>
    <row r="1001" spans="1:42" ht="13.2" hidden="1">
      <c r="A1001" s="143"/>
      <c r="B1001" s="143"/>
      <c r="C1001" s="142"/>
      <c r="D1001" s="168"/>
      <c r="E1001" s="153"/>
      <c r="F1001" s="153"/>
      <c r="G1001" s="142"/>
      <c r="H1001" s="142"/>
      <c r="I1001" s="142"/>
      <c r="J1001" s="142"/>
      <c r="K1001" s="142"/>
      <c r="L1001" s="142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  <c r="Z1001" s="142"/>
      <c r="AA1001" s="142"/>
      <c r="AB1001" s="142"/>
      <c r="AC1001" s="142"/>
      <c r="AD1001" s="142"/>
      <c r="AE1001" s="142"/>
      <c r="AF1001" s="142"/>
      <c r="AG1001" s="142"/>
      <c r="AH1001" s="142"/>
      <c r="AI1001" s="142"/>
      <c r="AJ1001" s="142"/>
      <c r="AK1001" s="142"/>
      <c r="AL1001" s="142"/>
      <c r="AM1001" s="142"/>
      <c r="AN1001" s="142"/>
      <c r="AO1001" s="142"/>
      <c r="AP1001" s="143"/>
    </row>
    <row r="1002" spans="1:42" ht="13.2" hidden="1">
      <c r="A1002" s="143"/>
      <c r="B1002" s="143"/>
      <c r="C1002" s="142"/>
      <c r="D1002" s="168"/>
      <c r="E1002" s="153"/>
      <c r="F1002" s="153"/>
      <c r="G1002" s="142"/>
      <c r="H1002" s="142"/>
      <c r="I1002" s="142"/>
      <c r="J1002" s="142"/>
      <c r="K1002" s="142"/>
      <c r="L1002" s="142"/>
      <c r="M1002" s="142"/>
      <c r="N1002" s="142"/>
      <c r="O1002" s="142"/>
      <c r="P1002" s="142"/>
      <c r="Q1002" s="142"/>
      <c r="R1002" s="142"/>
      <c r="S1002" s="142"/>
      <c r="T1002" s="142"/>
      <c r="U1002" s="142"/>
      <c r="V1002" s="142"/>
      <c r="W1002" s="142"/>
      <c r="X1002" s="142"/>
      <c r="Y1002" s="142"/>
      <c r="Z1002" s="142"/>
      <c r="AA1002" s="142"/>
      <c r="AB1002" s="142"/>
      <c r="AC1002" s="142"/>
      <c r="AD1002" s="142"/>
      <c r="AE1002" s="142"/>
      <c r="AF1002" s="142"/>
      <c r="AG1002" s="142"/>
      <c r="AH1002" s="142"/>
      <c r="AI1002" s="142"/>
      <c r="AJ1002" s="142"/>
      <c r="AK1002" s="142"/>
      <c r="AL1002" s="142"/>
      <c r="AM1002" s="142"/>
      <c r="AN1002" s="142"/>
      <c r="AO1002" s="142"/>
      <c r="AP1002" s="143"/>
    </row>
    <row r="1003" spans="1:42" ht="13.2" hidden="1">
      <c r="A1003" s="143"/>
      <c r="B1003" s="143"/>
      <c r="C1003" s="142"/>
      <c r="D1003" s="168"/>
      <c r="E1003" s="153"/>
      <c r="F1003" s="153"/>
      <c r="G1003" s="142"/>
      <c r="H1003" s="142"/>
      <c r="I1003" s="142"/>
      <c r="J1003" s="142"/>
      <c r="K1003" s="142"/>
      <c r="L1003" s="142"/>
      <c r="M1003" s="142"/>
      <c r="N1003" s="142"/>
      <c r="O1003" s="142"/>
      <c r="P1003" s="142"/>
      <c r="Q1003" s="142"/>
      <c r="R1003" s="142"/>
      <c r="S1003" s="142"/>
      <c r="T1003" s="142"/>
      <c r="U1003" s="142"/>
      <c r="V1003" s="142"/>
      <c r="W1003" s="142"/>
      <c r="X1003" s="142"/>
      <c r="Y1003" s="142"/>
      <c r="Z1003" s="142"/>
      <c r="AA1003" s="142"/>
      <c r="AB1003" s="142"/>
      <c r="AC1003" s="142"/>
      <c r="AD1003" s="142"/>
      <c r="AE1003" s="142"/>
      <c r="AF1003" s="142"/>
      <c r="AG1003" s="142"/>
      <c r="AH1003" s="142"/>
      <c r="AI1003" s="142"/>
      <c r="AJ1003" s="142"/>
      <c r="AK1003" s="142"/>
      <c r="AL1003" s="142"/>
      <c r="AM1003" s="142"/>
      <c r="AN1003" s="142"/>
      <c r="AO1003" s="142"/>
      <c r="AP1003" s="143"/>
    </row>
    <row r="1004" spans="1:42" ht="13.2" hidden="1">
      <c r="A1004" s="143"/>
      <c r="B1004" s="143"/>
      <c r="C1004" s="142"/>
      <c r="D1004" s="168"/>
      <c r="E1004" s="153"/>
      <c r="F1004" s="153"/>
      <c r="G1004" s="142"/>
      <c r="H1004" s="142"/>
      <c r="I1004" s="142"/>
      <c r="J1004" s="142"/>
      <c r="K1004" s="142"/>
      <c r="L1004" s="142"/>
      <c r="M1004" s="142"/>
      <c r="N1004" s="142"/>
      <c r="O1004" s="142"/>
      <c r="P1004" s="142"/>
      <c r="Q1004" s="142"/>
      <c r="R1004" s="142"/>
      <c r="S1004" s="142"/>
      <c r="T1004" s="142"/>
      <c r="U1004" s="142"/>
      <c r="V1004" s="142"/>
      <c r="W1004" s="142"/>
      <c r="X1004" s="142"/>
      <c r="Y1004" s="142"/>
      <c r="Z1004" s="142"/>
      <c r="AA1004" s="142"/>
      <c r="AB1004" s="142"/>
      <c r="AC1004" s="142"/>
      <c r="AD1004" s="142"/>
      <c r="AE1004" s="142"/>
      <c r="AF1004" s="142"/>
      <c r="AG1004" s="142"/>
      <c r="AH1004" s="142"/>
      <c r="AI1004" s="142"/>
      <c r="AJ1004" s="142"/>
      <c r="AK1004" s="142"/>
      <c r="AL1004" s="142"/>
      <c r="AM1004" s="142"/>
      <c r="AN1004" s="142"/>
      <c r="AO1004" s="142"/>
      <c r="AP1004" s="143"/>
    </row>
    <row r="1005" spans="1:42" ht="13.2" hidden="1">
      <c r="A1005" s="143"/>
      <c r="B1005" s="143"/>
      <c r="C1005" s="142"/>
      <c r="D1005" s="168"/>
      <c r="E1005" s="153"/>
      <c r="F1005" s="153"/>
      <c r="G1005" s="142"/>
      <c r="H1005" s="142"/>
      <c r="I1005" s="142"/>
      <c r="J1005" s="142"/>
      <c r="K1005" s="142"/>
      <c r="L1005" s="142"/>
      <c r="M1005" s="142"/>
      <c r="N1005" s="142"/>
      <c r="O1005" s="142"/>
      <c r="P1005" s="142"/>
      <c r="Q1005" s="142"/>
      <c r="R1005" s="142"/>
      <c r="S1005" s="142"/>
      <c r="T1005" s="142"/>
      <c r="U1005" s="142"/>
      <c r="V1005" s="142"/>
      <c r="W1005" s="142"/>
      <c r="X1005" s="142"/>
      <c r="Y1005" s="142"/>
      <c r="Z1005" s="142"/>
      <c r="AA1005" s="142"/>
      <c r="AB1005" s="142"/>
      <c r="AC1005" s="142"/>
      <c r="AD1005" s="142"/>
      <c r="AE1005" s="142"/>
      <c r="AF1005" s="142"/>
      <c r="AG1005" s="142"/>
      <c r="AH1005" s="142"/>
      <c r="AI1005" s="142"/>
      <c r="AJ1005" s="142"/>
      <c r="AK1005" s="142"/>
      <c r="AL1005" s="142"/>
      <c r="AM1005" s="142"/>
      <c r="AN1005" s="142"/>
      <c r="AO1005" s="142"/>
      <c r="AP1005" s="143"/>
    </row>
    <row r="1006" spans="1:42" ht="13.2" hidden="1">
      <c r="A1006" s="143"/>
      <c r="B1006" s="143"/>
      <c r="C1006" s="142"/>
      <c r="D1006" s="168"/>
      <c r="E1006" s="153"/>
      <c r="F1006" s="153"/>
      <c r="G1006" s="142"/>
      <c r="H1006" s="142"/>
      <c r="I1006" s="142"/>
      <c r="J1006" s="142"/>
      <c r="K1006" s="142"/>
      <c r="L1006" s="142"/>
      <c r="M1006" s="142"/>
      <c r="N1006" s="142"/>
      <c r="O1006" s="142"/>
      <c r="P1006" s="142"/>
      <c r="Q1006" s="142"/>
      <c r="R1006" s="142"/>
      <c r="S1006" s="142"/>
      <c r="T1006" s="142"/>
      <c r="U1006" s="142"/>
      <c r="V1006" s="142"/>
      <c r="W1006" s="142"/>
      <c r="X1006" s="142"/>
      <c r="Y1006" s="142"/>
      <c r="Z1006" s="142"/>
      <c r="AA1006" s="142"/>
      <c r="AB1006" s="142"/>
      <c r="AC1006" s="142"/>
      <c r="AD1006" s="142"/>
      <c r="AE1006" s="142"/>
      <c r="AF1006" s="142"/>
      <c r="AG1006" s="142"/>
      <c r="AH1006" s="142"/>
      <c r="AI1006" s="142"/>
      <c r="AJ1006" s="142"/>
      <c r="AK1006" s="142"/>
      <c r="AL1006" s="142"/>
      <c r="AM1006" s="142"/>
      <c r="AN1006" s="142"/>
      <c r="AO1006" s="142"/>
      <c r="AP1006" s="143"/>
    </row>
    <row r="1007" spans="1:42" ht="13.2" hidden="1">
      <c r="A1007" s="143"/>
      <c r="B1007" s="143"/>
      <c r="C1007" s="142"/>
      <c r="D1007" s="168"/>
      <c r="E1007" s="153"/>
      <c r="F1007" s="153"/>
      <c r="G1007" s="142"/>
      <c r="H1007" s="142"/>
      <c r="I1007" s="142"/>
      <c r="J1007" s="142"/>
      <c r="K1007" s="142"/>
      <c r="L1007" s="142"/>
      <c r="M1007" s="142"/>
      <c r="N1007" s="142"/>
      <c r="O1007" s="142"/>
      <c r="P1007" s="142"/>
      <c r="Q1007" s="142"/>
      <c r="R1007" s="142"/>
      <c r="S1007" s="142"/>
      <c r="T1007" s="142"/>
      <c r="U1007" s="142"/>
      <c r="V1007" s="142"/>
      <c r="W1007" s="142"/>
      <c r="X1007" s="142"/>
      <c r="Y1007" s="142"/>
      <c r="Z1007" s="142"/>
      <c r="AA1007" s="142"/>
      <c r="AB1007" s="142"/>
      <c r="AC1007" s="142"/>
      <c r="AD1007" s="142"/>
      <c r="AE1007" s="142"/>
      <c r="AF1007" s="142"/>
      <c r="AG1007" s="142"/>
      <c r="AH1007" s="142"/>
      <c r="AI1007" s="142"/>
      <c r="AJ1007" s="142"/>
      <c r="AK1007" s="142"/>
      <c r="AL1007" s="142"/>
      <c r="AM1007" s="142"/>
      <c r="AN1007" s="142"/>
      <c r="AO1007" s="142"/>
      <c r="AP1007" s="143"/>
    </row>
    <row r="1008" spans="1:42" ht="13.2" hidden="1">
      <c r="A1008" s="143"/>
      <c r="B1008" s="143"/>
      <c r="C1008" s="142"/>
      <c r="D1008" s="168"/>
      <c r="E1008" s="153"/>
      <c r="F1008" s="153"/>
      <c r="G1008" s="142"/>
      <c r="H1008" s="142"/>
      <c r="I1008" s="142"/>
      <c r="J1008" s="142"/>
      <c r="K1008" s="142"/>
      <c r="L1008" s="142"/>
      <c r="M1008" s="142"/>
      <c r="N1008" s="142"/>
      <c r="O1008" s="142"/>
      <c r="P1008" s="142"/>
      <c r="Q1008" s="142"/>
      <c r="R1008" s="142"/>
      <c r="S1008" s="142"/>
      <c r="T1008" s="142"/>
      <c r="U1008" s="142"/>
      <c r="V1008" s="142"/>
      <c r="W1008" s="142"/>
      <c r="X1008" s="142"/>
      <c r="Y1008" s="142"/>
      <c r="Z1008" s="142"/>
      <c r="AA1008" s="142"/>
      <c r="AB1008" s="142"/>
      <c r="AC1008" s="142"/>
      <c r="AD1008" s="142"/>
      <c r="AE1008" s="142"/>
      <c r="AF1008" s="142"/>
      <c r="AG1008" s="142"/>
      <c r="AH1008" s="142"/>
      <c r="AI1008" s="142"/>
      <c r="AJ1008" s="142"/>
      <c r="AK1008" s="142"/>
      <c r="AL1008" s="142"/>
      <c r="AM1008" s="142"/>
      <c r="AN1008" s="142"/>
      <c r="AO1008" s="142"/>
      <c r="AP1008" s="143"/>
    </row>
    <row r="1009" spans="1:42" ht="13.2" hidden="1">
      <c r="A1009" s="143"/>
      <c r="B1009" s="143"/>
      <c r="C1009" s="142"/>
      <c r="D1009" s="168"/>
      <c r="E1009" s="153"/>
      <c r="F1009" s="153"/>
      <c r="G1009" s="142"/>
      <c r="H1009" s="142"/>
      <c r="I1009" s="142"/>
      <c r="J1009" s="142"/>
      <c r="K1009" s="142"/>
      <c r="L1009" s="142"/>
      <c r="M1009" s="142"/>
      <c r="N1009" s="142"/>
      <c r="O1009" s="142"/>
      <c r="P1009" s="142"/>
      <c r="Q1009" s="142"/>
      <c r="R1009" s="142"/>
      <c r="S1009" s="142"/>
      <c r="T1009" s="142"/>
      <c r="U1009" s="142"/>
      <c r="V1009" s="142"/>
      <c r="W1009" s="142"/>
      <c r="X1009" s="142"/>
      <c r="Y1009" s="142"/>
      <c r="Z1009" s="142"/>
      <c r="AA1009" s="142"/>
      <c r="AB1009" s="142"/>
      <c r="AC1009" s="142"/>
      <c r="AD1009" s="142"/>
      <c r="AE1009" s="142"/>
      <c r="AF1009" s="142"/>
      <c r="AG1009" s="142"/>
      <c r="AH1009" s="142"/>
      <c r="AI1009" s="142"/>
      <c r="AJ1009" s="142"/>
      <c r="AK1009" s="142"/>
      <c r="AL1009" s="142"/>
      <c r="AM1009" s="142"/>
      <c r="AN1009" s="142"/>
      <c r="AO1009" s="142"/>
      <c r="AP1009" s="143"/>
    </row>
    <row r="1010" spans="1:42" ht="13.2" hidden="1">
      <c r="A1010" s="143"/>
      <c r="B1010" s="143"/>
      <c r="C1010" s="142"/>
      <c r="D1010" s="168"/>
      <c r="E1010" s="153"/>
      <c r="F1010" s="153"/>
      <c r="G1010" s="142"/>
      <c r="H1010" s="142"/>
      <c r="I1010" s="142"/>
      <c r="J1010" s="142"/>
      <c r="K1010" s="142"/>
      <c r="L1010" s="142"/>
      <c r="M1010" s="142"/>
      <c r="N1010" s="142"/>
      <c r="O1010" s="142"/>
      <c r="P1010" s="142"/>
      <c r="Q1010" s="142"/>
      <c r="R1010" s="142"/>
      <c r="S1010" s="142"/>
      <c r="T1010" s="142"/>
      <c r="U1010" s="142"/>
      <c r="V1010" s="142"/>
      <c r="W1010" s="142"/>
      <c r="X1010" s="142"/>
      <c r="Y1010" s="142"/>
      <c r="Z1010" s="142"/>
      <c r="AA1010" s="142"/>
      <c r="AB1010" s="142"/>
      <c r="AC1010" s="142"/>
      <c r="AD1010" s="142"/>
      <c r="AE1010" s="142"/>
      <c r="AF1010" s="142"/>
      <c r="AG1010" s="142"/>
      <c r="AH1010" s="142"/>
      <c r="AI1010" s="142"/>
      <c r="AJ1010" s="142"/>
      <c r="AK1010" s="142"/>
      <c r="AL1010" s="142"/>
      <c r="AM1010" s="142"/>
      <c r="AN1010" s="142"/>
      <c r="AO1010" s="142"/>
      <c r="AP1010" s="143"/>
    </row>
    <row r="1011" spans="1:42" ht="13.2" hidden="1">
      <c r="A1011" s="143"/>
      <c r="B1011" s="143"/>
      <c r="C1011" s="142"/>
      <c r="D1011" s="168"/>
      <c r="E1011" s="153"/>
      <c r="F1011" s="153"/>
      <c r="G1011" s="142"/>
      <c r="H1011" s="142"/>
      <c r="I1011" s="142"/>
      <c r="J1011" s="142"/>
      <c r="K1011" s="142"/>
      <c r="L1011" s="142"/>
      <c r="M1011" s="142"/>
      <c r="N1011" s="142"/>
      <c r="O1011" s="142"/>
      <c r="P1011" s="142"/>
      <c r="Q1011" s="142"/>
      <c r="R1011" s="142"/>
      <c r="S1011" s="142"/>
      <c r="T1011" s="142"/>
      <c r="U1011" s="142"/>
      <c r="V1011" s="142"/>
      <c r="W1011" s="142"/>
      <c r="X1011" s="142"/>
      <c r="Y1011" s="142"/>
      <c r="Z1011" s="142"/>
      <c r="AA1011" s="142"/>
      <c r="AB1011" s="142"/>
      <c r="AC1011" s="142"/>
      <c r="AD1011" s="142"/>
      <c r="AE1011" s="142"/>
      <c r="AF1011" s="142"/>
      <c r="AG1011" s="142"/>
      <c r="AH1011" s="142"/>
      <c r="AI1011" s="142"/>
      <c r="AJ1011" s="142"/>
      <c r="AK1011" s="142"/>
      <c r="AL1011" s="142"/>
      <c r="AM1011" s="142"/>
      <c r="AN1011" s="142"/>
      <c r="AO1011" s="142"/>
      <c r="AP1011" s="143"/>
    </row>
    <row r="1012" spans="1:42" ht="13.2" hidden="1">
      <c r="A1012" s="143"/>
      <c r="B1012" s="143"/>
      <c r="C1012" s="142"/>
      <c r="D1012" s="168"/>
      <c r="E1012" s="153"/>
      <c r="F1012" s="153"/>
      <c r="G1012" s="142"/>
      <c r="H1012" s="142"/>
      <c r="I1012" s="142"/>
      <c r="J1012" s="142"/>
      <c r="K1012" s="142"/>
      <c r="L1012" s="142"/>
      <c r="M1012" s="142"/>
      <c r="N1012" s="142"/>
      <c r="O1012" s="142"/>
      <c r="P1012" s="142"/>
      <c r="Q1012" s="142"/>
      <c r="R1012" s="142"/>
      <c r="S1012" s="142"/>
      <c r="T1012" s="142"/>
      <c r="U1012" s="142"/>
      <c r="V1012" s="142"/>
      <c r="W1012" s="142"/>
      <c r="X1012" s="142"/>
      <c r="Y1012" s="142"/>
      <c r="Z1012" s="142"/>
      <c r="AA1012" s="142"/>
      <c r="AB1012" s="142"/>
      <c r="AC1012" s="142"/>
      <c r="AD1012" s="142"/>
      <c r="AE1012" s="142"/>
      <c r="AF1012" s="142"/>
      <c r="AG1012" s="142"/>
      <c r="AH1012" s="142"/>
      <c r="AI1012" s="142"/>
      <c r="AJ1012" s="142"/>
      <c r="AK1012" s="142"/>
      <c r="AL1012" s="142"/>
      <c r="AM1012" s="142"/>
      <c r="AN1012" s="142"/>
      <c r="AO1012" s="142"/>
      <c r="AP1012" s="143"/>
    </row>
    <row r="1013" spans="1:42" ht="13.2" hidden="1">
      <c r="A1013" s="143"/>
      <c r="B1013" s="143"/>
      <c r="C1013" s="142"/>
      <c r="D1013" s="168"/>
      <c r="E1013" s="153"/>
      <c r="F1013" s="153"/>
      <c r="G1013" s="142"/>
      <c r="H1013" s="142"/>
      <c r="I1013" s="142"/>
      <c r="J1013" s="142"/>
      <c r="K1013" s="142"/>
      <c r="L1013" s="142"/>
      <c r="M1013" s="142"/>
      <c r="N1013" s="142"/>
      <c r="O1013" s="142"/>
      <c r="P1013" s="142"/>
      <c r="Q1013" s="142"/>
      <c r="R1013" s="142"/>
      <c r="S1013" s="142"/>
      <c r="T1013" s="142"/>
      <c r="U1013" s="142"/>
      <c r="V1013" s="142"/>
      <c r="W1013" s="142"/>
      <c r="X1013" s="142"/>
      <c r="Y1013" s="142"/>
      <c r="Z1013" s="142"/>
      <c r="AA1013" s="142"/>
      <c r="AB1013" s="142"/>
      <c r="AC1013" s="142"/>
      <c r="AD1013" s="142"/>
      <c r="AE1013" s="142"/>
      <c r="AF1013" s="142"/>
      <c r="AG1013" s="142"/>
      <c r="AH1013" s="142"/>
      <c r="AI1013" s="142"/>
      <c r="AJ1013" s="142"/>
      <c r="AK1013" s="142"/>
      <c r="AL1013" s="142"/>
      <c r="AM1013" s="142"/>
      <c r="AN1013" s="142"/>
      <c r="AO1013" s="142"/>
      <c r="AP1013" s="143"/>
    </row>
  </sheetData>
  <mergeCells count="2">
    <mergeCell ref="B33:C33"/>
    <mergeCell ref="B34:C3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V64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.75" customHeight="1"/>
  <cols>
    <col min="1" max="1" width="20.109375" customWidth="1"/>
    <col min="2" max="3" width="26.77734375" customWidth="1"/>
    <col min="4" max="4" width="87.21875" hidden="1" customWidth="1"/>
    <col min="5" max="5" width="17.109375" customWidth="1"/>
    <col min="6" max="6" width="9" customWidth="1"/>
    <col min="7" max="7" width="12.21875" customWidth="1"/>
    <col min="8" max="8" width="14" customWidth="1"/>
    <col min="9" max="9" width="10.6640625" customWidth="1"/>
    <col min="10" max="10" width="15.88671875" customWidth="1"/>
    <col min="11" max="11" width="14.6640625" customWidth="1"/>
    <col min="12" max="12" width="14.21875" customWidth="1"/>
    <col min="13" max="13" width="11.33203125" customWidth="1"/>
    <col min="14" max="14" width="11.44140625" customWidth="1"/>
    <col min="15" max="15" width="16.44140625" customWidth="1"/>
    <col min="16" max="16" width="26.33203125" customWidth="1"/>
    <col min="17" max="17" width="19.88671875" customWidth="1"/>
    <col min="18" max="18" width="30.109375" customWidth="1"/>
    <col min="19" max="19" width="30.88671875" customWidth="1"/>
    <col min="20" max="20" width="17.44140625" customWidth="1"/>
    <col min="21" max="21" width="27.6640625" customWidth="1"/>
    <col min="22" max="22" width="15.88671875" customWidth="1"/>
    <col min="23" max="23" width="13.109375" customWidth="1"/>
    <col min="24" max="24" width="16.6640625" customWidth="1"/>
    <col min="25" max="25" width="15.88671875" customWidth="1"/>
    <col min="26" max="26" width="13" customWidth="1"/>
    <col min="27" max="27" width="18" customWidth="1"/>
    <col min="28" max="28" width="15.109375" customWidth="1"/>
    <col min="29" max="29" width="30.109375" customWidth="1"/>
    <col min="30" max="30" width="27.33203125" customWidth="1"/>
    <col min="31" max="31" width="15.6640625" customWidth="1"/>
    <col min="32" max="32" width="8.88671875" customWidth="1"/>
    <col min="33" max="33" width="11.33203125" customWidth="1"/>
    <col min="34" max="34" width="18.21875" customWidth="1"/>
    <col min="35" max="35" width="17.21875" customWidth="1"/>
    <col min="36" max="36" width="6.44140625" customWidth="1"/>
    <col min="37" max="37" width="13.33203125" customWidth="1"/>
    <col min="38" max="38" width="11.88671875" customWidth="1"/>
    <col min="39" max="39" width="17" customWidth="1"/>
    <col min="40" max="40" width="18.77734375" customWidth="1"/>
    <col min="41" max="41" width="34.6640625" customWidth="1"/>
    <col min="42" max="42" width="10.44140625" customWidth="1"/>
    <col min="43" max="43" width="16" customWidth="1"/>
    <col min="44" max="44" width="11.44140625" customWidth="1"/>
    <col min="45" max="45" width="14.21875" customWidth="1"/>
    <col min="46" max="46" width="14.88671875" customWidth="1"/>
    <col min="47" max="48" width="9.44140625" customWidth="1"/>
  </cols>
  <sheetData>
    <row r="1" spans="1:48">
      <c r="A1" s="11" t="s">
        <v>30</v>
      </c>
      <c r="B1" s="11" t="s">
        <v>31</v>
      </c>
      <c r="C1" s="11" t="s">
        <v>6</v>
      </c>
      <c r="D1" s="11" t="s">
        <v>35</v>
      </c>
      <c r="E1" s="11" t="s">
        <v>32</v>
      </c>
      <c r="F1" s="45" t="s">
        <v>34</v>
      </c>
      <c r="G1" s="11" t="s">
        <v>37</v>
      </c>
      <c r="H1" s="11" t="s">
        <v>131</v>
      </c>
      <c r="I1" s="11" t="s">
        <v>383</v>
      </c>
      <c r="J1" s="11" t="s">
        <v>384</v>
      </c>
      <c r="K1" s="11" t="s">
        <v>47</v>
      </c>
      <c r="L1" s="11" t="s">
        <v>385</v>
      </c>
      <c r="M1" s="11" t="s">
        <v>49</v>
      </c>
      <c r="N1" s="11" t="s">
        <v>52</v>
      </c>
      <c r="O1" s="11" t="s">
        <v>53</v>
      </c>
      <c r="P1" s="11" t="s">
        <v>54</v>
      </c>
      <c r="Q1" s="11" t="s">
        <v>55</v>
      </c>
      <c r="R1" s="11" t="s">
        <v>386</v>
      </c>
      <c r="S1" s="11" t="s">
        <v>387</v>
      </c>
      <c r="T1" s="11" t="s">
        <v>58</v>
      </c>
      <c r="U1" s="11" t="s">
        <v>59</v>
      </c>
      <c r="V1" s="11" t="s">
        <v>60</v>
      </c>
      <c r="W1" s="11" t="s">
        <v>61</v>
      </c>
      <c r="X1" s="11" t="s">
        <v>62</v>
      </c>
      <c r="Y1" s="11" t="s">
        <v>842</v>
      </c>
      <c r="Z1" s="11" t="s">
        <v>64</v>
      </c>
      <c r="AA1" s="11" t="s">
        <v>843</v>
      </c>
      <c r="AB1" s="11" t="s">
        <v>66</v>
      </c>
      <c r="AC1" s="11" t="s">
        <v>844</v>
      </c>
      <c r="AD1" s="11" t="s">
        <v>69</v>
      </c>
      <c r="AE1" s="11" t="s">
        <v>70</v>
      </c>
      <c r="AF1" s="11" t="s">
        <v>71</v>
      </c>
      <c r="AG1" s="11" t="s">
        <v>72</v>
      </c>
      <c r="AH1" s="11" t="s">
        <v>388</v>
      </c>
      <c r="AI1" s="11" t="s">
        <v>74</v>
      </c>
      <c r="AJ1" s="11" t="s">
        <v>75</v>
      </c>
      <c r="AK1" s="11" t="s">
        <v>76</v>
      </c>
      <c r="AL1" s="6" t="s">
        <v>77</v>
      </c>
      <c r="AM1" s="11" t="s">
        <v>78</v>
      </c>
      <c r="AN1" s="6" t="s">
        <v>43</v>
      </c>
      <c r="AO1" s="11" t="s">
        <v>44</v>
      </c>
      <c r="AP1" s="11" t="s">
        <v>79</v>
      </c>
      <c r="AQ1" s="11" t="s">
        <v>80</v>
      </c>
      <c r="AR1" s="11" t="s">
        <v>82</v>
      </c>
      <c r="AS1" s="11" t="s">
        <v>389</v>
      </c>
      <c r="AT1" s="11" t="s">
        <v>83</v>
      </c>
      <c r="AU1" s="11" t="s">
        <v>88</v>
      </c>
      <c r="AV1" s="11"/>
    </row>
    <row r="2" spans="1:48">
      <c r="A2" s="11" t="s">
        <v>118</v>
      </c>
      <c r="B2" s="11" t="s">
        <v>359</v>
      </c>
      <c r="C2" s="11" t="s">
        <v>26</v>
      </c>
      <c r="D2" s="11" t="s">
        <v>442</v>
      </c>
      <c r="E2" s="11" t="s">
        <v>477</v>
      </c>
      <c r="F2" s="45">
        <v>42826</v>
      </c>
      <c r="G2" s="11">
        <v>0</v>
      </c>
      <c r="H2" s="11">
        <v>2000000</v>
      </c>
      <c r="I2" s="11">
        <v>1217060.71</v>
      </c>
      <c r="J2" s="11">
        <v>0</v>
      </c>
      <c r="K2" s="11">
        <v>86</v>
      </c>
      <c r="L2" s="11">
        <v>68</v>
      </c>
      <c r="M2" s="11">
        <v>6</v>
      </c>
      <c r="N2" s="11">
        <v>92</v>
      </c>
      <c r="O2" s="11">
        <v>24</v>
      </c>
      <c r="P2" s="11">
        <v>871850.23</v>
      </c>
      <c r="Q2" s="11">
        <v>345210.48</v>
      </c>
      <c r="R2" s="11">
        <v>30</v>
      </c>
      <c r="S2" s="11">
        <v>6</v>
      </c>
      <c r="T2" s="11">
        <v>36</v>
      </c>
      <c r="U2" s="11">
        <v>0</v>
      </c>
      <c r="V2" s="11">
        <v>1</v>
      </c>
      <c r="W2" s="11">
        <v>1</v>
      </c>
      <c r="X2" s="11">
        <v>9</v>
      </c>
      <c r="Y2" s="11">
        <v>1</v>
      </c>
      <c r="Z2" s="11">
        <v>21</v>
      </c>
      <c r="AA2" s="11">
        <v>0</v>
      </c>
      <c r="AB2" s="11">
        <v>0</v>
      </c>
      <c r="AC2" s="11">
        <v>0</v>
      </c>
      <c r="AD2" s="11">
        <v>0</v>
      </c>
      <c r="AE2" s="11">
        <v>132</v>
      </c>
      <c r="AF2" s="11">
        <v>154</v>
      </c>
      <c r="AG2" s="11">
        <v>27</v>
      </c>
      <c r="AH2" s="3">
        <f t="shared" ref="AH2:AH205" si="0">IFERROR(SUM(I2:J2)/AG2,"")</f>
        <v>45076.322592592594</v>
      </c>
      <c r="AI2" s="3">
        <f t="shared" ref="AI2:AI205" si="1">IFERROR(AF2/AG2,"")</f>
        <v>5.7037037037037033</v>
      </c>
      <c r="AJ2" s="11">
        <f t="array" ref="AJ2:AJ205">VLOOKUP($C$2:$C$205,Data!$C$1:$AO$210,25,0)</f>
        <v>0</v>
      </c>
      <c r="AK2" s="11">
        <v>0</v>
      </c>
      <c r="AL2" s="181">
        <f t="shared" ref="AL2:AL205" si="2">IFERROR(SUM(AJ2:AK2)/SUM(I2:J2),"")</f>
        <v>0</v>
      </c>
      <c r="AM2" s="3">
        <f>I2/T2</f>
        <v>33807.241944444446</v>
      </c>
      <c r="AN2" s="181">
        <f t="shared" ref="AN2:AN205" si="3">IFERROR(SUM(I2:J2)/SUM(G2:H2),"")</f>
        <v>0.60853035499999997</v>
      </c>
      <c r="AO2" s="182">
        <v>0</v>
      </c>
      <c r="AP2" s="11">
        <v>48</v>
      </c>
      <c r="AQ2" s="11">
        <v>261</v>
      </c>
      <c r="AR2" s="11">
        <v>1422.3</v>
      </c>
      <c r="AS2" s="11">
        <v>6</v>
      </c>
      <c r="AT2" s="11">
        <v>21</v>
      </c>
      <c r="AV2" s="11" t="str">
        <f t="shared" ref="AV2:AV205" si="4">IF(ISBLANK(AU2),"Active","Left")</f>
        <v>Active</v>
      </c>
    </row>
    <row r="3" spans="1:48">
      <c r="A3" s="11" t="s">
        <v>118</v>
      </c>
      <c r="B3" s="11" t="s">
        <v>362</v>
      </c>
      <c r="C3" s="11" t="s">
        <v>27</v>
      </c>
      <c r="D3" s="11" t="s">
        <v>419</v>
      </c>
      <c r="E3" s="11" t="s">
        <v>452</v>
      </c>
      <c r="F3" s="45">
        <v>41791</v>
      </c>
      <c r="G3" s="11">
        <v>0</v>
      </c>
      <c r="H3" s="11">
        <v>12500000</v>
      </c>
      <c r="I3" s="11">
        <v>5303457.38</v>
      </c>
      <c r="J3" s="11">
        <v>0</v>
      </c>
      <c r="K3" s="11">
        <v>99</v>
      </c>
      <c r="L3" s="11">
        <v>63</v>
      </c>
      <c r="M3" s="11">
        <v>0</v>
      </c>
      <c r="N3" s="11">
        <v>99</v>
      </c>
      <c r="O3" s="11">
        <v>36</v>
      </c>
      <c r="P3" s="11">
        <v>5303457.38</v>
      </c>
      <c r="Q3" s="11">
        <v>0</v>
      </c>
      <c r="R3" s="11">
        <v>45</v>
      </c>
      <c r="S3" s="11">
        <v>0</v>
      </c>
      <c r="T3" s="11">
        <v>45</v>
      </c>
      <c r="U3" s="11">
        <v>0</v>
      </c>
      <c r="V3" s="11">
        <v>0</v>
      </c>
      <c r="W3" s="11">
        <v>0</v>
      </c>
      <c r="X3" s="11">
        <v>33</v>
      </c>
      <c r="Y3" s="11">
        <v>3</v>
      </c>
      <c r="Z3" s="11">
        <v>17</v>
      </c>
      <c r="AA3" s="11">
        <v>0</v>
      </c>
      <c r="AB3" s="11">
        <v>0</v>
      </c>
      <c r="AC3" s="11">
        <v>0</v>
      </c>
      <c r="AD3" s="11">
        <v>0</v>
      </c>
      <c r="AE3" s="11">
        <v>91</v>
      </c>
      <c r="AF3" s="11">
        <v>108</v>
      </c>
      <c r="AG3" s="11">
        <v>25</v>
      </c>
      <c r="AH3" s="3">
        <f t="shared" si="0"/>
        <v>212138.29519999999</v>
      </c>
      <c r="AI3" s="3">
        <f t="shared" si="1"/>
        <v>4.32</v>
      </c>
      <c r="AJ3" s="11">
        <v>0</v>
      </c>
      <c r="AK3" s="11">
        <v>0</v>
      </c>
      <c r="AL3" s="181">
        <f t="shared" si="2"/>
        <v>0</v>
      </c>
      <c r="AM3" s="11">
        <v>117855</v>
      </c>
      <c r="AN3" s="181">
        <f t="shared" si="3"/>
        <v>0.42427659039999999</v>
      </c>
      <c r="AO3" s="182">
        <v>0</v>
      </c>
      <c r="AP3" s="11">
        <v>63</v>
      </c>
      <c r="AQ3" s="11">
        <v>290</v>
      </c>
      <c r="AR3" s="11">
        <v>3089.12</v>
      </c>
      <c r="AS3" s="11">
        <v>0</v>
      </c>
      <c r="AT3" s="11">
        <v>49</v>
      </c>
      <c r="AV3" s="11" t="str">
        <f t="shared" si="4"/>
        <v>Active</v>
      </c>
    </row>
    <row r="4" spans="1:48">
      <c r="A4" s="11" t="s">
        <v>118</v>
      </c>
      <c r="B4" s="11" t="s">
        <v>359</v>
      </c>
      <c r="C4" s="11" t="s">
        <v>28</v>
      </c>
      <c r="D4" s="11" t="s">
        <v>442</v>
      </c>
      <c r="E4" s="11" t="s">
        <v>444</v>
      </c>
      <c r="F4" s="45">
        <v>41563</v>
      </c>
      <c r="G4" s="11">
        <v>0</v>
      </c>
      <c r="H4" s="11">
        <v>2100000</v>
      </c>
      <c r="I4" s="11">
        <v>1867123.59</v>
      </c>
      <c r="J4" s="11">
        <v>0</v>
      </c>
      <c r="K4" s="11">
        <v>38</v>
      </c>
      <c r="L4" s="11">
        <v>32</v>
      </c>
      <c r="M4" s="11">
        <v>1</v>
      </c>
      <c r="N4" s="11">
        <v>39</v>
      </c>
      <c r="O4" s="11">
        <v>7</v>
      </c>
      <c r="P4" s="11">
        <v>1867123.59</v>
      </c>
      <c r="Q4" s="11">
        <v>0</v>
      </c>
      <c r="R4" s="11">
        <v>16</v>
      </c>
      <c r="S4" s="11">
        <v>0</v>
      </c>
      <c r="T4" s="11">
        <v>16</v>
      </c>
      <c r="U4" s="11">
        <v>0</v>
      </c>
      <c r="V4" s="11">
        <v>0</v>
      </c>
      <c r="W4" s="11">
        <v>0</v>
      </c>
      <c r="X4" s="11">
        <v>32</v>
      </c>
      <c r="Y4" s="11">
        <v>1</v>
      </c>
      <c r="Z4" s="11">
        <v>1</v>
      </c>
      <c r="AA4" s="11">
        <v>0</v>
      </c>
      <c r="AB4" s="11">
        <v>0</v>
      </c>
      <c r="AC4" s="11">
        <v>0</v>
      </c>
      <c r="AD4" s="11">
        <v>0</v>
      </c>
      <c r="AE4" s="11">
        <v>75</v>
      </c>
      <c r="AF4" s="11">
        <v>76</v>
      </c>
      <c r="AG4" s="11">
        <v>26</v>
      </c>
      <c r="AH4" s="3">
        <f t="shared" si="0"/>
        <v>71812.445769230777</v>
      </c>
      <c r="AI4" s="3">
        <f t="shared" si="1"/>
        <v>2.9230769230769229</v>
      </c>
      <c r="AJ4" s="11">
        <v>0</v>
      </c>
      <c r="AK4" s="11">
        <v>0</v>
      </c>
      <c r="AL4" s="181">
        <f t="shared" si="2"/>
        <v>0</v>
      </c>
      <c r="AM4" s="11">
        <v>116695</v>
      </c>
      <c r="AN4" s="181">
        <f t="shared" si="3"/>
        <v>0.88910647142857147</v>
      </c>
      <c r="AO4" s="182">
        <v>0</v>
      </c>
      <c r="AP4" s="11">
        <v>32</v>
      </c>
      <c r="AQ4" s="11">
        <v>306</v>
      </c>
      <c r="AR4" s="11">
        <v>2581.41</v>
      </c>
      <c r="AS4" s="11">
        <v>0</v>
      </c>
      <c r="AT4" s="11">
        <v>81</v>
      </c>
      <c r="AV4" s="11" t="str">
        <f t="shared" si="4"/>
        <v>Active</v>
      </c>
    </row>
    <row r="5" spans="1:48">
      <c r="A5" s="11" t="s">
        <v>118</v>
      </c>
      <c r="B5" s="11" t="s">
        <v>362</v>
      </c>
      <c r="C5" s="11" t="s">
        <v>29</v>
      </c>
      <c r="D5" s="11" t="s">
        <v>419</v>
      </c>
      <c r="E5" s="11" t="s">
        <v>420</v>
      </c>
      <c r="F5" s="45">
        <v>39859</v>
      </c>
      <c r="G5" s="11">
        <v>0</v>
      </c>
      <c r="H5" s="11">
        <v>0</v>
      </c>
      <c r="I5" s="11">
        <v>0</v>
      </c>
      <c r="J5" s="11">
        <v>0</v>
      </c>
      <c r="K5" s="11">
        <v>150</v>
      </c>
      <c r="L5" s="11">
        <v>56</v>
      </c>
      <c r="M5" s="11">
        <v>1</v>
      </c>
      <c r="N5" s="11">
        <v>151</v>
      </c>
      <c r="O5" s="11">
        <v>95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3</v>
      </c>
      <c r="W5" s="11">
        <v>4</v>
      </c>
      <c r="X5" s="11">
        <v>82</v>
      </c>
      <c r="Y5" s="11">
        <v>5</v>
      </c>
      <c r="Z5" s="11">
        <v>20</v>
      </c>
      <c r="AA5" s="11">
        <v>1</v>
      </c>
      <c r="AB5" s="11">
        <v>3</v>
      </c>
      <c r="AC5" s="11">
        <v>1</v>
      </c>
      <c r="AD5" s="11">
        <v>2</v>
      </c>
      <c r="AE5" s="11">
        <v>75</v>
      </c>
      <c r="AF5" s="11">
        <v>104</v>
      </c>
      <c r="AG5" s="11">
        <v>27</v>
      </c>
      <c r="AH5" s="3">
        <f t="shared" si="0"/>
        <v>0</v>
      </c>
      <c r="AI5" s="3">
        <f t="shared" si="1"/>
        <v>3.8518518518518516</v>
      </c>
      <c r="AJ5" s="11">
        <v>1</v>
      </c>
      <c r="AK5" s="11">
        <v>0</v>
      </c>
      <c r="AL5" s="181" t="str">
        <f t="shared" si="2"/>
        <v/>
      </c>
      <c r="AM5" s="11">
        <v>0</v>
      </c>
      <c r="AN5" s="181" t="str">
        <f t="shared" si="3"/>
        <v/>
      </c>
      <c r="AO5" s="182">
        <v>0</v>
      </c>
      <c r="AP5" s="11">
        <v>0</v>
      </c>
      <c r="AQ5" s="11">
        <v>321</v>
      </c>
      <c r="AR5" s="11">
        <v>2769.58</v>
      </c>
      <c r="AS5" s="11">
        <v>0</v>
      </c>
      <c r="AT5" s="11">
        <v>49</v>
      </c>
      <c r="AV5" s="11" t="str">
        <f t="shared" si="4"/>
        <v>Active</v>
      </c>
    </row>
    <row r="6" spans="1:48">
      <c r="A6" s="11" t="s">
        <v>118</v>
      </c>
      <c r="B6" s="11" t="s">
        <v>359</v>
      </c>
      <c r="C6" s="11" t="s">
        <v>33</v>
      </c>
      <c r="D6" s="11" t="s">
        <v>442</v>
      </c>
      <c r="E6" s="11" t="s">
        <v>496</v>
      </c>
      <c r="F6" s="45">
        <v>43710</v>
      </c>
      <c r="G6" s="11">
        <v>0</v>
      </c>
      <c r="H6" s="11">
        <v>2000000</v>
      </c>
      <c r="I6" s="11">
        <v>1645376.63</v>
      </c>
      <c r="J6" s="11">
        <v>0</v>
      </c>
      <c r="K6" s="11">
        <v>52</v>
      </c>
      <c r="L6" s="11">
        <v>40</v>
      </c>
      <c r="M6" s="11">
        <v>1</v>
      </c>
      <c r="N6" s="11">
        <v>53</v>
      </c>
      <c r="O6" s="11">
        <v>13</v>
      </c>
      <c r="P6" s="11">
        <v>1280297.75</v>
      </c>
      <c r="Q6" s="11">
        <v>365078.88</v>
      </c>
      <c r="R6" s="11">
        <v>25</v>
      </c>
      <c r="S6" s="11">
        <v>1</v>
      </c>
      <c r="T6" s="11">
        <v>26</v>
      </c>
      <c r="U6" s="11">
        <v>0</v>
      </c>
      <c r="V6" s="11">
        <v>3</v>
      </c>
      <c r="W6" s="11">
        <v>3</v>
      </c>
      <c r="X6" s="11">
        <v>33</v>
      </c>
      <c r="Y6" s="11">
        <v>0</v>
      </c>
      <c r="Z6" s="11">
        <v>0</v>
      </c>
      <c r="AA6" s="11">
        <v>2</v>
      </c>
      <c r="AB6" s="11">
        <v>14</v>
      </c>
      <c r="AC6" s="11">
        <v>0</v>
      </c>
      <c r="AD6" s="11">
        <v>0</v>
      </c>
      <c r="AE6" s="11">
        <v>105</v>
      </c>
      <c r="AF6" s="11">
        <v>122</v>
      </c>
      <c r="AG6" s="11">
        <v>26</v>
      </c>
      <c r="AH6" s="3">
        <f t="shared" si="0"/>
        <v>63283.716538461536</v>
      </c>
      <c r="AI6" s="3">
        <f t="shared" si="1"/>
        <v>4.6923076923076925</v>
      </c>
      <c r="AJ6" s="11">
        <v>3</v>
      </c>
      <c r="AK6" s="11">
        <v>0</v>
      </c>
      <c r="AL6" s="181">
        <f t="shared" si="2"/>
        <v>1.8232907562325109E-6</v>
      </c>
      <c r="AM6" s="11">
        <v>63284</v>
      </c>
      <c r="AN6" s="181">
        <f t="shared" si="3"/>
        <v>0.82268831499999995</v>
      </c>
      <c r="AO6" s="182">
        <v>0</v>
      </c>
      <c r="AP6" s="11">
        <v>42</v>
      </c>
      <c r="AQ6" s="11">
        <v>293</v>
      </c>
      <c r="AR6" s="11">
        <v>2810.46</v>
      </c>
      <c r="AS6" s="11">
        <v>1</v>
      </c>
      <c r="AT6" s="11">
        <v>70</v>
      </c>
      <c r="AV6" s="11" t="str">
        <f t="shared" si="4"/>
        <v>Active</v>
      </c>
    </row>
    <row r="7" spans="1:48">
      <c r="A7" s="11" t="s">
        <v>118</v>
      </c>
      <c r="B7" s="11" t="s">
        <v>359</v>
      </c>
      <c r="C7" s="11" t="s">
        <v>38</v>
      </c>
      <c r="D7" s="11" t="s">
        <v>442</v>
      </c>
      <c r="E7" s="11" t="s">
        <v>455</v>
      </c>
      <c r="F7" s="45">
        <v>42125</v>
      </c>
      <c r="G7" s="11">
        <v>0</v>
      </c>
      <c r="H7" s="11">
        <v>6558000</v>
      </c>
      <c r="I7" s="11">
        <v>6191253.8300000001</v>
      </c>
      <c r="J7" s="11">
        <v>0</v>
      </c>
      <c r="K7" s="11">
        <v>84</v>
      </c>
      <c r="L7" s="11">
        <v>80</v>
      </c>
      <c r="M7" s="11">
        <v>0</v>
      </c>
      <c r="N7" s="11">
        <v>84</v>
      </c>
      <c r="O7" s="11">
        <v>4</v>
      </c>
      <c r="P7" s="11">
        <v>6191253.8300000001</v>
      </c>
      <c r="Q7" s="11">
        <v>0</v>
      </c>
      <c r="R7" s="11">
        <v>52</v>
      </c>
      <c r="S7" s="11">
        <v>0</v>
      </c>
      <c r="T7" s="11">
        <v>52</v>
      </c>
      <c r="U7" s="11">
        <v>0</v>
      </c>
      <c r="V7" s="11">
        <v>0</v>
      </c>
      <c r="W7" s="11">
        <v>0</v>
      </c>
      <c r="X7" s="11">
        <v>2</v>
      </c>
      <c r="Y7" s="11">
        <v>3</v>
      </c>
      <c r="Z7" s="11">
        <v>19</v>
      </c>
      <c r="AA7" s="11">
        <v>0</v>
      </c>
      <c r="AB7" s="11">
        <v>0</v>
      </c>
      <c r="AC7" s="11">
        <v>0</v>
      </c>
      <c r="AD7" s="11">
        <v>0</v>
      </c>
      <c r="AE7" s="11">
        <v>140</v>
      </c>
      <c r="AF7" s="11">
        <v>159</v>
      </c>
      <c r="AG7" s="11">
        <v>27</v>
      </c>
      <c r="AH7" s="3">
        <f t="shared" si="0"/>
        <v>229305.69740740742</v>
      </c>
      <c r="AI7" s="3">
        <f t="shared" si="1"/>
        <v>5.8888888888888893</v>
      </c>
      <c r="AJ7" s="11">
        <v>0</v>
      </c>
      <c r="AK7" s="11">
        <v>0</v>
      </c>
      <c r="AL7" s="181">
        <f t="shared" si="2"/>
        <v>0</v>
      </c>
      <c r="AM7" s="11">
        <v>119063</v>
      </c>
      <c r="AN7" s="181">
        <f t="shared" si="3"/>
        <v>0.94407652180542845</v>
      </c>
      <c r="AO7" s="182">
        <v>0</v>
      </c>
      <c r="AP7" s="11">
        <v>117</v>
      </c>
      <c r="AQ7" s="11">
        <v>352</v>
      </c>
      <c r="AR7" s="11">
        <v>2715.22</v>
      </c>
      <c r="AS7" s="11">
        <v>0</v>
      </c>
      <c r="AT7" s="11">
        <v>34</v>
      </c>
      <c r="AV7" s="11" t="str">
        <f t="shared" si="4"/>
        <v>Active</v>
      </c>
    </row>
    <row r="8" spans="1:48">
      <c r="A8" s="11" t="s">
        <v>118</v>
      </c>
      <c r="B8" s="11" t="s">
        <v>362</v>
      </c>
      <c r="C8" s="11" t="s">
        <v>45</v>
      </c>
      <c r="D8" s="11" t="s">
        <v>419</v>
      </c>
      <c r="E8" s="11" t="s">
        <v>464</v>
      </c>
      <c r="F8" s="45">
        <v>42660</v>
      </c>
      <c r="G8" s="11">
        <v>0</v>
      </c>
      <c r="H8" s="11">
        <v>3383333</v>
      </c>
      <c r="I8" s="11">
        <v>1822378.09</v>
      </c>
      <c r="J8" s="11">
        <v>0</v>
      </c>
      <c r="K8" s="11">
        <v>53</v>
      </c>
      <c r="L8" s="11">
        <v>42</v>
      </c>
      <c r="M8" s="11">
        <v>1</v>
      </c>
      <c r="N8" s="11">
        <v>54</v>
      </c>
      <c r="O8" s="11">
        <v>12</v>
      </c>
      <c r="P8" s="11">
        <v>1782916.05</v>
      </c>
      <c r="Q8" s="11">
        <v>39462.04</v>
      </c>
      <c r="R8" s="11">
        <v>21</v>
      </c>
      <c r="S8" s="11">
        <v>1</v>
      </c>
      <c r="T8" s="11">
        <v>22</v>
      </c>
      <c r="U8" s="11">
        <v>0</v>
      </c>
      <c r="V8" s="11">
        <v>0</v>
      </c>
      <c r="W8" s="11">
        <v>0</v>
      </c>
      <c r="X8" s="11">
        <v>6</v>
      </c>
      <c r="Y8" s="11">
        <v>3</v>
      </c>
      <c r="Z8" s="11">
        <v>26</v>
      </c>
      <c r="AA8" s="11">
        <v>0</v>
      </c>
      <c r="AB8" s="11">
        <v>0</v>
      </c>
      <c r="AC8" s="11">
        <v>0</v>
      </c>
      <c r="AD8" s="11">
        <v>0</v>
      </c>
      <c r="AE8" s="11">
        <v>71</v>
      </c>
      <c r="AF8" s="11">
        <v>97</v>
      </c>
      <c r="AG8" s="11">
        <v>26</v>
      </c>
      <c r="AH8" s="3">
        <f t="shared" si="0"/>
        <v>70091.464999999997</v>
      </c>
      <c r="AI8" s="3">
        <f t="shared" si="1"/>
        <v>3.7307692307692308</v>
      </c>
      <c r="AJ8" s="11">
        <v>0</v>
      </c>
      <c r="AK8" s="11">
        <v>0</v>
      </c>
      <c r="AL8" s="181">
        <f t="shared" si="2"/>
        <v>0</v>
      </c>
      <c r="AM8" s="11">
        <v>82835</v>
      </c>
      <c r="AN8" s="181">
        <f t="shared" si="3"/>
        <v>0.53863397129398738</v>
      </c>
      <c r="AO8" s="182">
        <v>0</v>
      </c>
      <c r="AP8" s="11">
        <v>28</v>
      </c>
      <c r="AQ8" s="11">
        <v>290</v>
      </c>
      <c r="AR8" s="11">
        <v>1753.81</v>
      </c>
      <c r="AS8" s="11">
        <v>1</v>
      </c>
      <c r="AT8" s="11">
        <v>42</v>
      </c>
      <c r="AV8" s="11" t="str">
        <f t="shared" si="4"/>
        <v>Active</v>
      </c>
    </row>
    <row r="9" spans="1:48">
      <c r="A9" s="11" t="s">
        <v>118</v>
      </c>
      <c r="B9" s="11" t="s">
        <v>362</v>
      </c>
      <c r="C9" s="11" t="s">
        <v>51</v>
      </c>
      <c r="D9" s="11" t="s">
        <v>419</v>
      </c>
      <c r="E9" s="11" t="s">
        <v>439</v>
      </c>
      <c r="F9" s="45">
        <v>42826</v>
      </c>
      <c r="G9" s="11">
        <v>0</v>
      </c>
      <c r="H9" s="11">
        <v>3800000</v>
      </c>
      <c r="I9" s="11">
        <v>4010790.41</v>
      </c>
      <c r="J9" s="11">
        <v>0</v>
      </c>
      <c r="K9" s="11">
        <v>127</v>
      </c>
      <c r="L9" s="11">
        <v>48</v>
      </c>
      <c r="M9" s="11">
        <v>0</v>
      </c>
      <c r="N9" s="11">
        <v>127</v>
      </c>
      <c r="O9" s="11">
        <v>79</v>
      </c>
      <c r="P9" s="11">
        <v>4010790.41</v>
      </c>
      <c r="Q9" s="11">
        <v>0</v>
      </c>
      <c r="R9" s="11">
        <v>8</v>
      </c>
      <c r="S9" s="11">
        <v>0</v>
      </c>
      <c r="T9" s="11">
        <v>8</v>
      </c>
      <c r="U9" s="11">
        <v>0</v>
      </c>
      <c r="V9" s="11">
        <v>4</v>
      </c>
      <c r="W9" s="11">
        <v>4</v>
      </c>
      <c r="X9" s="11">
        <v>34</v>
      </c>
      <c r="Y9" s="11">
        <v>1</v>
      </c>
      <c r="Z9" s="11">
        <v>9</v>
      </c>
      <c r="AA9" s="11">
        <v>0</v>
      </c>
      <c r="AB9" s="11">
        <v>0</v>
      </c>
      <c r="AC9" s="11">
        <v>0</v>
      </c>
      <c r="AD9" s="11">
        <v>0</v>
      </c>
      <c r="AE9" s="11">
        <v>78</v>
      </c>
      <c r="AF9" s="11">
        <v>91</v>
      </c>
      <c r="AG9" s="11">
        <v>27</v>
      </c>
      <c r="AH9" s="3">
        <f t="shared" si="0"/>
        <v>148547.79296296297</v>
      </c>
      <c r="AI9" s="3">
        <f t="shared" si="1"/>
        <v>3.3703703703703702</v>
      </c>
      <c r="AJ9" s="11">
        <v>0</v>
      </c>
      <c r="AK9" s="11">
        <v>0</v>
      </c>
      <c r="AL9" s="181">
        <f t="shared" si="2"/>
        <v>0</v>
      </c>
      <c r="AM9" s="11">
        <v>501349</v>
      </c>
      <c r="AN9" s="181">
        <f t="shared" si="3"/>
        <v>1.0554711605263158</v>
      </c>
      <c r="AO9" s="182">
        <v>0</v>
      </c>
      <c r="AP9" s="11">
        <v>12</v>
      </c>
      <c r="AQ9" s="11">
        <v>335</v>
      </c>
      <c r="AR9" s="11">
        <v>1469.65</v>
      </c>
      <c r="AS9" s="11">
        <v>0</v>
      </c>
      <c r="AT9" s="11">
        <v>31</v>
      </c>
      <c r="AV9" s="11" t="str">
        <f t="shared" si="4"/>
        <v>Active</v>
      </c>
    </row>
    <row r="10" spans="1:48">
      <c r="A10" s="11" t="s">
        <v>118</v>
      </c>
      <c r="B10" s="11" t="s">
        <v>362</v>
      </c>
      <c r="C10" s="11" t="s">
        <v>67</v>
      </c>
      <c r="D10" s="11" t="s">
        <v>419</v>
      </c>
      <c r="E10" s="11" t="s">
        <v>485</v>
      </c>
      <c r="F10" s="45">
        <v>43009</v>
      </c>
      <c r="G10" s="11">
        <v>0</v>
      </c>
      <c r="H10" s="11">
        <v>0</v>
      </c>
      <c r="I10" s="11">
        <v>0</v>
      </c>
      <c r="J10" s="11">
        <v>0</v>
      </c>
      <c r="K10" s="11">
        <v>194</v>
      </c>
      <c r="L10" s="11">
        <v>67</v>
      </c>
      <c r="M10" s="11">
        <v>2</v>
      </c>
      <c r="N10" s="11">
        <v>196</v>
      </c>
      <c r="O10" s="11">
        <v>129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9</v>
      </c>
      <c r="W10" s="11">
        <v>9</v>
      </c>
      <c r="X10" s="11">
        <v>31</v>
      </c>
      <c r="Y10" s="11">
        <v>2</v>
      </c>
      <c r="Z10" s="11">
        <v>13</v>
      </c>
      <c r="AA10" s="11">
        <v>0</v>
      </c>
      <c r="AB10" s="11">
        <v>0</v>
      </c>
      <c r="AC10" s="11">
        <v>0</v>
      </c>
      <c r="AD10" s="11">
        <v>0</v>
      </c>
      <c r="AE10" s="11">
        <v>89</v>
      </c>
      <c r="AF10" s="11">
        <v>111</v>
      </c>
      <c r="AG10" s="11">
        <v>28</v>
      </c>
      <c r="AH10" s="3">
        <f t="shared" si="0"/>
        <v>0</v>
      </c>
      <c r="AI10" s="3">
        <f t="shared" si="1"/>
        <v>3.9642857142857144</v>
      </c>
      <c r="AJ10" s="11">
        <v>0</v>
      </c>
      <c r="AK10" s="11">
        <v>0</v>
      </c>
      <c r="AL10" s="181" t="str">
        <f t="shared" si="2"/>
        <v/>
      </c>
      <c r="AM10" s="11">
        <v>0</v>
      </c>
      <c r="AN10" s="181" t="str">
        <f t="shared" si="3"/>
        <v/>
      </c>
      <c r="AO10" s="182">
        <v>0</v>
      </c>
      <c r="AP10" s="11">
        <v>0</v>
      </c>
      <c r="AQ10" s="11">
        <v>295</v>
      </c>
      <c r="AR10" s="11">
        <v>2288.29</v>
      </c>
      <c r="AS10" s="11">
        <v>0</v>
      </c>
      <c r="AT10" s="11">
        <v>34</v>
      </c>
      <c r="AV10" s="11" t="str">
        <f t="shared" si="4"/>
        <v>Active</v>
      </c>
    </row>
    <row r="11" spans="1:48">
      <c r="A11" s="11" t="s">
        <v>118</v>
      </c>
      <c r="B11" s="11" t="s">
        <v>362</v>
      </c>
      <c r="C11" s="11" t="s">
        <v>81</v>
      </c>
      <c r="D11" s="11" t="s">
        <v>419</v>
      </c>
      <c r="E11" s="11" t="s">
        <v>439</v>
      </c>
      <c r="F11" s="45">
        <v>43119</v>
      </c>
      <c r="G11" s="11">
        <v>0</v>
      </c>
      <c r="H11" s="11">
        <v>3833333</v>
      </c>
      <c r="I11" s="11">
        <v>1855864.5</v>
      </c>
      <c r="J11" s="11">
        <v>0</v>
      </c>
      <c r="K11" s="11">
        <v>57</v>
      </c>
      <c r="L11" s="11">
        <v>17</v>
      </c>
      <c r="M11" s="11">
        <v>1</v>
      </c>
      <c r="N11" s="11">
        <v>58</v>
      </c>
      <c r="O11" s="11">
        <v>41</v>
      </c>
      <c r="P11" s="11">
        <v>1772704.5</v>
      </c>
      <c r="Q11" s="11">
        <v>83160</v>
      </c>
      <c r="R11" s="11">
        <v>2</v>
      </c>
      <c r="S11" s="11">
        <v>1</v>
      </c>
      <c r="T11" s="11">
        <v>3</v>
      </c>
      <c r="U11" s="11">
        <v>0</v>
      </c>
      <c r="V11" s="11">
        <v>3</v>
      </c>
      <c r="W11" s="11">
        <v>3</v>
      </c>
      <c r="X11" s="11">
        <v>73</v>
      </c>
      <c r="Y11" s="11">
        <v>1</v>
      </c>
      <c r="Z11" s="11">
        <v>1</v>
      </c>
      <c r="AA11" s="11">
        <v>0</v>
      </c>
      <c r="AB11" s="11">
        <v>0</v>
      </c>
      <c r="AC11" s="11">
        <v>0</v>
      </c>
      <c r="AD11" s="11">
        <v>0</v>
      </c>
      <c r="AE11" s="11">
        <v>38</v>
      </c>
      <c r="AF11" s="11">
        <v>42</v>
      </c>
      <c r="AG11" s="11">
        <v>23</v>
      </c>
      <c r="AH11" s="3">
        <f t="shared" si="0"/>
        <v>80689.760869565216</v>
      </c>
      <c r="AI11" s="3">
        <f t="shared" si="1"/>
        <v>1.826086956521739</v>
      </c>
      <c r="AJ11" s="11">
        <v>0</v>
      </c>
      <c r="AK11" s="11">
        <v>0</v>
      </c>
      <c r="AL11" s="181">
        <f t="shared" si="2"/>
        <v>0</v>
      </c>
      <c r="AM11" s="11">
        <v>618622</v>
      </c>
      <c r="AN11" s="181">
        <f t="shared" si="3"/>
        <v>0.48413860731640063</v>
      </c>
      <c r="AO11" s="182">
        <v>0</v>
      </c>
      <c r="AP11" s="11">
        <v>3</v>
      </c>
      <c r="AQ11" s="11">
        <v>199</v>
      </c>
      <c r="AR11" s="11">
        <v>722.67</v>
      </c>
      <c r="AS11" s="11">
        <v>1</v>
      </c>
      <c r="AT11" s="11">
        <v>43</v>
      </c>
      <c r="AV11" s="11" t="str">
        <f t="shared" si="4"/>
        <v>Active</v>
      </c>
    </row>
    <row r="12" spans="1:48">
      <c r="A12" s="11" t="s">
        <v>118</v>
      </c>
      <c r="B12" s="11" t="s">
        <v>362</v>
      </c>
      <c r="C12" s="11" t="s">
        <v>85</v>
      </c>
      <c r="D12" s="11" t="s">
        <v>419</v>
      </c>
      <c r="E12" s="11" t="s">
        <v>420</v>
      </c>
      <c r="F12" s="45">
        <v>39859</v>
      </c>
      <c r="G12" s="11">
        <v>0</v>
      </c>
      <c r="H12" s="11">
        <v>5050000</v>
      </c>
      <c r="I12" s="11">
        <v>2700180.72</v>
      </c>
      <c r="J12" s="11">
        <v>0</v>
      </c>
      <c r="K12" s="11">
        <v>106</v>
      </c>
      <c r="L12" s="11">
        <v>56</v>
      </c>
      <c r="M12" s="11">
        <v>2</v>
      </c>
      <c r="N12" s="11">
        <v>108</v>
      </c>
      <c r="O12" s="11">
        <v>52</v>
      </c>
      <c r="P12" s="11">
        <v>2518228.2599999998</v>
      </c>
      <c r="Q12" s="11">
        <v>181952.46</v>
      </c>
      <c r="R12" s="11">
        <v>30</v>
      </c>
      <c r="S12" s="11">
        <v>2</v>
      </c>
      <c r="T12" s="11">
        <v>32</v>
      </c>
      <c r="U12" s="11">
        <v>0</v>
      </c>
      <c r="V12" s="11">
        <v>1</v>
      </c>
      <c r="W12" s="11">
        <v>1</v>
      </c>
      <c r="X12" s="11">
        <v>84</v>
      </c>
      <c r="Y12" s="11">
        <v>5</v>
      </c>
      <c r="Z12" s="11">
        <v>11</v>
      </c>
      <c r="AA12" s="11">
        <v>0</v>
      </c>
      <c r="AB12" s="11">
        <v>0</v>
      </c>
      <c r="AC12" s="11">
        <v>0</v>
      </c>
      <c r="AD12" s="11">
        <v>0</v>
      </c>
      <c r="AE12" s="11">
        <v>94</v>
      </c>
      <c r="AF12" s="11">
        <v>106</v>
      </c>
      <c r="AG12" s="11">
        <v>26</v>
      </c>
      <c r="AH12" s="3">
        <f t="shared" si="0"/>
        <v>103853.10461538463</v>
      </c>
      <c r="AI12" s="3">
        <f t="shared" si="1"/>
        <v>4.0769230769230766</v>
      </c>
      <c r="AJ12" s="11">
        <v>0</v>
      </c>
      <c r="AK12" s="11">
        <v>0</v>
      </c>
      <c r="AL12" s="181">
        <f t="shared" si="2"/>
        <v>0</v>
      </c>
      <c r="AM12" s="11">
        <v>84381</v>
      </c>
      <c r="AN12" s="181">
        <f t="shared" si="3"/>
        <v>0.53468925148514856</v>
      </c>
      <c r="AO12" s="182">
        <v>0</v>
      </c>
      <c r="AP12" s="11">
        <v>45</v>
      </c>
      <c r="AQ12" s="11">
        <v>275</v>
      </c>
      <c r="AR12" s="11">
        <v>1938</v>
      </c>
      <c r="AS12" s="11">
        <v>2</v>
      </c>
      <c r="AT12" s="11">
        <v>35</v>
      </c>
      <c r="AV12" s="11" t="str">
        <f t="shared" si="4"/>
        <v>Active</v>
      </c>
    </row>
    <row r="13" spans="1:48">
      <c r="A13" s="11" t="s">
        <v>118</v>
      </c>
      <c r="B13" s="11" t="s">
        <v>362</v>
      </c>
      <c r="C13" s="11" t="s">
        <v>91</v>
      </c>
      <c r="D13" s="11" t="s">
        <v>419</v>
      </c>
      <c r="E13" s="11" t="s">
        <v>439</v>
      </c>
      <c r="F13" s="45">
        <v>41159</v>
      </c>
      <c r="G13" s="11">
        <v>0</v>
      </c>
      <c r="H13" s="11">
        <v>6833333</v>
      </c>
      <c r="I13" s="11">
        <v>5235191.9400000004</v>
      </c>
      <c r="J13" s="11">
        <v>0</v>
      </c>
      <c r="K13" s="11">
        <v>142</v>
      </c>
      <c r="L13" s="11">
        <v>88</v>
      </c>
      <c r="M13" s="11">
        <v>2</v>
      </c>
      <c r="N13" s="11">
        <v>144</v>
      </c>
      <c r="O13" s="11">
        <v>56</v>
      </c>
      <c r="P13" s="11">
        <v>4919930.04</v>
      </c>
      <c r="Q13" s="11">
        <v>315261.90000000002</v>
      </c>
      <c r="R13" s="11">
        <v>41</v>
      </c>
      <c r="S13" s="11">
        <v>2</v>
      </c>
      <c r="T13" s="11">
        <v>43</v>
      </c>
      <c r="U13" s="11">
        <v>0</v>
      </c>
      <c r="V13" s="11">
        <v>8</v>
      </c>
      <c r="W13" s="11">
        <v>12</v>
      </c>
      <c r="X13" s="11">
        <v>44</v>
      </c>
      <c r="Y13" s="11">
        <v>1</v>
      </c>
      <c r="Z13" s="11">
        <v>1</v>
      </c>
      <c r="AA13" s="11">
        <v>0</v>
      </c>
      <c r="AB13" s="11">
        <v>0</v>
      </c>
      <c r="AC13" s="11">
        <v>0</v>
      </c>
      <c r="AD13" s="11">
        <v>0</v>
      </c>
      <c r="AE13" s="11">
        <v>145</v>
      </c>
      <c r="AF13" s="11">
        <v>158</v>
      </c>
      <c r="AG13" s="11">
        <v>27</v>
      </c>
      <c r="AH13" s="3">
        <f t="shared" si="0"/>
        <v>193895.99777777778</v>
      </c>
      <c r="AI13" s="3">
        <f t="shared" si="1"/>
        <v>5.8518518518518521</v>
      </c>
      <c r="AJ13" s="11">
        <v>0</v>
      </c>
      <c r="AK13" s="11">
        <v>0</v>
      </c>
      <c r="AL13" s="181">
        <f t="shared" si="2"/>
        <v>0</v>
      </c>
      <c r="AM13" s="11">
        <v>121749</v>
      </c>
      <c r="AN13" s="181">
        <f t="shared" si="3"/>
        <v>0.76612568712808238</v>
      </c>
      <c r="AO13" s="182">
        <v>0</v>
      </c>
      <c r="AP13" s="11">
        <v>57</v>
      </c>
      <c r="AQ13" s="11">
        <v>309</v>
      </c>
      <c r="AR13" s="11">
        <v>959.47</v>
      </c>
      <c r="AS13" s="11">
        <v>2</v>
      </c>
      <c r="AT13" s="11">
        <v>11</v>
      </c>
      <c r="AV13" s="11" t="str">
        <f t="shared" si="4"/>
        <v>Active</v>
      </c>
    </row>
    <row r="14" spans="1:48">
      <c r="A14" s="11" t="s">
        <v>118</v>
      </c>
      <c r="B14" s="11" t="s">
        <v>362</v>
      </c>
      <c r="C14" s="11" t="s">
        <v>92</v>
      </c>
      <c r="D14" s="11" t="s">
        <v>419</v>
      </c>
      <c r="E14" s="11" t="s">
        <v>420</v>
      </c>
      <c r="F14" s="45">
        <v>41400</v>
      </c>
      <c r="G14" s="11">
        <v>0</v>
      </c>
      <c r="H14" s="11">
        <v>8500000</v>
      </c>
      <c r="I14" s="11">
        <v>2835823.68</v>
      </c>
      <c r="J14" s="11">
        <v>0</v>
      </c>
      <c r="K14" s="11">
        <v>53</v>
      </c>
      <c r="L14" s="11">
        <v>34</v>
      </c>
      <c r="M14" s="11">
        <v>3</v>
      </c>
      <c r="N14" s="11">
        <v>56</v>
      </c>
      <c r="O14" s="11">
        <v>22</v>
      </c>
      <c r="P14" s="11">
        <v>2831071.68</v>
      </c>
      <c r="Q14" s="11">
        <v>4752</v>
      </c>
      <c r="R14" s="11">
        <v>19</v>
      </c>
      <c r="S14" s="11">
        <v>1</v>
      </c>
      <c r="T14" s="11">
        <v>20</v>
      </c>
      <c r="U14" s="11">
        <v>0</v>
      </c>
      <c r="V14" s="11">
        <v>0</v>
      </c>
      <c r="W14" s="11">
        <v>0</v>
      </c>
      <c r="X14" s="11">
        <v>18</v>
      </c>
      <c r="Y14" s="11">
        <v>2</v>
      </c>
      <c r="Z14" s="11">
        <v>17</v>
      </c>
      <c r="AA14" s="11">
        <v>0</v>
      </c>
      <c r="AB14" s="11">
        <v>0</v>
      </c>
      <c r="AC14" s="11">
        <v>0</v>
      </c>
      <c r="AD14" s="11">
        <v>0</v>
      </c>
      <c r="AE14" s="11">
        <v>118</v>
      </c>
      <c r="AF14" s="11">
        <v>135</v>
      </c>
      <c r="AG14" s="11">
        <v>21</v>
      </c>
      <c r="AH14" s="3">
        <f t="shared" si="0"/>
        <v>135039.22285714286</v>
      </c>
      <c r="AI14" s="3">
        <f t="shared" si="1"/>
        <v>6.4285714285714288</v>
      </c>
      <c r="AJ14" s="11">
        <v>0</v>
      </c>
      <c r="AK14" s="11">
        <v>0</v>
      </c>
      <c r="AL14" s="181">
        <f t="shared" si="2"/>
        <v>0</v>
      </c>
      <c r="AM14" s="11">
        <v>141791</v>
      </c>
      <c r="AN14" s="181">
        <f t="shared" si="3"/>
        <v>0.33362631529411768</v>
      </c>
      <c r="AO14" s="182">
        <v>0</v>
      </c>
      <c r="AP14" s="11">
        <v>71</v>
      </c>
      <c r="AQ14" s="11">
        <v>206</v>
      </c>
      <c r="AR14" s="11">
        <v>441.48</v>
      </c>
      <c r="AS14" s="11">
        <v>1</v>
      </c>
      <c r="AT14" s="11">
        <v>13</v>
      </c>
      <c r="AV14" s="11" t="str">
        <f t="shared" si="4"/>
        <v>Active</v>
      </c>
    </row>
    <row r="15" spans="1:48">
      <c r="A15" s="11" t="s">
        <v>118</v>
      </c>
      <c r="B15" s="11" t="s">
        <v>372</v>
      </c>
      <c r="C15" s="11" t="s">
        <v>93</v>
      </c>
      <c r="D15" s="11" t="s">
        <v>447</v>
      </c>
      <c r="E15" s="11" t="s">
        <v>448</v>
      </c>
      <c r="F15" s="45">
        <v>41719</v>
      </c>
      <c r="G15" s="11">
        <v>0</v>
      </c>
      <c r="H15" s="11">
        <v>0</v>
      </c>
      <c r="I15" s="11">
        <v>0</v>
      </c>
      <c r="J15" s="11">
        <v>0</v>
      </c>
      <c r="K15" s="11">
        <v>161</v>
      </c>
      <c r="L15" s="11">
        <v>17</v>
      </c>
      <c r="M15" s="11">
        <v>0</v>
      </c>
      <c r="N15" s="11">
        <v>161</v>
      </c>
      <c r="O15" s="11">
        <v>144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8</v>
      </c>
      <c r="W15" s="11">
        <v>10</v>
      </c>
      <c r="X15" s="11">
        <v>269</v>
      </c>
      <c r="Y15" s="11">
        <v>10</v>
      </c>
      <c r="Z15" s="11">
        <v>25</v>
      </c>
      <c r="AA15" s="11">
        <v>4</v>
      </c>
      <c r="AB15" s="11">
        <v>5</v>
      </c>
      <c r="AC15" s="11">
        <v>1</v>
      </c>
      <c r="AD15" s="11">
        <v>1</v>
      </c>
      <c r="AE15" s="11">
        <v>20</v>
      </c>
      <c r="AF15" s="11">
        <v>61</v>
      </c>
      <c r="AG15" s="11">
        <v>26</v>
      </c>
      <c r="AH15" s="3">
        <f t="shared" si="0"/>
        <v>0</v>
      </c>
      <c r="AI15" s="3">
        <f t="shared" si="1"/>
        <v>2.3461538461538463</v>
      </c>
      <c r="AJ15" s="11">
        <v>4</v>
      </c>
      <c r="AK15" s="11">
        <v>0</v>
      </c>
      <c r="AL15" s="181" t="str">
        <f t="shared" si="2"/>
        <v/>
      </c>
      <c r="AM15" s="11">
        <v>0</v>
      </c>
      <c r="AN15" s="181" t="str">
        <f t="shared" si="3"/>
        <v/>
      </c>
      <c r="AO15" s="182">
        <v>0</v>
      </c>
      <c r="AP15" s="11">
        <v>0</v>
      </c>
      <c r="AQ15" s="11">
        <v>271</v>
      </c>
      <c r="AR15" s="11">
        <v>1402.93</v>
      </c>
      <c r="AS15" s="11">
        <v>0</v>
      </c>
      <c r="AT15" s="11">
        <v>83</v>
      </c>
      <c r="AV15" s="11" t="str">
        <f t="shared" si="4"/>
        <v>Active</v>
      </c>
    </row>
    <row r="16" spans="1:48">
      <c r="A16" s="11" t="s">
        <v>119</v>
      </c>
      <c r="B16" s="11" t="s">
        <v>375</v>
      </c>
      <c r="C16" s="11" t="s">
        <v>95</v>
      </c>
      <c r="D16" s="11" t="s">
        <v>473</v>
      </c>
      <c r="E16" s="11" t="s">
        <v>474</v>
      </c>
      <c r="F16" s="45">
        <v>42769</v>
      </c>
      <c r="G16" s="11">
        <v>0</v>
      </c>
      <c r="H16" s="11">
        <v>1400000</v>
      </c>
      <c r="I16" s="11">
        <v>644458.69999999995</v>
      </c>
      <c r="J16" s="11">
        <v>0</v>
      </c>
      <c r="K16" s="11">
        <v>45</v>
      </c>
      <c r="L16" s="11">
        <v>43</v>
      </c>
      <c r="M16" s="11">
        <v>0</v>
      </c>
      <c r="N16" s="11">
        <v>45</v>
      </c>
      <c r="O16" s="11">
        <v>2</v>
      </c>
      <c r="P16" s="11">
        <v>644458.69999999995</v>
      </c>
      <c r="Q16" s="11">
        <v>0</v>
      </c>
      <c r="R16" s="11">
        <v>14</v>
      </c>
      <c r="S16" s="11">
        <v>0</v>
      </c>
      <c r="T16" s="11">
        <v>14</v>
      </c>
      <c r="U16" s="11">
        <v>0</v>
      </c>
      <c r="V16" s="11">
        <v>5</v>
      </c>
      <c r="W16" s="11">
        <v>6</v>
      </c>
      <c r="X16" s="11">
        <v>73</v>
      </c>
      <c r="Y16" s="11">
        <v>1</v>
      </c>
      <c r="Z16" s="11">
        <v>3</v>
      </c>
      <c r="AA16" s="11">
        <v>0</v>
      </c>
      <c r="AB16" s="11">
        <v>0</v>
      </c>
      <c r="AC16" s="11">
        <v>0</v>
      </c>
      <c r="AD16" s="11">
        <v>0</v>
      </c>
      <c r="AE16" s="11">
        <v>111</v>
      </c>
      <c r="AF16" s="11">
        <v>120</v>
      </c>
      <c r="AG16" s="11">
        <v>27</v>
      </c>
      <c r="AH16" s="3">
        <f t="shared" si="0"/>
        <v>23868.840740740739</v>
      </c>
      <c r="AI16" s="3">
        <f t="shared" si="1"/>
        <v>4.4444444444444446</v>
      </c>
      <c r="AJ16" s="11">
        <v>0</v>
      </c>
      <c r="AK16" s="11">
        <v>0</v>
      </c>
      <c r="AL16" s="181">
        <f t="shared" si="2"/>
        <v>0</v>
      </c>
      <c r="AM16" s="11">
        <v>46033</v>
      </c>
      <c r="AN16" s="181">
        <f t="shared" si="3"/>
        <v>0.46032764285714284</v>
      </c>
      <c r="AO16" s="182">
        <v>0</v>
      </c>
      <c r="AP16" s="11">
        <v>17</v>
      </c>
      <c r="AQ16" s="11">
        <v>303</v>
      </c>
      <c r="AR16" s="11">
        <v>2314.69</v>
      </c>
      <c r="AS16" s="11">
        <v>0</v>
      </c>
      <c r="AT16" s="11">
        <v>54</v>
      </c>
      <c r="AV16" s="11" t="str">
        <f t="shared" si="4"/>
        <v>Active</v>
      </c>
    </row>
    <row r="17" spans="1:48">
      <c r="A17" s="11" t="s">
        <v>119</v>
      </c>
      <c r="B17" s="11" t="s">
        <v>649</v>
      </c>
      <c r="C17" s="11" t="s">
        <v>96</v>
      </c>
      <c r="D17" s="11" t="s">
        <v>486</v>
      </c>
      <c r="E17" s="11" t="s">
        <v>487</v>
      </c>
      <c r="F17" s="45">
        <v>43185</v>
      </c>
      <c r="G17" s="11">
        <v>416667</v>
      </c>
      <c r="H17" s="11">
        <v>1400000</v>
      </c>
      <c r="I17" s="11">
        <v>0</v>
      </c>
      <c r="J17" s="11">
        <v>0</v>
      </c>
      <c r="K17" s="11">
        <v>94</v>
      </c>
      <c r="L17" s="11">
        <v>0</v>
      </c>
      <c r="M17" s="11">
        <v>1</v>
      </c>
      <c r="N17" s="11">
        <v>95</v>
      </c>
      <c r="O17" s="11">
        <v>95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104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3" t="str">
        <f t="shared" si="0"/>
        <v/>
      </c>
      <c r="AI17" s="3" t="str">
        <f t="shared" si="1"/>
        <v/>
      </c>
      <c r="AJ17" s="11">
        <v>1</v>
      </c>
      <c r="AK17" s="11">
        <v>0</v>
      </c>
      <c r="AL17" s="181" t="str">
        <f t="shared" si="2"/>
        <v/>
      </c>
      <c r="AM17" s="11">
        <v>0</v>
      </c>
      <c r="AN17" s="181">
        <f t="shared" si="3"/>
        <v>0</v>
      </c>
      <c r="AO17" s="182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V17" s="11" t="str">
        <f t="shared" si="4"/>
        <v>Active</v>
      </c>
    </row>
    <row r="18" spans="1:48">
      <c r="A18" s="11" t="s">
        <v>119</v>
      </c>
      <c r="B18" s="11" t="s">
        <v>375</v>
      </c>
      <c r="C18" s="11" t="s">
        <v>97</v>
      </c>
      <c r="D18" s="11" t="s">
        <v>473</v>
      </c>
      <c r="E18" s="11" t="s">
        <v>492</v>
      </c>
      <c r="F18" s="45">
        <v>43424</v>
      </c>
      <c r="G18" s="11">
        <v>833333</v>
      </c>
      <c r="H18" s="11">
        <v>2100000</v>
      </c>
      <c r="I18" s="11">
        <v>867031.01</v>
      </c>
      <c r="J18" s="11">
        <v>41656.46</v>
      </c>
      <c r="K18" s="11">
        <v>111</v>
      </c>
      <c r="L18" s="11">
        <v>26</v>
      </c>
      <c r="M18" s="11">
        <v>2</v>
      </c>
      <c r="N18" s="11">
        <v>113</v>
      </c>
      <c r="O18" s="11">
        <v>87</v>
      </c>
      <c r="P18" s="11">
        <v>834639.06</v>
      </c>
      <c r="Q18" s="11">
        <v>32391.95</v>
      </c>
      <c r="R18" s="11">
        <v>32</v>
      </c>
      <c r="S18" s="11">
        <v>2</v>
      </c>
      <c r="T18" s="11">
        <v>34</v>
      </c>
      <c r="U18" s="11">
        <v>1</v>
      </c>
      <c r="V18" s="11">
        <v>0</v>
      </c>
      <c r="W18" s="11">
        <v>0</v>
      </c>
      <c r="X18" s="11">
        <v>16</v>
      </c>
      <c r="Y18" s="11">
        <v>4</v>
      </c>
      <c r="Z18" s="11">
        <v>5</v>
      </c>
      <c r="AA18" s="11">
        <v>1</v>
      </c>
      <c r="AB18" s="11">
        <v>2</v>
      </c>
      <c r="AC18" s="11">
        <v>0</v>
      </c>
      <c r="AD18" s="11">
        <v>0</v>
      </c>
      <c r="AE18" s="11">
        <v>42</v>
      </c>
      <c r="AF18" s="11">
        <v>49</v>
      </c>
      <c r="AG18" s="11">
        <v>10</v>
      </c>
      <c r="AH18" s="3">
        <f t="shared" si="0"/>
        <v>90868.747000000003</v>
      </c>
      <c r="AI18" s="3">
        <f t="shared" si="1"/>
        <v>4.9000000000000004</v>
      </c>
      <c r="AJ18" s="11">
        <v>3</v>
      </c>
      <c r="AK18" s="11">
        <v>0</v>
      </c>
      <c r="AL18" s="181">
        <f t="shared" si="2"/>
        <v>3.3014651341016071E-6</v>
      </c>
      <c r="AM18" s="11">
        <v>25501</v>
      </c>
      <c r="AN18" s="181">
        <f t="shared" si="3"/>
        <v>0.30977985452043799</v>
      </c>
      <c r="AO18" s="182">
        <v>0</v>
      </c>
      <c r="AP18" s="11">
        <v>46</v>
      </c>
      <c r="AQ18" s="11">
        <v>89</v>
      </c>
      <c r="AR18" s="11">
        <v>508.53</v>
      </c>
      <c r="AS18" s="11">
        <v>2</v>
      </c>
      <c r="AT18" s="11">
        <v>20</v>
      </c>
      <c r="AV18" s="11" t="str">
        <f t="shared" si="4"/>
        <v>Active</v>
      </c>
    </row>
    <row r="19" spans="1:48">
      <c r="A19" s="11" t="s">
        <v>124</v>
      </c>
      <c r="B19" s="11" t="s">
        <v>443</v>
      </c>
      <c r="C19" s="11" t="s">
        <v>98</v>
      </c>
      <c r="D19" s="11" t="s">
        <v>479</v>
      </c>
      <c r="E19" s="11" t="s">
        <v>480</v>
      </c>
      <c r="F19" s="45">
        <v>42926</v>
      </c>
      <c r="G19" s="11">
        <v>0</v>
      </c>
      <c r="H19" s="11">
        <v>2000000</v>
      </c>
      <c r="I19" s="11">
        <v>1790290.07</v>
      </c>
      <c r="J19" s="11">
        <v>0</v>
      </c>
      <c r="K19" s="11">
        <v>143</v>
      </c>
      <c r="L19" s="11">
        <v>67</v>
      </c>
      <c r="M19" s="11">
        <v>1</v>
      </c>
      <c r="N19" s="11">
        <v>144</v>
      </c>
      <c r="O19" s="11">
        <v>77</v>
      </c>
      <c r="P19" s="11">
        <v>1764345.51</v>
      </c>
      <c r="Q19" s="11">
        <v>25944.560000000001</v>
      </c>
      <c r="R19" s="11">
        <v>43</v>
      </c>
      <c r="S19" s="11">
        <v>1</v>
      </c>
      <c r="T19" s="11">
        <v>44</v>
      </c>
      <c r="U19" s="11">
        <v>0</v>
      </c>
      <c r="V19" s="11">
        <v>4</v>
      </c>
      <c r="W19" s="11">
        <v>4</v>
      </c>
      <c r="X19" s="11">
        <v>51</v>
      </c>
      <c r="Y19" s="11">
        <v>1</v>
      </c>
      <c r="Z19" s="11">
        <v>10</v>
      </c>
      <c r="AA19" s="11">
        <v>0</v>
      </c>
      <c r="AB19" s="11">
        <v>0</v>
      </c>
      <c r="AC19" s="11">
        <v>0</v>
      </c>
      <c r="AD19" s="11">
        <v>0</v>
      </c>
      <c r="AE19" s="11">
        <v>87</v>
      </c>
      <c r="AF19" s="11">
        <v>101</v>
      </c>
      <c r="AG19" s="11">
        <v>26</v>
      </c>
      <c r="AH19" s="3">
        <f t="shared" si="0"/>
        <v>68857.310384615383</v>
      </c>
      <c r="AI19" s="3">
        <f t="shared" si="1"/>
        <v>3.8846153846153846</v>
      </c>
      <c r="AJ19" s="11">
        <v>0</v>
      </c>
      <c r="AK19" s="11">
        <v>0</v>
      </c>
      <c r="AL19" s="181">
        <f t="shared" si="2"/>
        <v>0</v>
      </c>
      <c r="AM19" s="11">
        <v>40688</v>
      </c>
      <c r="AN19" s="181">
        <f t="shared" si="3"/>
        <v>0.89514503499999998</v>
      </c>
      <c r="AO19" s="182">
        <v>0</v>
      </c>
      <c r="AP19" s="11">
        <v>72</v>
      </c>
      <c r="AQ19" s="11">
        <v>205</v>
      </c>
      <c r="AR19" s="11">
        <v>2403.4699999999998</v>
      </c>
      <c r="AS19" s="11">
        <v>1</v>
      </c>
      <c r="AT19" s="11">
        <v>36</v>
      </c>
      <c r="AV19" s="11" t="str">
        <f t="shared" si="4"/>
        <v>Active</v>
      </c>
    </row>
    <row r="20" spans="1:48">
      <c r="A20" s="11" t="s">
        <v>117</v>
      </c>
      <c r="B20" s="11" t="s">
        <v>450</v>
      </c>
      <c r="C20" s="11" t="s">
        <v>99</v>
      </c>
      <c r="D20" s="11" t="s">
        <v>482</v>
      </c>
      <c r="E20" s="11" t="s">
        <v>483</v>
      </c>
      <c r="F20" s="45">
        <v>42993</v>
      </c>
      <c r="G20" s="11">
        <v>0</v>
      </c>
      <c r="H20" s="11">
        <v>1250000</v>
      </c>
      <c r="I20" s="11">
        <v>1019544.68</v>
      </c>
      <c r="J20" s="11">
        <v>0</v>
      </c>
      <c r="K20" s="11">
        <v>132</v>
      </c>
      <c r="L20" s="11">
        <v>59</v>
      </c>
      <c r="M20" s="11">
        <v>2</v>
      </c>
      <c r="N20" s="11">
        <v>134</v>
      </c>
      <c r="O20" s="11">
        <v>75</v>
      </c>
      <c r="P20" s="11">
        <v>894806.68</v>
      </c>
      <c r="Q20" s="11">
        <v>124738</v>
      </c>
      <c r="R20" s="11">
        <v>47</v>
      </c>
      <c r="S20" s="11">
        <v>2</v>
      </c>
      <c r="T20" s="11">
        <v>49</v>
      </c>
      <c r="U20" s="11">
        <v>0</v>
      </c>
      <c r="V20" s="11">
        <v>58</v>
      </c>
      <c r="W20" s="11">
        <v>58</v>
      </c>
      <c r="X20" s="11">
        <v>556</v>
      </c>
      <c r="Y20" s="11">
        <v>6</v>
      </c>
      <c r="Z20" s="11">
        <v>29</v>
      </c>
      <c r="AA20" s="11">
        <v>0</v>
      </c>
      <c r="AB20" s="11">
        <v>0</v>
      </c>
      <c r="AC20" s="11">
        <v>0</v>
      </c>
      <c r="AD20" s="11">
        <v>0</v>
      </c>
      <c r="AE20" s="11">
        <v>68</v>
      </c>
      <c r="AF20" s="11">
        <v>155</v>
      </c>
      <c r="AG20" s="11">
        <v>27</v>
      </c>
      <c r="AH20" s="3">
        <f t="shared" si="0"/>
        <v>37760.914074074077</v>
      </c>
      <c r="AI20" s="3">
        <f t="shared" si="1"/>
        <v>5.7407407407407405</v>
      </c>
      <c r="AJ20" s="11">
        <v>0</v>
      </c>
      <c r="AK20" s="11">
        <v>0</v>
      </c>
      <c r="AL20" s="181">
        <f t="shared" si="2"/>
        <v>0</v>
      </c>
      <c r="AM20" s="11">
        <v>20807</v>
      </c>
      <c r="AN20" s="181">
        <f t="shared" si="3"/>
        <v>0.81563574400000005</v>
      </c>
      <c r="AO20" s="182">
        <v>0</v>
      </c>
      <c r="AP20" s="11">
        <v>67</v>
      </c>
      <c r="AQ20" s="11">
        <v>245</v>
      </c>
      <c r="AR20" s="11">
        <v>2280.75</v>
      </c>
      <c r="AS20" s="11">
        <v>2</v>
      </c>
      <c r="AT20" s="11">
        <v>39</v>
      </c>
      <c r="AV20" s="11" t="str">
        <f t="shared" si="4"/>
        <v>Active</v>
      </c>
    </row>
    <row r="21" spans="1:48">
      <c r="A21" s="11" t="s">
        <v>118</v>
      </c>
      <c r="B21" s="11" t="s">
        <v>362</v>
      </c>
      <c r="C21" s="11" t="s">
        <v>103</v>
      </c>
      <c r="D21" s="11" t="s">
        <v>419</v>
      </c>
      <c r="E21" s="11" t="s">
        <v>490</v>
      </c>
      <c r="F21" s="45">
        <v>43255</v>
      </c>
      <c r="G21" s="11">
        <v>0</v>
      </c>
      <c r="H21" s="11">
        <v>5333333</v>
      </c>
      <c r="I21" s="11">
        <v>3028496.74</v>
      </c>
      <c r="J21" s="11">
        <v>0</v>
      </c>
      <c r="K21" s="11">
        <v>142</v>
      </c>
      <c r="L21" s="11">
        <v>97</v>
      </c>
      <c r="M21" s="11">
        <v>2</v>
      </c>
      <c r="N21" s="11">
        <v>144</v>
      </c>
      <c r="O21" s="11">
        <v>47</v>
      </c>
      <c r="P21" s="11">
        <v>2632722.4</v>
      </c>
      <c r="Q21" s="11">
        <v>395774.34</v>
      </c>
      <c r="R21" s="11">
        <v>18</v>
      </c>
      <c r="S21" s="11">
        <v>2</v>
      </c>
      <c r="T21" s="11">
        <v>20</v>
      </c>
      <c r="U21" s="11">
        <v>0</v>
      </c>
      <c r="V21" s="11">
        <v>7</v>
      </c>
      <c r="W21" s="11">
        <v>8</v>
      </c>
      <c r="X21" s="11">
        <v>41</v>
      </c>
      <c r="Y21" s="11">
        <v>1</v>
      </c>
      <c r="Z21" s="11">
        <v>3</v>
      </c>
      <c r="AA21" s="11">
        <v>0</v>
      </c>
      <c r="AB21" s="11">
        <v>0</v>
      </c>
      <c r="AC21" s="11">
        <v>0</v>
      </c>
      <c r="AD21" s="11">
        <v>0</v>
      </c>
      <c r="AE21" s="11">
        <v>140</v>
      </c>
      <c r="AF21" s="11">
        <v>151</v>
      </c>
      <c r="AG21" s="11">
        <v>27</v>
      </c>
      <c r="AH21" s="3">
        <f t="shared" si="0"/>
        <v>112166.54592592594</v>
      </c>
      <c r="AI21" s="3">
        <f t="shared" si="1"/>
        <v>5.5925925925925926</v>
      </c>
      <c r="AJ21" s="11">
        <v>0</v>
      </c>
      <c r="AK21" s="11">
        <v>0</v>
      </c>
      <c r="AL21" s="181">
        <f t="shared" si="2"/>
        <v>0</v>
      </c>
      <c r="AM21" s="11">
        <v>151425</v>
      </c>
      <c r="AN21" s="181">
        <f t="shared" si="3"/>
        <v>0.56784317424019848</v>
      </c>
      <c r="AO21" s="182">
        <v>0</v>
      </c>
      <c r="AP21" s="11">
        <v>32</v>
      </c>
      <c r="AQ21" s="11">
        <v>287</v>
      </c>
      <c r="AR21" s="11">
        <v>1343.79</v>
      </c>
      <c r="AS21" s="11">
        <v>2</v>
      </c>
      <c r="AT21" s="11">
        <v>14</v>
      </c>
      <c r="AV21" s="11" t="str">
        <f t="shared" si="4"/>
        <v>Active</v>
      </c>
    </row>
    <row r="22" spans="1:48">
      <c r="A22" s="11" t="s">
        <v>201</v>
      </c>
      <c r="B22" s="11" t="s">
        <v>431</v>
      </c>
      <c r="C22" s="11" t="s">
        <v>104</v>
      </c>
      <c r="D22" s="11" t="s">
        <v>432</v>
      </c>
      <c r="E22" s="11" t="s">
        <v>433</v>
      </c>
      <c r="F22" s="45">
        <v>41004</v>
      </c>
      <c r="G22" s="11">
        <v>300000</v>
      </c>
      <c r="H22" s="11">
        <v>3866667</v>
      </c>
      <c r="I22" s="11">
        <v>2451920.87</v>
      </c>
      <c r="J22" s="11">
        <v>132056.26999999999</v>
      </c>
      <c r="K22" s="11">
        <v>56</v>
      </c>
      <c r="L22" s="11">
        <v>42</v>
      </c>
      <c r="M22" s="11">
        <v>3</v>
      </c>
      <c r="N22" s="11">
        <v>59</v>
      </c>
      <c r="O22" s="11">
        <v>17</v>
      </c>
      <c r="P22" s="11">
        <v>2254534.83</v>
      </c>
      <c r="Q22" s="11">
        <v>197386.04</v>
      </c>
      <c r="R22" s="11">
        <v>20</v>
      </c>
      <c r="S22" s="11">
        <v>3</v>
      </c>
      <c r="T22" s="11">
        <v>23</v>
      </c>
      <c r="U22" s="11">
        <v>1</v>
      </c>
      <c r="V22" s="11">
        <v>2</v>
      </c>
      <c r="W22" s="11">
        <v>2</v>
      </c>
      <c r="X22" s="11">
        <v>24</v>
      </c>
      <c r="Y22" s="11">
        <v>11</v>
      </c>
      <c r="Z22" s="11">
        <v>42</v>
      </c>
      <c r="AA22" s="11">
        <v>4</v>
      </c>
      <c r="AB22" s="11">
        <v>6</v>
      </c>
      <c r="AC22" s="11">
        <v>1</v>
      </c>
      <c r="AD22" s="11">
        <v>1</v>
      </c>
      <c r="AE22" s="11">
        <v>59</v>
      </c>
      <c r="AF22" s="11">
        <v>110</v>
      </c>
      <c r="AG22" s="11">
        <v>23</v>
      </c>
      <c r="AH22" s="3">
        <f t="shared" si="0"/>
        <v>112346.83217391305</v>
      </c>
      <c r="AI22" s="3">
        <f t="shared" si="1"/>
        <v>4.7826086956521738</v>
      </c>
      <c r="AJ22" s="11">
        <v>9</v>
      </c>
      <c r="AK22" s="11">
        <v>0</v>
      </c>
      <c r="AL22" s="181">
        <f t="shared" si="2"/>
        <v>3.4830029494765576E-6</v>
      </c>
      <c r="AM22" s="11">
        <v>106605</v>
      </c>
      <c r="AN22" s="181">
        <f t="shared" si="3"/>
        <v>0.62015446398764296</v>
      </c>
      <c r="AO22" s="182">
        <v>0</v>
      </c>
      <c r="AP22" s="11">
        <v>37</v>
      </c>
      <c r="AQ22" s="11">
        <v>191</v>
      </c>
      <c r="AR22" s="11">
        <v>1634.26</v>
      </c>
      <c r="AS22" s="11">
        <v>3</v>
      </c>
      <c r="AT22" s="11">
        <v>39</v>
      </c>
      <c r="AV22" s="11" t="str">
        <f t="shared" si="4"/>
        <v>Active</v>
      </c>
    </row>
    <row r="23" spans="1:48">
      <c r="A23" s="11" t="s">
        <v>201</v>
      </c>
      <c r="B23" s="11" t="s">
        <v>431</v>
      </c>
      <c r="C23" s="11" t="s">
        <v>105</v>
      </c>
      <c r="D23" s="11" t="s">
        <v>431</v>
      </c>
      <c r="E23" s="11" t="s">
        <v>541</v>
      </c>
      <c r="F23" s="45">
        <v>45323</v>
      </c>
      <c r="G23" s="11">
        <v>400000</v>
      </c>
      <c r="H23" s="11">
        <v>2100000</v>
      </c>
      <c r="I23" s="11">
        <v>1734361.13</v>
      </c>
      <c r="J23" s="11">
        <v>0</v>
      </c>
      <c r="K23" s="11">
        <v>119</v>
      </c>
      <c r="L23" s="11">
        <v>68</v>
      </c>
      <c r="M23" s="11">
        <v>2</v>
      </c>
      <c r="N23" s="11">
        <v>121</v>
      </c>
      <c r="O23" s="11">
        <v>53</v>
      </c>
      <c r="P23" s="11">
        <v>1685643.65</v>
      </c>
      <c r="Q23" s="11">
        <v>48717.48</v>
      </c>
      <c r="R23" s="11">
        <v>27</v>
      </c>
      <c r="S23" s="11">
        <v>2</v>
      </c>
      <c r="T23" s="11">
        <v>29</v>
      </c>
      <c r="U23" s="11">
        <v>0</v>
      </c>
      <c r="V23" s="11">
        <v>9</v>
      </c>
      <c r="W23" s="11">
        <v>9</v>
      </c>
      <c r="X23" s="11">
        <v>128</v>
      </c>
      <c r="Y23" s="11">
        <v>5</v>
      </c>
      <c r="Z23" s="11">
        <v>26</v>
      </c>
      <c r="AA23" s="11">
        <v>2</v>
      </c>
      <c r="AB23" s="11">
        <v>2</v>
      </c>
      <c r="AC23" s="11">
        <v>0</v>
      </c>
      <c r="AD23" s="11">
        <v>0</v>
      </c>
      <c r="AE23" s="11">
        <v>121</v>
      </c>
      <c r="AF23" s="11">
        <v>158</v>
      </c>
      <c r="AG23" s="11">
        <v>27</v>
      </c>
      <c r="AH23" s="3">
        <f t="shared" si="0"/>
        <v>64235.597407407404</v>
      </c>
      <c r="AI23" s="3">
        <f t="shared" si="1"/>
        <v>5.8518518518518521</v>
      </c>
      <c r="AJ23" s="11">
        <v>7</v>
      </c>
      <c r="AK23" s="11">
        <v>0</v>
      </c>
      <c r="AL23" s="181">
        <f t="shared" si="2"/>
        <v>4.0360683129470273E-6</v>
      </c>
      <c r="AM23" s="11">
        <v>59806</v>
      </c>
      <c r="AN23" s="181">
        <f t="shared" si="3"/>
        <v>0.6937444519999999</v>
      </c>
      <c r="AO23" s="182">
        <v>0</v>
      </c>
      <c r="AP23" s="11">
        <v>31</v>
      </c>
      <c r="AQ23" s="11">
        <v>233</v>
      </c>
      <c r="AR23" s="11">
        <v>1629.49</v>
      </c>
      <c r="AS23" s="11">
        <v>2</v>
      </c>
      <c r="AT23" s="11">
        <v>24</v>
      </c>
      <c r="AV23" s="11" t="str">
        <f t="shared" si="4"/>
        <v>Active</v>
      </c>
    </row>
    <row r="24" spans="1:48">
      <c r="A24" s="11" t="s">
        <v>201</v>
      </c>
      <c r="B24" s="11" t="s">
        <v>431</v>
      </c>
      <c r="C24" s="11" t="s">
        <v>106</v>
      </c>
      <c r="D24" s="11" t="s">
        <v>431</v>
      </c>
      <c r="E24" s="11" t="s">
        <v>459</v>
      </c>
      <c r="F24" s="45">
        <v>42530</v>
      </c>
      <c r="G24" s="11">
        <v>500000</v>
      </c>
      <c r="H24" s="11">
        <v>2625000</v>
      </c>
      <c r="I24" s="11">
        <v>2721396.23</v>
      </c>
      <c r="J24" s="11">
        <v>0</v>
      </c>
      <c r="K24" s="11">
        <v>77</v>
      </c>
      <c r="L24" s="11">
        <v>34</v>
      </c>
      <c r="M24" s="11">
        <v>3</v>
      </c>
      <c r="N24" s="11">
        <v>80</v>
      </c>
      <c r="O24" s="11">
        <v>46</v>
      </c>
      <c r="P24" s="11">
        <v>2721396.23</v>
      </c>
      <c r="Q24" s="11">
        <v>0</v>
      </c>
      <c r="R24" s="11">
        <v>23</v>
      </c>
      <c r="S24" s="11">
        <v>0</v>
      </c>
      <c r="T24" s="11">
        <v>23</v>
      </c>
      <c r="U24" s="11">
        <v>0</v>
      </c>
      <c r="V24" s="11">
        <v>15</v>
      </c>
      <c r="W24" s="11">
        <v>15</v>
      </c>
      <c r="X24" s="11">
        <v>158</v>
      </c>
      <c r="Y24" s="11">
        <v>4</v>
      </c>
      <c r="Z24" s="11">
        <v>19</v>
      </c>
      <c r="AA24" s="11">
        <v>0</v>
      </c>
      <c r="AB24" s="11">
        <v>0</v>
      </c>
      <c r="AC24" s="11">
        <v>0</v>
      </c>
      <c r="AD24" s="11">
        <v>0</v>
      </c>
      <c r="AE24" s="11">
        <v>43</v>
      </c>
      <c r="AF24" s="11">
        <v>77</v>
      </c>
      <c r="AG24" s="11">
        <v>26</v>
      </c>
      <c r="AH24" s="3">
        <f t="shared" si="0"/>
        <v>104669.08576923076</v>
      </c>
      <c r="AI24" s="3">
        <f t="shared" si="1"/>
        <v>2.9615384615384617</v>
      </c>
      <c r="AJ24" s="11">
        <v>0</v>
      </c>
      <c r="AK24" s="11">
        <v>0</v>
      </c>
      <c r="AL24" s="181">
        <f t="shared" si="2"/>
        <v>0</v>
      </c>
      <c r="AM24" s="11">
        <v>118322</v>
      </c>
      <c r="AN24" s="181">
        <f t="shared" si="3"/>
        <v>0.87084679359999995</v>
      </c>
      <c r="AO24" s="182">
        <v>0</v>
      </c>
      <c r="AP24" s="11">
        <v>24</v>
      </c>
      <c r="AQ24" s="11">
        <v>199</v>
      </c>
      <c r="AR24" s="11">
        <v>1332.5</v>
      </c>
      <c r="AS24" s="11">
        <v>0</v>
      </c>
      <c r="AT24" s="11">
        <v>39</v>
      </c>
      <c r="AV24" s="11" t="str">
        <f t="shared" si="4"/>
        <v>Active</v>
      </c>
    </row>
    <row r="25" spans="1:48">
      <c r="A25" s="11" t="s">
        <v>201</v>
      </c>
      <c r="B25" s="11" t="s">
        <v>469</v>
      </c>
      <c r="C25" s="11" t="s">
        <v>107</v>
      </c>
      <c r="D25" s="11" t="s">
        <v>470</v>
      </c>
      <c r="E25" s="11" t="s">
        <v>471</v>
      </c>
      <c r="F25" s="45">
        <v>42720</v>
      </c>
      <c r="G25" s="11">
        <v>419000</v>
      </c>
      <c r="H25" s="11">
        <v>2706000</v>
      </c>
      <c r="I25" s="11">
        <v>1939521.42</v>
      </c>
      <c r="J25" s="11">
        <v>153623.28</v>
      </c>
      <c r="K25" s="11">
        <v>65</v>
      </c>
      <c r="L25" s="11">
        <v>42</v>
      </c>
      <c r="M25" s="11">
        <v>4</v>
      </c>
      <c r="N25" s="11">
        <v>69</v>
      </c>
      <c r="O25" s="11">
        <v>27</v>
      </c>
      <c r="P25" s="11">
        <v>1569069.7</v>
      </c>
      <c r="Q25" s="11">
        <v>370451.72</v>
      </c>
      <c r="R25" s="11">
        <v>17</v>
      </c>
      <c r="S25" s="11">
        <v>4</v>
      </c>
      <c r="T25" s="11">
        <v>21</v>
      </c>
      <c r="U25" s="11">
        <v>2</v>
      </c>
      <c r="V25" s="11">
        <v>20</v>
      </c>
      <c r="W25" s="11">
        <v>23</v>
      </c>
      <c r="X25" s="11">
        <v>172</v>
      </c>
      <c r="Y25" s="11">
        <v>3</v>
      </c>
      <c r="Z25" s="11">
        <v>9</v>
      </c>
      <c r="AA25" s="11">
        <v>3</v>
      </c>
      <c r="AB25" s="11">
        <v>4</v>
      </c>
      <c r="AC25" s="11">
        <v>1</v>
      </c>
      <c r="AD25" s="11">
        <v>4</v>
      </c>
      <c r="AE25" s="11">
        <v>73</v>
      </c>
      <c r="AF25" s="11">
        <v>113</v>
      </c>
      <c r="AG25" s="11">
        <v>27</v>
      </c>
      <c r="AH25" s="3">
        <f t="shared" si="0"/>
        <v>77523.877777777772</v>
      </c>
      <c r="AI25" s="3">
        <f t="shared" si="1"/>
        <v>4.1851851851851851</v>
      </c>
      <c r="AJ25" s="11">
        <v>4</v>
      </c>
      <c r="AK25" s="11">
        <v>0</v>
      </c>
      <c r="AL25" s="181">
        <f t="shared" si="2"/>
        <v>1.9110002285078526E-6</v>
      </c>
      <c r="AM25" s="11">
        <v>92358</v>
      </c>
      <c r="AN25" s="181">
        <f t="shared" si="3"/>
        <v>0.66980630399999996</v>
      </c>
      <c r="AO25" s="182">
        <v>0</v>
      </c>
      <c r="AP25" s="11">
        <v>34</v>
      </c>
      <c r="AQ25" s="11">
        <v>184</v>
      </c>
      <c r="AR25" s="11">
        <v>1493.17</v>
      </c>
      <c r="AS25" s="11">
        <v>4</v>
      </c>
      <c r="AT25" s="11">
        <v>36</v>
      </c>
      <c r="AV25" s="11" t="str">
        <f t="shared" si="4"/>
        <v>Active</v>
      </c>
    </row>
    <row r="26" spans="1:48">
      <c r="A26" s="11" t="s">
        <v>201</v>
      </c>
      <c r="B26" s="11" t="s">
        <v>469</v>
      </c>
      <c r="C26" s="11" t="s">
        <v>110</v>
      </c>
      <c r="D26" s="11" t="s">
        <v>470</v>
      </c>
      <c r="E26" s="11" t="s">
        <v>491</v>
      </c>
      <c r="F26" s="45">
        <v>43315</v>
      </c>
      <c r="G26" s="11">
        <v>300000</v>
      </c>
      <c r="H26" s="11">
        <v>3866667</v>
      </c>
      <c r="I26" s="11">
        <v>2638935.9900000002</v>
      </c>
      <c r="J26" s="11">
        <v>0</v>
      </c>
      <c r="K26" s="11">
        <v>97</v>
      </c>
      <c r="L26" s="11">
        <v>59</v>
      </c>
      <c r="M26" s="11">
        <v>2</v>
      </c>
      <c r="N26" s="11">
        <v>99</v>
      </c>
      <c r="O26" s="11">
        <v>40</v>
      </c>
      <c r="P26" s="11">
        <v>2550023.5499999998</v>
      </c>
      <c r="Q26" s="11">
        <v>88912.44</v>
      </c>
      <c r="R26" s="11">
        <v>52</v>
      </c>
      <c r="S26" s="11">
        <v>2</v>
      </c>
      <c r="T26" s="11">
        <v>54</v>
      </c>
      <c r="U26" s="11">
        <v>0</v>
      </c>
      <c r="V26" s="11">
        <v>0</v>
      </c>
      <c r="W26" s="11">
        <v>0</v>
      </c>
      <c r="X26" s="11">
        <v>14</v>
      </c>
      <c r="Y26" s="11">
        <v>3</v>
      </c>
      <c r="Z26" s="11">
        <v>6</v>
      </c>
      <c r="AA26" s="11">
        <v>0</v>
      </c>
      <c r="AB26" s="11">
        <v>0</v>
      </c>
      <c r="AC26" s="11">
        <v>0</v>
      </c>
      <c r="AD26" s="11">
        <v>0</v>
      </c>
      <c r="AE26" s="11">
        <v>107</v>
      </c>
      <c r="AF26" s="11">
        <v>113</v>
      </c>
      <c r="AG26" s="11">
        <v>26</v>
      </c>
      <c r="AH26" s="3">
        <f t="shared" si="0"/>
        <v>101497.53807692308</v>
      </c>
      <c r="AI26" s="3">
        <f t="shared" si="1"/>
        <v>4.3461538461538458</v>
      </c>
      <c r="AJ26" s="11">
        <v>2</v>
      </c>
      <c r="AK26" s="11">
        <v>0</v>
      </c>
      <c r="AL26" s="181">
        <f t="shared" si="2"/>
        <v>7.5788120954006154E-7</v>
      </c>
      <c r="AM26" s="11">
        <v>48869</v>
      </c>
      <c r="AN26" s="181">
        <f t="shared" si="3"/>
        <v>0.63334458693243312</v>
      </c>
      <c r="AO26" s="182">
        <v>0</v>
      </c>
      <c r="AP26" s="11">
        <v>101</v>
      </c>
      <c r="AQ26" s="11">
        <v>234</v>
      </c>
      <c r="AR26" s="11">
        <v>1403.46</v>
      </c>
      <c r="AS26" s="11">
        <v>2</v>
      </c>
      <c r="AT26" s="11">
        <v>24</v>
      </c>
      <c r="AV26" s="11" t="str">
        <f t="shared" si="4"/>
        <v>Active</v>
      </c>
    </row>
    <row r="27" spans="1:48">
      <c r="A27" s="11" t="s">
        <v>118</v>
      </c>
      <c r="B27" s="11" t="s">
        <v>436</v>
      </c>
      <c r="C27" s="11" t="s">
        <v>111</v>
      </c>
      <c r="D27" s="11" t="s">
        <v>494</v>
      </c>
      <c r="E27" s="11" t="s">
        <v>437</v>
      </c>
      <c r="F27" s="45">
        <v>43557</v>
      </c>
      <c r="G27" s="11">
        <v>0</v>
      </c>
      <c r="H27" s="11">
        <v>1666667</v>
      </c>
      <c r="I27" s="11">
        <v>1297270.42</v>
      </c>
      <c r="J27" s="11">
        <v>0</v>
      </c>
      <c r="K27" s="11">
        <v>126</v>
      </c>
      <c r="L27" s="11">
        <v>94</v>
      </c>
      <c r="M27" s="11">
        <v>4</v>
      </c>
      <c r="N27" s="11">
        <v>130</v>
      </c>
      <c r="O27" s="11">
        <v>36</v>
      </c>
      <c r="P27" s="11">
        <v>1244657.42</v>
      </c>
      <c r="Q27" s="11">
        <v>52613</v>
      </c>
      <c r="R27" s="11">
        <v>43</v>
      </c>
      <c r="S27" s="11">
        <v>3</v>
      </c>
      <c r="T27" s="11">
        <v>46</v>
      </c>
      <c r="U27" s="11">
        <v>0</v>
      </c>
      <c r="V27" s="11">
        <v>11</v>
      </c>
      <c r="W27" s="11">
        <v>20</v>
      </c>
      <c r="X27" s="11">
        <v>21</v>
      </c>
      <c r="Y27" s="11">
        <v>5</v>
      </c>
      <c r="Z27" s="11">
        <v>10</v>
      </c>
      <c r="AA27" s="11">
        <v>0</v>
      </c>
      <c r="AB27" s="11">
        <v>0</v>
      </c>
      <c r="AC27" s="11">
        <v>0</v>
      </c>
      <c r="AD27" s="11">
        <v>0</v>
      </c>
      <c r="AE27" s="11">
        <v>185</v>
      </c>
      <c r="AF27" s="11">
        <v>215</v>
      </c>
      <c r="AG27" s="11">
        <v>27</v>
      </c>
      <c r="AH27" s="3">
        <f t="shared" si="0"/>
        <v>48047.05259259259</v>
      </c>
      <c r="AI27" s="3">
        <f t="shared" si="1"/>
        <v>7.9629629629629628</v>
      </c>
      <c r="AJ27" s="11">
        <v>0</v>
      </c>
      <c r="AK27" s="11">
        <v>0</v>
      </c>
      <c r="AL27" s="181">
        <f t="shared" si="2"/>
        <v>0</v>
      </c>
      <c r="AM27" s="11">
        <v>28202</v>
      </c>
      <c r="AN27" s="181">
        <f t="shared" si="3"/>
        <v>0.77836209632758069</v>
      </c>
      <c r="AO27" s="182">
        <v>0</v>
      </c>
      <c r="AP27" s="11">
        <v>68</v>
      </c>
      <c r="AQ27" s="11">
        <v>269</v>
      </c>
      <c r="AR27" s="11">
        <v>2378.19</v>
      </c>
      <c r="AS27" s="11">
        <v>3</v>
      </c>
      <c r="AT27" s="11">
        <v>25</v>
      </c>
      <c r="AV27" s="11" t="str">
        <f t="shared" si="4"/>
        <v>Active</v>
      </c>
    </row>
    <row r="28" spans="1:48">
      <c r="A28" s="11" t="s">
        <v>118</v>
      </c>
      <c r="B28" s="11" t="s">
        <v>359</v>
      </c>
      <c r="C28" s="11" t="s">
        <v>112</v>
      </c>
      <c r="D28" s="11" t="s">
        <v>442</v>
      </c>
      <c r="E28" s="11" t="s">
        <v>493</v>
      </c>
      <c r="F28" s="45">
        <v>43556</v>
      </c>
      <c r="G28" s="11">
        <v>0</v>
      </c>
      <c r="H28" s="11">
        <v>2000000</v>
      </c>
      <c r="I28" s="11">
        <v>1047728.08</v>
      </c>
      <c r="J28" s="11">
        <v>0</v>
      </c>
      <c r="K28" s="11">
        <v>73</v>
      </c>
      <c r="L28" s="11">
        <v>54</v>
      </c>
      <c r="M28" s="11">
        <v>0</v>
      </c>
      <c r="N28" s="11">
        <v>73</v>
      </c>
      <c r="O28" s="11">
        <v>19</v>
      </c>
      <c r="P28" s="11">
        <v>1047728.08</v>
      </c>
      <c r="Q28" s="11">
        <v>0</v>
      </c>
      <c r="R28" s="11">
        <v>19</v>
      </c>
      <c r="S28" s="11">
        <v>0</v>
      </c>
      <c r="T28" s="11">
        <v>19</v>
      </c>
      <c r="U28" s="11">
        <v>0</v>
      </c>
      <c r="V28" s="11">
        <v>0</v>
      </c>
      <c r="W28" s="11">
        <v>0</v>
      </c>
      <c r="X28" s="11">
        <v>0</v>
      </c>
      <c r="Y28" s="11">
        <v>2</v>
      </c>
      <c r="Z28" s="11">
        <v>22</v>
      </c>
      <c r="AA28" s="11">
        <v>0</v>
      </c>
      <c r="AB28" s="11">
        <v>0</v>
      </c>
      <c r="AC28" s="11">
        <v>0</v>
      </c>
      <c r="AD28" s="11">
        <v>0</v>
      </c>
      <c r="AE28" s="11">
        <v>91</v>
      </c>
      <c r="AF28" s="11">
        <v>113</v>
      </c>
      <c r="AG28" s="11">
        <v>27</v>
      </c>
      <c r="AH28" s="3">
        <f t="shared" si="0"/>
        <v>38804.743703703702</v>
      </c>
      <c r="AI28" s="3">
        <f t="shared" si="1"/>
        <v>4.1851851851851851</v>
      </c>
      <c r="AJ28" s="11">
        <v>0</v>
      </c>
      <c r="AK28" s="11">
        <v>0</v>
      </c>
      <c r="AL28" s="181">
        <f t="shared" si="2"/>
        <v>0</v>
      </c>
      <c r="AM28" s="11">
        <v>55144</v>
      </c>
      <c r="AN28" s="181">
        <f t="shared" si="3"/>
        <v>0.52386403999999998</v>
      </c>
      <c r="AO28" s="182">
        <v>0</v>
      </c>
      <c r="AP28" s="11">
        <v>21</v>
      </c>
      <c r="AQ28" s="11">
        <v>228</v>
      </c>
      <c r="AR28" s="11">
        <v>720.62</v>
      </c>
      <c r="AS28" s="11">
        <v>0</v>
      </c>
      <c r="AT28" s="11">
        <v>13</v>
      </c>
      <c r="AV28" s="11" t="str">
        <f t="shared" si="4"/>
        <v>Active</v>
      </c>
    </row>
    <row r="29" spans="1:48">
      <c r="A29" s="11" t="s">
        <v>118</v>
      </c>
      <c r="B29" s="11" t="s">
        <v>372</v>
      </c>
      <c r="C29" s="11" t="s">
        <v>113</v>
      </c>
      <c r="D29" s="11" t="s">
        <v>447</v>
      </c>
      <c r="E29" s="11" t="s">
        <v>495</v>
      </c>
      <c r="F29" s="45">
        <v>43647</v>
      </c>
      <c r="G29" s="11">
        <v>0</v>
      </c>
      <c r="H29" s="11">
        <v>6250000</v>
      </c>
      <c r="I29" s="11">
        <v>5681439.5099999998</v>
      </c>
      <c r="J29" s="11">
        <v>0</v>
      </c>
      <c r="K29" s="11">
        <v>97</v>
      </c>
      <c r="L29" s="11">
        <v>76</v>
      </c>
      <c r="M29" s="11">
        <v>1</v>
      </c>
      <c r="N29" s="11">
        <v>98</v>
      </c>
      <c r="O29" s="11">
        <v>22</v>
      </c>
      <c r="P29" s="11">
        <v>5628207.75</v>
      </c>
      <c r="Q29" s="11">
        <v>53231.76</v>
      </c>
      <c r="R29" s="11">
        <v>38</v>
      </c>
      <c r="S29" s="11">
        <v>1</v>
      </c>
      <c r="T29" s="11">
        <v>39</v>
      </c>
      <c r="U29" s="11">
        <v>0</v>
      </c>
      <c r="V29" s="11">
        <v>6</v>
      </c>
      <c r="W29" s="11">
        <v>6</v>
      </c>
      <c r="X29" s="11">
        <v>30</v>
      </c>
      <c r="Y29" s="11">
        <v>1</v>
      </c>
      <c r="Z29" s="11">
        <v>7</v>
      </c>
      <c r="AA29" s="11">
        <v>0</v>
      </c>
      <c r="AB29" s="11">
        <v>0</v>
      </c>
      <c r="AC29" s="11">
        <v>0</v>
      </c>
      <c r="AD29" s="11">
        <v>0</v>
      </c>
      <c r="AE29" s="11">
        <v>133</v>
      </c>
      <c r="AF29" s="11">
        <v>146</v>
      </c>
      <c r="AG29" s="11">
        <v>28</v>
      </c>
      <c r="AH29" s="3">
        <f t="shared" si="0"/>
        <v>202908.55392857143</v>
      </c>
      <c r="AI29" s="3">
        <f t="shared" si="1"/>
        <v>5.2142857142857144</v>
      </c>
      <c r="AJ29" s="11">
        <v>0</v>
      </c>
      <c r="AK29" s="11">
        <v>0</v>
      </c>
      <c r="AL29" s="181">
        <f t="shared" si="2"/>
        <v>0</v>
      </c>
      <c r="AM29" s="11">
        <v>145678</v>
      </c>
      <c r="AN29" s="181">
        <f t="shared" si="3"/>
        <v>0.90903032159999997</v>
      </c>
      <c r="AO29" s="182">
        <v>0</v>
      </c>
      <c r="AP29" s="11">
        <v>66</v>
      </c>
      <c r="AQ29" s="11">
        <v>294</v>
      </c>
      <c r="AR29" s="11">
        <v>2153.6</v>
      </c>
      <c r="AS29" s="11">
        <v>1</v>
      </c>
      <c r="AT29" s="11">
        <v>28</v>
      </c>
      <c r="AV29" s="11" t="str">
        <f t="shared" si="4"/>
        <v>Active</v>
      </c>
    </row>
    <row r="30" spans="1:48">
      <c r="A30" s="11" t="s">
        <v>118</v>
      </c>
      <c r="B30" s="11" t="s">
        <v>484</v>
      </c>
      <c r="C30" s="11" t="s">
        <v>114</v>
      </c>
      <c r="D30" s="11" t="s">
        <v>497</v>
      </c>
      <c r="E30" s="11" t="s">
        <v>498</v>
      </c>
      <c r="F30" s="45">
        <v>43710</v>
      </c>
      <c r="G30" s="11">
        <v>0</v>
      </c>
      <c r="H30" s="11">
        <v>1500000</v>
      </c>
      <c r="I30" s="11">
        <v>1179292.8700000001</v>
      </c>
      <c r="J30" s="11">
        <v>0</v>
      </c>
      <c r="K30" s="11">
        <v>78</v>
      </c>
      <c r="L30" s="11">
        <v>50</v>
      </c>
      <c r="M30" s="11">
        <v>1</v>
      </c>
      <c r="N30" s="11">
        <v>79</v>
      </c>
      <c r="O30" s="11">
        <v>29</v>
      </c>
      <c r="P30" s="11">
        <v>1048999.5900000001</v>
      </c>
      <c r="Q30" s="11">
        <v>130293.28</v>
      </c>
      <c r="R30" s="11">
        <v>18</v>
      </c>
      <c r="S30" s="11">
        <v>1</v>
      </c>
      <c r="T30" s="11">
        <v>19</v>
      </c>
      <c r="U30" s="11">
        <v>0</v>
      </c>
      <c r="V30" s="11">
        <v>2</v>
      </c>
      <c r="W30" s="11">
        <v>2</v>
      </c>
      <c r="X30" s="11">
        <v>74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113</v>
      </c>
      <c r="AF30" s="11">
        <v>115</v>
      </c>
      <c r="AG30" s="11">
        <v>25</v>
      </c>
      <c r="AH30" s="3">
        <f t="shared" si="0"/>
        <v>47171.714800000002</v>
      </c>
      <c r="AI30" s="3">
        <f t="shared" si="1"/>
        <v>4.5999999999999996</v>
      </c>
      <c r="AJ30" s="11">
        <v>0</v>
      </c>
      <c r="AK30" s="11">
        <v>0</v>
      </c>
      <c r="AL30" s="181">
        <f t="shared" si="2"/>
        <v>0</v>
      </c>
      <c r="AM30" s="11">
        <v>62068</v>
      </c>
      <c r="AN30" s="181">
        <f t="shared" si="3"/>
        <v>0.78619524666666674</v>
      </c>
      <c r="AO30" s="182">
        <v>0</v>
      </c>
      <c r="AP30" s="11">
        <v>20</v>
      </c>
      <c r="AQ30" s="11">
        <v>234</v>
      </c>
      <c r="AR30" s="11">
        <v>1305.6099999999999</v>
      </c>
      <c r="AS30" s="11">
        <v>1</v>
      </c>
      <c r="AT30" s="11">
        <v>26</v>
      </c>
      <c r="AV30" s="11" t="str">
        <f t="shared" si="4"/>
        <v>Active</v>
      </c>
    </row>
    <row r="31" spans="1:48">
      <c r="A31" s="11" t="s">
        <v>118</v>
      </c>
      <c r="B31" s="11" t="s">
        <v>436</v>
      </c>
      <c r="C31" s="11" t="s">
        <v>116</v>
      </c>
      <c r="D31" s="11" t="s">
        <v>499</v>
      </c>
      <c r="E31" s="11" t="s">
        <v>500</v>
      </c>
      <c r="F31" s="45">
        <v>44046</v>
      </c>
      <c r="G31" s="11">
        <v>0</v>
      </c>
      <c r="H31" s="11">
        <v>1958333</v>
      </c>
      <c r="I31" s="11">
        <v>1374179.95</v>
      </c>
      <c r="J31" s="11">
        <v>0</v>
      </c>
      <c r="K31" s="11">
        <v>103</v>
      </c>
      <c r="L31" s="11">
        <v>98</v>
      </c>
      <c r="M31" s="11">
        <v>3</v>
      </c>
      <c r="N31" s="11">
        <v>106</v>
      </c>
      <c r="O31" s="11">
        <v>8</v>
      </c>
      <c r="P31" s="11">
        <v>1222708.8500000001</v>
      </c>
      <c r="Q31" s="11">
        <v>151471.1</v>
      </c>
      <c r="R31" s="11">
        <v>40</v>
      </c>
      <c r="S31" s="11">
        <v>3</v>
      </c>
      <c r="T31" s="11">
        <v>43</v>
      </c>
      <c r="U31" s="11">
        <v>0</v>
      </c>
      <c r="V31" s="11">
        <v>0</v>
      </c>
      <c r="W31" s="11">
        <v>0</v>
      </c>
      <c r="X31" s="11">
        <v>2</v>
      </c>
      <c r="Y31" s="11">
        <v>1</v>
      </c>
      <c r="Z31" s="11">
        <v>2</v>
      </c>
      <c r="AA31" s="11">
        <v>0</v>
      </c>
      <c r="AB31" s="11">
        <v>0</v>
      </c>
      <c r="AC31" s="11">
        <v>0</v>
      </c>
      <c r="AD31" s="11">
        <v>0</v>
      </c>
      <c r="AE31" s="11">
        <v>172</v>
      </c>
      <c r="AF31" s="11">
        <v>174</v>
      </c>
      <c r="AG31" s="11">
        <v>26</v>
      </c>
      <c r="AH31" s="3">
        <f t="shared" si="0"/>
        <v>52853.074999999997</v>
      </c>
      <c r="AI31" s="3">
        <f t="shared" si="1"/>
        <v>6.6923076923076925</v>
      </c>
      <c r="AJ31" s="11">
        <v>0</v>
      </c>
      <c r="AK31" s="11">
        <v>0</v>
      </c>
      <c r="AL31" s="181">
        <f t="shared" si="2"/>
        <v>0</v>
      </c>
      <c r="AM31" s="11">
        <v>31958</v>
      </c>
      <c r="AN31" s="181">
        <f t="shared" si="3"/>
        <v>0.70170903007813279</v>
      </c>
      <c r="AO31" s="182">
        <v>0</v>
      </c>
      <c r="AP31" s="11">
        <v>55</v>
      </c>
      <c r="AQ31" s="11">
        <v>300</v>
      </c>
      <c r="AR31" s="11">
        <v>3010.39</v>
      </c>
      <c r="AS31" s="11">
        <v>3</v>
      </c>
      <c r="AT31" s="11">
        <v>31</v>
      </c>
      <c r="AV31" s="11" t="str">
        <f t="shared" si="4"/>
        <v>Active</v>
      </c>
    </row>
    <row r="32" spans="1:48">
      <c r="A32" s="11" t="s">
        <v>118</v>
      </c>
      <c r="B32" s="11" t="s">
        <v>649</v>
      </c>
      <c r="C32" s="11" t="s">
        <v>119</v>
      </c>
      <c r="D32" s="11" t="s">
        <v>567</v>
      </c>
      <c r="E32" s="11" t="s">
        <v>519</v>
      </c>
      <c r="F32" s="45">
        <v>45264</v>
      </c>
      <c r="G32" s="11">
        <v>0</v>
      </c>
      <c r="H32" s="11">
        <v>0</v>
      </c>
      <c r="I32" s="11">
        <v>285557.48</v>
      </c>
      <c r="J32" s="11">
        <v>0</v>
      </c>
      <c r="K32" s="11">
        <v>283</v>
      </c>
      <c r="L32" s="11">
        <v>89</v>
      </c>
      <c r="M32" s="11">
        <v>7</v>
      </c>
      <c r="N32" s="11">
        <v>290</v>
      </c>
      <c r="O32" s="11">
        <v>201</v>
      </c>
      <c r="P32" s="11">
        <v>285557.48</v>
      </c>
      <c r="Q32" s="11">
        <v>0</v>
      </c>
      <c r="R32" s="11">
        <v>9</v>
      </c>
      <c r="S32" s="11">
        <v>0</v>
      </c>
      <c r="T32" s="11">
        <v>9</v>
      </c>
      <c r="U32" s="11">
        <v>0</v>
      </c>
      <c r="V32" s="11">
        <v>24</v>
      </c>
      <c r="W32" s="11">
        <v>25</v>
      </c>
      <c r="X32" s="11">
        <v>134</v>
      </c>
      <c r="Y32" s="11">
        <v>2</v>
      </c>
      <c r="Z32" s="11">
        <v>8</v>
      </c>
      <c r="AA32" s="11">
        <v>1</v>
      </c>
      <c r="AB32" s="11">
        <v>1</v>
      </c>
      <c r="AC32" s="11">
        <v>1</v>
      </c>
      <c r="AD32" s="11">
        <v>4</v>
      </c>
      <c r="AE32" s="11">
        <v>102</v>
      </c>
      <c r="AF32" s="11">
        <v>140</v>
      </c>
      <c r="AG32" s="11">
        <v>27</v>
      </c>
      <c r="AH32" s="3">
        <f t="shared" si="0"/>
        <v>10576.202962962961</v>
      </c>
      <c r="AI32" s="3">
        <f t="shared" si="1"/>
        <v>5.1851851851851851</v>
      </c>
      <c r="AJ32" s="11">
        <v>2</v>
      </c>
      <c r="AK32" s="11">
        <v>0</v>
      </c>
      <c r="AL32" s="181">
        <f t="shared" si="2"/>
        <v>7.0038438495815278E-6</v>
      </c>
      <c r="AM32" s="11">
        <v>31729</v>
      </c>
      <c r="AN32" s="181" t="str">
        <f t="shared" si="3"/>
        <v/>
      </c>
      <c r="AO32" s="182">
        <v>0</v>
      </c>
      <c r="AP32" s="11">
        <v>14</v>
      </c>
      <c r="AQ32" s="11">
        <v>315</v>
      </c>
      <c r="AR32" s="11">
        <v>2104.87</v>
      </c>
      <c r="AS32" s="11">
        <v>0</v>
      </c>
      <c r="AT32" s="11">
        <v>24</v>
      </c>
      <c r="AV32" s="11" t="str">
        <f t="shared" si="4"/>
        <v>Active</v>
      </c>
    </row>
    <row r="33" spans="1:48">
      <c r="A33" s="11" t="s">
        <v>118</v>
      </c>
      <c r="B33" s="11" t="s">
        <v>372</v>
      </c>
      <c r="C33" s="11" t="s">
        <v>122</v>
      </c>
      <c r="D33" s="11" t="s">
        <v>447</v>
      </c>
      <c r="E33" s="11" t="s">
        <v>503</v>
      </c>
      <c r="F33" s="45">
        <v>44166</v>
      </c>
      <c r="G33" s="11">
        <v>0</v>
      </c>
      <c r="H33" s="11">
        <v>1500000</v>
      </c>
      <c r="I33" s="11">
        <v>1244638.0900000001</v>
      </c>
      <c r="J33" s="11">
        <v>0</v>
      </c>
      <c r="K33" s="11">
        <v>42</v>
      </c>
      <c r="L33" s="11">
        <v>35</v>
      </c>
      <c r="M33" s="11">
        <v>1</v>
      </c>
      <c r="N33" s="11">
        <v>43</v>
      </c>
      <c r="O33" s="11">
        <v>8</v>
      </c>
      <c r="P33" s="11">
        <v>1147239.29</v>
      </c>
      <c r="Q33" s="11">
        <v>97398.8</v>
      </c>
      <c r="R33" s="11">
        <v>6</v>
      </c>
      <c r="S33" s="11">
        <v>1</v>
      </c>
      <c r="T33" s="11">
        <v>7</v>
      </c>
      <c r="U33" s="11">
        <v>0</v>
      </c>
      <c r="V33" s="11">
        <v>3</v>
      </c>
      <c r="W33" s="11">
        <v>3</v>
      </c>
      <c r="X33" s="11">
        <v>29</v>
      </c>
      <c r="Y33" s="11">
        <v>2</v>
      </c>
      <c r="Z33" s="11">
        <v>12</v>
      </c>
      <c r="AA33" s="11">
        <v>0</v>
      </c>
      <c r="AB33" s="11">
        <v>0</v>
      </c>
      <c r="AC33" s="11">
        <v>0</v>
      </c>
      <c r="AD33" s="11">
        <v>0</v>
      </c>
      <c r="AE33" s="11">
        <v>64</v>
      </c>
      <c r="AF33" s="11">
        <v>79</v>
      </c>
      <c r="AG33" s="11">
        <v>24</v>
      </c>
      <c r="AH33" s="3">
        <f t="shared" si="0"/>
        <v>51859.920416666668</v>
      </c>
      <c r="AI33" s="3">
        <f t="shared" si="1"/>
        <v>3.2916666666666665</v>
      </c>
      <c r="AJ33" s="11">
        <v>0</v>
      </c>
      <c r="AK33" s="11">
        <v>0</v>
      </c>
      <c r="AL33" s="181">
        <f t="shared" si="2"/>
        <v>0</v>
      </c>
      <c r="AM33" s="11">
        <v>177805</v>
      </c>
      <c r="AN33" s="181">
        <f t="shared" si="3"/>
        <v>0.82975872666666672</v>
      </c>
      <c r="AO33" s="182">
        <v>0</v>
      </c>
      <c r="AP33" s="11">
        <v>9</v>
      </c>
      <c r="AQ33" s="11">
        <v>203</v>
      </c>
      <c r="AR33" s="11">
        <v>572.88</v>
      </c>
      <c r="AS33" s="11">
        <v>1</v>
      </c>
      <c r="AT33" s="11">
        <v>16</v>
      </c>
      <c r="AV33" s="11" t="str">
        <f t="shared" si="4"/>
        <v>Active</v>
      </c>
    </row>
    <row r="34" spans="1:48">
      <c r="A34" s="11" t="s">
        <v>201</v>
      </c>
      <c r="B34" s="11" t="s">
        <v>438</v>
      </c>
      <c r="C34" s="11" t="s">
        <v>123</v>
      </c>
      <c r="D34" s="11" t="s">
        <v>504</v>
      </c>
      <c r="E34" s="11" t="s">
        <v>505</v>
      </c>
      <c r="F34" s="45">
        <v>44207</v>
      </c>
      <c r="G34" s="11">
        <v>0</v>
      </c>
      <c r="H34" s="11">
        <v>0</v>
      </c>
      <c r="I34" s="11">
        <v>0</v>
      </c>
      <c r="J34" s="11">
        <v>0</v>
      </c>
      <c r="K34" s="11">
        <v>70</v>
      </c>
      <c r="L34" s="11">
        <v>0</v>
      </c>
      <c r="M34" s="11">
        <v>0</v>
      </c>
      <c r="N34" s="11">
        <v>70</v>
      </c>
      <c r="O34" s="11">
        <v>70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75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3" t="str">
        <f t="shared" si="0"/>
        <v/>
      </c>
      <c r="AI34" s="3" t="str">
        <f t="shared" si="1"/>
        <v/>
      </c>
      <c r="AJ34" s="11">
        <v>0</v>
      </c>
      <c r="AK34" s="11">
        <v>0</v>
      </c>
      <c r="AL34" s="181" t="str">
        <f t="shared" si="2"/>
        <v/>
      </c>
      <c r="AM34" s="11">
        <v>0</v>
      </c>
      <c r="AN34" s="181" t="str">
        <f t="shared" si="3"/>
        <v/>
      </c>
      <c r="AO34" s="182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84">
        <v>45777</v>
      </c>
      <c r="AV34" s="11" t="str">
        <f t="shared" si="4"/>
        <v>Left</v>
      </c>
    </row>
    <row r="35" spans="1:48">
      <c r="A35" s="11" t="s">
        <v>108</v>
      </c>
      <c r="B35" s="11" t="s">
        <v>465</v>
      </c>
      <c r="C35" s="11" t="s">
        <v>126</v>
      </c>
      <c r="D35" s="11" t="s">
        <v>506</v>
      </c>
      <c r="E35" s="11" t="s">
        <v>605</v>
      </c>
      <c r="F35" s="45">
        <v>45474</v>
      </c>
      <c r="G35" s="11">
        <v>0</v>
      </c>
      <c r="H35" s="11">
        <v>907500</v>
      </c>
      <c r="I35" s="11">
        <v>446298</v>
      </c>
      <c r="J35" s="11">
        <v>0</v>
      </c>
      <c r="K35" s="11">
        <v>80</v>
      </c>
      <c r="L35" s="11">
        <v>50</v>
      </c>
      <c r="M35" s="11">
        <v>0</v>
      </c>
      <c r="N35" s="11">
        <v>80</v>
      </c>
      <c r="O35" s="11">
        <v>30</v>
      </c>
      <c r="P35" s="11">
        <v>446298</v>
      </c>
      <c r="Q35" s="11">
        <v>0</v>
      </c>
      <c r="R35" s="11">
        <v>12</v>
      </c>
      <c r="S35" s="11">
        <v>0</v>
      </c>
      <c r="T35" s="11">
        <v>12</v>
      </c>
      <c r="U35" s="11">
        <v>0</v>
      </c>
      <c r="V35" s="11">
        <v>2</v>
      </c>
      <c r="W35" s="11">
        <v>2</v>
      </c>
      <c r="X35" s="11">
        <v>20</v>
      </c>
      <c r="Y35" s="11">
        <v>2</v>
      </c>
      <c r="Z35" s="11">
        <v>2</v>
      </c>
      <c r="AA35" s="11">
        <v>0</v>
      </c>
      <c r="AB35" s="11">
        <v>0</v>
      </c>
      <c r="AC35" s="11">
        <v>0</v>
      </c>
      <c r="AD35" s="11">
        <v>0</v>
      </c>
      <c r="AE35" s="11">
        <v>95</v>
      </c>
      <c r="AF35" s="11">
        <v>99</v>
      </c>
      <c r="AG35" s="11">
        <v>17</v>
      </c>
      <c r="AH35" s="3">
        <f t="shared" si="0"/>
        <v>26252.823529411766</v>
      </c>
      <c r="AI35" s="3">
        <f t="shared" si="1"/>
        <v>5.8235294117647056</v>
      </c>
      <c r="AJ35" s="11">
        <v>0</v>
      </c>
      <c r="AK35" s="11">
        <v>0</v>
      </c>
      <c r="AL35" s="181">
        <f t="shared" si="2"/>
        <v>0</v>
      </c>
      <c r="AM35" s="11">
        <v>37192</v>
      </c>
      <c r="AN35" s="181">
        <f t="shared" si="3"/>
        <v>0.4917884297520661</v>
      </c>
      <c r="AO35" s="182">
        <v>0</v>
      </c>
      <c r="AP35" s="11">
        <v>14</v>
      </c>
      <c r="AQ35" s="11">
        <v>149</v>
      </c>
      <c r="AR35" s="11">
        <v>1021.05</v>
      </c>
      <c r="AS35" s="11">
        <v>0</v>
      </c>
      <c r="AT35" s="11">
        <v>20</v>
      </c>
      <c r="AV35" s="11" t="str">
        <f t="shared" si="4"/>
        <v>Active</v>
      </c>
    </row>
    <row r="36" spans="1:48">
      <c r="A36" s="11" t="s">
        <v>108</v>
      </c>
      <c r="B36" s="11" t="s">
        <v>465</v>
      </c>
      <c r="C36" s="11" t="s">
        <v>128</v>
      </c>
      <c r="D36" s="11" t="s">
        <v>506</v>
      </c>
      <c r="E36" s="11" t="s">
        <v>507</v>
      </c>
      <c r="F36" s="45">
        <v>44224</v>
      </c>
      <c r="G36" s="11">
        <v>0</v>
      </c>
      <c r="H36" s="11">
        <v>0</v>
      </c>
      <c r="I36" s="11">
        <v>0</v>
      </c>
      <c r="J36" s="11">
        <v>0</v>
      </c>
      <c r="K36" s="11">
        <v>146</v>
      </c>
      <c r="L36" s="11">
        <v>0</v>
      </c>
      <c r="M36" s="11">
        <v>0</v>
      </c>
      <c r="N36" s="11">
        <v>146</v>
      </c>
      <c r="O36" s="11">
        <v>146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50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3" t="str">
        <f t="shared" si="0"/>
        <v/>
      </c>
      <c r="AI36" s="3" t="str">
        <f t="shared" si="1"/>
        <v/>
      </c>
      <c r="AJ36" s="11">
        <v>0</v>
      </c>
      <c r="AK36" s="11">
        <v>0</v>
      </c>
      <c r="AL36" s="181" t="str">
        <f t="shared" si="2"/>
        <v/>
      </c>
      <c r="AM36" s="11">
        <v>0</v>
      </c>
      <c r="AN36" s="181" t="str">
        <f t="shared" si="3"/>
        <v/>
      </c>
      <c r="AO36" s="182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84">
        <v>45774</v>
      </c>
      <c r="AV36" s="11" t="str">
        <f t="shared" si="4"/>
        <v>Left</v>
      </c>
    </row>
    <row r="37" spans="1:48">
      <c r="A37" s="11" t="s">
        <v>118</v>
      </c>
      <c r="B37" s="11" t="s">
        <v>468</v>
      </c>
      <c r="C37" s="11" t="s">
        <v>132</v>
      </c>
      <c r="D37" s="11" t="s">
        <v>509</v>
      </c>
      <c r="E37" s="11" t="s">
        <v>510</v>
      </c>
      <c r="F37" s="45">
        <v>44228</v>
      </c>
      <c r="G37" s="11">
        <v>0</v>
      </c>
      <c r="H37" s="11">
        <v>3500000</v>
      </c>
      <c r="I37" s="11">
        <v>1375951.45</v>
      </c>
      <c r="J37" s="11">
        <v>0</v>
      </c>
      <c r="K37" s="11">
        <v>76</v>
      </c>
      <c r="L37" s="11">
        <v>28</v>
      </c>
      <c r="M37" s="11">
        <v>0</v>
      </c>
      <c r="N37" s="11">
        <v>76</v>
      </c>
      <c r="O37" s="11">
        <v>48</v>
      </c>
      <c r="P37" s="11">
        <v>1375951.45</v>
      </c>
      <c r="Q37" s="11">
        <v>0</v>
      </c>
      <c r="R37" s="11">
        <v>17</v>
      </c>
      <c r="S37" s="11">
        <v>0</v>
      </c>
      <c r="T37" s="11">
        <v>17</v>
      </c>
      <c r="U37" s="11">
        <v>0</v>
      </c>
      <c r="V37" s="11">
        <v>10</v>
      </c>
      <c r="W37" s="11">
        <v>10</v>
      </c>
      <c r="X37" s="11">
        <v>127</v>
      </c>
      <c r="Y37" s="11">
        <v>1</v>
      </c>
      <c r="Z37" s="11">
        <v>21</v>
      </c>
      <c r="AA37" s="11">
        <v>0</v>
      </c>
      <c r="AB37" s="11">
        <v>0</v>
      </c>
      <c r="AC37" s="11">
        <v>0</v>
      </c>
      <c r="AD37" s="11">
        <v>0</v>
      </c>
      <c r="AE37" s="11">
        <v>33</v>
      </c>
      <c r="AF37" s="11">
        <v>64</v>
      </c>
      <c r="AG37" s="11">
        <v>25</v>
      </c>
      <c r="AH37" s="3">
        <f t="shared" si="0"/>
        <v>55038.057999999997</v>
      </c>
      <c r="AI37" s="3">
        <f t="shared" si="1"/>
        <v>2.56</v>
      </c>
      <c r="AJ37" s="11">
        <v>0</v>
      </c>
      <c r="AK37" s="11">
        <v>0</v>
      </c>
      <c r="AL37" s="181">
        <f t="shared" si="2"/>
        <v>0</v>
      </c>
      <c r="AM37" s="11">
        <v>80938</v>
      </c>
      <c r="AN37" s="181">
        <f t="shared" si="3"/>
        <v>0.39312898571428573</v>
      </c>
      <c r="AO37" s="182">
        <v>0</v>
      </c>
      <c r="AP37" s="11">
        <v>23</v>
      </c>
      <c r="AQ37" s="11">
        <v>253</v>
      </c>
      <c r="AR37" s="11">
        <v>737.06</v>
      </c>
      <c r="AS37" s="11">
        <v>0</v>
      </c>
      <c r="AT37" s="11">
        <v>26</v>
      </c>
      <c r="AV37" s="11" t="str">
        <f t="shared" si="4"/>
        <v>Active</v>
      </c>
    </row>
    <row r="38" spans="1:48">
      <c r="A38" s="11" t="s">
        <v>118</v>
      </c>
      <c r="B38" s="11" t="s">
        <v>484</v>
      </c>
      <c r="C38" s="11" t="s">
        <v>133</v>
      </c>
      <c r="D38" s="11" t="s">
        <v>529</v>
      </c>
      <c r="E38" s="11" t="s">
        <v>530</v>
      </c>
      <c r="F38" s="45">
        <v>44868</v>
      </c>
      <c r="G38" s="11">
        <v>0</v>
      </c>
      <c r="H38" s="11">
        <v>1500000</v>
      </c>
      <c r="I38" s="11">
        <v>1120516.05</v>
      </c>
      <c r="J38" s="11">
        <v>0</v>
      </c>
      <c r="K38" s="11">
        <v>58</v>
      </c>
      <c r="L38" s="11">
        <v>34</v>
      </c>
      <c r="M38" s="11">
        <v>0</v>
      </c>
      <c r="N38" s="11">
        <v>58</v>
      </c>
      <c r="O38" s="11">
        <v>24</v>
      </c>
      <c r="P38" s="11">
        <v>1120516.05</v>
      </c>
      <c r="Q38" s="11">
        <v>0</v>
      </c>
      <c r="R38" s="11">
        <v>14</v>
      </c>
      <c r="S38" s="11">
        <v>0</v>
      </c>
      <c r="T38" s="11">
        <v>14</v>
      </c>
      <c r="U38" s="11">
        <v>0</v>
      </c>
      <c r="V38" s="11">
        <v>0</v>
      </c>
      <c r="W38" s="11">
        <v>0</v>
      </c>
      <c r="X38" s="11">
        <v>37</v>
      </c>
      <c r="Y38" s="11">
        <v>1</v>
      </c>
      <c r="Z38" s="11">
        <v>6</v>
      </c>
      <c r="AA38" s="11">
        <v>0</v>
      </c>
      <c r="AB38" s="11">
        <v>0</v>
      </c>
      <c r="AC38" s="11">
        <v>0</v>
      </c>
      <c r="AD38" s="11">
        <v>0</v>
      </c>
      <c r="AE38" s="11">
        <v>64</v>
      </c>
      <c r="AF38" s="11">
        <v>70</v>
      </c>
      <c r="AG38" s="11">
        <v>26</v>
      </c>
      <c r="AH38" s="3">
        <f t="shared" si="0"/>
        <v>43096.771153846159</v>
      </c>
      <c r="AI38" s="3">
        <f t="shared" si="1"/>
        <v>2.6923076923076925</v>
      </c>
      <c r="AJ38" s="11">
        <v>0</v>
      </c>
      <c r="AK38" s="11">
        <v>0</v>
      </c>
      <c r="AL38" s="181">
        <f t="shared" si="2"/>
        <v>0</v>
      </c>
      <c r="AM38" s="11">
        <v>80037</v>
      </c>
      <c r="AN38" s="181">
        <f t="shared" si="3"/>
        <v>0.74701070000000003</v>
      </c>
      <c r="AO38" s="182">
        <v>0</v>
      </c>
      <c r="AP38" s="11">
        <v>16</v>
      </c>
      <c r="AQ38" s="11">
        <v>244</v>
      </c>
      <c r="AR38" s="11">
        <v>443.03</v>
      </c>
      <c r="AS38" s="11">
        <v>0</v>
      </c>
      <c r="AT38" s="11">
        <v>13</v>
      </c>
      <c r="AV38" s="11" t="str">
        <f t="shared" si="4"/>
        <v>Active</v>
      </c>
    </row>
    <row r="39" spans="1:48">
      <c r="A39" s="11" t="s">
        <v>201</v>
      </c>
      <c r="B39" s="11" t="s">
        <v>438</v>
      </c>
      <c r="C39" s="11" t="s">
        <v>134</v>
      </c>
      <c r="D39" s="11" t="s">
        <v>504</v>
      </c>
      <c r="E39" s="11" t="s">
        <v>511</v>
      </c>
      <c r="F39" s="45">
        <v>44245</v>
      </c>
      <c r="G39" s="11">
        <v>0</v>
      </c>
      <c r="H39" s="11">
        <v>2333333</v>
      </c>
      <c r="I39" s="11">
        <v>1045405.42</v>
      </c>
      <c r="J39" s="11">
        <v>0</v>
      </c>
      <c r="K39" s="11">
        <v>104</v>
      </c>
      <c r="L39" s="11">
        <v>54</v>
      </c>
      <c r="M39" s="11">
        <v>1</v>
      </c>
      <c r="N39" s="11">
        <v>105</v>
      </c>
      <c r="O39" s="11">
        <v>51</v>
      </c>
      <c r="P39" s="11">
        <v>1021957.42</v>
      </c>
      <c r="Q39" s="11">
        <v>23448</v>
      </c>
      <c r="R39" s="11">
        <v>17</v>
      </c>
      <c r="S39" s="11">
        <v>1</v>
      </c>
      <c r="T39" s="11">
        <v>18</v>
      </c>
      <c r="U39" s="11">
        <v>0</v>
      </c>
      <c r="V39" s="11">
        <v>4</v>
      </c>
      <c r="W39" s="11">
        <v>4</v>
      </c>
      <c r="X39" s="11">
        <v>129</v>
      </c>
      <c r="Y39" s="11">
        <v>2</v>
      </c>
      <c r="Z39" s="11">
        <v>4</v>
      </c>
      <c r="AA39" s="11">
        <v>0</v>
      </c>
      <c r="AB39" s="11">
        <v>0</v>
      </c>
      <c r="AC39" s="11">
        <v>0</v>
      </c>
      <c r="AD39" s="11">
        <v>0</v>
      </c>
      <c r="AE39" s="11">
        <v>76</v>
      </c>
      <c r="AF39" s="11">
        <v>84</v>
      </c>
      <c r="AG39" s="11">
        <v>23</v>
      </c>
      <c r="AH39" s="3">
        <f t="shared" si="0"/>
        <v>45452.409565217393</v>
      </c>
      <c r="AI39" s="3">
        <f t="shared" si="1"/>
        <v>3.652173913043478</v>
      </c>
      <c r="AJ39" s="11">
        <v>1</v>
      </c>
      <c r="AK39" s="11">
        <v>0</v>
      </c>
      <c r="AL39" s="181">
        <f t="shared" si="2"/>
        <v>9.5656668778319509E-7</v>
      </c>
      <c r="AM39" s="11">
        <v>58078</v>
      </c>
      <c r="AN39" s="181">
        <f t="shared" si="3"/>
        <v>0.44803095829013689</v>
      </c>
      <c r="AO39" s="182">
        <v>0</v>
      </c>
      <c r="AP39" s="11">
        <v>29</v>
      </c>
      <c r="AQ39" s="11">
        <v>232</v>
      </c>
      <c r="AR39" s="11">
        <v>1566.98</v>
      </c>
      <c r="AS39" s="11">
        <v>1</v>
      </c>
      <c r="AT39" s="11">
        <v>29</v>
      </c>
      <c r="AV39" s="11" t="str">
        <f t="shared" si="4"/>
        <v>Active</v>
      </c>
    </row>
    <row r="40" spans="1:48">
      <c r="A40" s="11" t="s">
        <v>201</v>
      </c>
      <c r="B40" s="11" t="s">
        <v>431</v>
      </c>
      <c r="C40" s="11" t="s">
        <v>135</v>
      </c>
      <c r="D40" s="11" t="s">
        <v>431</v>
      </c>
      <c r="E40" s="11" t="s">
        <v>513</v>
      </c>
      <c r="F40" s="45">
        <v>44247</v>
      </c>
      <c r="G40" s="11">
        <v>0</v>
      </c>
      <c r="H40" s="11">
        <v>3333333</v>
      </c>
      <c r="I40" s="11">
        <v>2681980.39</v>
      </c>
      <c r="J40" s="11">
        <v>0</v>
      </c>
      <c r="K40" s="11">
        <v>93</v>
      </c>
      <c r="L40" s="11">
        <v>47</v>
      </c>
      <c r="M40" s="11">
        <v>8</v>
      </c>
      <c r="N40" s="11">
        <v>101</v>
      </c>
      <c r="O40" s="11">
        <v>54</v>
      </c>
      <c r="P40" s="11">
        <v>2297348.94</v>
      </c>
      <c r="Q40" s="11">
        <v>384631.45</v>
      </c>
      <c r="R40" s="11">
        <v>33</v>
      </c>
      <c r="S40" s="11">
        <v>8</v>
      </c>
      <c r="T40" s="11">
        <v>41</v>
      </c>
      <c r="U40" s="11">
        <v>0</v>
      </c>
      <c r="V40" s="11">
        <v>0</v>
      </c>
      <c r="W40" s="11">
        <v>0</v>
      </c>
      <c r="X40" s="11">
        <v>44</v>
      </c>
      <c r="Y40" s="11">
        <v>3</v>
      </c>
      <c r="Z40" s="11">
        <v>19</v>
      </c>
      <c r="AA40" s="11">
        <v>0</v>
      </c>
      <c r="AB40" s="11">
        <v>0</v>
      </c>
      <c r="AC40" s="11">
        <v>0</v>
      </c>
      <c r="AD40" s="11">
        <v>0</v>
      </c>
      <c r="AE40" s="11">
        <v>76</v>
      </c>
      <c r="AF40" s="11">
        <v>95</v>
      </c>
      <c r="AG40" s="11">
        <v>26</v>
      </c>
      <c r="AH40" s="3">
        <f t="shared" si="0"/>
        <v>103153.09192307692</v>
      </c>
      <c r="AI40" s="3">
        <f t="shared" si="1"/>
        <v>3.6538461538461537</v>
      </c>
      <c r="AJ40" s="11">
        <v>0</v>
      </c>
      <c r="AK40" s="11">
        <v>0</v>
      </c>
      <c r="AL40" s="181">
        <f t="shared" si="2"/>
        <v>0</v>
      </c>
      <c r="AM40" s="11">
        <v>65414</v>
      </c>
      <c r="AN40" s="181">
        <f t="shared" si="3"/>
        <v>0.80459419745941974</v>
      </c>
      <c r="AO40" s="182">
        <v>0</v>
      </c>
      <c r="AP40" s="11">
        <v>82</v>
      </c>
      <c r="AQ40" s="11">
        <v>271</v>
      </c>
      <c r="AR40" s="11">
        <v>1269.48</v>
      </c>
      <c r="AS40" s="11">
        <v>8</v>
      </c>
      <c r="AT40" s="11">
        <v>27</v>
      </c>
      <c r="AV40" s="11" t="str">
        <f t="shared" si="4"/>
        <v>Active</v>
      </c>
    </row>
    <row r="41" spans="1:48">
      <c r="A41" s="11" t="s">
        <v>118</v>
      </c>
      <c r="B41" s="11" t="s">
        <v>372</v>
      </c>
      <c r="C41" s="11" t="s">
        <v>138</v>
      </c>
      <c r="D41" s="11" t="s">
        <v>447</v>
      </c>
      <c r="E41" s="11" t="s">
        <v>514</v>
      </c>
      <c r="F41" s="45">
        <v>44396</v>
      </c>
      <c r="G41" s="11">
        <v>0</v>
      </c>
      <c r="H41" s="11">
        <v>2500000</v>
      </c>
      <c r="I41" s="11">
        <v>2641016.92</v>
      </c>
      <c r="J41" s="11">
        <v>0</v>
      </c>
      <c r="K41" s="11">
        <v>246</v>
      </c>
      <c r="L41" s="11">
        <v>77</v>
      </c>
      <c r="M41" s="11">
        <v>4</v>
      </c>
      <c r="N41" s="11">
        <v>250</v>
      </c>
      <c r="O41" s="11">
        <v>173</v>
      </c>
      <c r="P41" s="11">
        <v>2232163.0299999998</v>
      </c>
      <c r="Q41" s="11">
        <v>408853.89</v>
      </c>
      <c r="R41" s="11">
        <v>27</v>
      </c>
      <c r="S41" s="11">
        <v>3</v>
      </c>
      <c r="T41" s="11">
        <v>30</v>
      </c>
      <c r="U41" s="11">
        <v>0</v>
      </c>
      <c r="V41" s="11">
        <v>36</v>
      </c>
      <c r="W41" s="11">
        <v>37</v>
      </c>
      <c r="X41" s="11">
        <v>500</v>
      </c>
      <c r="Y41" s="11">
        <v>1</v>
      </c>
      <c r="Z41" s="11">
        <v>15</v>
      </c>
      <c r="AA41" s="11">
        <v>0</v>
      </c>
      <c r="AB41" s="11">
        <v>0</v>
      </c>
      <c r="AC41" s="11">
        <v>0</v>
      </c>
      <c r="AD41" s="11">
        <v>0</v>
      </c>
      <c r="AE41" s="11">
        <v>88</v>
      </c>
      <c r="AF41" s="11">
        <v>140</v>
      </c>
      <c r="AG41" s="11">
        <v>27</v>
      </c>
      <c r="AH41" s="3">
        <f t="shared" si="0"/>
        <v>97815.441481481481</v>
      </c>
      <c r="AI41" s="3">
        <f t="shared" si="1"/>
        <v>5.1851851851851851</v>
      </c>
      <c r="AJ41" s="11">
        <v>0</v>
      </c>
      <c r="AK41" s="11">
        <v>0</v>
      </c>
      <c r="AL41" s="181">
        <f t="shared" si="2"/>
        <v>0</v>
      </c>
      <c r="AM41" s="11">
        <v>88034</v>
      </c>
      <c r="AN41" s="181">
        <f t="shared" si="3"/>
        <v>1.056406768</v>
      </c>
      <c r="AO41" s="182">
        <v>0</v>
      </c>
      <c r="AP41" s="11">
        <v>36</v>
      </c>
      <c r="AQ41" s="11">
        <v>272</v>
      </c>
      <c r="AR41" s="11">
        <v>1161.67</v>
      </c>
      <c r="AS41" s="11">
        <v>3</v>
      </c>
      <c r="AT41" s="11">
        <v>15</v>
      </c>
      <c r="AV41" s="11" t="str">
        <f t="shared" si="4"/>
        <v>Active</v>
      </c>
    </row>
    <row r="42" spans="1:48">
      <c r="A42" s="11" t="s">
        <v>118</v>
      </c>
      <c r="B42" s="11" t="s">
        <v>468</v>
      </c>
      <c r="C42" s="11" t="s">
        <v>140</v>
      </c>
      <c r="D42" s="11" t="s">
        <v>515</v>
      </c>
      <c r="E42" s="11" t="s">
        <v>516</v>
      </c>
      <c r="F42" s="45">
        <v>44424</v>
      </c>
      <c r="G42" s="11">
        <v>0</v>
      </c>
      <c r="H42" s="11">
        <v>7416667</v>
      </c>
      <c r="I42" s="11">
        <v>4268407.79</v>
      </c>
      <c r="J42" s="11">
        <v>0</v>
      </c>
      <c r="K42" s="11">
        <v>80</v>
      </c>
      <c r="L42" s="11">
        <v>66</v>
      </c>
      <c r="M42" s="11">
        <v>3</v>
      </c>
      <c r="N42" s="11">
        <v>83</v>
      </c>
      <c r="O42" s="11">
        <v>17</v>
      </c>
      <c r="P42" s="11">
        <v>4014593.74</v>
      </c>
      <c r="Q42" s="11">
        <v>253814.05</v>
      </c>
      <c r="R42" s="11">
        <v>29</v>
      </c>
      <c r="S42" s="11">
        <v>3</v>
      </c>
      <c r="T42" s="11">
        <v>32</v>
      </c>
      <c r="U42" s="11">
        <v>0</v>
      </c>
      <c r="V42" s="11">
        <v>4</v>
      </c>
      <c r="W42" s="11">
        <v>4</v>
      </c>
      <c r="X42" s="11">
        <v>45</v>
      </c>
      <c r="Y42" s="11">
        <v>1</v>
      </c>
      <c r="Z42" s="11">
        <v>10</v>
      </c>
      <c r="AA42" s="11">
        <v>0</v>
      </c>
      <c r="AB42" s="11">
        <v>0</v>
      </c>
      <c r="AC42" s="11">
        <v>0</v>
      </c>
      <c r="AD42" s="11">
        <v>0</v>
      </c>
      <c r="AE42" s="11">
        <v>111</v>
      </c>
      <c r="AF42" s="11">
        <v>125</v>
      </c>
      <c r="AG42" s="11">
        <v>26</v>
      </c>
      <c r="AH42" s="3">
        <f t="shared" si="0"/>
        <v>164169.53038461538</v>
      </c>
      <c r="AI42" s="3">
        <f t="shared" si="1"/>
        <v>4.8076923076923075</v>
      </c>
      <c r="AJ42" s="11">
        <v>0</v>
      </c>
      <c r="AK42" s="11">
        <v>0</v>
      </c>
      <c r="AL42" s="181">
        <f t="shared" si="2"/>
        <v>0</v>
      </c>
      <c r="AM42" s="11">
        <v>133388</v>
      </c>
      <c r="AN42" s="181">
        <f t="shared" si="3"/>
        <v>0.5755156312127806</v>
      </c>
      <c r="AO42" s="182">
        <v>0</v>
      </c>
      <c r="AP42" s="11">
        <v>35</v>
      </c>
      <c r="AQ42" s="11">
        <v>257</v>
      </c>
      <c r="AR42" s="11">
        <v>1256.43</v>
      </c>
      <c r="AS42" s="11">
        <v>3</v>
      </c>
      <c r="AT42" s="11">
        <v>19</v>
      </c>
      <c r="AV42" s="11" t="str">
        <f t="shared" si="4"/>
        <v>Active</v>
      </c>
    </row>
    <row r="43" spans="1:48">
      <c r="A43" s="11" t="s">
        <v>124</v>
      </c>
      <c r="B43" s="11" t="s">
        <v>443</v>
      </c>
      <c r="C43" s="11" t="s">
        <v>142</v>
      </c>
      <c r="D43" s="11" t="s">
        <v>517</v>
      </c>
      <c r="E43" s="11" t="s">
        <v>518</v>
      </c>
      <c r="F43" s="45">
        <v>44459</v>
      </c>
      <c r="G43" s="11">
        <v>0</v>
      </c>
      <c r="H43" s="11">
        <v>2300000</v>
      </c>
      <c r="I43" s="11">
        <v>1344342.5</v>
      </c>
      <c r="J43" s="11">
        <v>0</v>
      </c>
      <c r="K43" s="11">
        <v>86</v>
      </c>
      <c r="L43" s="11">
        <v>21</v>
      </c>
      <c r="M43" s="11">
        <v>1</v>
      </c>
      <c r="N43" s="11">
        <v>87</v>
      </c>
      <c r="O43" s="11">
        <v>66</v>
      </c>
      <c r="P43" s="11">
        <v>1344342.5</v>
      </c>
      <c r="Q43" s="11">
        <v>0</v>
      </c>
      <c r="R43" s="11">
        <v>16</v>
      </c>
      <c r="S43" s="11">
        <v>0</v>
      </c>
      <c r="T43" s="11">
        <v>16</v>
      </c>
      <c r="U43" s="11">
        <v>0</v>
      </c>
      <c r="V43" s="11">
        <v>2</v>
      </c>
      <c r="W43" s="11">
        <v>2</v>
      </c>
      <c r="X43" s="11">
        <v>65</v>
      </c>
      <c r="Y43" s="11">
        <v>6</v>
      </c>
      <c r="Z43" s="11">
        <v>21</v>
      </c>
      <c r="AA43" s="11">
        <v>0</v>
      </c>
      <c r="AB43" s="11">
        <v>0</v>
      </c>
      <c r="AC43" s="11">
        <v>1</v>
      </c>
      <c r="AD43" s="11">
        <v>1</v>
      </c>
      <c r="AE43" s="11">
        <v>29</v>
      </c>
      <c r="AF43" s="11">
        <v>53</v>
      </c>
      <c r="AG43" s="11">
        <v>27</v>
      </c>
      <c r="AH43" s="3">
        <f t="shared" si="0"/>
        <v>49790.462962962964</v>
      </c>
      <c r="AI43" s="3">
        <f t="shared" si="1"/>
        <v>1.962962962962963</v>
      </c>
      <c r="AJ43" s="11">
        <v>0</v>
      </c>
      <c r="AK43" s="11">
        <v>0</v>
      </c>
      <c r="AL43" s="181">
        <f t="shared" si="2"/>
        <v>0</v>
      </c>
      <c r="AM43" s="11">
        <v>84021</v>
      </c>
      <c r="AN43" s="181">
        <f t="shared" si="3"/>
        <v>0.58449673913043476</v>
      </c>
      <c r="AO43" s="182">
        <v>0</v>
      </c>
      <c r="AP43" s="11">
        <v>19</v>
      </c>
      <c r="AQ43" s="11">
        <v>270</v>
      </c>
      <c r="AR43" s="11">
        <v>1149.0899999999999</v>
      </c>
      <c r="AS43" s="11">
        <v>0</v>
      </c>
      <c r="AT43" s="11">
        <v>55</v>
      </c>
      <c r="AV43" s="11" t="str">
        <f t="shared" si="4"/>
        <v>Active</v>
      </c>
    </row>
    <row r="44" spans="1:48">
      <c r="A44" s="11" t="s">
        <v>119</v>
      </c>
      <c r="B44" s="11" t="s">
        <v>375</v>
      </c>
      <c r="C44" s="11" t="s">
        <v>143</v>
      </c>
      <c r="D44" s="11" t="s">
        <v>473</v>
      </c>
      <c r="E44" s="11" t="s">
        <v>587</v>
      </c>
      <c r="F44" s="45">
        <v>45444</v>
      </c>
      <c r="G44" s="11">
        <v>0</v>
      </c>
      <c r="H44" s="11">
        <v>1000000</v>
      </c>
      <c r="I44" s="11">
        <v>0</v>
      </c>
      <c r="J44" s="11">
        <v>0</v>
      </c>
      <c r="K44" s="11">
        <v>27</v>
      </c>
      <c r="L44" s="11">
        <v>12</v>
      </c>
      <c r="M44" s="11">
        <v>0</v>
      </c>
      <c r="N44" s="11">
        <v>27</v>
      </c>
      <c r="O44" s="11">
        <v>15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38</v>
      </c>
      <c r="W44" s="11">
        <v>38</v>
      </c>
      <c r="X44" s="11">
        <v>132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12</v>
      </c>
      <c r="AF44" s="11">
        <v>50</v>
      </c>
      <c r="AG44" s="11">
        <v>11</v>
      </c>
      <c r="AH44" s="3">
        <f t="shared" si="0"/>
        <v>0</v>
      </c>
      <c r="AI44" s="3">
        <f t="shared" si="1"/>
        <v>4.5454545454545459</v>
      </c>
      <c r="AJ44" s="11">
        <v>0</v>
      </c>
      <c r="AK44" s="11">
        <v>0</v>
      </c>
      <c r="AL44" s="181" t="str">
        <f t="shared" si="2"/>
        <v/>
      </c>
      <c r="AM44" s="11">
        <v>0</v>
      </c>
      <c r="AN44" s="181">
        <f t="shared" si="3"/>
        <v>0</v>
      </c>
      <c r="AO44" s="182">
        <v>0</v>
      </c>
      <c r="AP44" s="11">
        <v>0</v>
      </c>
      <c r="AQ44" s="11">
        <v>104</v>
      </c>
      <c r="AR44" s="11">
        <v>510.76</v>
      </c>
      <c r="AS44" s="11">
        <v>0</v>
      </c>
      <c r="AT44" s="11">
        <v>43</v>
      </c>
      <c r="AU44" s="184">
        <v>45853</v>
      </c>
      <c r="AV44" s="11" t="str">
        <f t="shared" si="4"/>
        <v>Left</v>
      </c>
    </row>
    <row r="45" spans="1:48">
      <c r="A45" s="11" t="s">
        <v>118</v>
      </c>
      <c r="B45" s="11" t="s">
        <v>484</v>
      </c>
      <c r="C45" s="11" t="s">
        <v>144</v>
      </c>
      <c r="D45" s="11" t="s">
        <v>497</v>
      </c>
      <c r="E45" s="11" t="s">
        <v>520</v>
      </c>
      <c r="F45" s="45">
        <v>44501</v>
      </c>
      <c r="G45" s="11">
        <v>0</v>
      </c>
      <c r="H45" s="11">
        <v>4500000</v>
      </c>
      <c r="I45" s="11">
        <v>3382509.84</v>
      </c>
      <c r="J45" s="11">
        <v>0</v>
      </c>
      <c r="K45" s="11">
        <v>104</v>
      </c>
      <c r="L45" s="11">
        <v>69</v>
      </c>
      <c r="M45" s="11">
        <v>0</v>
      </c>
      <c r="N45" s="11">
        <v>104</v>
      </c>
      <c r="O45" s="11">
        <v>35</v>
      </c>
      <c r="P45" s="11">
        <v>3382509.84</v>
      </c>
      <c r="Q45" s="11">
        <v>0</v>
      </c>
      <c r="R45" s="11">
        <v>23</v>
      </c>
      <c r="S45" s="11">
        <v>0</v>
      </c>
      <c r="T45" s="11">
        <v>23</v>
      </c>
      <c r="U45" s="11">
        <v>0</v>
      </c>
      <c r="V45" s="11">
        <v>1</v>
      </c>
      <c r="W45" s="11">
        <v>1</v>
      </c>
      <c r="X45" s="11">
        <v>128</v>
      </c>
      <c r="Y45" s="11">
        <v>1</v>
      </c>
      <c r="Z45" s="11">
        <v>1</v>
      </c>
      <c r="AA45" s="11">
        <v>0</v>
      </c>
      <c r="AB45" s="11">
        <v>0</v>
      </c>
      <c r="AC45" s="11">
        <v>0</v>
      </c>
      <c r="AD45" s="11">
        <v>0</v>
      </c>
      <c r="AE45" s="11">
        <v>192</v>
      </c>
      <c r="AF45" s="11">
        <v>194</v>
      </c>
      <c r="AG45" s="11">
        <v>25</v>
      </c>
      <c r="AH45" s="3">
        <f t="shared" si="0"/>
        <v>135300.39359999998</v>
      </c>
      <c r="AI45" s="3">
        <f t="shared" si="1"/>
        <v>7.76</v>
      </c>
      <c r="AJ45" s="11">
        <v>0</v>
      </c>
      <c r="AK45" s="11">
        <v>0</v>
      </c>
      <c r="AL45" s="181">
        <f t="shared" si="2"/>
        <v>0</v>
      </c>
      <c r="AM45" s="11">
        <v>147066</v>
      </c>
      <c r="AN45" s="181">
        <f t="shared" si="3"/>
        <v>0.75166885333333333</v>
      </c>
      <c r="AO45" s="182">
        <v>0</v>
      </c>
      <c r="AP45" s="11">
        <v>24</v>
      </c>
      <c r="AQ45" s="11">
        <v>224</v>
      </c>
      <c r="AR45" s="11">
        <v>859.45</v>
      </c>
      <c r="AS45" s="11">
        <v>0</v>
      </c>
      <c r="AT45" s="11">
        <v>12</v>
      </c>
      <c r="AV45" s="11" t="str">
        <f t="shared" si="4"/>
        <v>Active</v>
      </c>
    </row>
    <row r="46" spans="1:48">
      <c r="A46" s="11" t="s">
        <v>201</v>
      </c>
      <c r="B46" s="11" t="s">
        <v>443</v>
      </c>
      <c r="C46" s="11" t="s">
        <v>145</v>
      </c>
      <c r="D46" s="11" t="s">
        <v>517</v>
      </c>
      <c r="E46" s="11" t="s">
        <v>521</v>
      </c>
      <c r="F46" s="45">
        <v>44501</v>
      </c>
      <c r="G46" s="11">
        <v>0</v>
      </c>
      <c r="H46" s="11">
        <v>1760000</v>
      </c>
      <c r="I46" s="11">
        <v>983906.27</v>
      </c>
      <c r="J46" s="11">
        <v>0</v>
      </c>
      <c r="K46" s="11">
        <v>75</v>
      </c>
      <c r="L46" s="11">
        <v>48</v>
      </c>
      <c r="M46" s="11">
        <v>0</v>
      </c>
      <c r="N46" s="11">
        <v>75</v>
      </c>
      <c r="O46" s="11">
        <v>27</v>
      </c>
      <c r="P46" s="11">
        <v>983906.27</v>
      </c>
      <c r="Q46" s="11">
        <v>0</v>
      </c>
      <c r="R46" s="11">
        <v>20</v>
      </c>
      <c r="S46" s="11">
        <v>0</v>
      </c>
      <c r="T46" s="11">
        <v>20</v>
      </c>
      <c r="U46" s="11">
        <v>0</v>
      </c>
      <c r="V46" s="11">
        <v>15</v>
      </c>
      <c r="W46" s="11">
        <v>17</v>
      </c>
      <c r="X46" s="11">
        <v>276</v>
      </c>
      <c r="Y46" s="11">
        <v>2</v>
      </c>
      <c r="Z46" s="11">
        <v>4</v>
      </c>
      <c r="AA46" s="11">
        <v>0</v>
      </c>
      <c r="AB46" s="11">
        <v>0</v>
      </c>
      <c r="AC46" s="11">
        <v>0</v>
      </c>
      <c r="AD46" s="11">
        <v>0</v>
      </c>
      <c r="AE46" s="11">
        <v>82</v>
      </c>
      <c r="AF46" s="11">
        <v>103</v>
      </c>
      <c r="AG46" s="11">
        <v>24</v>
      </c>
      <c r="AH46" s="3">
        <f t="shared" si="0"/>
        <v>40996.094583333332</v>
      </c>
      <c r="AI46" s="3">
        <f t="shared" si="1"/>
        <v>4.291666666666667</v>
      </c>
      <c r="AJ46" s="11">
        <v>0</v>
      </c>
      <c r="AK46" s="11">
        <v>0</v>
      </c>
      <c r="AL46" s="181">
        <f t="shared" si="2"/>
        <v>0</v>
      </c>
      <c r="AM46" s="11">
        <v>49195</v>
      </c>
      <c r="AN46" s="181">
        <f t="shared" si="3"/>
        <v>0.55903765340909095</v>
      </c>
      <c r="AO46" s="182">
        <v>0</v>
      </c>
      <c r="AP46" s="11">
        <v>39</v>
      </c>
      <c r="AQ46" s="11">
        <v>319</v>
      </c>
      <c r="AR46" s="11">
        <v>2083.4299999999998</v>
      </c>
      <c r="AS46" s="11">
        <v>0</v>
      </c>
      <c r="AT46" s="11">
        <v>43</v>
      </c>
      <c r="AV46" s="11" t="str">
        <f t="shared" si="4"/>
        <v>Active</v>
      </c>
    </row>
    <row r="47" spans="1:48">
      <c r="A47" s="11" t="s">
        <v>118</v>
      </c>
      <c r="B47" s="11" t="s">
        <v>436</v>
      </c>
      <c r="C47" s="11" t="s">
        <v>146</v>
      </c>
      <c r="D47" s="11" t="s">
        <v>499</v>
      </c>
      <c r="E47" s="11" t="s">
        <v>522</v>
      </c>
      <c r="F47" s="45">
        <v>44508</v>
      </c>
      <c r="G47" s="11">
        <v>0</v>
      </c>
      <c r="H47" s="11">
        <v>0</v>
      </c>
      <c r="I47" s="11">
        <v>0</v>
      </c>
      <c r="J47" s="11">
        <v>0</v>
      </c>
      <c r="K47" s="11">
        <v>95</v>
      </c>
      <c r="L47" s="11">
        <v>0</v>
      </c>
      <c r="M47" s="11">
        <v>0</v>
      </c>
      <c r="N47" s="11">
        <v>95</v>
      </c>
      <c r="O47" s="11">
        <v>95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96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3" t="str">
        <f t="shared" si="0"/>
        <v/>
      </c>
      <c r="AI47" s="3" t="str">
        <f t="shared" si="1"/>
        <v/>
      </c>
      <c r="AJ47" s="11">
        <v>0</v>
      </c>
      <c r="AK47" s="11">
        <v>0</v>
      </c>
      <c r="AL47" s="181" t="str">
        <f t="shared" si="2"/>
        <v/>
      </c>
      <c r="AM47" s="11">
        <v>0</v>
      </c>
      <c r="AN47" s="181" t="str">
        <f t="shared" si="3"/>
        <v/>
      </c>
      <c r="AO47" s="182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84">
        <v>45759</v>
      </c>
      <c r="AV47" s="11" t="str">
        <f t="shared" si="4"/>
        <v>Left</v>
      </c>
    </row>
    <row r="48" spans="1:48">
      <c r="A48" s="11" t="s">
        <v>201</v>
      </c>
      <c r="B48" s="11" t="s">
        <v>431</v>
      </c>
      <c r="C48" s="11" t="s">
        <v>147</v>
      </c>
      <c r="D48" s="11" t="s">
        <v>431</v>
      </c>
      <c r="E48" s="11" t="s">
        <v>523</v>
      </c>
      <c r="F48" s="45">
        <v>44511</v>
      </c>
      <c r="G48" s="11">
        <v>0</v>
      </c>
      <c r="H48" s="11">
        <v>1966667</v>
      </c>
      <c r="I48" s="11">
        <v>1237016.99</v>
      </c>
      <c r="J48" s="11">
        <v>0</v>
      </c>
      <c r="K48" s="11">
        <v>77</v>
      </c>
      <c r="L48" s="11">
        <v>54</v>
      </c>
      <c r="M48" s="11">
        <v>1</v>
      </c>
      <c r="N48" s="11">
        <v>78</v>
      </c>
      <c r="O48" s="11">
        <v>24</v>
      </c>
      <c r="P48" s="11">
        <v>1164184.72</v>
      </c>
      <c r="Q48" s="11">
        <v>72832.27</v>
      </c>
      <c r="R48" s="11">
        <v>23</v>
      </c>
      <c r="S48" s="11">
        <v>1</v>
      </c>
      <c r="T48" s="11">
        <v>24</v>
      </c>
      <c r="U48" s="11">
        <v>0</v>
      </c>
      <c r="V48" s="11">
        <v>1</v>
      </c>
      <c r="W48" s="11">
        <v>1</v>
      </c>
      <c r="X48" s="11">
        <v>72</v>
      </c>
      <c r="Y48" s="11">
        <v>4</v>
      </c>
      <c r="Z48" s="11">
        <v>6</v>
      </c>
      <c r="AA48" s="11">
        <v>3</v>
      </c>
      <c r="AB48" s="11">
        <v>3</v>
      </c>
      <c r="AC48" s="11">
        <v>0</v>
      </c>
      <c r="AD48" s="11">
        <v>0</v>
      </c>
      <c r="AE48" s="11">
        <v>78</v>
      </c>
      <c r="AF48" s="11">
        <v>88</v>
      </c>
      <c r="AG48" s="11">
        <v>26</v>
      </c>
      <c r="AH48" s="3">
        <f t="shared" si="0"/>
        <v>47577.576538461537</v>
      </c>
      <c r="AI48" s="3">
        <f t="shared" si="1"/>
        <v>3.3846153846153846</v>
      </c>
      <c r="AJ48" s="11">
        <v>12</v>
      </c>
      <c r="AK48" s="11">
        <v>0</v>
      </c>
      <c r="AL48" s="181">
        <f t="shared" si="2"/>
        <v>9.7007560098265105E-6</v>
      </c>
      <c r="AM48" s="11">
        <v>51542</v>
      </c>
      <c r="AN48" s="181">
        <f t="shared" si="3"/>
        <v>0.62899158322176552</v>
      </c>
      <c r="AO48" s="182">
        <v>0</v>
      </c>
      <c r="AP48" s="11">
        <v>27</v>
      </c>
      <c r="AQ48" s="11">
        <v>181</v>
      </c>
      <c r="AR48" s="11">
        <v>1139.1600000000001</v>
      </c>
      <c r="AS48" s="11">
        <v>1</v>
      </c>
      <c r="AT48" s="11">
        <v>21</v>
      </c>
      <c r="AV48" s="11" t="str">
        <f t="shared" si="4"/>
        <v>Active</v>
      </c>
    </row>
    <row r="49" spans="1:48">
      <c r="A49" s="11" t="s">
        <v>124</v>
      </c>
      <c r="B49" s="11" t="s">
        <v>443</v>
      </c>
      <c r="C49" s="11" t="s">
        <v>148</v>
      </c>
      <c r="D49" s="11" t="s">
        <v>517</v>
      </c>
      <c r="E49" s="11" t="s">
        <v>537</v>
      </c>
      <c r="F49" s="45">
        <v>45778</v>
      </c>
      <c r="G49" s="11">
        <v>0</v>
      </c>
      <c r="H49" s="11">
        <v>1200000</v>
      </c>
      <c r="I49" s="11">
        <v>359170.24</v>
      </c>
      <c r="J49" s="11">
        <v>0</v>
      </c>
      <c r="K49" s="11">
        <v>74</v>
      </c>
      <c r="L49" s="11">
        <v>44</v>
      </c>
      <c r="M49" s="11">
        <v>5</v>
      </c>
      <c r="N49" s="11">
        <v>79</v>
      </c>
      <c r="O49" s="11">
        <v>35</v>
      </c>
      <c r="P49" s="11">
        <v>240936.66</v>
      </c>
      <c r="Q49" s="11">
        <v>118233.58</v>
      </c>
      <c r="R49" s="11">
        <v>10</v>
      </c>
      <c r="S49" s="11">
        <v>5</v>
      </c>
      <c r="T49" s="11">
        <v>15</v>
      </c>
      <c r="U49" s="11">
        <v>0</v>
      </c>
      <c r="V49" s="11">
        <v>39</v>
      </c>
      <c r="W49" s="11">
        <v>44</v>
      </c>
      <c r="X49" s="11">
        <v>84</v>
      </c>
      <c r="Y49" s="11">
        <v>4</v>
      </c>
      <c r="Z49" s="11">
        <v>7</v>
      </c>
      <c r="AA49" s="11">
        <v>1</v>
      </c>
      <c r="AB49" s="11">
        <v>3</v>
      </c>
      <c r="AC49" s="11">
        <v>0</v>
      </c>
      <c r="AD49" s="11">
        <v>0</v>
      </c>
      <c r="AE49" s="11">
        <v>62</v>
      </c>
      <c r="AF49" s="11">
        <v>116</v>
      </c>
      <c r="AG49" s="11">
        <v>25</v>
      </c>
      <c r="AH49" s="3">
        <f t="shared" si="0"/>
        <v>14366.809600000001</v>
      </c>
      <c r="AI49" s="3">
        <f t="shared" si="1"/>
        <v>4.6399999999999997</v>
      </c>
      <c r="AJ49" s="11">
        <v>2</v>
      </c>
      <c r="AK49" s="11">
        <v>0</v>
      </c>
      <c r="AL49" s="181">
        <f t="shared" si="2"/>
        <v>5.5683900759706595E-6</v>
      </c>
      <c r="AM49" s="11">
        <v>23945</v>
      </c>
      <c r="AN49" s="181">
        <f t="shared" si="3"/>
        <v>0.29930853333333335</v>
      </c>
      <c r="AO49" s="182">
        <v>0</v>
      </c>
      <c r="AP49" s="11">
        <v>18</v>
      </c>
      <c r="AQ49" s="11">
        <v>196</v>
      </c>
      <c r="AR49" s="11">
        <v>903.28</v>
      </c>
      <c r="AS49" s="11">
        <v>5</v>
      </c>
      <c r="AT49" s="11">
        <v>21</v>
      </c>
      <c r="AV49" s="11" t="str">
        <f t="shared" si="4"/>
        <v>Active</v>
      </c>
    </row>
    <row r="50" spans="1:48">
      <c r="A50" s="11" t="s">
        <v>124</v>
      </c>
      <c r="B50" s="11" t="s">
        <v>443</v>
      </c>
      <c r="C50" s="11" t="s">
        <v>149</v>
      </c>
      <c r="D50" s="11" t="s">
        <v>517</v>
      </c>
      <c r="E50" s="11" t="s">
        <v>524</v>
      </c>
      <c r="F50" s="45">
        <v>44635</v>
      </c>
      <c r="G50" s="11">
        <v>0</v>
      </c>
      <c r="H50" s="11">
        <v>0</v>
      </c>
      <c r="I50" s="11">
        <v>0</v>
      </c>
      <c r="J50" s="11">
        <v>0</v>
      </c>
      <c r="K50" s="11">
        <v>117</v>
      </c>
      <c r="L50" s="11">
        <v>0</v>
      </c>
      <c r="M50" s="11">
        <v>0</v>
      </c>
      <c r="N50" s="11">
        <v>117</v>
      </c>
      <c r="O50" s="11">
        <v>117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128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3" t="str">
        <f t="shared" si="0"/>
        <v/>
      </c>
      <c r="AI50" s="3" t="str">
        <f t="shared" si="1"/>
        <v/>
      </c>
      <c r="AJ50" s="11">
        <v>0</v>
      </c>
      <c r="AK50" s="11">
        <v>0</v>
      </c>
      <c r="AL50" s="181" t="str">
        <f t="shared" si="2"/>
        <v/>
      </c>
      <c r="AM50" s="11">
        <v>0</v>
      </c>
      <c r="AN50" s="181" t="str">
        <f t="shared" si="3"/>
        <v/>
      </c>
      <c r="AO50" s="182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85">
        <v>45754</v>
      </c>
      <c r="AV50" s="11" t="str">
        <f t="shared" si="4"/>
        <v>Left</v>
      </c>
    </row>
    <row r="51" spans="1:48">
      <c r="A51" s="11" t="s">
        <v>201</v>
      </c>
      <c r="B51" s="11" t="s">
        <v>469</v>
      </c>
      <c r="C51" s="11" t="s">
        <v>150</v>
      </c>
      <c r="D51" s="11" t="s">
        <v>470</v>
      </c>
      <c r="E51" s="11" t="s">
        <v>525</v>
      </c>
      <c r="F51" s="45">
        <v>44662</v>
      </c>
      <c r="G51" s="11">
        <v>100000</v>
      </c>
      <c r="H51" s="11">
        <v>1633333</v>
      </c>
      <c r="I51" s="11">
        <v>1638013.03</v>
      </c>
      <c r="J51" s="11">
        <v>0</v>
      </c>
      <c r="K51" s="11">
        <v>39</v>
      </c>
      <c r="L51" s="11">
        <v>30</v>
      </c>
      <c r="M51" s="11">
        <v>1</v>
      </c>
      <c r="N51" s="11">
        <v>40</v>
      </c>
      <c r="O51" s="11">
        <v>10</v>
      </c>
      <c r="P51" s="11">
        <v>1594730.43</v>
      </c>
      <c r="Q51" s="11">
        <v>43282.6</v>
      </c>
      <c r="R51" s="11">
        <v>12</v>
      </c>
      <c r="S51" s="11">
        <v>1</v>
      </c>
      <c r="T51" s="11">
        <v>13</v>
      </c>
      <c r="U51" s="11">
        <v>0</v>
      </c>
      <c r="V51" s="11">
        <v>68</v>
      </c>
      <c r="W51" s="11">
        <v>74</v>
      </c>
      <c r="X51" s="11">
        <v>370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53</v>
      </c>
      <c r="AF51" s="11">
        <v>127</v>
      </c>
      <c r="AG51" s="11">
        <v>23</v>
      </c>
      <c r="AH51" s="3">
        <f t="shared" si="0"/>
        <v>71217.95782608696</v>
      </c>
      <c r="AI51" s="3">
        <f t="shared" si="1"/>
        <v>5.5217391304347823</v>
      </c>
      <c r="AJ51" s="11">
        <v>1</v>
      </c>
      <c r="AK51" s="11">
        <v>0</v>
      </c>
      <c r="AL51" s="181">
        <f t="shared" si="2"/>
        <v>6.1049575411497188E-7</v>
      </c>
      <c r="AM51" s="11">
        <v>126001</v>
      </c>
      <c r="AN51" s="181">
        <f t="shared" si="3"/>
        <v>0.94500769903994208</v>
      </c>
      <c r="AO51" s="182">
        <v>0</v>
      </c>
      <c r="AP51" s="11">
        <v>16</v>
      </c>
      <c r="AQ51" s="11">
        <v>164</v>
      </c>
      <c r="AR51" s="11">
        <v>1799.52</v>
      </c>
      <c r="AS51" s="11">
        <v>1</v>
      </c>
      <c r="AT51" s="11">
        <v>60</v>
      </c>
      <c r="AV51" s="11" t="str">
        <f t="shared" si="4"/>
        <v>Active</v>
      </c>
    </row>
    <row r="52" spans="1:48">
      <c r="A52" s="11" t="s">
        <v>154</v>
      </c>
      <c r="B52" s="11" t="s">
        <v>370</v>
      </c>
      <c r="C52" s="11" t="s">
        <v>151</v>
      </c>
      <c r="D52" s="11" t="s">
        <v>542</v>
      </c>
      <c r="E52" s="11" t="s">
        <v>640</v>
      </c>
      <c r="F52" s="45">
        <v>45778</v>
      </c>
      <c r="G52" s="11">
        <v>0</v>
      </c>
      <c r="H52" s="11">
        <v>0</v>
      </c>
      <c r="I52" s="11">
        <v>0</v>
      </c>
      <c r="J52" s="11">
        <v>0</v>
      </c>
      <c r="K52" s="11">
        <v>57</v>
      </c>
      <c r="L52" s="11">
        <v>9</v>
      </c>
      <c r="M52" s="11">
        <v>0</v>
      </c>
      <c r="N52" s="11">
        <v>57</v>
      </c>
      <c r="O52" s="11">
        <v>48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12</v>
      </c>
      <c r="W52" s="11">
        <v>13</v>
      </c>
      <c r="X52" s="11">
        <v>86</v>
      </c>
      <c r="Y52" s="11">
        <v>6</v>
      </c>
      <c r="Z52" s="11">
        <v>12</v>
      </c>
      <c r="AA52" s="11">
        <v>0</v>
      </c>
      <c r="AB52" s="11">
        <v>0</v>
      </c>
      <c r="AC52" s="11">
        <v>9</v>
      </c>
      <c r="AD52" s="11">
        <v>13</v>
      </c>
      <c r="AE52" s="11">
        <v>21</v>
      </c>
      <c r="AF52" s="11">
        <v>59</v>
      </c>
      <c r="AG52" s="11">
        <v>26</v>
      </c>
      <c r="AH52" s="3">
        <f t="shared" si="0"/>
        <v>0</v>
      </c>
      <c r="AI52" s="3">
        <f t="shared" si="1"/>
        <v>2.2692307692307692</v>
      </c>
      <c r="AJ52" s="11">
        <v>0</v>
      </c>
      <c r="AK52" s="11">
        <v>0</v>
      </c>
      <c r="AL52" s="181" t="str">
        <f t="shared" si="2"/>
        <v/>
      </c>
      <c r="AM52" s="11">
        <v>0</v>
      </c>
      <c r="AN52" s="181" t="str">
        <f t="shared" si="3"/>
        <v/>
      </c>
      <c r="AO52" s="182">
        <v>0</v>
      </c>
      <c r="AP52" s="11">
        <v>0</v>
      </c>
      <c r="AQ52" s="11">
        <v>257</v>
      </c>
      <c r="AR52" s="11">
        <v>4325.76</v>
      </c>
      <c r="AS52" s="11">
        <v>0</v>
      </c>
      <c r="AT52" s="11">
        <v>481</v>
      </c>
      <c r="AV52" s="11" t="str">
        <f t="shared" si="4"/>
        <v>Active</v>
      </c>
    </row>
    <row r="53" spans="1:48">
      <c r="A53" s="11" t="s">
        <v>136</v>
      </c>
      <c r="B53" s="11" t="s">
        <v>653</v>
      </c>
      <c r="C53" s="11" t="s">
        <v>152</v>
      </c>
      <c r="D53" s="11" t="s">
        <v>421</v>
      </c>
      <c r="E53" s="11" t="s">
        <v>526</v>
      </c>
      <c r="F53" s="45">
        <v>44684</v>
      </c>
      <c r="G53" s="11">
        <v>333333</v>
      </c>
      <c r="H53" s="11">
        <v>2000000</v>
      </c>
      <c r="I53" s="11">
        <v>1403156.58</v>
      </c>
      <c r="J53" s="11">
        <v>0</v>
      </c>
      <c r="K53" s="11">
        <v>31</v>
      </c>
      <c r="L53" s="11">
        <v>28</v>
      </c>
      <c r="M53" s="11">
        <v>0</v>
      </c>
      <c r="N53" s="11">
        <v>31</v>
      </c>
      <c r="O53" s="11">
        <f>N53-L53</f>
        <v>3</v>
      </c>
      <c r="P53" s="11">
        <v>1403156.58</v>
      </c>
      <c r="Q53" s="11">
        <v>0</v>
      </c>
      <c r="R53" s="11">
        <v>10</v>
      </c>
      <c r="S53" s="11">
        <v>0</v>
      </c>
      <c r="T53" s="11">
        <v>10</v>
      </c>
      <c r="U53" s="11">
        <v>0</v>
      </c>
      <c r="V53" s="11">
        <v>1</v>
      </c>
      <c r="W53" s="11">
        <v>1</v>
      </c>
      <c r="X53" s="11">
        <v>106</v>
      </c>
      <c r="Y53" s="11">
        <v>0</v>
      </c>
      <c r="Z53" s="11">
        <v>15</v>
      </c>
      <c r="AA53" s="11">
        <v>0</v>
      </c>
      <c r="AB53" s="11">
        <v>0</v>
      </c>
      <c r="AC53" s="11">
        <v>0</v>
      </c>
      <c r="AD53" s="11">
        <v>0</v>
      </c>
      <c r="AE53" s="11">
        <v>107</v>
      </c>
      <c r="AF53" s="11">
        <f>AE53+Z53+W53</f>
        <v>123</v>
      </c>
      <c r="AG53" s="11">
        <v>25</v>
      </c>
      <c r="AH53" s="3">
        <f t="shared" si="0"/>
        <v>56126.263200000001</v>
      </c>
      <c r="AI53" s="3">
        <f t="shared" si="1"/>
        <v>4.92</v>
      </c>
      <c r="AJ53" s="11">
        <v>1</v>
      </c>
      <c r="AK53" s="11">
        <v>0</v>
      </c>
      <c r="AL53" s="181">
        <f t="shared" si="2"/>
        <v>7.1267883731122867E-7</v>
      </c>
      <c r="AM53" s="11">
        <v>140316</v>
      </c>
      <c r="AN53" s="181">
        <f t="shared" si="3"/>
        <v>0.60135290590755797</v>
      </c>
      <c r="AO53" s="182">
        <v>0</v>
      </c>
      <c r="AP53" s="11">
        <v>11</v>
      </c>
      <c r="AQ53" s="11">
        <v>0</v>
      </c>
      <c r="AR53" s="11">
        <v>0</v>
      </c>
      <c r="AS53" s="11">
        <v>0</v>
      </c>
      <c r="AT53" s="11">
        <v>0</v>
      </c>
      <c r="AV53" s="11" t="str">
        <f t="shared" si="4"/>
        <v>Active</v>
      </c>
    </row>
    <row r="54" spans="1:48">
      <c r="A54" s="11" t="s">
        <v>124</v>
      </c>
      <c r="B54" s="11" t="s">
        <v>443</v>
      </c>
      <c r="C54" s="11" t="s">
        <v>153</v>
      </c>
      <c r="D54" s="11" t="s">
        <v>517</v>
      </c>
      <c r="E54" s="11" t="s">
        <v>527</v>
      </c>
      <c r="F54" s="45">
        <v>44697</v>
      </c>
      <c r="G54" s="11">
        <v>0</v>
      </c>
      <c r="H54" s="11">
        <v>1200000</v>
      </c>
      <c r="I54" s="11">
        <v>912087.05</v>
      </c>
      <c r="J54" s="11">
        <v>0</v>
      </c>
      <c r="K54" s="11">
        <v>76</v>
      </c>
      <c r="L54" s="11">
        <v>40</v>
      </c>
      <c r="M54" s="11">
        <v>1</v>
      </c>
      <c r="N54" s="11">
        <v>77</v>
      </c>
      <c r="O54" s="11">
        <v>37</v>
      </c>
      <c r="P54" s="11">
        <v>898926.85</v>
      </c>
      <c r="Q54" s="11">
        <v>13160.2</v>
      </c>
      <c r="R54" s="11">
        <v>14</v>
      </c>
      <c r="S54" s="11">
        <v>1</v>
      </c>
      <c r="T54" s="11">
        <v>15</v>
      </c>
      <c r="U54" s="11">
        <v>0</v>
      </c>
      <c r="V54" s="11">
        <v>5</v>
      </c>
      <c r="W54" s="11">
        <v>6</v>
      </c>
      <c r="X54" s="11">
        <v>293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96</v>
      </c>
      <c r="AF54" s="11">
        <v>102</v>
      </c>
      <c r="AG54" s="11">
        <v>25</v>
      </c>
      <c r="AH54" s="3">
        <f t="shared" si="0"/>
        <v>36483.482000000004</v>
      </c>
      <c r="AI54" s="3">
        <f t="shared" si="1"/>
        <v>4.08</v>
      </c>
      <c r="AJ54" s="11">
        <v>0</v>
      </c>
      <c r="AK54" s="11">
        <v>0</v>
      </c>
      <c r="AL54" s="181">
        <f t="shared" si="2"/>
        <v>0</v>
      </c>
      <c r="AM54" s="11">
        <v>60806</v>
      </c>
      <c r="AN54" s="181">
        <f t="shared" si="3"/>
        <v>0.76007254166666671</v>
      </c>
      <c r="AO54" s="182">
        <v>0</v>
      </c>
      <c r="AP54" s="11">
        <v>28</v>
      </c>
      <c r="AQ54" s="11">
        <v>217</v>
      </c>
      <c r="AR54" s="11">
        <v>1947.14</v>
      </c>
      <c r="AS54" s="11">
        <v>1</v>
      </c>
      <c r="AT54" s="11">
        <v>49</v>
      </c>
      <c r="AV54" s="11" t="str">
        <f t="shared" si="4"/>
        <v>Active</v>
      </c>
    </row>
    <row r="55" spans="1:48">
      <c r="A55" s="11" t="s">
        <v>108</v>
      </c>
      <c r="B55" s="11" t="s">
        <v>465</v>
      </c>
      <c r="C55" s="11" t="s">
        <v>156</v>
      </c>
      <c r="D55" s="11" t="s">
        <v>506</v>
      </c>
      <c r="E55" s="11" t="s">
        <v>461</v>
      </c>
      <c r="F55" s="45">
        <v>44693</v>
      </c>
      <c r="G55" s="11">
        <v>0</v>
      </c>
      <c r="H55" s="11">
        <v>880000</v>
      </c>
      <c r="I55" s="11">
        <v>549078</v>
      </c>
      <c r="J55" s="11">
        <v>0</v>
      </c>
      <c r="K55" s="11">
        <v>68</v>
      </c>
      <c r="L55" s="11">
        <v>42</v>
      </c>
      <c r="M55" s="11">
        <v>2</v>
      </c>
      <c r="N55" s="11">
        <v>70</v>
      </c>
      <c r="O55" s="11">
        <v>28</v>
      </c>
      <c r="P55" s="11">
        <v>521280</v>
      </c>
      <c r="Q55" s="11">
        <v>27798</v>
      </c>
      <c r="R55" s="11">
        <v>14</v>
      </c>
      <c r="S55" s="11">
        <v>1</v>
      </c>
      <c r="T55" s="11">
        <v>15</v>
      </c>
      <c r="U55" s="11">
        <v>0</v>
      </c>
      <c r="V55" s="11">
        <v>2</v>
      </c>
      <c r="W55" s="11">
        <v>2</v>
      </c>
      <c r="X55" s="11">
        <v>41</v>
      </c>
      <c r="Y55" s="11">
        <v>1</v>
      </c>
      <c r="Z55" s="11">
        <v>1</v>
      </c>
      <c r="AA55" s="11">
        <v>0</v>
      </c>
      <c r="AB55" s="11">
        <v>0</v>
      </c>
      <c r="AC55" s="11">
        <v>0</v>
      </c>
      <c r="AD55" s="11">
        <v>0</v>
      </c>
      <c r="AE55" s="11">
        <v>110</v>
      </c>
      <c r="AF55" s="11">
        <v>113</v>
      </c>
      <c r="AG55" s="11">
        <v>24</v>
      </c>
      <c r="AH55" s="3">
        <f t="shared" si="0"/>
        <v>22878.25</v>
      </c>
      <c r="AI55" s="3">
        <f t="shared" si="1"/>
        <v>4.708333333333333</v>
      </c>
      <c r="AJ55" s="11">
        <v>0</v>
      </c>
      <c r="AK55" s="11">
        <v>0</v>
      </c>
      <c r="AL55" s="181">
        <f t="shared" si="2"/>
        <v>0</v>
      </c>
      <c r="AM55" s="11">
        <v>36605</v>
      </c>
      <c r="AN55" s="181">
        <f t="shared" si="3"/>
        <v>0.62395227272727272</v>
      </c>
      <c r="AO55" s="182">
        <v>0</v>
      </c>
      <c r="AP55" s="11">
        <v>15</v>
      </c>
      <c r="AQ55" s="11">
        <v>225</v>
      </c>
      <c r="AR55" s="11">
        <v>892.42</v>
      </c>
      <c r="AS55" s="11">
        <v>1</v>
      </c>
      <c r="AT55" s="11">
        <v>21</v>
      </c>
      <c r="AV55" s="11" t="str">
        <f t="shared" si="4"/>
        <v>Active</v>
      </c>
    </row>
    <row r="56" spans="1:48">
      <c r="A56" s="11" t="s">
        <v>119</v>
      </c>
      <c r="B56" s="11" t="s">
        <v>375</v>
      </c>
      <c r="C56" s="11" t="s">
        <v>157</v>
      </c>
      <c r="D56" s="11" t="s">
        <v>473</v>
      </c>
      <c r="E56" s="11" t="s">
        <v>502</v>
      </c>
      <c r="F56" s="45">
        <v>44743</v>
      </c>
      <c r="G56" s="11">
        <v>0</v>
      </c>
      <c r="H56" s="11">
        <v>1200000</v>
      </c>
      <c r="I56" s="11">
        <v>498491.33</v>
      </c>
      <c r="J56" s="11">
        <v>0</v>
      </c>
      <c r="K56" s="11">
        <v>75</v>
      </c>
      <c r="L56" s="11">
        <v>62</v>
      </c>
      <c r="M56" s="11">
        <v>0</v>
      </c>
      <c r="N56" s="11">
        <v>75</v>
      </c>
      <c r="O56" s="11">
        <v>13</v>
      </c>
      <c r="P56" s="11">
        <v>498491.33</v>
      </c>
      <c r="Q56" s="11">
        <v>0</v>
      </c>
      <c r="R56" s="11">
        <v>16</v>
      </c>
      <c r="S56" s="11">
        <v>0</v>
      </c>
      <c r="T56" s="11">
        <v>16</v>
      </c>
      <c r="U56" s="11">
        <v>0</v>
      </c>
      <c r="V56" s="11">
        <v>6</v>
      </c>
      <c r="W56" s="11">
        <v>6</v>
      </c>
      <c r="X56" s="11">
        <v>154</v>
      </c>
      <c r="Y56" s="11">
        <v>3</v>
      </c>
      <c r="Z56" s="11">
        <v>4</v>
      </c>
      <c r="AA56" s="11">
        <v>0</v>
      </c>
      <c r="AB56" s="11">
        <v>0</v>
      </c>
      <c r="AC56" s="11">
        <v>0</v>
      </c>
      <c r="AD56" s="11">
        <v>0</v>
      </c>
      <c r="AE56" s="11">
        <v>101</v>
      </c>
      <c r="AF56" s="11">
        <v>111</v>
      </c>
      <c r="AG56" s="11">
        <v>27</v>
      </c>
      <c r="AH56" s="3">
        <f t="shared" si="0"/>
        <v>18462.641851851851</v>
      </c>
      <c r="AI56" s="3">
        <f t="shared" si="1"/>
        <v>4.1111111111111107</v>
      </c>
      <c r="AJ56" s="11">
        <v>0</v>
      </c>
      <c r="AK56" s="11">
        <v>0</v>
      </c>
      <c r="AL56" s="181">
        <f t="shared" si="2"/>
        <v>0</v>
      </c>
      <c r="AM56" s="11">
        <v>31156</v>
      </c>
      <c r="AN56" s="181">
        <f t="shared" si="3"/>
        <v>0.41540944166666666</v>
      </c>
      <c r="AO56" s="182">
        <v>0</v>
      </c>
      <c r="AP56" s="11">
        <v>25</v>
      </c>
      <c r="AQ56" s="11">
        <v>324</v>
      </c>
      <c r="AR56" s="11">
        <v>2300</v>
      </c>
      <c r="AS56" s="11">
        <v>0</v>
      </c>
      <c r="AT56" s="11">
        <v>37</v>
      </c>
      <c r="AV56" s="11" t="str">
        <f t="shared" si="4"/>
        <v>Active</v>
      </c>
    </row>
    <row r="57" spans="1:48">
      <c r="A57" s="11" t="s">
        <v>117</v>
      </c>
      <c r="B57" s="11" t="s">
        <v>450</v>
      </c>
      <c r="C57" s="11" t="s">
        <v>158</v>
      </c>
      <c r="D57" s="11" t="s">
        <v>482</v>
      </c>
      <c r="E57" s="11" t="s">
        <v>628</v>
      </c>
      <c r="F57" s="45">
        <v>45638</v>
      </c>
      <c r="G57" s="11">
        <v>0</v>
      </c>
      <c r="H57" s="11">
        <v>1041667</v>
      </c>
      <c r="I57" s="11">
        <v>0</v>
      </c>
      <c r="J57" s="11">
        <v>0</v>
      </c>
      <c r="K57" s="11">
        <v>97</v>
      </c>
      <c r="L57" s="11">
        <v>1</v>
      </c>
      <c r="M57" s="11">
        <v>0</v>
      </c>
      <c r="N57" s="11">
        <v>97</v>
      </c>
      <c r="O57" s="11">
        <v>96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53</v>
      </c>
      <c r="W57" s="11">
        <v>75</v>
      </c>
      <c r="X57" s="11">
        <v>198</v>
      </c>
      <c r="Y57" s="11">
        <v>1</v>
      </c>
      <c r="Z57" s="11">
        <v>3</v>
      </c>
      <c r="AA57" s="11">
        <v>0</v>
      </c>
      <c r="AB57" s="11">
        <v>0</v>
      </c>
      <c r="AC57" s="11">
        <v>0</v>
      </c>
      <c r="AD57" s="11">
        <v>0</v>
      </c>
      <c r="AE57" s="11">
        <v>1</v>
      </c>
      <c r="AF57" s="11">
        <v>79</v>
      </c>
      <c r="AG57" s="11">
        <v>23</v>
      </c>
      <c r="AH57" s="3">
        <f t="shared" si="0"/>
        <v>0</v>
      </c>
      <c r="AI57" s="3">
        <f t="shared" si="1"/>
        <v>3.4347826086956523</v>
      </c>
      <c r="AJ57" s="11">
        <v>0</v>
      </c>
      <c r="AK57" s="11">
        <v>0</v>
      </c>
      <c r="AL57" s="181" t="str">
        <f t="shared" si="2"/>
        <v/>
      </c>
      <c r="AM57" s="11">
        <v>0</v>
      </c>
      <c r="AN57" s="181">
        <f t="shared" si="3"/>
        <v>0</v>
      </c>
      <c r="AO57" s="182">
        <v>0</v>
      </c>
      <c r="AP57" s="11">
        <v>0</v>
      </c>
      <c r="AQ57" s="11">
        <v>249</v>
      </c>
      <c r="AR57" s="11">
        <v>841.07</v>
      </c>
      <c r="AS57" s="11">
        <v>0</v>
      </c>
      <c r="AT57" s="11">
        <v>841</v>
      </c>
      <c r="AV57" s="11" t="str">
        <f t="shared" si="4"/>
        <v>Active</v>
      </c>
    </row>
    <row r="58" spans="1:48">
      <c r="A58" s="11" t="s">
        <v>201</v>
      </c>
      <c r="B58" s="11" t="s">
        <v>469</v>
      </c>
      <c r="C58" s="11" t="s">
        <v>159</v>
      </c>
      <c r="D58" s="11" t="s">
        <v>470</v>
      </c>
      <c r="E58" s="11" t="s">
        <v>528</v>
      </c>
      <c r="F58" s="45">
        <v>44805</v>
      </c>
      <c r="G58" s="11">
        <v>200000</v>
      </c>
      <c r="H58" s="11">
        <v>1466667</v>
      </c>
      <c r="I58" s="11">
        <v>262048.75</v>
      </c>
      <c r="J58" s="11">
        <v>0</v>
      </c>
      <c r="K58" s="11">
        <v>76</v>
      </c>
      <c r="L58" s="11">
        <v>49</v>
      </c>
      <c r="M58" s="11">
        <v>1</v>
      </c>
      <c r="N58" s="11">
        <v>77</v>
      </c>
      <c r="O58" s="11">
        <v>28</v>
      </c>
      <c r="P58" s="11">
        <v>232410.65</v>
      </c>
      <c r="Q58" s="11">
        <v>29638.1</v>
      </c>
      <c r="R58" s="11">
        <v>15</v>
      </c>
      <c r="S58" s="11">
        <v>1</v>
      </c>
      <c r="T58" s="11">
        <v>16</v>
      </c>
      <c r="U58" s="11">
        <v>0</v>
      </c>
      <c r="V58" s="11">
        <v>24</v>
      </c>
      <c r="W58" s="11">
        <v>24</v>
      </c>
      <c r="X58" s="11">
        <v>356</v>
      </c>
      <c r="Y58" s="11">
        <v>1</v>
      </c>
      <c r="Z58" s="11">
        <v>7</v>
      </c>
      <c r="AA58" s="11">
        <v>3</v>
      </c>
      <c r="AB58" s="11">
        <v>5</v>
      </c>
      <c r="AC58" s="11">
        <v>1</v>
      </c>
      <c r="AD58" s="11">
        <v>1</v>
      </c>
      <c r="AE58" s="11">
        <v>74</v>
      </c>
      <c r="AF58" s="11">
        <v>111</v>
      </c>
      <c r="AG58" s="11">
        <v>25</v>
      </c>
      <c r="AH58" s="3">
        <f t="shared" si="0"/>
        <v>10481.950000000001</v>
      </c>
      <c r="AI58" s="3">
        <f t="shared" si="1"/>
        <v>4.4400000000000004</v>
      </c>
      <c r="AJ58" s="11">
        <v>3</v>
      </c>
      <c r="AK58" s="11">
        <v>0</v>
      </c>
      <c r="AL58" s="181">
        <f t="shared" si="2"/>
        <v>1.1448251518085852E-5</v>
      </c>
      <c r="AM58" s="11">
        <v>16378</v>
      </c>
      <c r="AN58" s="181">
        <f t="shared" si="3"/>
        <v>0.15722921855415628</v>
      </c>
      <c r="AO58" s="182">
        <v>0</v>
      </c>
      <c r="AP58" s="11">
        <v>21</v>
      </c>
      <c r="AQ58" s="11">
        <v>210</v>
      </c>
      <c r="AR58" s="11">
        <v>1117.1600000000001</v>
      </c>
      <c r="AS58" s="11">
        <v>1</v>
      </c>
      <c r="AT58" s="11">
        <v>23</v>
      </c>
      <c r="AV58" s="11" t="str">
        <f t="shared" si="4"/>
        <v>Active</v>
      </c>
    </row>
    <row r="59" spans="1:48">
      <c r="A59" s="11" t="s">
        <v>120</v>
      </c>
      <c r="B59" s="11" t="s">
        <v>206</v>
      </c>
      <c r="C59" s="11" t="s">
        <v>139</v>
      </c>
      <c r="D59" s="11" t="s">
        <v>206</v>
      </c>
      <c r="E59" s="11" t="s">
        <v>141</v>
      </c>
      <c r="F59" s="45">
        <v>44809</v>
      </c>
      <c r="G59" s="11">
        <v>0</v>
      </c>
      <c r="H59" s="11">
        <v>1800000</v>
      </c>
      <c r="I59" s="11">
        <v>1278357.04</v>
      </c>
      <c r="J59" s="11">
        <v>0</v>
      </c>
      <c r="K59" s="11">
        <v>98</v>
      </c>
      <c r="L59" s="11">
        <v>61</v>
      </c>
      <c r="M59" s="11">
        <v>2</v>
      </c>
      <c r="N59" s="11">
        <v>100</v>
      </c>
      <c r="O59" s="11">
        <v>39</v>
      </c>
      <c r="P59" s="11">
        <v>1278357.04</v>
      </c>
      <c r="Q59" s="11">
        <v>0</v>
      </c>
      <c r="R59" s="11">
        <v>37</v>
      </c>
      <c r="S59" s="11">
        <v>0</v>
      </c>
      <c r="T59" s="11">
        <v>37</v>
      </c>
      <c r="U59" s="11">
        <v>0</v>
      </c>
      <c r="V59" s="11">
        <v>4</v>
      </c>
      <c r="W59" s="11">
        <v>4</v>
      </c>
      <c r="X59" s="11">
        <v>204</v>
      </c>
      <c r="Y59" s="11">
        <v>5</v>
      </c>
      <c r="Z59" s="11">
        <v>19</v>
      </c>
      <c r="AA59" s="11">
        <v>0</v>
      </c>
      <c r="AB59" s="11">
        <v>0</v>
      </c>
      <c r="AC59" s="11">
        <v>0</v>
      </c>
      <c r="AD59" s="11">
        <v>0</v>
      </c>
      <c r="AE59" s="11">
        <v>110</v>
      </c>
      <c r="AF59" s="11">
        <v>133</v>
      </c>
      <c r="AG59" s="11">
        <v>24</v>
      </c>
      <c r="AH59" s="3">
        <f t="shared" si="0"/>
        <v>53264.876666666671</v>
      </c>
      <c r="AI59" s="3">
        <f t="shared" si="1"/>
        <v>5.541666666666667</v>
      </c>
      <c r="AJ59" s="11">
        <v>0</v>
      </c>
      <c r="AK59" s="11">
        <v>0</v>
      </c>
      <c r="AL59" s="181">
        <f t="shared" si="2"/>
        <v>0</v>
      </c>
      <c r="AM59" s="11">
        <v>34550</v>
      </c>
      <c r="AN59" s="181">
        <f t="shared" si="3"/>
        <v>0.71019835555555555</v>
      </c>
      <c r="AO59" s="182">
        <v>0</v>
      </c>
      <c r="AP59" s="11">
        <v>62</v>
      </c>
      <c r="AQ59" s="11">
        <v>240</v>
      </c>
      <c r="AR59" s="11">
        <v>894.88</v>
      </c>
      <c r="AS59" s="11">
        <v>0</v>
      </c>
      <c r="AT59" s="11">
        <v>15</v>
      </c>
      <c r="AV59" s="11" t="str">
        <f t="shared" si="4"/>
        <v>Active</v>
      </c>
    </row>
    <row r="60" spans="1:48">
      <c r="A60" s="11" t="s">
        <v>124</v>
      </c>
      <c r="B60" s="11" t="s">
        <v>443</v>
      </c>
      <c r="C60" s="11" t="s">
        <v>162</v>
      </c>
      <c r="D60" s="11" t="s">
        <v>517</v>
      </c>
      <c r="E60" s="11" t="s">
        <v>503</v>
      </c>
      <c r="F60" s="45">
        <v>44825</v>
      </c>
      <c r="G60" s="11">
        <v>0</v>
      </c>
      <c r="H60" s="11">
        <v>1800000</v>
      </c>
      <c r="I60" s="11">
        <v>923458.8</v>
      </c>
      <c r="J60" s="11">
        <v>0</v>
      </c>
      <c r="K60" s="11">
        <v>92</v>
      </c>
      <c r="L60" s="11">
        <v>70</v>
      </c>
      <c r="M60" s="11">
        <v>1</v>
      </c>
      <c r="N60" s="11">
        <v>93</v>
      </c>
      <c r="O60" s="11">
        <v>23</v>
      </c>
      <c r="P60" s="11">
        <v>904234.8</v>
      </c>
      <c r="Q60" s="11">
        <v>19224</v>
      </c>
      <c r="R60" s="11">
        <v>22</v>
      </c>
      <c r="S60" s="11">
        <v>1</v>
      </c>
      <c r="T60" s="11">
        <v>23</v>
      </c>
      <c r="U60" s="11">
        <v>0</v>
      </c>
      <c r="V60" s="11">
        <v>7</v>
      </c>
      <c r="W60" s="11">
        <v>7</v>
      </c>
      <c r="X60" s="11">
        <v>160</v>
      </c>
      <c r="Y60" s="11">
        <v>1</v>
      </c>
      <c r="Z60" s="11">
        <v>7</v>
      </c>
      <c r="AA60" s="11">
        <v>1</v>
      </c>
      <c r="AB60" s="11">
        <v>1</v>
      </c>
      <c r="AC60" s="11">
        <v>0</v>
      </c>
      <c r="AD60" s="11">
        <v>0</v>
      </c>
      <c r="AE60" s="11">
        <v>135</v>
      </c>
      <c r="AF60" s="11">
        <v>150</v>
      </c>
      <c r="AG60" s="11">
        <v>26</v>
      </c>
      <c r="AH60" s="3">
        <f t="shared" si="0"/>
        <v>35517.646153846159</v>
      </c>
      <c r="AI60" s="3">
        <f t="shared" si="1"/>
        <v>5.7692307692307692</v>
      </c>
      <c r="AJ60" s="11">
        <v>1</v>
      </c>
      <c r="AK60" s="11">
        <v>0</v>
      </c>
      <c r="AL60" s="181">
        <f t="shared" si="2"/>
        <v>1.0828853436666585E-6</v>
      </c>
      <c r="AM60" s="11">
        <v>40150</v>
      </c>
      <c r="AN60" s="181">
        <f t="shared" si="3"/>
        <v>0.51303266666666669</v>
      </c>
      <c r="AO60" s="182">
        <v>0</v>
      </c>
      <c r="AP60" s="11">
        <v>34</v>
      </c>
      <c r="AQ60" s="11">
        <v>284</v>
      </c>
      <c r="AR60" s="11">
        <v>1915.75</v>
      </c>
      <c r="AS60" s="11">
        <v>1</v>
      </c>
      <c r="AT60" s="11">
        <v>27</v>
      </c>
      <c r="AV60" s="11" t="str">
        <f t="shared" si="4"/>
        <v>Active</v>
      </c>
    </row>
    <row r="61" spans="1:48">
      <c r="A61" s="11" t="s">
        <v>201</v>
      </c>
      <c r="B61" s="11" t="s">
        <v>431</v>
      </c>
      <c r="C61" s="11" t="s">
        <v>164</v>
      </c>
      <c r="D61" s="11" t="s">
        <v>431</v>
      </c>
      <c r="E61" s="11" t="s">
        <v>531</v>
      </c>
      <c r="F61" s="45">
        <v>44911</v>
      </c>
      <c r="G61" s="11">
        <v>0</v>
      </c>
      <c r="H61" s="11">
        <v>1666667</v>
      </c>
      <c r="I61" s="11">
        <v>1334796.03</v>
      </c>
      <c r="J61" s="11">
        <v>0</v>
      </c>
      <c r="K61" s="11">
        <v>208</v>
      </c>
      <c r="L61" s="11">
        <v>118</v>
      </c>
      <c r="M61" s="11">
        <v>12</v>
      </c>
      <c r="N61" s="11">
        <v>220</v>
      </c>
      <c r="O61" s="11">
        <v>102</v>
      </c>
      <c r="P61" s="11">
        <v>1044364.37</v>
      </c>
      <c r="Q61" s="11">
        <v>290431.65999999997</v>
      </c>
      <c r="R61" s="11">
        <v>59</v>
      </c>
      <c r="S61" s="11">
        <v>10</v>
      </c>
      <c r="T61" s="11">
        <v>69</v>
      </c>
      <c r="U61" s="11">
        <v>0</v>
      </c>
      <c r="V61" s="11">
        <v>6</v>
      </c>
      <c r="W61" s="11">
        <v>7</v>
      </c>
      <c r="X61" s="11">
        <v>152</v>
      </c>
      <c r="Y61" s="11">
        <v>2</v>
      </c>
      <c r="Z61" s="11">
        <v>16</v>
      </c>
      <c r="AA61" s="11">
        <v>0</v>
      </c>
      <c r="AB61" s="11">
        <v>0</v>
      </c>
      <c r="AC61" s="11">
        <v>0</v>
      </c>
      <c r="AD61" s="11">
        <v>0</v>
      </c>
      <c r="AE61" s="11">
        <v>160</v>
      </c>
      <c r="AF61" s="11">
        <v>183</v>
      </c>
      <c r="AG61" s="11">
        <v>25</v>
      </c>
      <c r="AH61" s="3">
        <f t="shared" si="0"/>
        <v>53391.841200000003</v>
      </c>
      <c r="AI61" s="3">
        <f t="shared" si="1"/>
        <v>7.32</v>
      </c>
      <c r="AJ61" s="11">
        <v>1</v>
      </c>
      <c r="AK61" s="11">
        <v>0</v>
      </c>
      <c r="AL61" s="181">
        <f t="shared" si="2"/>
        <v>7.4917813472969352E-7</v>
      </c>
      <c r="AM61" s="11">
        <v>19345</v>
      </c>
      <c r="AN61" s="181">
        <f t="shared" si="3"/>
        <v>0.80087745782450848</v>
      </c>
      <c r="AO61" s="182">
        <v>0</v>
      </c>
      <c r="AP61" s="11">
        <v>90</v>
      </c>
      <c r="AQ61" s="11">
        <v>184</v>
      </c>
      <c r="AR61" s="11">
        <v>1536.49</v>
      </c>
      <c r="AS61" s="11">
        <v>10</v>
      </c>
      <c r="AT61" s="11">
        <v>13</v>
      </c>
      <c r="AV61" s="11" t="str">
        <f t="shared" si="4"/>
        <v>Active</v>
      </c>
    </row>
    <row r="62" spans="1:48">
      <c r="A62" s="11" t="s">
        <v>117</v>
      </c>
      <c r="B62" s="11" t="s">
        <v>450</v>
      </c>
      <c r="C62" s="11" t="s">
        <v>165</v>
      </c>
      <c r="D62" s="11" t="s">
        <v>482</v>
      </c>
      <c r="E62" s="11" t="s">
        <v>532</v>
      </c>
      <c r="F62" s="45">
        <v>44928</v>
      </c>
      <c r="G62" s="11">
        <v>0</v>
      </c>
      <c r="H62" s="11">
        <v>833333</v>
      </c>
      <c r="I62" s="11">
        <v>287291.69</v>
      </c>
      <c r="J62" s="11">
        <v>0</v>
      </c>
      <c r="K62" s="11">
        <v>73</v>
      </c>
      <c r="L62" s="11">
        <v>55</v>
      </c>
      <c r="M62" s="11">
        <v>3</v>
      </c>
      <c r="N62" s="11">
        <v>76</v>
      </c>
      <c r="O62" s="11">
        <v>21</v>
      </c>
      <c r="P62" s="11">
        <v>194533.54</v>
      </c>
      <c r="Q62" s="11">
        <v>92758.15</v>
      </c>
      <c r="R62" s="11">
        <v>14</v>
      </c>
      <c r="S62" s="11">
        <v>3</v>
      </c>
      <c r="T62" s="11">
        <v>17</v>
      </c>
      <c r="U62" s="11">
        <v>0</v>
      </c>
      <c r="V62" s="11">
        <v>29</v>
      </c>
      <c r="W62" s="11">
        <v>31</v>
      </c>
      <c r="X62" s="11">
        <v>191</v>
      </c>
      <c r="Y62" s="11">
        <v>3</v>
      </c>
      <c r="Z62" s="11">
        <v>11</v>
      </c>
      <c r="AA62" s="11">
        <v>0</v>
      </c>
      <c r="AB62" s="11">
        <v>0</v>
      </c>
      <c r="AC62" s="11">
        <v>0</v>
      </c>
      <c r="AD62" s="11">
        <v>0</v>
      </c>
      <c r="AE62" s="11">
        <v>66</v>
      </c>
      <c r="AF62" s="11">
        <v>108</v>
      </c>
      <c r="AG62" s="11">
        <v>26</v>
      </c>
      <c r="AH62" s="3">
        <f t="shared" si="0"/>
        <v>11049.680384615385</v>
      </c>
      <c r="AI62" s="3">
        <f t="shared" si="1"/>
        <v>4.1538461538461542</v>
      </c>
      <c r="AJ62" s="11">
        <v>0</v>
      </c>
      <c r="AK62" s="11">
        <v>0</v>
      </c>
      <c r="AL62" s="181">
        <f t="shared" si="2"/>
        <v>0</v>
      </c>
      <c r="AM62" s="11">
        <v>16900</v>
      </c>
      <c r="AN62" s="181">
        <f t="shared" si="3"/>
        <v>0.34475016590006635</v>
      </c>
      <c r="AO62" s="182">
        <v>0</v>
      </c>
      <c r="AP62" s="11">
        <v>17</v>
      </c>
      <c r="AQ62" s="11">
        <v>249</v>
      </c>
      <c r="AR62" s="11">
        <v>1951.38</v>
      </c>
      <c r="AS62" s="11">
        <v>3</v>
      </c>
      <c r="AT62" s="11">
        <v>35</v>
      </c>
      <c r="AV62" s="11" t="str">
        <f t="shared" si="4"/>
        <v>Active</v>
      </c>
    </row>
    <row r="63" spans="1:48">
      <c r="A63" s="11" t="s">
        <v>119</v>
      </c>
      <c r="B63" s="11" t="s">
        <v>375</v>
      </c>
      <c r="C63" s="11" t="s">
        <v>166</v>
      </c>
      <c r="D63" s="11" t="s">
        <v>473</v>
      </c>
      <c r="E63" s="11" t="s">
        <v>508</v>
      </c>
      <c r="F63" s="45">
        <v>44953</v>
      </c>
      <c r="G63" s="11">
        <v>0</v>
      </c>
      <c r="H63" s="11">
        <v>1400000</v>
      </c>
      <c r="I63" s="11">
        <v>931301.93</v>
      </c>
      <c r="J63" s="11">
        <v>0</v>
      </c>
      <c r="K63" s="11">
        <v>140</v>
      </c>
      <c r="L63" s="11">
        <v>121</v>
      </c>
      <c r="M63" s="11">
        <v>1</v>
      </c>
      <c r="N63" s="11">
        <v>141</v>
      </c>
      <c r="O63" s="11">
        <v>20</v>
      </c>
      <c r="P63" s="11">
        <v>877721.39</v>
      </c>
      <c r="Q63" s="11">
        <v>53580.54</v>
      </c>
      <c r="R63" s="11">
        <v>49</v>
      </c>
      <c r="S63" s="11">
        <v>1</v>
      </c>
      <c r="T63" s="11">
        <v>50</v>
      </c>
      <c r="U63" s="11">
        <v>0</v>
      </c>
      <c r="V63" s="11">
        <v>1</v>
      </c>
      <c r="W63" s="11">
        <v>1</v>
      </c>
      <c r="X63" s="11">
        <v>41</v>
      </c>
      <c r="Y63" s="11">
        <v>1</v>
      </c>
      <c r="Z63" s="11">
        <v>1</v>
      </c>
      <c r="AA63" s="11">
        <v>0</v>
      </c>
      <c r="AB63" s="11">
        <v>0</v>
      </c>
      <c r="AC63" s="11">
        <v>0</v>
      </c>
      <c r="AD63" s="11">
        <v>0</v>
      </c>
      <c r="AE63" s="11">
        <v>188</v>
      </c>
      <c r="AF63" s="11">
        <v>190</v>
      </c>
      <c r="AG63" s="11">
        <v>25</v>
      </c>
      <c r="AH63" s="3">
        <f t="shared" si="0"/>
        <v>37252.0772</v>
      </c>
      <c r="AI63" s="3">
        <f t="shared" si="1"/>
        <v>7.6</v>
      </c>
      <c r="AJ63" s="11">
        <v>0</v>
      </c>
      <c r="AK63" s="11">
        <v>0</v>
      </c>
      <c r="AL63" s="181">
        <f t="shared" si="2"/>
        <v>0</v>
      </c>
      <c r="AM63" s="11">
        <v>18626</v>
      </c>
      <c r="AN63" s="181">
        <f t="shared" si="3"/>
        <v>0.66521566428571433</v>
      </c>
      <c r="AO63" s="182">
        <v>0</v>
      </c>
      <c r="AP63" s="11">
        <v>67</v>
      </c>
      <c r="AQ63" s="11">
        <v>268</v>
      </c>
      <c r="AR63" s="11">
        <v>1936.83</v>
      </c>
      <c r="AS63" s="11">
        <v>1</v>
      </c>
      <c r="AT63" s="11">
        <v>16</v>
      </c>
      <c r="AV63" s="11" t="str">
        <f t="shared" si="4"/>
        <v>Active</v>
      </c>
    </row>
    <row r="64" spans="1:48">
      <c r="A64" s="11" t="s">
        <v>118</v>
      </c>
      <c r="B64" s="11" t="s">
        <v>362</v>
      </c>
      <c r="C64" s="11" t="s">
        <v>167</v>
      </c>
      <c r="D64" s="11" t="s">
        <v>419</v>
      </c>
      <c r="E64" s="11" t="s">
        <v>533</v>
      </c>
      <c r="F64" s="45">
        <v>44958</v>
      </c>
      <c r="G64" s="11">
        <v>0</v>
      </c>
      <c r="H64" s="11">
        <v>4000000</v>
      </c>
      <c r="I64" s="11">
        <v>3807452.88</v>
      </c>
      <c r="J64" s="11">
        <v>0</v>
      </c>
      <c r="K64" s="11">
        <v>66</v>
      </c>
      <c r="L64" s="11">
        <v>60</v>
      </c>
      <c r="M64" s="11">
        <v>1</v>
      </c>
      <c r="N64" s="11">
        <v>67</v>
      </c>
      <c r="O64" s="11">
        <v>7</v>
      </c>
      <c r="P64" s="11">
        <v>3747521.58</v>
      </c>
      <c r="Q64" s="11">
        <v>59931.3</v>
      </c>
      <c r="R64" s="11">
        <v>36</v>
      </c>
      <c r="S64" s="11">
        <v>1</v>
      </c>
      <c r="T64" s="11">
        <v>37</v>
      </c>
      <c r="U64" s="11">
        <v>0</v>
      </c>
      <c r="V64" s="11">
        <v>1</v>
      </c>
      <c r="W64" s="11">
        <v>1</v>
      </c>
      <c r="X64" s="11">
        <v>63</v>
      </c>
      <c r="Y64" s="11">
        <v>1</v>
      </c>
      <c r="Z64" s="11">
        <v>2</v>
      </c>
      <c r="AA64" s="11">
        <v>0</v>
      </c>
      <c r="AB64" s="11">
        <v>0</v>
      </c>
      <c r="AC64" s="11">
        <v>0</v>
      </c>
      <c r="AD64" s="11">
        <v>0</v>
      </c>
      <c r="AE64" s="11">
        <v>131</v>
      </c>
      <c r="AF64" s="11">
        <v>134</v>
      </c>
      <c r="AG64" s="11">
        <v>26</v>
      </c>
      <c r="AH64" s="3">
        <f t="shared" si="0"/>
        <v>146440.49538461538</v>
      </c>
      <c r="AI64" s="3">
        <f t="shared" si="1"/>
        <v>5.1538461538461542</v>
      </c>
      <c r="AJ64" s="11">
        <v>0</v>
      </c>
      <c r="AK64" s="11">
        <v>0</v>
      </c>
      <c r="AL64" s="181">
        <f t="shared" si="2"/>
        <v>0</v>
      </c>
      <c r="AM64" s="11">
        <v>102904</v>
      </c>
      <c r="AN64" s="181">
        <f t="shared" si="3"/>
        <v>0.95186322000000001</v>
      </c>
      <c r="AO64" s="182">
        <v>0</v>
      </c>
      <c r="AP64" s="11">
        <v>44</v>
      </c>
      <c r="AQ64" s="11">
        <v>286</v>
      </c>
      <c r="AR64" s="11">
        <v>1195.6500000000001</v>
      </c>
      <c r="AS64" s="11">
        <v>1</v>
      </c>
      <c r="AT64" s="11">
        <v>20</v>
      </c>
      <c r="AV64" s="11" t="str">
        <f t="shared" si="4"/>
        <v>Active</v>
      </c>
    </row>
    <row r="65" spans="1:48">
      <c r="A65" s="11" t="s">
        <v>154</v>
      </c>
      <c r="B65" s="11" t="s">
        <v>370</v>
      </c>
      <c r="C65" s="11" t="s">
        <v>168</v>
      </c>
      <c r="D65" s="11" t="s">
        <v>608</v>
      </c>
      <c r="E65" s="11" t="s">
        <v>609</v>
      </c>
      <c r="F65" s="45">
        <v>45488</v>
      </c>
      <c r="G65" s="11">
        <v>0</v>
      </c>
      <c r="H65" s="11">
        <v>1500000</v>
      </c>
      <c r="I65" s="11">
        <v>0</v>
      </c>
      <c r="J65" s="11">
        <v>0</v>
      </c>
      <c r="K65" s="11">
        <v>39</v>
      </c>
      <c r="L65" s="11">
        <v>14</v>
      </c>
      <c r="M65" s="11">
        <v>1</v>
      </c>
      <c r="N65" s="11">
        <v>40</v>
      </c>
      <c r="O65" s="11">
        <v>26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92</v>
      </c>
      <c r="W65" s="11">
        <v>131</v>
      </c>
      <c r="X65" s="11">
        <v>562</v>
      </c>
      <c r="Y65" s="11">
        <v>1</v>
      </c>
      <c r="Z65" s="11">
        <v>5</v>
      </c>
      <c r="AA65" s="11">
        <v>0</v>
      </c>
      <c r="AB65" s="11">
        <v>0</v>
      </c>
      <c r="AC65" s="11">
        <v>5</v>
      </c>
      <c r="AD65" s="11">
        <v>20</v>
      </c>
      <c r="AE65" s="11">
        <v>20</v>
      </c>
      <c r="AF65" s="11">
        <v>176</v>
      </c>
      <c r="AG65" s="11">
        <v>26</v>
      </c>
      <c r="AH65" s="3">
        <f t="shared" si="0"/>
        <v>0</v>
      </c>
      <c r="AI65" s="3">
        <f t="shared" si="1"/>
        <v>6.7692307692307692</v>
      </c>
      <c r="AJ65" s="11">
        <v>0</v>
      </c>
      <c r="AK65" s="11">
        <v>0</v>
      </c>
      <c r="AL65" s="181" t="str">
        <f t="shared" si="2"/>
        <v/>
      </c>
      <c r="AM65" s="11">
        <v>0</v>
      </c>
      <c r="AN65" s="181">
        <f t="shared" si="3"/>
        <v>0</v>
      </c>
      <c r="AO65" s="182">
        <v>0</v>
      </c>
      <c r="AP65" s="11">
        <v>0</v>
      </c>
      <c r="AQ65" s="11">
        <v>271</v>
      </c>
      <c r="AR65" s="11">
        <v>1689.77</v>
      </c>
      <c r="AS65" s="11">
        <v>0</v>
      </c>
      <c r="AT65" s="11">
        <v>121</v>
      </c>
      <c r="AV65" s="11" t="str">
        <f t="shared" si="4"/>
        <v>Active</v>
      </c>
    </row>
    <row r="66" spans="1:48">
      <c r="A66" s="11" t="s">
        <v>154</v>
      </c>
      <c r="B66" s="11" t="s">
        <v>370</v>
      </c>
      <c r="C66" s="11" t="s">
        <v>169</v>
      </c>
      <c r="D66" s="11" t="s">
        <v>542</v>
      </c>
      <c r="E66" s="11" t="s">
        <v>644</v>
      </c>
      <c r="F66" s="45">
        <v>45789</v>
      </c>
      <c r="G66" s="11">
        <v>0</v>
      </c>
      <c r="H66" s="11">
        <v>500000</v>
      </c>
      <c r="I66" s="11">
        <v>243807.35</v>
      </c>
      <c r="J66" s="11">
        <v>0</v>
      </c>
      <c r="K66" s="11">
        <v>58</v>
      </c>
      <c r="L66" s="11">
        <v>41</v>
      </c>
      <c r="M66" s="11">
        <v>1</v>
      </c>
      <c r="N66" s="11">
        <v>59</v>
      </c>
      <c r="O66" s="11">
        <v>18</v>
      </c>
      <c r="P66" s="11">
        <v>227534.2</v>
      </c>
      <c r="Q66" s="11">
        <v>16273.15</v>
      </c>
      <c r="R66" s="11">
        <v>7</v>
      </c>
      <c r="S66" s="11">
        <v>1</v>
      </c>
      <c r="T66" s="11">
        <v>8</v>
      </c>
      <c r="U66" s="11">
        <v>0</v>
      </c>
      <c r="V66" s="11">
        <v>24</v>
      </c>
      <c r="W66" s="11">
        <v>36</v>
      </c>
      <c r="X66" s="11">
        <v>275</v>
      </c>
      <c r="Y66" s="11">
        <v>2</v>
      </c>
      <c r="Z66" s="11">
        <v>9</v>
      </c>
      <c r="AA66" s="11">
        <v>0</v>
      </c>
      <c r="AB66" s="11">
        <v>0</v>
      </c>
      <c r="AC66" s="11">
        <v>2</v>
      </c>
      <c r="AD66" s="11">
        <v>3</v>
      </c>
      <c r="AE66" s="11">
        <v>86</v>
      </c>
      <c r="AF66" s="11">
        <v>134</v>
      </c>
      <c r="AG66" s="11">
        <v>25</v>
      </c>
      <c r="AH66" s="3">
        <f t="shared" si="0"/>
        <v>9752.2939999999999</v>
      </c>
      <c r="AI66" s="3">
        <f t="shared" si="1"/>
        <v>5.36</v>
      </c>
      <c r="AJ66" s="11">
        <v>0</v>
      </c>
      <c r="AK66" s="11">
        <v>0</v>
      </c>
      <c r="AL66" s="181">
        <f t="shared" si="2"/>
        <v>0</v>
      </c>
      <c r="AM66" s="11">
        <v>30476</v>
      </c>
      <c r="AN66" s="181">
        <f t="shared" si="3"/>
        <v>0.48761470000000001</v>
      </c>
      <c r="AO66" s="182">
        <v>0</v>
      </c>
      <c r="AP66" s="11">
        <v>10</v>
      </c>
      <c r="AQ66" s="11">
        <v>230</v>
      </c>
      <c r="AR66" s="11">
        <v>1830.77</v>
      </c>
      <c r="AS66" s="11">
        <v>1</v>
      </c>
      <c r="AT66" s="11">
        <v>45</v>
      </c>
      <c r="AV66" s="11" t="str">
        <f t="shared" si="4"/>
        <v>Active</v>
      </c>
    </row>
    <row r="67" spans="1:48">
      <c r="A67" s="11" t="s">
        <v>120</v>
      </c>
      <c r="B67" s="11" t="s">
        <v>163</v>
      </c>
      <c r="C67" s="11" t="s">
        <v>170</v>
      </c>
      <c r="D67" s="11" t="s">
        <v>534</v>
      </c>
      <c r="E67" s="11" t="s">
        <v>163</v>
      </c>
      <c r="F67" s="45">
        <v>44994</v>
      </c>
      <c r="G67" s="11">
        <v>200000</v>
      </c>
      <c r="H67" s="11">
        <v>1500000</v>
      </c>
      <c r="I67" s="11">
        <v>662449.15</v>
      </c>
      <c r="J67" s="11">
        <v>193898.51</v>
      </c>
      <c r="K67" s="11">
        <v>85</v>
      </c>
      <c r="L67" s="11">
        <v>46</v>
      </c>
      <c r="M67" s="11">
        <v>0</v>
      </c>
      <c r="N67" s="11">
        <v>85</v>
      </c>
      <c r="O67" s="11">
        <v>39</v>
      </c>
      <c r="P67" s="11">
        <v>662449.15</v>
      </c>
      <c r="Q67" s="11">
        <v>0</v>
      </c>
      <c r="R67" s="11">
        <v>24</v>
      </c>
      <c r="S67" s="11">
        <v>0</v>
      </c>
      <c r="T67" s="11">
        <v>24</v>
      </c>
      <c r="U67" s="11">
        <v>2</v>
      </c>
      <c r="V67" s="11">
        <v>0</v>
      </c>
      <c r="W67" s="11">
        <v>0</v>
      </c>
      <c r="X67" s="11">
        <v>127</v>
      </c>
      <c r="Y67" s="11">
        <v>2</v>
      </c>
      <c r="Z67" s="11">
        <v>8</v>
      </c>
      <c r="AA67" s="11">
        <v>6</v>
      </c>
      <c r="AB67" s="11">
        <v>19</v>
      </c>
      <c r="AC67" s="11">
        <v>2</v>
      </c>
      <c r="AD67" s="11">
        <v>4</v>
      </c>
      <c r="AE67" s="11">
        <v>121</v>
      </c>
      <c r="AF67" s="11">
        <v>152</v>
      </c>
      <c r="AG67" s="11">
        <v>25</v>
      </c>
      <c r="AH67" s="3">
        <f t="shared" si="0"/>
        <v>34253.9064</v>
      </c>
      <c r="AI67" s="3">
        <f t="shared" si="1"/>
        <v>6.08</v>
      </c>
      <c r="AJ67" s="11">
        <v>7</v>
      </c>
      <c r="AK67" s="11">
        <v>0</v>
      </c>
      <c r="AL67" s="181">
        <f t="shared" si="2"/>
        <v>8.1742501637711019E-6</v>
      </c>
      <c r="AM67" s="11">
        <v>27602</v>
      </c>
      <c r="AN67" s="181">
        <f t="shared" si="3"/>
        <v>0.50373391764705888</v>
      </c>
      <c r="AO67" s="182">
        <v>0</v>
      </c>
      <c r="AP67" s="11">
        <v>24</v>
      </c>
      <c r="AQ67" s="11">
        <v>272</v>
      </c>
      <c r="AR67" s="11">
        <v>912.85</v>
      </c>
      <c r="AS67" s="11">
        <v>0</v>
      </c>
      <c r="AT67" s="11">
        <v>20</v>
      </c>
      <c r="AV67" s="11" t="str">
        <f t="shared" si="4"/>
        <v>Active</v>
      </c>
    </row>
    <row r="68" spans="1:48">
      <c r="A68" s="11" t="s">
        <v>201</v>
      </c>
      <c r="B68" s="11" t="s">
        <v>431</v>
      </c>
      <c r="C68" s="11" t="s">
        <v>171</v>
      </c>
      <c r="D68" s="11" t="s">
        <v>431</v>
      </c>
      <c r="E68" s="11" t="s">
        <v>535</v>
      </c>
      <c r="F68" s="45">
        <v>45000</v>
      </c>
      <c r="G68" s="11">
        <v>0</v>
      </c>
      <c r="H68" s="11">
        <v>2083333</v>
      </c>
      <c r="I68" s="11">
        <v>190623.2</v>
      </c>
      <c r="J68" s="11">
        <v>0</v>
      </c>
      <c r="K68" s="11">
        <v>34</v>
      </c>
      <c r="L68" s="11">
        <v>28</v>
      </c>
      <c r="M68" s="11">
        <v>0</v>
      </c>
      <c r="N68" s="11">
        <v>34</v>
      </c>
      <c r="O68" s="11">
        <v>6</v>
      </c>
      <c r="P68" s="11">
        <v>190623.2</v>
      </c>
      <c r="Q68" s="11">
        <v>0</v>
      </c>
      <c r="R68" s="11">
        <v>5</v>
      </c>
      <c r="S68" s="11">
        <v>0</v>
      </c>
      <c r="T68" s="11">
        <v>5</v>
      </c>
      <c r="U68" s="11">
        <v>0</v>
      </c>
      <c r="V68" s="11">
        <v>0</v>
      </c>
      <c r="W68" s="11">
        <v>0</v>
      </c>
      <c r="X68" s="11">
        <v>108</v>
      </c>
      <c r="Y68" s="11">
        <v>1</v>
      </c>
      <c r="Z68" s="11">
        <v>8</v>
      </c>
      <c r="AA68" s="11">
        <v>0</v>
      </c>
      <c r="AB68" s="11">
        <v>0</v>
      </c>
      <c r="AC68" s="11">
        <v>0</v>
      </c>
      <c r="AD68" s="11">
        <v>0</v>
      </c>
      <c r="AE68" s="11">
        <v>113</v>
      </c>
      <c r="AF68" s="11">
        <v>121</v>
      </c>
      <c r="AG68" s="11">
        <v>24</v>
      </c>
      <c r="AH68" s="3">
        <f t="shared" si="0"/>
        <v>7942.6333333333341</v>
      </c>
      <c r="AI68" s="3">
        <f t="shared" si="1"/>
        <v>5.041666666666667</v>
      </c>
      <c r="AJ68" s="11">
        <v>0</v>
      </c>
      <c r="AK68" s="11">
        <v>0</v>
      </c>
      <c r="AL68" s="181">
        <f t="shared" si="2"/>
        <v>0</v>
      </c>
      <c r="AM68" s="11">
        <v>38125</v>
      </c>
      <c r="AN68" s="181">
        <f t="shared" si="3"/>
        <v>9.1499150639864107E-2</v>
      </c>
      <c r="AO68" s="182">
        <v>0</v>
      </c>
      <c r="AP68" s="11">
        <v>6</v>
      </c>
      <c r="AQ68" s="11">
        <v>172</v>
      </c>
      <c r="AR68" s="11">
        <v>1090.48</v>
      </c>
      <c r="AS68" s="11">
        <v>0</v>
      </c>
      <c r="AT68" s="11">
        <v>39</v>
      </c>
      <c r="AV68" s="11" t="str">
        <f t="shared" si="4"/>
        <v>Active</v>
      </c>
    </row>
    <row r="69" spans="1:48">
      <c r="A69" s="11" t="s">
        <v>154</v>
      </c>
      <c r="B69" s="11" t="s">
        <v>367</v>
      </c>
      <c r="C69" s="11" t="s">
        <v>172</v>
      </c>
      <c r="D69" s="11" t="s">
        <v>577</v>
      </c>
      <c r="E69" s="11" t="s">
        <v>636</v>
      </c>
      <c r="F69" s="45">
        <v>45735</v>
      </c>
      <c r="G69" s="11">
        <v>0</v>
      </c>
      <c r="H69" s="11">
        <v>700000</v>
      </c>
      <c r="I69" s="11">
        <v>0</v>
      </c>
      <c r="J69" s="11">
        <v>0</v>
      </c>
      <c r="K69" s="11">
        <v>32</v>
      </c>
      <c r="L69" s="11">
        <v>9</v>
      </c>
      <c r="M69" s="11">
        <v>0</v>
      </c>
      <c r="N69" s="11">
        <v>32</v>
      </c>
      <c r="O69" s="11">
        <v>23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29</v>
      </c>
      <c r="W69" s="11">
        <v>34</v>
      </c>
      <c r="X69" s="11">
        <v>229</v>
      </c>
      <c r="Y69" s="11">
        <v>1</v>
      </c>
      <c r="Z69" s="11">
        <v>1</v>
      </c>
      <c r="AA69" s="11">
        <v>0</v>
      </c>
      <c r="AB69" s="11">
        <v>0</v>
      </c>
      <c r="AC69" s="11">
        <v>0</v>
      </c>
      <c r="AD69" s="11">
        <v>0</v>
      </c>
      <c r="AE69" s="11">
        <v>18</v>
      </c>
      <c r="AF69" s="11">
        <v>53</v>
      </c>
      <c r="AG69" s="11">
        <v>10</v>
      </c>
      <c r="AH69" s="3">
        <f t="shared" si="0"/>
        <v>0</v>
      </c>
      <c r="AI69" s="3">
        <f t="shared" si="1"/>
        <v>5.3</v>
      </c>
      <c r="AJ69" s="11">
        <v>0</v>
      </c>
      <c r="AK69" s="11">
        <v>0</v>
      </c>
      <c r="AL69" s="181" t="str">
        <f t="shared" si="2"/>
        <v/>
      </c>
      <c r="AM69" s="11">
        <v>0</v>
      </c>
      <c r="AN69" s="181">
        <f t="shared" si="3"/>
        <v>0</v>
      </c>
      <c r="AO69" s="182">
        <v>0</v>
      </c>
      <c r="AP69" s="11">
        <v>0</v>
      </c>
      <c r="AQ69" s="11">
        <v>81</v>
      </c>
      <c r="AR69" s="11">
        <v>474.14</v>
      </c>
      <c r="AS69" s="11">
        <v>0</v>
      </c>
      <c r="AT69" s="11">
        <v>53</v>
      </c>
      <c r="AU69" s="184">
        <v>45853</v>
      </c>
      <c r="AV69" s="11" t="str">
        <f t="shared" si="4"/>
        <v>Left</v>
      </c>
    </row>
    <row r="70" spans="1:48">
      <c r="A70" s="11" t="s">
        <v>118</v>
      </c>
      <c r="B70" s="11" t="s">
        <v>468</v>
      </c>
      <c r="C70" s="11" t="s">
        <v>173</v>
      </c>
      <c r="D70" s="11" t="s">
        <v>509</v>
      </c>
      <c r="E70" s="11" t="s">
        <v>536</v>
      </c>
      <c r="F70" s="45">
        <v>45040</v>
      </c>
      <c r="G70" s="11">
        <v>0</v>
      </c>
      <c r="H70" s="11">
        <v>1500000</v>
      </c>
      <c r="I70" s="11">
        <v>1227795.25</v>
      </c>
      <c r="J70" s="11">
        <v>0</v>
      </c>
      <c r="K70" s="11">
        <v>31</v>
      </c>
      <c r="L70" s="11">
        <v>29</v>
      </c>
      <c r="M70" s="11">
        <v>1</v>
      </c>
      <c r="N70" s="11">
        <v>32</v>
      </c>
      <c r="O70" s="11">
        <v>3</v>
      </c>
      <c r="P70" s="11">
        <v>1159592.95</v>
      </c>
      <c r="Q70" s="11">
        <v>68202.3</v>
      </c>
      <c r="R70" s="11">
        <v>6</v>
      </c>
      <c r="S70" s="11">
        <v>1</v>
      </c>
      <c r="T70" s="11">
        <v>7</v>
      </c>
      <c r="U70" s="11">
        <v>0</v>
      </c>
      <c r="V70" s="11">
        <v>21</v>
      </c>
      <c r="W70" s="11">
        <v>21</v>
      </c>
      <c r="X70" s="11">
        <v>81</v>
      </c>
      <c r="Y70" s="11">
        <v>1</v>
      </c>
      <c r="Z70" s="11">
        <v>1</v>
      </c>
      <c r="AA70" s="11">
        <v>0</v>
      </c>
      <c r="AB70" s="11">
        <v>0</v>
      </c>
      <c r="AC70" s="11">
        <v>0</v>
      </c>
      <c r="AD70" s="11">
        <v>0</v>
      </c>
      <c r="AE70" s="11">
        <v>133</v>
      </c>
      <c r="AF70" s="11">
        <v>155</v>
      </c>
      <c r="AG70" s="11">
        <v>27</v>
      </c>
      <c r="AH70" s="3">
        <f t="shared" si="0"/>
        <v>45473.898148148146</v>
      </c>
      <c r="AI70" s="3">
        <f t="shared" si="1"/>
        <v>5.7407407407407405</v>
      </c>
      <c r="AJ70" s="11">
        <v>0</v>
      </c>
      <c r="AK70" s="11">
        <v>0</v>
      </c>
      <c r="AL70" s="181">
        <f t="shared" si="2"/>
        <v>0</v>
      </c>
      <c r="AM70" s="11">
        <v>175399</v>
      </c>
      <c r="AN70" s="181">
        <f t="shared" si="3"/>
        <v>0.81853016666666667</v>
      </c>
      <c r="AO70" s="182">
        <v>0</v>
      </c>
      <c r="AP70" s="11">
        <v>10</v>
      </c>
      <c r="AQ70" s="11">
        <v>228</v>
      </c>
      <c r="AR70" s="11">
        <v>1548.3</v>
      </c>
      <c r="AS70" s="11">
        <v>1</v>
      </c>
      <c r="AT70" s="11">
        <v>53</v>
      </c>
      <c r="AV70" s="11" t="str">
        <f t="shared" si="4"/>
        <v>Active</v>
      </c>
    </row>
    <row r="71" spans="1:48">
      <c r="A71" s="11" t="s">
        <v>118</v>
      </c>
      <c r="B71" s="11" t="s">
        <v>362</v>
      </c>
      <c r="C71" s="11" t="s">
        <v>174</v>
      </c>
      <c r="D71" s="11" t="s">
        <v>419</v>
      </c>
      <c r="E71" s="11" t="s">
        <v>490</v>
      </c>
      <c r="F71" s="45">
        <v>45040</v>
      </c>
      <c r="G71" s="11">
        <v>0</v>
      </c>
      <c r="H71" s="11">
        <v>1500000</v>
      </c>
      <c r="I71" s="11">
        <v>1052732</v>
      </c>
      <c r="J71" s="11">
        <v>0</v>
      </c>
      <c r="K71" s="11">
        <v>72</v>
      </c>
      <c r="L71" s="11">
        <v>50</v>
      </c>
      <c r="M71" s="11">
        <v>0</v>
      </c>
      <c r="N71" s="11">
        <v>72</v>
      </c>
      <c r="O71" s="11">
        <v>22</v>
      </c>
      <c r="P71" s="11">
        <v>1052732</v>
      </c>
      <c r="Q71" s="11">
        <v>0</v>
      </c>
      <c r="R71" s="11">
        <v>16</v>
      </c>
      <c r="S71" s="11">
        <v>0</v>
      </c>
      <c r="T71" s="11">
        <v>16</v>
      </c>
      <c r="U71" s="11">
        <v>0</v>
      </c>
      <c r="V71" s="11">
        <v>4</v>
      </c>
      <c r="W71" s="11">
        <v>8</v>
      </c>
      <c r="X71" s="11">
        <v>48</v>
      </c>
      <c r="Y71" s="11">
        <v>1</v>
      </c>
      <c r="Z71" s="11">
        <v>1</v>
      </c>
      <c r="AA71" s="11">
        <v>0</v>
      </c>
      <c r="AB71" s="11">
        <v>0</v>
      </c>
      <c r="AC71" s="11">
        <v>0</v>
      </c>
      <c r="AD71" s="11">
        <v>0</v>
      </c>
      <c r="AE71" s="11">
        <v>127</v>
      </c>
      <c r="AF71" s="11">
        <v>136</v>
      </c>
      <c r="AG71" s="11">
        <v>26</v>
      </c>
      <c r="AH71" s="3">
        <f t="shared" si="0"/>
        <v>40489.692307692305</v>
      </c>
      <c r="AI71" s="3">
        <f t="shared" si="1"/>
        <v>5.2307692307692308</v>
      </c>
      <c r="AJ71" s="11">
        <v>0</v>
      </c>
      <c r="AK71" s="11">
        <v>0</v>
      </c>
      <c r="AL71" s="181">
        <f t="shared" si="2"/>
        <v>0</v>
      </c>
      <c r="AM71" s="11">
        <v>65796</v>
      </c>
      <c r="AN71" s="181">
        <f t="shared" si="3"/>
        <v>0.7018213333333333</v>
      </c>
      <c r="AO71" s="182">
        <v>0</v>
      </c>
      <c r="AP71" s="11">
        <v>21</v>
      </c>
      <c r="AQ71" s="11">
        <v>226</v>
      </c>
      <c r="AR71" s="11">
        <v>1354.06</v>
      </c>
      <c r="AS71" s="11">
        <v>0</v>
      </c>
      <c r="AT71" s="11">
        <v>27</v>
      </c>
      <c r="AV71" s="11" t="str">
        <f t="shared" si="4"/>
        <v>Active</v>
      </c>
    </row>
    <row r="72" spans="1:48">
      <c r="A72" s="11" t="s">
        <v>124</v>
      </c>
      <c r="B72" s="11" t="s">
        <v>443</v>
      </c>
      <c r="C72" s="11" t="s">
        <v>175</v>
      </c>
      <c r="D72" s="11" t="s">
        <v>517</v>
      </c>
      <c r="E72" s="11" t="s">
        <v>518</v>
      </c>
      <c r="F72" s="45">
        <v>45047</v>
      </c>
      <c r="G72" s="11">
        <v>0</v>
      </c>
      <c r="H72" s="11">
        <v>1200000</v>
      </c>
      <c r="I72" s="11">
        <v>644384.93999999994</v>
      </c>
      <c r="J72" s="11">
        <v>0</v>
      </c>
      <c r="K72" s="11">
        <v>109</v>
      </c>
      <c r="L72" s="11">
        <v>64</v>
      </c>
      <c r="M72" s="11">
        <v>2</v>
      </c>
      <c r="N72" s="11">
        <v>111</v>
      </c>
      <c r="O72" s="11">
        <v>47</v>
      </c>
      <c r="P72" s="11">
        <v>616832.62</v>
      </c>
      <c r="Q72" s="11">
        <v>27552.32</v>
      </c>
      <c r="R72" s="11">
        <v>37</v>
      </c>
      <c r="S72" s="11">
        <v>1</v>
      </c>
      <c r="T72" s="11">
        <v>38</v>
      </c>
      <c r="U72" s="11">
        <v>0</v>
      </c>
      <c r="V72" s="11">
        <v>2</v>
      </c>
      <c r="W72" s="11">
        <v>2</v>
      </c>
      <c r="X72" s="11">
        <v>166</v>
      </c>
      <c r="Y72" s="11">
        <v>1</v>
      </c>
      <c r="Z72" s="11">
        <v>3</v>
      </c>
      <c r="AA72" s="11">
        <v>0</v>
      </c>
      <c r="AB72" s="11">
        <v>0</v>
      </c>
      <c r="AC72" s="11">
        <v>0</v>
      </c>
      <c r="AD72" s="11">
        <v>0</v>
      </c>
      <c r="AE72" s="11">
        <v>106</v>
      </c>
      <c r="AF72" s="11">
        <v>111</v>
      </c>
      <c r="AG72" s="11">
        <v>26</v>
      </c>
      <c r="AH72" s="3">
        <f t="shared" si="0"/>
        <v>24784.036153846151</v>
      </c>
      <c r="AI72" s="3">
        <f t="shared" si="1"/>
        <v>4.2692307692307692</v>
      </c>
      <c r="AJ72" s="11">
        <v>0</v>
      </c>
      <c r="AK72" s="11">
        <v>0</v>
      </c>
      <c r="AL72" s="181">
        <f t="shared" si="2"/>
        <v>0</v>
      </c>
      <c r="AM72" s="11">
        <v>16957</v>
      </c>
      <c r="AN72" s="181">
        <f t="shared" si="3"/>
        <v>0.53698744999999992</v>
      </c>
      <c r="AO72" s="182">
        <v>0</v>
      </c>
      <c r="AP72" s="11">
        <v>59</v>
      </c>
      <c r="AQ72" s="11">
        <v>288</v>
      </c>
      <c r="AR72" s="11">
        <v>1704.47</v>
      </c>
      <c r="AS72" s="11">
        <v>1</v>
      </c>
      <c r="AT72" s="11">
        <v>27</v>
      </c>
      <c r="AV72" s="11" t="str">
        <f t="shared" si="4"/>
        <v>Active</v>
      </c>
    </row>
    <row r="73" spans="1:48">
      <c r="A73" s="11" t="s">
        <v>124</v>
      </c>
      <c r="B73" s="11" t="s">
        <v>443</v>
      </c>
      <c r="C73" s="11" t="s">
        <v>176</v>
      </c>
      <c r="D73" s="11" t="s">
        <v>517</v>
      </c>
      <c r="E73" s="11" t="s">
        <v>537</v>
      </c>
      <c r="F73" s="45">
        <v>45047</v>
      </c>
      <c r="G73" s="11">
        <v>0</v>
      </c>
      <c r="H73" s="11">
        <v>0</v>
      </c>
      <c r="I73" s="11">
        <v>0</v>
      </c>
      <c r="J73" s="11">
        <v>0</v>
      </c>
      <c r="K73" s="11">
        <v>35</v>
      </c>
      <c r="L73" s="11">
        <v>0</v>
      </c>
      <c r="M73" s="11">
        <v>1</v>
      </c>
      <c r="N73" s="11">
        <v>36</v>
      </c>
      <c r="O73" s="11">
        <v>36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123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3" t="str">
        <f t="shared" si="0"/>
        <v/>
      </c>
      <c r="AI73" s="3" t="str">
        <f t="shared" si="1"/>
        <v/>
      </c>
      <c r="AJ73" s="11">
        <v>1</v>
      </c>
      <c r="AK73" s="11">
        <v>0</v>
      </c>
      <c r="AL73" s="181" t="str">
        <f t="shared" si="2"/>
        <v/>
      </c>
      <c r="AM73" s="11">
        <v>0</v>
      </c>
      <c r="AN73" s="181" t="str">
        <f t="shared" si="3"/>
        <v/>
      </c>
      <c r="AO73" s="182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86">
        <v>45785</v>
      </c>
      <c r="AV73" s="11" t="str">
        <f t="shared" si="4"/>
        <v>Left</v>
      </c>
    </row>
    <row r="74" spans="1:48">
      <c r="A74" s="11" t="s">
        <v>118</v>
      </c>
      <c r="B74" s="11" t="s">
        <v>436</v>
      </c>
      <c r="C74" s="11" t="s">
        <v>178</v>
      </c>
      <c r="D74" s="11" t="s">
        <v>499</v>
      </c>
      <c r="E74" s="11" t="s">
        <v>437</v>
      </c>
      <c r="F74" s="45">
        <v>45054</v>
      </c>
      <c r="G74" s="11">
        <v>0</v>
      </c>
      <c r="H74" s="11">
        <v>0</v>
      </c>
      <c r="I74" s="11">
        <v>0</v>
      </c>
      <c r="J74" s="11">
        <v>0</v>
      </c>
      <c r="K74" s="11">
        <v>89</v>
      </c>
      <c r="L74" s="11">
        <v>0</v>
      </c>
      <c r="M74" s="11">
        <v>0</v>
      </c>
      <c r="N74" s="11">
        <v>89</v>
      </c>
      <c r="O74" s="11">
        <v>89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10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3" t="str">
        <f t="shared" si="0"/>
        <v/>
      </c>
      <c r="AI74" s="3" t="str">
        <f t="shared" si="1"/>
        <v/>
      </c>
      <c r="AJ74" s="11">
        <v>0</v>
      </c>
      <c r="AK74" s="11">
        <v>0</v>
      </c>
      <c r="AL74" s="181" t="str">
        <f t="shared" si="2"/>
        <v/>
      </c>
      <c r="AM74" s="11">
        <v>0</v>
      </c>
      <c r="AN74" s="181" t="str">
        <f t="shared" si="3"/>
        <v/>
      </c>
      <c r="AO74" s="182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87">
        <v>45801</v>
      </c>
      <c r="AV74" s="11" t="str">
        <f t="shared" si="4"/>
        <v>Left</v>
      </c>
    </row>
    <row r="75" spans="1:48">
      <c r="A75" s="11" t="s">
        <v>118</v>
      </c>
      <c r="B75" s="11" t="s">
        <v>362</v>
      </c>
      <c r="C75" s="11" t="s">
        <v>179</v>
      </c>
      <c r="D75" s="11" t="s">
        <v>419</v>
      </c>
      <c r="E75" s="11" t="s">
        <v>538</v>
      </c>
      <c r="F75" s="45">
        <v>45047</v>
      </c>
      <c r="G75" s="11">
        <v>0</v>
      </c>
      <c r="H75" s="11">
        <v>1500000</v>
      </c>
      <c r="I75" s="11">
        <v>1533868.38</v>
      </c>
      <c r="J75" s="11">
        <v>0</v>
      </c>
      <c r="K75" s="11">
        <v>44</v>
      </c>
      <c r="L75" s="11">
        <v>39</v>
      </c>
      <c r="M75" s="11">
        <v>1</v>
      </c>
      <c r="N75" s="11">
        <v>45</v>
      </c>
      <c r="O75" s="11">
        <v>6</v>
      </c>
      <c r="P75" s="11">
        <v>1473494.58</v>
      </c>
      <c r="Q75" s="11">
        <v>60373.8</v>
      </c>
      <c r="R75" s="11">
        <v>7</v>
      </c>
      <c r="S75" s="11">
        <v>1</v>
      </c>
      <c r="T75" s="11">
        <v>8</v>
      </c>
      <c r="U75" s="11">
        <v>0</v>
      </c>
      <c r="V75" s="11">
        <v>13</v>
      </c>
      <c r="W75" s="11">
        <v>16</v>
      </c>
      <c r="X75" s="11">
        <v>196</v>
      </c>
      <c r="Y75" s="11">
        <v>1</v>
      </c>
      <c r="Z75" s="11">
        <v>1</v>
      </c>
      <c r="AA75" s="11">
        <v>0</v>
      </c>
      <c r="AB75" s="11">
        <v>0</v>
      </c>
      <c r="AC75" s="11">
        <v>0</v>
      </c>
      <c r="AD75" s="11">
        <v>0</v>
      </c>
      <c r="AE75" s="11">
        <v>131</v>
      </c>
      <c r="AF75" s="11">
        <v>148</v>
      </c>
      <c r="AG75" s="11">
        <v>26</v>
      </c>
      <c r="AH75" s="3">
        <f t="shared" si="0"/>
        <v>58994.937692307685</v>
      </c>
      <c r="AI75" s="3">
        <f t="shared" si="1"/>
        <v>5.6923076923076925</v>
      </c>
      <c r="AJ75" s="11">
        <v>0</v>
      </c>
      <c r="AK75" s="11">
        <v>0</v>
      </c>
      <c r="AL75" s="181">
        <f t="shared" si="2"/>
        <v>0</v>
      </c>
      <c r="AM75" s="11">
        <v>191734</v>
      </c>
      <c r="AN75" s="181">
        <f t="shared" si="3"/>
        <v>1.0225789199999999</v>
      </c>
      <c r="AO75" s="182">
        <v>0</v>
      </c>
      <c r="AP75" s="11">
        <v>11</v>
      </c>
      <c r="AQ75" s="11">
        <v>253</v>
      </c>
      <c r="AR75" s="11">
        <v>2406.29</v>
      </c>
      <c r="AS75" s="11">
        <v>1</v>
      </c>
      <c r="AT75" s="11">
        <v>62</v>
      </c>
      <c r="AV75" s="11" t="str">
        <f t="shared" si="4"/>
        <v>Active</v>
      </c>
    </row>
    <row r="76" spans="1:48">
      <c r="A76" s="11" t="s">
        <v>118</v>
      </c>
      <c r="B76" s="11" t="s">
        <v>362</v>
      </c>
      <c r="C76" s="11" t="s">
        <v>181</v>
      </c>
      <c r="D76" s="11" t="s">
        <v>419</v>
      </c>
      <c r="E76" s="11" t="s">
        <v>538</v>
      </c>
      <c r="F76" s="45">
        <v>45047</v>
      </c>
      <c r="G76" s="11">
        <v>0</v>
      </c>
      <c r="H76" s="11">
        <v>1500000</v>
      </c>
      <c r="I76" s="11">
        <v>1235482.0900000001</v>
      </c>
      <c r="J76" s="11">
        <v>0</v>
      </c>
      <c r="K76" s="11">
        <v>50</v>
      </c>
      <c r="L76" s="11">
        <v>28</v>
      </c>
      <c r="M76" s="11">
        <v>1</v>
      </c>
      <c r="N76" s="11">
        <v>51</v>
      </c>
      <c r="O76" s="11">
        <v>23</v>
      </c>
      <c r="P76" s="11">
        <v>1235482.0900000001</v>
      </c>
      <c r="Q76" s="11">
        <v>0</v>
      </c>
      <c r="R76" s="11">
        <v>4</v>
      </c>
      <c r="S76" s="11">
        <v>0</v>
      </c>
      <c r="T76" s="11">
        <v>4</v>
      </c>
      <c r="U76" s="11">
        <v>0</v>
      </c>
      <c r="V76" s="11">
        <v>7</v>
      </c>
      <c r="W76" s="11">
        <v>7</v>
      </c>
      <c r="X76" s="11">
        <v>266</v>
      </c>
      <c r="Y76" s="11">
        <v>1</v>
      </c>
      <c r="Z76" s="11">
        <v>1</v>
      </c>
      <c r="AA76" s="11">
        <v>0</v>
      </c>
      <c r="AB76" s="11">
        <v>0</v>
      </c>
      <c r="AC76" s="11">
        <v>0</v>
      </c>
      <c r="AD76" s="11">
        <v>0</v>
      </c>
      <c r="AE76" s="11">
        <v>103</v>
      </c>
      <c r="AF76" s="11">
        <v>111</v>
      </c>
      <c r="AG76" s="11">
        <v>27</v>
      </c>
      <c r="AH76" s="3">
        <f t="shared" si="0"/>
        <v>45758.595925925933</v>
      </c>
      <c r="AI76" s="3">
        <f t="shared" si="1"/>
        <v>4.1111111111111107</v>
      </c>
      <c r="AJ76" s="11">
        <v>0</v>
      </c>
      <c r="AK76" s="11">
        <v>0</v>
      </c>
      <c r="AL76" s="181">
        <f t="shared" si="2"/>
        <v>0</v>
      </c>
      <c r="AM76" s="11">
        <v>308871</v>
      </c>
      <c r="AN76" s="181">
        <f t="shared" si="3"/>
        <v>0.82365472666666673</v>
      </c>
      <c r="AO76" s="182">
        <v>0</v>
      </c>
      <c r="AP76" s="11">
        <v>6</v>
      </c>
      <c r="AQ76" s="11">
        <v>202</v>
      </c>
      <c r="AR76" s="11">
        <v>1309.24</v>
      </c>
      <c r="AS76" s="11">
        <v>0</v>
      </c>
      <c r="AT76" s="11">
        <v>47</v>
      </c>
      <c r="AV76" s="11" t="str">
        <f t="shared" si="4"/>
        <v>Active</v>
      </c>
    </row>
    <row r="77" spans="1:48">
      <c r="A77" s="11" t="s">
        <v>118</v>
      </c>
      <c r="B77" s="11" t="s">
        <v>362</v>
      </c>
      <c r="C77" s="11" t="s">
        <v>183</v>
      </c>
      <c r="D77" s="11" t="s">
        <v>419</v>
      </c>
      <c r="E77" s="11" t="s">
        <v>540</v>
      </c>
      <c r="F77" s="45">
        <v>45048</v>
      </c>
      <c r="G77" s="11">
        <v>0</v>
      </c>
      <c r="H77" s="11">
        <v>1500000</v>
      </c>
      <c r="I77" s="11">
        <v>945692.98</v>
      </c>
      <c r="J77" s="11">
        <v>0</v>
      </c>
      <c r="K77" s="11">
        <v>51</v>
      </c>
      <c r="L77" s="11">
        <v>36</v>
      </c>
      <c r="M77" s="11">
        <v>0</v>
      </c>
      <c r="N77" s="11">
        <v>51</v>
      </c>
      <c r="O77" s="11">
        <v>15</v>
      </c>
      <c r="P77" s="11">
        <v>945692.98</v>
      </c>
      <c r="Q77" s="11">
        <v>0</v>
      </c>
      <c r="R77" s="11">
        <v>18</v>
      </c>
      <c r="S77" s="11">
        <v>0</v>
      </c>
      <c r="T77" s="11">
        <v>18</v>
      </c>
      <c r="U77" s="11">
        <v>0</v>
      </c>
      <c r="V77" s="11">
        <v>1</v>
      </c>
      <c r="W77" s="11">
        <v>2</v>
      </c>
      <c r="X77" s="11">
        <v>1</v>
      </c>
      <c r="Y77" s="11">
        <v>3</v>
      </c>
      <c r="Z77" s="11">
        <v>20</v>
      </c>
      <c r="AA77" s="11">
        <v>0</v>
      </c>
      <c r="AB77" s="11">
        <v>0</v>
      </c>
      <c r="AC77" s="11">
        <v>0</v>
      </c>
      <c r="AD77" s="11">
        <v>0</v>
      </c>
      <c r="AE77" s="11">
        <v>80</v>
      </c>
      <c r="AF77" s="11">
        <v>102</v>
      </c>
      <c r="AG77" s="11">
        <v>23</v>
      </c>
      <c r="AH77" s="3">
        <f t="shared" si="0"/>
        <v>41117.086086956522</v>
      </c>
      <c r="AI77" s="3">
        <f t="shared" si="1"/>
        <v>4.4347826086956523</v>
      </c>
      <c r="AJ77" s="11">
        <v>0</v>
      </c>
      <c r="AK77" s="11">
        <v>0</v>
      </c>
      <c r="AL77" s="181">
        <f t="shared" si="2"/>
        <v>0</v>
      </c>
      <c r="AM77" s="11">
        <v>52538</v>
      </c>
      <c r="AN77" s="181">
        <f t="shared" si="3"/>
        <v>0.63046198666666664</v>
      </c>
      <c r="AO77" s="182">
        <v>0</v>
      </c>
      <c r="AP77" s="11">
        <v>24</v>
      </c>
      <c r="AQ77" s="11">
        <v>236</v>
      </c>
      <c r="AR77" s="11">
        <v>1349.98</v>
      </c>
      <c r="AS77" s="11">
        <v>0</v>
      </c>
      <c r="AT77" s="11">
        <v>37</v>
      </c>
      <c r="AV77" s="11" t="str">
        <f t="shared" si="4"/>
        <v>Active</v>
      </c>
    </row>
    <row r="78" spans="1:48">
      <c r="A78" s="11" t="s">
        <v>118</v>
      </c>
      <c r="B78" s="11" t="s">
        <v>362</v>
      </c>
      <c r="C78" s="11" t="s">
        <v>184</v>
      </c>
      <c r="D78" s="11" t="s">
        <v>419</v>
      </c>
      <c r="E78" s="11" t="s">
        <v>539</v>
      </c>
      <c r="F78" s="45">
        <v>45047</v>
      </c>
      <c r="G78" s="11">
        <v>0</v>
      </c>
      <c r="H78" s="11">
        <v>3300000</v>
      </c>
      <c r="I78" s="11">
        <v>1532092.13</v>
      </c>
      <c r="J78" s="11">
        <v>0</v>
      </c>
      <c r="K78" s="11">
        <v>110</v>
      </c>
      <c r="L78" s="11">
        <v>87</v>
      </c>
      <c r="M78" s="11">
        <v>2</v>
      </c>
      <c r="N78" s="11">
        <v>112</v>
      </c>
      <c r="O78" s="11">
        <v>25</v>
      </c>
      <c r="P78" s="11">
        <v>1507617.22</v>
      </c>
      <c r="Q78" s="11">
        <v>24474.91</v>
      </c>
      <c r="R78" s="11">
        <v>50</v>
      </c>
      <c r="S78" s="11">
        <v>1</v>
      </c>
      <c r="T78" s="11">
        <v>51</v>
      </c>
      <c r="U78" s="11">
        <v>0</v>
      </c>
      <c r="V78" s="11">
        <v>2</v>
      </c>
      <c r="W78" s="11">
        <v>3</v>
      </c>
      <c r="X78" s="11">
        <v>50</v>
      </c>
      <c r="Y78" s="11">
        <v>1</v>
      </c>
      <c r="Z78" s="11">
        <v>5</v>
      </c>
      <c r="AA78" s="11">
        <v>0</v>
      </c>
      <c r="AB78" s="11">
        <v>0</v>
      </c>
      <c r="AC78" s="11">
        <v>0</v>
      </c>
      <c r="AD78" s="11">
        <v>0</v>
      </c>
      <c r="AE78" s="11">
        <v>131</v>
      </c>
      <c r="AF78" s="11">
        <v>139</v>
      </c>
      <c r="AG78" s="11">
        <v>25</v>
      </c>
      <c r="AH78" s="3">
        <f t="shared" si="0"/>
        <v>61283.685199999993</v>
      </c>
      <c r="AI78" s="3">
        <f t="shared" si="1"/>
        <v>5.56</v>
      </c>
      <c r="AJ78" s="11">
        <v>0</v>
      </c>
      <c r="AK78" s="11">
        <v>0</v>
      </c>
      <c r="AL78" s="181">
        <f t="shared" si="2"/>
        <v>0</v>
      </c>
      <c r="AM78" s="11">
        <v>30041</v>
      </c>
      <c r="AN78" s="181">
        <f t="shared" si="3"/>
        <v>0.46427034242424237</v>
      </c>
      <c r="AO78" s="182">
        <v>0</v>
      </c>
      <c r="AP78" s="11">
        <v>71</v>
      </c>
      <c r="AQ78" s="11">
        <v>245</v>
      </c>
      <c r="AR78" s="11">
        <v>1326.54</v>
      </c>
      <c r="AS78" s="11">
        <v>1</v>
      </c>
      <c r="AT78" s="11">
        <v>15</v>
      </c>
      <c r="AV78" s="11" t="str">
        <f t="shared" si="4"/>
        <v>Active</v>
      </c>
    </row>
    <row r="79" spans="1:48">
      <c r="A79" s="11" t="s">
        <v>154</v>
      </c>
      <c r="B79" s="11" t="s">
        <v>367</v>
      </c>
      <c r="C79" s="11" t="s">
        <v>185</v>
      </c>
      <c r="D79" s="11" t="s">
        <v>577</v>
      </c>
      <c r="E79" s="11" t="s">
        <v>583</v>
      </c>
      <c r="F79" s="45">
        <v>45428</v>
      </c>
      <c r="G79" s="11">
        <v>0</v>
      </c>
      <c r="H79" s="11">
        <v>0</v>
      </c>
      <c r="I79" s="11">
        <v>0</v>
      </c>
      <c r="J79" s="11">
        <v>0</v>
      </c>
      <c r="K79" s="11">
        <v>65</v>
      </c>
      <c r="L79" s="11">
        <v>23</v>
      </c>
      <c r="M79" s="11">
        <v>0</v>
      </c>
      <c r="N79" s="11">
        <v>65</v>
      </c>
      <c r="O79" s="11">
        <v>42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42</v>
      </c>
      <c r="W79" s="11">
        <v>46</v>
      </c>
      <c r="X79" s="11">
        <v>217</v>
      </c>
      <c r="Y79" s="11">
        <v>4</v>
      </c>
      <c r="Z79" s="11">
        <v>10</v>
      </c>
      <c r="AA79" s="11">
        <v>0</v>
      </c>
      <c r="AB79" s="11">
        <v>0</v>
      </c>
      <c r="AC79" s="11">
        <v>7</v>
      </c>
      <c r="AD79" s="11">
        <v>8</v>
      </c>
      <c r="AE79" s="11">
        <v>33</v>
      </c>
      <c r="AF79" s="11">
        <v>97</v>
      </c>
      <c r="AG79" s="11">
        <v>24</v>
      </c>
      <c r="AH79" s="3">
        <f t="shared" si="0"/>
        <v>0</v>
      </c>
      <c r="AI79" s="3">
        <f t="shared" si="1"/>
        <v>4.041666666666667</v>
      </c>
      <c r="AJ79" s="11">
        <v>0</v>
      </c>
      <c r="AK79" s="11">
        <v>0</v>
      </c>
      <c r="AL79" s="181" t="str">
        <f t="shared" si="2"/>
        <v/>
      </c>
      <c r="AM79" s="11">
        <v>0</v>
      </c>
      <c r="AN79" s="181" t="str">
        <f t="shared" si="3"/>
        <v/>
      </c>
      <c r="AO79" s="182">
        <v>0</v>
      </c>
      <c r="AP79" s="11">
        <v>0</v>
      </c>
      <c r="AQ79" s="11">
        <v>193</v>
      </c>
      <c r="AR79" s="11">
        <v>1349.12</v>
      </c>
      <c r="AS79" s="11">
        <v>0</v>
      </c>
      <c r="AT79" s="11">
        <v>59</v>
      </c>
      <c r="AV79" s="11" t="str">
        <f t="shared" si="4"/>
        <v>Active</v>
      </c>
    </row>
    <row r="80" spans="1:48">
      <c r="A80" s="11" t="s">
        <v>118</v>
      </c>
      <c r="B80" s="11" t="s">
        <v>362</v>
      </c>
      <c r="C80" s="11" t="s">
        <v>186</v>
      </c>
      <c r="D80" s="11" t="s">
        <v>419</v>
      </c>
      <c r="E80" s="11" t="s">
        <v>538</v>
      </c>
      <c r="F80" s="45">
        <v>45056</v>
      </c>
      <c r="G80" s="11">
        <v>0</v>
      </c>
      <c r="H80" s="11">
        <v>1500000</v>
      </c>
      <c r="I80" s="11">
        <v>1628065.73</v>
      </c>
      <c r="J80" s="11">
        <v>0</v>
      </c>
      <c r="K80" s="11">
        <v>59</v>
      </c>
      <c r="L80" s="11">
        <v>37</v>
      </c>
      <c r="M80" s="11">
        <v>1</v>
      </c>
      <c r="N80" s="11">
        <v>60</v>
      </c>
      <c r="O80" s="11">
        <v>23</v>
      </c>
      <c r="P80" s="11">
        <v>1596105.23</v>
      </c>
      <c r="Q80" s="11">
        <v>31960.5</v>
      </c>
      <c r="R80" s="11">
        <v>9</v>
      </c>
      <c r="S80" s="11">
        <v>1</v>
      </c>
      <c r="T80" s="11">
        <v>10</v>
      </c>
      <c r="U80" s="11">
        <v>0</v>
      </c>
      <c r="V80" s="11">
        <v>37</v>
      </c>
      <c r="W80" s="11">
        <v>55</v>
      </c>
      <c r="X80" s="11">
        <v>216</v>
      </c>
      <c r="Y80" s="11">
        <v>1</v>
      </c>
      <c r="Z80" s="11">
        <v>1</v>
      </c>
      <c r="AA80" s="11">
        <v>0</v>
      </c>
      <c r="AB80" s="11">
        <v>0</v>
      </c>
      <c r="AC80" s="11">
        <v>0</v>
      </c>
      <c r="AD80" s="11">
        <v>0</v>
      </c>
      <c r="AE80" s="11">
        <v>98</v>
      </c>
      <c r="AF80" s="11">
        <v>154</v>
      </c>
      <c r="AG80" s="11">
        <v>25</v>
      </c>
      <c r="AH80" s="3">
        <f t="shared" si="0"/>
        <v>65122.629199999996</v>
      </c>
      <c r="AI80" s="3">
        <f t="shared" si="1"/>
        <v>6.16</v>
      </c>
      <c r="AJ80" s="11">
        <v>0</v>
      </c>
      <c r="AK80" s="11">
        <v>0</v>
      </c>
      <c r="AL80" s="181">
        <f t="shared" si="2"/>
        <v>0</v>
      </c>
      <c r="AM80" s="11">
        <v>162807</v>
      </c>
      <c r="AN80" s="181">
        <f t="shared" si="3"/>
        <v>1.0853771533333334</v>
      </c>
      <c r="AO80" s="182">
        <v>0</v>
      </c>
      <c r="AP80" s="11">
        <v>14</v>
      </c>
      <c r="AQ80" s="11">
        <v>269</v>
      </c>
      <c r="AR80" s="11">
        <v>1902.52</v>
      </c>
      <c r="AS80" s="11">
        <v>1</v>
      </c>
      <c r="AT80" s="11">
        <v>51</v>
      </c>
      <c r="AV80" s="11" t="str">
        <f t="shared" si="4"/>
        <v>Active</v>
      </c>
    </row>
    <row r="81" spans="1:48">
      <c r="A81" s="11" t="s">
        <v>118</v>
      </c>
      <c r="B81" s="11" t="s">
        <v>372</v>
      </c>
      <c r="C81" s="11" t="s">
        <v>187</v>
      </c>
      <c r="D81" s="11" t="s">
        <v>447</v>
      </c>
      <c r="E81" s="11" t="s">
        <v>514</v>
      </c>
      <c r="F81" s="45">
        <v>45058</v>
      </c>
      <c r="G81" s="11">
        <v>0</v>
      </c>
      <c r="H81" s="11">
        <v>2000000</v>
      </c>
      <c r="I81" s="11">
        <v>744257.45</v>
      </c>
      <c r="J81" s="11">
        <v>0</v>
      </c>
      <c r="K81" s="11">
        <v>115</v>
      </c>
      <c r="L81" s="11">
        <v>63</v>
      </c>
      <c r="M81" s="11">
        <v>1</v>
      </c>
      <c r="N81" s="11">
        <v>116</v>
      </c>
      <c r="O81" s="11">
        <v>53</v>
      </c>
      <c r="P81" s="11">
        <v>711653.75</v>
      </c>
      <c r="Q81" s="11">
        <v>32603.7</v>
      </c>
      <c r="R81" s="11">
        <v>13</v>
      </c>
      <c r="S81" s="11">
        <v>1</v>
      </c>
      <c r="T81" s="11">
        <v>14</v>
      </c>
      <c r="U81" s="11">
        <v>0</v>
      </c>
      <c r="V81" s="11">
        <v>18</v>
      </c>
      <c r="W81" s="11">
        <v>18</v>
      </c>
      <c r="X81" s="11">
        <v>368</v>
      </c>
      <c r="Y81" s="11">
        <v>1</v>
      </c>
      <c r="Z81" s="11">
        <v>12</v>
      </c>
      <c r="AA81" s="11">
        <v>0</v>
      </c>
      <c r="AB81" s="11">
        <v>0</v>
      </c>
      <c r="AC81" s="11">
        <v>0</v>
      </c>
      <c r="AD81" s="11">
        <v>0</v>
      </c>
      <c r="AE81" s="11">
        <v>80</v>
      </c>
      <c r="AF81" s="11">
        <v>110</v>
      </c>
      <c r="AG81" s="11">
        <v>23</v>
      </c>
      <c r="AH81" s="3">
        <f t="shared" si="0"/>
        <v>32359.01956521739</v>
      </c>
      <c r="AI81" s="3">
        <f t="shared" si="1"/>
        <v>4.7826086956521738</v>
      </c>
      <c r="AJ81" s="11">
        <v>0</v>
      </c>
      <c r="AK81" s="11">
        <v>0</v>
      </c>
      <c r="AL81" s="181">
        <f t="shared" si="2"/>
        <v>0</v>
      </c>
      <c r="AM81" s="11">
        <v>53161</v>
      </c>
      <c r="AN81" s="181">
        <f t="shared" si="3"/>
        <v>0.37212872499999999</v>
      </c>
      <c r="AO81" s="182">
        <v>0</v>
      </c>
      <c r="AP81" s="11">
        <v>17</v>
      </c>
      <c r="AQ81" s="11">
        <v>237</v>
      </c>
      <c r="AR81" s="11">
        <v>672.93</v>
      </c>
      <c r="AS81" s="11">
        <v>1</v>
      </c>
      <c r="AT81" s="11">
        <v>11</v>
      </c>
      <c r="AV81" s="11" t="str">
        <f t="shared" si="4"/>
        <v>Active</v>
      </c>
    </row>
    <row r="82" spans="1:48">
      <c r="A82" s="11" t="s">
        <v>154</v>
      </c>
      <c r="B82" s="11" t="s">
        <v>370</v>
      </c>
      <c r="C82" s="11" t="s">
        <v>188</v>
      </c>
      <c r="D82" s="11" t="s">
        <v>542</v>
      </c>
      <c r="E82" s="11" t="s">
        <v>369</v>
      </c>
      <c r="F82" s="45">
        <v>45061</v>
      </c>
      <c r="G82" s="11">
        <v>0</v>
      </c>
      <c r="H82" s="11">
        <v>1500000</v>
      </c>
      <c r="I82" s="11">
        <v>1201433.82</v>
      </c>
      <c r="J82" s="11">
        <v>0</v>
      </c>
      <c r="K82" s="11">
        <v>122</v>
      </c>
      <c r="L82" s="11">
        <v>81</v>
      </c>
      <c r="M82" s="11">
        <v>2</v>
      </c>
      <c r="N82" s="11">
        <v>124</v>
      </c>
      <c r="O82" s="11">
        <v>43</v>
      </c>
      <c r="P82" s="11">
        <v>1187701.82</v>
      </c>
      <c r="Q82" s="11">
        <v>13732</v>
      </c>
      <c r="R82" s="11">
        <v>24</v>
      </c>
      <c r="S82" s="11">
        <v>2</v>
      </c>
      <c r="T82" s="11">
        <v>26</v>
      </c>
      <c r="U82" s="11">
        <v>0</v>
      </c>
      <c r="V82" s="11">
        <v>41</v>
      </c>
      <c r="W82" s="11">
        <v>41</v>
      </c>
      <c r="X82" s="11">
        <v>443</v>
      </c>
      <c r="Y82" s="11">
        <v>2</v>
      </c>
      <c r="Z82" s="11">
        <v>6</v>
      </c>
      <c r="AA82" s="11">
        <v>0</v>
      </c>
      <c r="AB82" s="11">
        <v>0</v>
      </c>
      <c r="AC82" s="11">
        <v>1</v>
      </c>
      <c r="AD82" s="11">
        <v>1</v>
      </c>
      <c r="AE82" s="11">
        <v>142</v>
      </c>
      <c r="AF82" s="11">
        <v>190</v>
      </c>
      <c r="AG82" s="11">
        <v>25</v>
      </c>
      <c r="AH82" s="3">
        <f t="shared" si="0"/>
        <v>48057.352800000001</v>
      </c>
      <c r="AI82" s="3">
        <f t="shared" si="1"/>
        <v>7.6</v>
      </c>
      <c r="AJ82" s="11">
        <v>0</v>
      </c>
      <c r="AK82" s="11">
        <v>0</v>
      </c>
      <c r="AL82" s="181">
        <f t="shared" si="2"/>
        <v>0</v>
      </c>
      <c r="AM82" s="11">
        <v>46209</v>
      </c>
      <c r="AN82" s="181">
        <f t="shared" si="3"/>
        <v>0.80095588000000006</v>
      </c>
      <c r="AO82" s="182">
        <v>0</v>
      </c>
      <c r="AP82" s="11">
        <v>30</v>
      </c>
      <c r="AQ82" s="11">
        <v>283</v>
      </c>
      <c r="AR82" s="11">
        <v>2559</v>
      </c>
      <c r="AS82" s="11">
        <v>2</v>
      </c>
      <c r="AT82" s="11">
        <v>32</v>
      </c>
      <c r="AV82" s="11" t="str">
        <f t="shared" si="4"/>
        <v>Active</v>
      </c>
    </row>
    <row r="83" spans="1:48">
      <c r="A83" s="11" t="s">
        <v>118</v>
      </c>
      <c r="B83" s="11" t="s">
        <v>362</v>
      </c>
      <c r="C83" s="11" t="s">
        <v>189</v>
      </c>
      <c r="D83" s="11" t="s">
        <v>419</v>
      </c>
      <c r="E83" s="11" t="s">
        <v>544</v>
      </c>
      <c r="F83" s="45">
        <v>45069</v>
      </c>
      <c r="G83" s="11">
        <v>0</v>
      </c>
      <c r="H83" s="11">
        <v>1500000</v>
      </c>
      <c r="I83" s="11">
        <v>1129294.45</v>
      </c>
      <c r="J83" s="11">
        <v>0</v>
      </c>
      <c r="K83" s="11">
        <v>43</v>
      </c>
      <c r="L83" s="11">
        <v>33</v>
      </c>
      <c r="M83" s="11">
        <v>2</v>
      </c>
      <c r="N83" s="11">
        <v>45</v>
      </c>
      <c r="O83" s="11">
        <v>12</v>
      </c>
      <c r="P83" s="11">
        <v>849225.5</v>
      </c>
      <c r="Q83" s="11">
        <v>280068.95</v>
      </c>
      <c r="R83" s="11">
        <v>8</v>
      </c>
      <c r="S83" s="11">
        <v>2</v>
      </c>
      <c r="T83" s="11">
        <v>10</v>
      </c>
      <c r="U83" s="11">
        <v>0</v>
      </c>
      <c r="V83" s="11">
        <v>5</v>
      </c>
      <c r="W83" s="11">
        <v>8</v>
      </c>
      <c r="X83" s="11">
        <v>89</v>
      </c>
      <c r="Y83" s="11">
        <v>1</v>
      </c>
      <c r="Z83" s="11">
        <v>3</v>
      </c>
      <c r="AA83" s="11">
        <v>0</v>
      </c>
      <c r="AB83" s="11">
        <v>0</v>
      </c>
      <c r="AC83" s="11">
        <v>0</v>
      </c>
      <c r="AD83" s="11">
        <v>0</v>
      </c>
      <c r="AE83" s="11">
        <v>121</v>
      </c>
      <c r="AF83" s="11">
        <v>132</v>
      </c>
      <c r="AG83" s="11">
        <v>27</v>
      </c>
      <c r="AH83" s="3">
        <f t="shared" si="0"/>
        <v>41825.720370370371</v>
      </c>
      <c r="AI83" s="3">
        <f t="shared" si="1"/>
        <v>4.8888888888888893</v>
      </c>
      <c r="AJ83" s="11">
        <v>0</v>
      </c>
      <c r="AK83" s="11">
        <v>0</v>
      </c>
      <c r="AL83" s="181">
        <f t="shared" si="2"/>
        <v>0</v>
      </c>
      <c r="AM83" s="11">
        <v>112929</v>
      </c>
      <c r="AN83" s="181">
        <f t="shared" si="3"/>
        <v>0.75286296666666663</v>
      </c>
      <c r="AO83" s="182">
        <v>0</v>
      </c>
      <c r="AP83" s="11">
        <v>23</v>
      </c>
      <c r="AQ83" s="11">
        <v>302</v>
      </c>
      <c r="AR83" s="11">
        <v>1591.93</v>
      </c>
      <c r="AS83" s="11">
        <v>2</v>
      </c>
      <c r="AT83" s="11">
        <v>48</v>
      </c>
      <c r="AV83" s="11" t="str">
        <f t="shared" si="4"/>
        <v>Active</v>
      </c>
    </row>
    <row r="84" spans="1:48">
      <c r="A84" s="11" t="s">
        <v>118</v>
      </c>
      <c r="B84" s="11" t="s">
        <v>362</v>
      </c>
      <c r="C84" s="11" t="s">
        <v>190</v>
      </c>
      <c r="D84" s="11" t="s">
        <v>419</v>
      </c>
      <c r="E84" s="11" t="s">
        <v>539</v>
      </c>
      <c r="F84" s="45">
        <v>45069</v>
      </c>
      <c r="G84" s="11">
        <v>0</v>
      </c>
      <c r="H84" s="11">
        <v>1500000</v>
      </c>
      <c r="I84" s="11">
        <v>1202853.43</v>
      </c>
      <c r="J84" s="11">
        <v>0</v>
      </c>
      <c r="K84" s="11">
        <v>123</v>
      </c>
      <c r="L84" s="11">
        <v>83</v>
      </c>
      <c r="M84" s="11">
        <v>2</v>
      </c>
      <c r="N84" s="11">
        <v>125</v>
      </c>
      <c r="O84" s="11">
        <v>42</v>
      </c>
      <c r="P84" s="11">
        <v>1165785.43</v>
      </c>
      <c r="Q84" s="11">
        <v>37068</v>
      </c>
      <c r="R84" s="11">
        <v>41</v>
      </c>
      <c r="S84" s="11">
        <v>1</v>
      </c>
      <c r="T84" s="11">
        <v>42</v>
      </c>
      <c r="U84" s="11">
        <v>0</v>
      </c>
      <c r="V84" s="11">
        <v>0</v>
      </c>
      <c r="W84" s="11">
        <v>0</v>
      </c>
      <c r="X84" s="11">
        <v>75</v>
      </c>
      <c r="Y84" s="11">
        <v>1</v>
      </c>
      <c r="Z84" s="11">
        <v>5</v>
      </c>
      <c r="AA84" s="11">
        <v>0</v>
      </c>
      <c r="AB84" s="11">
        <v>0</v>
      </c>
      <c r="AC84" s="11">
        <v>0</v>
      </c>
      <c r="AD84" s="11">
        <v>0</v>
      </c>
      <c r="AE84" s="11">
        <v>148</v>
      </c>
      <c r="AF84" s="11">
        <v>153</v>
      </c>
      <c r="AG84" s="11">
        <v>27</v>
      </c>
      <c r="AH84" s="3">
        <f t="shared" si="0"/>
        <v>44550.127037037033</v>
      </c>
      <c r="AI84" s="3">
        <f t="shared" si="1"/>
        <v>5.666666666666667</v>
      </c>
      <c r="AJ84" s="11">
        <v>0</v>
      </c>
      <c r="AK84" s="11">
        <v>0</v>
      </c>
      <c r="AL84" s="181">
        <f t="shared" si="2"/>
        <v>0</v>
      </c>
      <c r="AM84" s="11">
        <v>28639</v>
      </c>
      <c r="AN84" s="181">
        <f t="shared" si="3"/>
        <v>0.80190228666666663</v>
      </c>
      <c r="AO84" s="182">
        <v>0</v>
      </c>
      <c r="AP84" s="11">
        <v>51</v>
      </c>
      <c r="AQ84" s="11">
        <v>291</v>
      </c>
      <c r="AR84" s="11">
        <v>1504.12</v>
      </c>
      <c r="AS84" s="11">
        <v>1</v>
      </c>
      <c r="AT84" s="11">
        <v>18</v>
      </c>
      <c r="AV84" s="11" t="str">
        <f t="shared" si="4"/>
        <v>Active</v>
      </c>
    </row>
    <row r="85" spans="1:48">
      <c r="A85" s="11" t="s">
        <v>119</v>
      </c>
      <c r="B85" s="11" t="s">
        <v>375</v>
      </c>
      <c r="C85" s="11" t="s">
        <v>191</v>
      </c>
      <c r="D85" s="11" t="s">
        <v>473</v>
      </c>
      <c r="E85" s="11" t="s">
        <v>545</v>
      </c>
      <c r="F85" s="45">
        <v>45071</v>
      </c>
      <c r="G85" s="11">
        <v>0</v>
      </c>
      <c r="H85" s="11">
        <v>0</v>
      </c>
      <c r="I85" s="11">
        <v>0</v>
      </c>
      <c r="J85" s="11">
        <v>0</v>
      </c>
      <c r="K85" s="11">
        <v>57</v>
      </c>
      <c r="L85" s="11">
        <v>0</v>
      </c>
      <c r="M85" s="11">
        <v>0</v>
      </c>
      <c r="N85" s="11">
        <v>57</v>
      </c>
      <c r="O85" s="11">
        <v>57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218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3" t="str">
        <f t="shared" si="0"/>
        <v/>
      </c>
      <c r="AI85" s="3" t="str">
        <f t="shared" si="1"/>
        <v/>
      </c>
      <c r="AJ85" s="11">
        <v>0</v>
      </c>
      <c r="AK85" s="11">
        <v>0</v>
      </c>
      <c r="AL85" s="181" t="str">
        <f t="shared" si="2"/>
        <v/>
      </c>
      <c r="AM85" s="11">
        <v>0</v>
      </c>
      <c r="AN85" s="181" t="str">
        <f t="shared" si="3"/>
        <v/>
      </c>
      <c r="AO85" s="182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87">
        <v>45808</v>
      </c>
      <c r="AV85" s="11" t="str">
        <f t="shared" si="4"/>
        <v>Left</v>
      </c>
    </row>
    <row r="86" spans="1:48">
      <c r="A86" s="11" t="s">
        <v>136</v>
      </c>
      <c r="B86" s="11" t="s">
        <v>653</v>
      </c>
      <c r="C86" s="11" t="s">
        <v>192</v>
      </c>
      <c r="D86" s="11" t="s">
        <v>421</v>
      </c>
      <c r="E86" s="11" t="s">
        <v>422</v>
      </c>
      <c r="F86" s="45">
        <v>45068</v>
      </c>
      <c r="G86" s="11">
        <v>125000</v>
      </c>
      <c r="H86" s="11">
        <v>2000000</v>
      </c>
      <c r="I86" s="11">
        <v>444761.35</v>
      </c>
      <c r="J86" s="11">
        <v>593098.26</v>
      </c>
      <c r="K86" s="11">
        <v>48</v>
      </c>
      <c r="L86" s="11">
        <v>27</v>
      </c>
      <c r="M86" s="11">
        <v>0</v>
      </c>
      <c r="N86" s="11">
        <v>48</v>
      </c>
      <c r="O86" s="11">
        <v>21</v>
      </c>
      <c r="P86" s="11">
        <v>444761.35</v>
      </c>
      <c r="Q86" s="11">
        <v>0</v>
      </c>
      <c r="R86" s="11">
        <v>11</v>
      </c>
      <c r="S86" s="11">
        <v>0</v>
      </c>
      <c r="T86" s="11">
        <v>11</v>
      </c>
      <c r="U86" s="11">
        <v>3</v>
      </c>
      <c r="V86" s="11">
        <v>8</v>
      </c>
      <c r="W86" s="11">
        <v>11</v>
      </c>
      <c r="X86" s="11">
        <v>143</v>
      </c>
      <c r="Y86" s="11">
        <v>5</v>
      </c>
      <c r="Z86" s="11">
        <v>9</v>
      </c>
      <c r="AA86" s="11">
        <v>6</v>
      </c>
      <c r="AB86" s="11">
        <v>20</v>
      </c>
      <c r="AC86" s="11">
        <v>2</v>
      </c>
      <c r="AD86" s="11">
        <v>2</v>
      </c>
      <c r="AE86" s="11">
        <v>46</v>
      </c>
      <c r="AF86" s="11">
        <v>88</v>
      </c>
      <c r="AG86" s="11">
        <v>27</v>
      </c>
      <c r="AH86" s="3">
        <f t="shared" si="0"/>
        <v>38439.244814814818</v>
      </c>
      <c r="AI86" s="3">
        <f t="shared" si="1"/>
        <v>3.2592592592592591</v>
      </c>
      <c r="AJ86" s="11">
        <v>17</v>
      </c>
      <c r="AK86" s="11">
        <v>0</v>
      </c>
      <c r="AL86" s="181">
        <f t="shared" si="2"/>
        <v>1.637986471021837E-5</v>
      </c>
      <c r="AM86" s="11">
        <v>40433</v>
      </c>
      <c r="AN86" s="181">
        <f t="shared" si="3"/>
        <v>0.48840452235294118</v>
      </c>
      <c r="AO86" s="182">
        <v>0</v>
      </c>
      <c r="AP86" s="11">
        <v>11</v>
      </c>
      <c r="AQ86" s="11">
        <v>218</v>
      </c>
      <c r="AR86" s="11">
        <v>959.36</v>
      </c>
      <c r="AS86" s="11">
        <v>0</v>
      </c>
      <c r="AT86" s="11">
        <v>36</v>
      </c>
      <c r="AV86" s="11" t="str">
        <f t="shared" si="4"/>
        <v>Active</v>
      </c>
    </row>
    <row r="87" spans="1:48">
      <c r="A87" s="11" t="s">
        <v>154</v>
      </c>
      <c r="B87" s="11" t="s">
        <v>370</v>
      </c>
      <c r="C87" s="11" t="s">
        <v>193</v>
      </c>
      <c r="D87" s="11" t="s">
        <v>542</v>
      </c>
      <c r="E87" s="11" t="s">
        <v>369</v>
      </c>
      <c r="F87" s="45">
        <v>45079</v>
      </c>
      <c r="G87" s="11">
        <v>0</v>
      </c>
      <c r="H87" s="11">
        <v>0</v>
      </c>
      <c r="I87" s="11">
        <v>0</v>
      </c>
      <c r="J87" s="11">
        <v>0</v>
      </c>
      <c r="K87" s="11">
        <v>80</v>
      </c>
      <c r="L87" s="11">
        <v>0</v>
      </c>
      <c r="M87" s="11">
        <v>2</v>
      </c>
      <c r="N87" s="11">
        <v>82</v>
      </c>
      <c r="O87" s="11">
        <v>82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622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3" t="str">
        <f t="shared" si="0"/>
        <v/>
      </c>
      <c r="AI87" s="3" t="str">
        <f t="shared" si="1"/>
        <v/>
      </c>
      <c r="AJ87" s="11">
        <v>0</v>
      </c>
      <c r="AK87" s="11">
        <v>0</v>
      </c>
      <c r="AL87" s="181" t="str">
        <f t="shared" si="2"/>
        <v/>
      </c>
      <c r="AM87" s="11">
        <v>0</v>
      </c>
      <c r="AN87" s="181" t="str">
        <f t="shared" si="3"/>
        <v/>
      </c>
      <c r="AO87" s="182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87">
        <v>45794</v>
      </c>
      <c r="AV87" s="11" t="str">
        <f t="shared" si="4"/>
        <v>Left</v>
      </c>
    </row>
    <row r="88" spans="1:48">
      <c r="A88" s="11" t="s">
        <v>154</v>
      </c>
      <c r="B88" s="11" t="s">
        <v>367</v>
      </c>
      <c r="C88" s="11" t="s">
        <v>194</v>
      </c>
      <c r="D88" s="11" t="s">
        <v>577</v>
      </c>
      <c r="E88" s="11" t="s">
        <v>366</v>
      </c>
      <c r="F88" s="45">
        <v>45428</v>
      </c>
      <c r="G88" s="11">
        <v>0</v>
      </c>
      <c r="H88" s="11">
        <v>1000000</v>
      </c>
      <c r="I88" s="11">
        <v>374506.54</v>
      </c>
      <c r="J88" s="11">
        <v>0</v>
      </c>
      <c r="K88" s="11">
        <v>87</v>
      </c>
      <c r="L88" s="11">
        <v>59</v>
      </c>
      <c r="M88" s="11">
        <v>0</v>
      </c>
      <c r="N88" s="11">
        <v>87</v>
      </c>
      <c r="O88" s="11">
        <v>28</v>
      </c>
      <c r="P88" s="11">
        <v>374506.54</v>
      </c>
      <c r="Q88" s="11">
        <v>0</v>
      </c>
      <c r="R88" s="11">
        <v>14</v>
      </c>
      <c r="S88" s="11">
        <v>0</v>
      </c>
      <c r="T88" s="11">
        <v>14</v>
      </c>
      <c r="U88" s="11">
        <v>0</v>
      </c>
      <c r="V88" s="11">
        <v>26</v>
      </c>
      <c r="W88" s="11">
        <v>32</v>
      </c>
      <c r="X88" s="11">
        <v>469</v>
      </c>
      <c r="Y88" s="11">
        <v>2</v>
      </c>
      <c r="Z88" s="11">
        <v>12</v>
      </c>
      <c r="AA88" s="11">
        <v>0</v>
      </c>
      <c r="AB88" s="11">
        <v>0</v>
      </c>
      <c r="AC88" s="11">
        <v>0</v>
      </c>
      <c r="AD88" s="11">
        <v>0</v>
      </c>
      <c r="AE88" s="11">
        <v>111</v>
      </c>
      <c r="AF88" s="11">
        <v>155</v>
      </c>
      <c r="AG88" s="11">
        <v>25</v>
      </c>
      <c r="AH88" s="3">
        <f t="shared" si="0"/>
        <v>14980.2616</v>
      </c>
      <c r="AI88" s="3">
        <f t="shared" si="1"/>
        <v>6.2</v>
      </c>
      <c r="AJ88" s="11">
        <v>0</v>
      </c>
      <c r="AK88" s="11">
        <v>0</v>
      </c>
      <c r="AL88" s="181">
        <f t="shared" si="2"/>
        <v>0</v>
      </c>
      <c r="AM88" s="11">
        <v>26750</v>
      </c>
      <c r="AN88" s="181">
        <f t="shared" si="3"/>
        <v>0.37450654</v>
      </c>
      <c r="AO88" s="182">
        <v>0</v>
      </c>
      <c r="AP88" s="11">
        <v>18</v>
      </c>
      <c r="AQ88" s="11">
        <v>287</v>
      </c>
      <c r="AR88" s="11">
        <v>1999.74</v>
      </c>
      <c r="AS88" s="11">
        <v>0</v>
      </c>
      <c r="AT88" s="11">
        <v>34</v>
      </c>
      <c r="AV88" s="11" t="str">
        <f t="shared" si="4"/>
        <v>Active</v>
      </c>
    </row>
    <row r="89" spans="1:48">
      <c r="A89" s="11" t="s">
        <v>201</v>
      </c>
      <c r="B89" s="11" t="s">
        <v>431</v>
      </c>
      <c r="C89" s="11" t="s">
        <v>195</v>
      </c>
      <c r="D89" s="11" t="s">
        <v>431</v>
      </c>
      <c r="E89" s="11" t="s">
        <v>541</v>
      </c>
      <c r="F89" s="45">
        <v>45080</v>
      </c>
      <c r="G89" s="11">
        <v>400000</v>
      </c>
      <c r="H89" s="11">
        <v>2100000</v>
      </c>
      <c r="I89" s="11">
        <v>1789319.85</v>
      </c>
      <c r="J89" s="11">
        <v>222980.05</v>
      </c>
      <c r="K89" s="11">
        <v>116</v>
      </c>
      <c r="L89" s="11">
        <v>57</v>
      </c>
      <c r="M89" s="11">
        <v>2</v>
      </c>
      <c r="N89" s="11">
        <v>118</v>
      </c>
      <c r="O89" s="11">
        <v>61</v>
      </c>
      <c r="P89" s="11">
        <v>1755143.65</v>
      </c>
      <c r="Q89" s="11">
        <v>34176.199999999997</v>
      </c>
      <c r="R89" s="11">
        <v>30</v>
      </c>
      <c r="S89" s="11">
        <v>2</v>
      </c>
      <c r="T89" s="11">
        <v>32</v>
      </c>
      <c r="U89" s="11">
        <v>2</v>
      </c>
      <c r="V89" s="11">
        <v>37</v>
      </c>
      <c r="W89" s="11">
        <v>40</v>
      </c>
      <c r="X89" s="11">
        <v>267</v>
      </c>
      <c r="Y89" s="11">
        <v>2</v>
      </c>
      <c r="Z89" s="11">
        <v>6</v>
      </c>
      <c r="AA89" s="11">
        <v>4</v>
      </c>
      <c r="AB89" s="11">
        <v>11</v>
      </c>
      <c r="AC89" s="11">
        <v>0</v>
      </c>
      <c r="AD89" s="11">
        <v>0</v>
      </c>
      <c r="AE89" s="11">
        <v>113</v>
      </c>
      <c r="AF89" s="11">
        <v>170</v>
      </c>
      <c r="AG89" s="11">
        <v>25</v>
      </c>
      <c r="AH89" s="3">
        <f t="shared" si="0"/>
        <v>80491.995999999999</v>
      </c>
      <c r="AI89" s="3">
        <f t="shared" si="1"/>
        <v>6.8</v>
      </c>
      <c r="AJ89" s="11">
        <v>10</v>
      </c>
      <c r="AK89" s="11">
        <v>0</v>
      </c>
      <c r="AL89" s="181">
        <f t="shared" si="2"/>
        <v>4.9694382035202603E-6</v>
      </c>
      <c r="AM89" s="11">
        <v>55916</v>
      </c>
      <c r="AN89" s="181">
        <f t="shared" si="3"/>
        <v>0.8049199600000001</v>
      </c>
      <c r="AO89" s="182">
        <v>0</v>
      </c>
      <c r="AP89" s="11">
        <v>42</v>
      </c>
      <c r="AQ89" s="11">
        <v>276</v>
      </c>
      <c r="AR89" s="11">
        <v>1845.6</v>
      </c>
      <c r="AS89" s="11">
        <v>2</v>
      </c>
      <c r="AT89" s="11">
        <v>32</v>
      </c>
      <c r="AV89" s="11" t="str">
        <f t="shared" si="4"/>
        <v>Active</v>
      </c>
    </row>
    <row r="90" spans="1:48">
      <c r="A90" s="11" t="s">
        <v>118</v>
      </c>
      <c r="B90" s="11" t="s">
        <v>362</v>
      </c>
      <c r="C90" s="11" t="s">
        <v>197</v>
      </c>
      <c r="D90" s="11" t="s">
        <v>419</v>
      </c>
      <c r="E90" s="11" t="s">
        <v>547</v>
      </c>
      <c r="F90" s="45">
        <v>45084</v>
      </c>
      <c r="G90" s="11">
        <v>0</v>
      </c>
      <c r="H90" s="11">
        <v>2500000</v>
      </c>
      <c r="I90" s="11">
        <v>415524.77</v>
      </c>
      <c r="J90" s="11">
        <v>0</v>
      </c>
      <c r="K90" s="11">
        <v>86</v>
      </c>
      <c r="L90" s="11">
        <v>58</v>
      </c>
      <c r="M90" s="11">
        <v>1</v>
      </c>
      <c r="N90" s="11">
        <v>87</v>
      </c>
      <c r="O90" s="11">
        <v>29</v>
      </c>
      <c r="P90" s="11">
        <v>415524.77</v>
      </c>
      <c r="Q90" s="11">
        <v>0</v>
      </c>
      <c r="R90" s="11">
        <v>8</v>
      </c>
      <c r="S90" s="11">
        <v>0</v>
      </c>
      <c r="T90" s="11">
        <v>8</v>
      </c>
      <c r="U90" s="11">
        <v>0</v>
      </c>
      <c r="V90" s="11">
        <v>20</v>
      </c>
      <c r="W90" s="11">
        <v>26</v>
      </c>
      <c r="X90" s="11">
        <v>167</v>
      </c>
      <c r="Y90" s="11">
        <v>1</v>
      </c>
      <c r="Z90" s="11">
        <v>2</v>
      </c>
      <c r="AA90" s="11">
        <v>0</v>
      </c>
      <c r="AB90" s="11">
        <v>0</v>
      </c>
      <c r="AC90" s="11">
        <v>0</v>
      </c>
      <c r="AD90" s="11">
        <v>0</v>
      </c>
      <c r="AE90" s="11">
        <v>95</v>
      </c>
      <c r="AF90" s="11">
        <v>123</v>
      </c>
      <c r="AG90" s="11">
        <v>21</v>
      </c>
      <c r="AH90" s="3">
        <f t="shared" si="0"/>
        <v>19786.893809523812</v>
      </c>
      <c r="AI90" s="3">
        <f t="shared" si="1"/>
        <v>5.8571428571428568</v>
      </c>
      <c r="AJ90" s="11">
        <v>0</v>
      </c>
      <c r="AK90" s="11">
        <v>0</v>
      </c>
      <c r="AL90" s="181">
        <f t="shared" si="2"/>
        <v>0</v>
      </c>
      <c r="AM90" s="11">
        <v>51941</v>
      </c>
      <c r="AN90" s="181">
        <f t="shared" si="3"/>
        <v>0.16620990800000002</v>
      </c>
      <c r="AO90" s="182">
        <v>0</v>
      </c>
      <c r="AP90" s="11">
        <v>8</v>
      </c>
      <c r="AQ90" s="11">
        <v>166</v>
      </c>
      <c r="AR90" s="11">
        <v>2138.2600000000002</v>
      </c>
      <c r="AS90" s="11">
        <v>0</v>
      </c>
      <c r="AT90" s="11">
        <v>37</v>
      </c>
      <c r="AV90" s="11" t="str">
        <f t="shared" si="4"/>
        <v>Active</v>
      </c>
    </row>
    <row r="91" spans="1:48">
      <c r="A91" s="11" t="s">
        <v>118</v>
      </c>
      <c r="B91" s="11" t="s">
        <v>484</v>
      </c>
      <c r="C91" s="11" t="s">
        <v>199</v>
      </c>
      <c r="D91" s="11" t="s">
        <v>548</v>
      </c>
      <c r="E91" s="11" t="s">
        <v>549</v>
      </c>
      <c r="F91" s="45">
        <v>45108</v>
      </c>
      <c r="G91" s="11">
        <v>0</v>
      </c>
      <c r="H91" s="11">
        <v>1500000</v>
      </c>
      <c r="I91" s="11">
        <v>828483.34</v>
      </c>
      <c r="J91" s="11">
        <v>0</v>
      </c>
      <c r="K91" s="11">
        <v>62</v>
      </c>
      <c r="L91" s="11">
        <v>39</v>
      </c>
      <c r="M91" s="11">
        <v>0</v>
      </c>
      <c r="N91" s="11">
        <v>62</v>
      </c>
      <c r="O91" s="11">
        <v>23</v>
      </c>
      <c r="P91" s="11">
        <v>828483.34</v>
      </c>
      <c r="Q91" s="11">
        <v>0</v>
      </c>
      <c r="R91" s="11">
        <v>12</v>
      </c>
      <c r="S91" s="11">
        <v>0</v>
      </c>
      <c r="T91" s="11">
        <v>12</v>
      </c>
      <c r="U91" s="11">
        <v>0</v>
      </c>
      <c r="V91" s="11">
        <v>13</v>
      </c>
      <c r="W91" s="11">
        <v>22</v>
      </c>
      <c r="X91" s="11">
        <v>276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134</v>
      </c>
      <c r="AF91" s="11">
        <v>156</v>
      </c>
      <c r="AG91" s="11">
        <v>26</v>
      </c>
      <c r="AH91" s="3">
        <f t="shared" si="0"/>
        <v>31864.743846153844</v>
      </c>
      <c r="AI91" s="3">
        <f t="shared" si="1"/>
        <v>6</v>
      </c>
      <c r="AJ91" s="11">
        <v>0</v>
      </c>
      <c r="AK91" s="11">
        <v>0</v>
      </c>
      <c r="AL91" s="181">
        <f t="shared" si="2"/>
        <v>0</v>
      </c>
      <c r="AM91" s="11">
        <v>69040</v>
      </c>
      <c r="AN91" s="181">
        <f t="shared" si="3"/>
        <v>0.55232222666666664</v>
      </c>
      <c r="AO91" s="182">
        <v>0</v>
      </c>
      <c r="AP91" s="11">
        <v>12</v>
      </c>
      <c r="AQ91" s="11">
        <v>279</v>
      </c>
      <c r="AR91" s="11">
        <v>2109.11</v>
      </c>
      <c r="AS91" s="11">
        <v>0</v>
      </c>
      <c r="AT91" s="11">
        <v>54</v>
      </c>
      <c r="AV91" s="11" t="str">
        <f t="shared" si="4"/>
        <v>Active</v>
      </c>
    </row>
    <row r="92" spans="1:48">
      <c r="A92" s="11" t="s">
        <v>118</v>
      </c>
      <c r="B92" s="11" t="s">
        <v>362</v>
      </c>
      <c r="C92" s="11" t="s">
        <v>200</v>
      </c>
      <c r="D92" s="11" t="s">
        <v>419</v>
      </c>
      <c r="E92" s="11" t="s">
        <v>551</v>
      </c>
      <c r="F92" s="45">
        <v>45108</v>
      </c>
      <c r="G92" s="11">
        <v>0</v>
      </c>
      <c r="H92" s="11">
        <v>4000000</v>
      </c>
      <c r="I92" s="11">
        <v>3734883.04</v>
      </c>
      <c r="J92" s="11">
        <v>0</v>
      </c>
      <c r="K92" s="11">
        <v>143</v>
      </c>
      <c r="L92" s="11">
        <v>50</v>
      </c>
      <c r="M92" s="11">
        <v>1</v>
      </c>
      <c r="N92" s="11">
        <v>144</v>
      </c>
      <c r="O92" s="11">
        <v>94</v>
      </c>
      <c r="P92" s="11">
        <v>3614865.12</v>
      </c>
      <c r="Q92" s="11">
        <v>120017.92</v>
      </c>
      <c r="R92" s="11">
        <v>23</v>
      </c>
      <c r="S92" s="11">
        <v>1</v>
      </c>
      <c r="T92" s="11">
        <v>24</v>
      </c>
      <c r="U92" s="11">
        <v>0</v>
      </c>
      <c r="V92" s="11">
        <v>1</v>
      </c>
      <c r="W92" s="11">
        <v>1</v>
      </c>
      <c r="X92" s="11">
        <v>70</v>
      </c>
      <c r="Y92" s="11">
        <v>1</v>
      </c>
      <c r="Z92" s="11">
        <v>3</v>
      </c>
      <c r="AA92" s="11">
        <v>0</v>
      </c>
      <c r="AB92" s="11">
        <v>0</v>
      </c>
      <c r="AC92" s="11">
        <v>0</v>
      </c>
      <c r="AD92" s="11">
        <v>0</v>
      </c>
      <c r="AE92" s="11">
        <v>134</v>
      </c>
      <c r="AF92" s="11">
        <v>138</v>
      </c>
      <c r="AG92" s="11">
        <v>26</v>
      </c>
      <c r="AH92" s="3">
        <f t="shared" si="0"/>
        <v>143649.3476923077</v>
      </c>
      <c r="AI92" s="3">
        <f t="shared" si="1"/>
        <v>5.3076923076923075</v>
      </c>
      <c r="AJ92" s="11">
        <v>0</v>
      </c>
      <c r="AK92" s="11">
        <v>0</v>
      </c>
      <c r="AL92" s="181">
        <f t="shared" si="2"/>
        <v>0</v>
      </c>
      <c r="AM92" s="11">
        <v>155620</v>
      </c>
      <c r="AN92" s="181">
        <f t="shared" si="3"/>
        <v>0.93372076000000004</v>
      </c>
      <c r="AO92" s="182">
        <v>0</v>
      </c>
      <c r="AP92" s="11">
        <v>31</v>
      </c>
      <c r="AQ92" s="11">
        <v>260</v>
      </c>
      <c r="AR92" s="11">
        <v>883.05</v>
      </c>
      <c r="AS92" s="11">
        <v>1</v>
      </c>
      <c r="AT92" s="11">
        <v>18</v>
      </c>
      <c r="AV92" s="11" t="str">
        <f t="shared" si="4"/>
        <v>Active</v>
      </c>
    </row>
    <row r="93" spans="1:48">
      <c r="A93" s="11" t="s">
        <v>118</v>
      </c>
      <c r="B93" s="11" t="s">
        <v>362</v>
      </c>
      <c r="C93" s="11" t="s">
        <v>202</v>
      </c>
      <c r="D93" s="11" t="s">
        <v>419</v>
      </c>
      <c r="E93" s="11" t="s">
        <v>490</v>
      </c>
      <c r="F93" s="45">
        <v>45117</v>
      </c>
      <c r="G93" s="11">
        <v>0</v>
      </c>
      <c r="H93" s="11">
        <v>1500000</v>
      </c>
      <c r="I93" s="11">
        <v>1070530.6100000001</v>
      </c>
      <c r="J93" s="11">
        <v>0</v>
      </c>
      <c r="K93" s="11">
        <v>62</v>
      </c>
      <c r="L93" s="11">
        <v>42</v>
      </c>
      <c r="M93" s="11">
        <v>1</v>
      </c>
      <c r="N93" s="11">
        <v>63</v>
      </c>
      <c r="O93" s="11">
        <v>21</v>
      </c>
      <c r="P93" s="11">
        <v>1009370.05</v>
      </c>
      <c r="Q93" s="11">
        <v>61160.56</v>
      </c>
      <c r="R93" s="11">
        <v>19</v>
      </c>
      <c r="S93" s="11">
        <v>1</v>
      </c>
      <c r="T93" s="11">
        <v>20</v>
      </c>
      <c r="U93" s="11">
        <v>0</v>
      </c>
      <c r="V93" s="11">
        <v>8</v>
      </c>
      <c r="W93" s="11">
        <v>9</v>
      </c>
      <c r="X93" s="11">
        <v>65</v>
      </c>
      <c r="Y93" s="11">
        <v>1</v>
      </c>
      <c r="Z93" s="11">
        <v>4</v>
      </c>
      <c r="AA93" s="11">
        <v>0</v>
      </c>
      <c r="AB93" s="11">
        <v>0</v>
      </c>
      <c r="AC93" s="11">
        <v>0</v>
      </c>
      <c r="AD93" s="11">
        <v>0</v>
      </c>
      <c r="AE93" s="11">
        <v>124</v>
      </c>
      <c r="AF93" s="11">
        <v>137</v>
      </c>
      <c r="AG93" s="11">
        <v>24</v>
      </c>
      <c r="AH93" s="3">
        <f t="shared" si="0"/>
        <v>44605.442083333335</v>
      </c>
      <c r="AI93" s="3">
        <f t="shared" si="1"/>
        <v>5.708333333333333</v>
      </c>
      <c r="AJ93" s="11">
        <v>0</v>
      </c>
      <c r="AK93" s="11">
        <v>0</v>
      </c>
      <c r="AL93" s="181">
        <f t="shared" si="2"/>
        <v>0</v>
      </c>
      <c r="AM93" s="11">
        <v>53527</v>
      </c>
      <c r="AN93" s="181">
        <f t="shared" si="3"/>
        <v>0.71368707333333337</v>
      </c>
      <c r="AO93" s="182">
        <v>0</v>
      </c>
      <c r="AP93" s="11">
        <v>30</v>
      </c>
      <c r="AQ93" s="11">
        <v>263</v>
      </c>
      <c r="AR93" s="11">
        <v>1424.98</v>
      </c>
      <c r="AS93" s="11">
        <v>1</v>
      </c>
      <c r="AT93" s="11">
        <v>34</v>
      </c>
      <c r="AV93" s="11" t="str">
        <f t="shared" si="4"/>
        <v>Active</v>
      </c>
    </row>
    <row r="94" spans="1:48">
      <c r="A94" s="11" t="s">
        <v>201</v>
      </c>
      <c r="B94" s="11" t="s">
        <v>443</v>
      </c>
      <c r="C94" s="11" t="s">
        <v>203</v>
      </c>
      <c r="D94" s="11" t="s">
        <v>517</v>
      </c>
      <c r="E94" s="11" t="s">
        <v>550</v>
      </c>
      <c r="F94" s="45">
        <v>45124</v>
      </c>
      <c r="G94" s="11">
        <v>0</v>
      </c>
      <c r="H94" s="11">
        <v>1650000</v>
      </c>
      <c r="I94" s="11">
        <v>964604.3</v>
      </c>
      <c r="J94" s="11">
        <v>0</v>
      </c>
      <c r="K94" s="11">
        <v>40</v>
      </c>
      <c r="L94" s="11">
        <v>16</v>
      </c>
      <c r="M94" s="11">
        <v>0</v>
      </c>
      <c r="N94" s="11">
        <v>40</v>
      </c>
      <c r="O94" s="11">
        <v>24</v>
      </c>
      <c r="P94" s="11">
        <v>964604.3</v>
      </c>
      <c r="Q94" s="11">
        <v>0</v>
      </c>
      <c r="R94" s="11">
        <v>19</v>
      </c>
      <c r="S94" s="11">
        <v>0</v>
      </c>
      <c r="T94" s="11">
        <v>19</v>
      </c>
      <c r="U94" s="11">
        <v>0</v>
      </c>
      <c r="V94" s="11">
        <v>38</v>
      </c>
      <c r="W94" s="11">
        <v>50</v>
      </c>
      <c r="X94" s="11">
        <v>221</v>
      </c>
      <c r="Y94" s="11">
        <v>2</v>
      </c>
      <c r="Z94" s="11">
        <v>4</v>
      </c>
      <c r="AA94" s="11">
        <v>0</v>
      </c>
      <c r="AB94" s="11">
        <v>0</v>
      </c>
      <c r="AC94" s="11">
        <v>0</v>
      </c>
      <c r="AD94" s="11">
        <v>0</v>
      </c>
      <c r="AE94" s="11">
        <v>24</v>
      </c>
      <c r="AF94" s="11">
        <v>78</v>
      </c>
      <c r="AG94" s="11">
        <v>22</v>
      </c>
      <c r="AH94" s="3">
        <f t="shared" si="0"/>
        <v>43845.65</v>
      </c>
      <c r="AI94" s="3">
        <f t="shared" si="1"/>
        <v>3.5454545454545454</v>
      </c>
      <c r="AJ94" s="11">
        <v>0</v>
      </c>
      <c r="AK94" s="11">
        <v>0</v>
      </c>
      <c r="AL94" s="181">
        <f t="shared" si="2"/>
        <v>0</v>
      </c>
      <c r="AM94" s="11">
        <v>50769</v>
      </c>
      <c r="AN94" s="181">
        <f t="shared" si="3"/>
        <v>0.58460866666666667</v>
      </c>
      <c r="AO94" s="182">
        <v>0</v>
      </c>
      <c r="AP94" s="11">
        <v>32</v>
      </c>
      <c r="AQ94" s="11">
        <v>260</v>
      </c>
      <c r="AR94" s="11">
        <v>1730.89</v>
      </c>
      <c r="AS94" s="11">
        <v>0</v>
      </c>
      <c r="AT94" s="11">
        <v>108</v>
      </c>
      <c r="AV94" s="11" t="str">
        <f t="shared" si="4"/>
        <v>Active</v>
      </c>
    </row>
    <row r="95" spans="1:48">
      <c r="A95" s="11" t="s">
        <v>201</v>
      </c>
      <c r="B95" s="11" t="s">
        <v>431</v>
      </c>
      <c r="C95" s="11" t="s">
        <v>204</v>
      </c>
      <c r="D95" s="11" t="s">
        <v>431</v>
      </c>
      <c r="E95" s="11" t="s">
        <v>543</v>
      </c>
      <c r="F95" s="45">
        <v>45121</v>
      </c>
      <c r="G95" s="11">
        <v>0</v>
      </c>
      <c r="H95" s="11">
        <v>2208333</v>
      </c>
      <c r="I95" s="11">
        <v>2214153.42</v>
      </c>
      <c r="J95" s="11">
        <v>0</v>
      </c>
      <c r="K95" s="11">
        <v>64</v>
      </c>
      <c r="L95" s="11">
        <v>35</v>
      </c>
      <c r="M95" s="11">
        <v>1</v>
      </c>
      <c r="N95" s="11">
        <v>65</v>
      </c>
      <c r="O95" s="11">
        <v>30</v>
      </c>
      <c r="P95" s="11">
        <v>1859125.17</v>
      </c>
      <c r="Q95" s="11">
        <v>355028.25</v>
      </c>
      <c r="R95" s="11">
        <v>9</v>
      </c>
      <c r="S95" s="11">
        <v>1</v>
      </c>
      <c r="T95" s="11">
        <v>10</v>
      </c>
      <c r="U95" s="11">
        <v>0</v>
      </c>
      <c r="V95" s="11">
        <v>7</v>
      </c>
      <c r="W95" s="11">
        <v>7</v>
      </c>
      <c r="X95" s="11">
        <v>82</v>
      </c>
      <c r="Y95" s="11">
        <v>2</v>
      </c>
      <c r="Z95" s="11">
        <v>4</v>
      </c>
      <c r="AA95" s="11">
        <v>0</v>
      </c>
      <c r="AB95" s="11">
        <v>0</v>
      </c>
      <c r="AC95" s="11">
        <v>0</v>
      </c>
      <c r="AD95" s="11">
        <v>0</v>
      </c>
      <c r="AE95" s="11">
        <v>62</v>
      </c>
      <c r="AF95" s="11">
        <v>73</v>
      </c>
      <c r="AG95" s="11">
        <v>25</v>
      </c>
      <c r="AH95" s="3">
        <f t="shared" si="0"/>
        <v>88566.136799999993</v>
      </c>
      <c r="AI95" s="3">
        <f t="shared" si="1"/>
        <v>2.92</v>
      </c>
      <c r="AJ95" s="11">
        <v>0</v>
      </c>
      <c r="AK95" s="11">
        <v>0</v>
      </c>
      <c r="AL95" s="181">
        <f t="shared" si="2"/>
        <v>0</v>
      </c>
      <c r="AM95" s="11">
        <v>221415</v>
      </c>
      <c r="AN95" s="181">
        <f t="shared" si="3"/>
        <v>1.0026356622846282</v>
      </c>
      <c r="AO95" s="182">
        <v>0</v>
      </c>
      <c r="AP95" s="11">
        <v>11</v>
      </c>
      <c r="AQ95" s="11">
        <v>216</v>
      </c>
      <c r="AR95" s="11">
        <v>635.26</v>
      </c>
      <c r="AS95" s="11">
        <v>1</v>
      </c>
      <c r="AT95" s="11">
        <v>18</v>
      </c>
      <c r="AV95" s="11" t="str">
        <f t="shared" si="4"/>
        <v>Active</v>
      </c>
    </row>
    <row r="96" spans="1:48">
      <c r="A96" s="11" t="s">
        <v>201</v>
      </c>
      <c r="B96" s="11" t="s">
        <v>431</v>
      </c>
      <c r="C96" s="11" t="s">
        <v>205</v>
      </c>
      <c r="D96" s="11" t="s">
        <v>431</v>
      </c>
      <c r="E96" s="11" t="s">
        <v>546</v>
      </c>
      <c r="F96" s="45">
        <v>45122</v>
      </c>
      <c r="G96" s="11">
        <v>0</v>
      </c>
      <c r="H96" s="11">
        <v>1791667</v>
      </c>
      <c r="I96" s="11">
        <v>1032737.59</v>
      </c>
      <c r="J96" s="11">
        <v>0</v>
      </c>
      <c r="K96" s="11">
        <v>48</v>
      </c>
      <c r="L96" s="11">
        <v>37</v>
      </c>
      <c r="M96" s="11">
        <v>5</v>
      </c>
      <c r="N96" s="11">
        <v>53</v>
      </c>
      <c r="O96" s="11">
        <v>16</v>
      </c>
      <c r="P96" s="11">
        <v>831912.24</v>
      </c>
      <c r="Q96" s="11">
        <v>200825.35</v>
      </c>
      <c r="R96" s="11">
        <v>15</v>
      </c>
      <c r="S96" s="11">
        <v>5</v>
      </c>
      <c r="T96" s="11">
        <v>20</v>
      </c>
      <c r="U96" s="11">
        <v>0</v>
      </c>
      <c r="V96" s="11">
        <v>19</v>
      </c>
      <c r="W96" s="11">
        <v>24</v>
      </c>
      <c r="X96" s="11">
        <v>323</v>
      </c>
      <c r="Y96" s="11">
        <v>2</v>
      </c>
      <c r="Z96" s="11">
        <v>3</v>
      </c>
      <c r="AA96" s="11">
        <v>0</v>
      </c>
      <c r="AB96" s="11">
        <v>0</v>
      </c>
      <c r="AC96" s="11">
        <v>0</v>
      </c>
      <c r="AD96" s="11">
        <v>0</v>
      </c>
      <c r="AE96" s="11">
        <v>127</v>
      </c>
      <c r="AF96" s="11">
        <v>154</v>
      </c>
      <c r="AG96" s="11">
        <v>25</v>
      </c>
      <c r="AH96" s="3">
        <f t="shared" si="0"/>
        <v>41309.503599999996</v>
      </c>
      <c r="AI96" s="3">
        <f t="shared" si="1"/>
        <v>6.16</v>
      </c>
      <c r="AJ96" s="11">
        <v>0</v>
      </c>
      <c r="AK96" s="11">
        <v>0</v>
      </c>
      <c r="AL96" s="181">
        <f t="shared" si="2"/>
        <v>0</v>
      </c>
      <c r="AM96" s="11">
        <v>51637</v>
      </c>
      <c r="AN96" s="181">
        <f t="shared" si="3"/>
        <v>0.57641157090017281</v>
      </c>
      <c r="AO96" s="182">
        <v>0</v>
      </c>
      <c r="AP96" s="11">
        <v>23</v>
      </c>
      <c r="AQ96" s="11">
        <v>172</v>
      </c>
      <c r="AR96" s="11">
        <v>1011.58</v>
      </c>
      <c r="AS96" s="11">
        <v>5</v>
      </c>
      <c r="AT96" s="11">
        <v>27</v>
      </c>
      <c r="AV96" s="11" t="str">
        <f t="shared" si="4"/>
        <v>Active</v>
      </c>
    </row>
    <row r="97" spans="1:48">
      <c r="A97" s="11" t="s">
        <v>201</v>
      </c>
      <c r="B97" s="11" t="s">
        <v>469</v>
      </c>
      <c r="C97" s="11" t="s">
        <v>208</v>
      </c>
      <c r="D97" s="11" t="s">
        <v>432</v>
      </c>
      <c r="E97" s="11" t="s">
        <v>552</v>
      </c>
      <c r="F97" s="45">
        <v>45145</v>
      </c>
      <c r="G97" s="11">
        <v>0</v>
      </c>
      <c r="H97" s="11">
        <v>1833333</v>
      </c>
      <c r="I97" s="11">
        <v>1404138.01</v>
      </c>
      <c r="J97" s="11">
        <v>0</v>
      </c>
      <c r="K97" s="11">
        <v>64</v>
      </c>
      <c r="L97" s="11">
        <v>35</v>
      </c>
      <c r="M97" s="11">
        <v>2</v>
      </c>
      <c r="N97" s="11">
        <v>66</v>
      </c>
      <c r="O97" s="11">
        <v>31</v>
      </c>
      <c r="P97" s="11">
        <v>1330995.1599999999</v>
      </c>
      <c r="Q97" s="11">
        <v>73142.850000000006</v>
      </c>
      <c r="R97" s="11">
        <v>30</v>
      </c>
      <c r="S97" s="11">
        <v>2</v>
      </c>
      <c r="T97" s="11">
        <v>32</v>
      </c>
      <c r="U97" s="11">
        <v>0</v>
      </c>
      <c r="V97" s="11">
        <v>6</v>
      </c>
      <c r="W97" s="11">
        <v>7</v>
      </c>
      <c r="X97" s="11">
        <v>185</v>
      </c>
      <c r="Y97" s="11">
        <v>2</v>
      </c>
      <c r="Z97" s="11">
        <v>12</v>
      </c>
      <c r="AA97" s="11">
        <v>0</v>
      </c>
      <c r="AB97" s="11">
        <v>0</v>
      </c>
      <c r="AC97" s="11">
        <v>0</v>
      </c>
      <c r="AD97" s="11">
        <v>0</v>
      </c>
      <c r="AE97" s="11">
        <v>62</v>
      </c>
      <c r="AF97" s="11">
        <v>81</v>
      </c>
      <c r="AG97" s="11">
        <v>26</v>
      </c>
      <c r="AH97" s="3">
        <f t="shared" si="0"/>
        <v>54005.30807692308</v>
      </c>
      <c r="AI97" s="3">
        <f t="shared" si="1"/>
        <v>3.1153846153846154</v>
      </c>
      <c r="AJ97" s="11">
        <v>1</v>
      </c>
      <c r="AK97" s="11">
        <v>0</v>
      </c>
      <c r="AL97" s="181">
        <f t="shared" si="2"/>
        <v>7.1218070651046613E-7</v>
      </c>
      <c r="AM97" s="11">
        <v>43879</v>
      </c>
      <c r="AN97" s="181">
        <f t="shared" si="3"/>
        <v>0.76589359925338174</v>
      </c>
      <c r="AO97" s="182">
        <v>0</v>
      </c>
      <c r="AP97" s="11">
        <v>70</v>
      </c>
      <c r="AQ97" s="11">
        <v>240</v>
      </c>
      <c r="AR97" s="11">
        <v>1183.5</v>
      </c>
      <c r="AS97" s="11">
        <v>2</v>
      </c>
      <c r="AT97" s="11">
        <v>34</v>
      </c>
      <c r="AV97" s="11" t="str">
        <f t="shared" si="4"/>
        <v>Active</v>
      </c>
    </row>
    <row r="98" spans="1:48">
      <c r="A98" s="11" t="s">
        <v>118</v>
      </c>
      <c r="B98" s="11" t="s">
        <v>362</v>
      </c>
      <c r="C98" s="11" t="s">
        <v>210</v>
      </c>
      <c r="D98" s="11" t="s">
        <v>419</v>
      </c>
      <c r="E98" s="11" t="s">
        <v>553</v>
      </c>
      <c r="F98" s="45">
        <v>45148</v>
      </c>
      <c r="G98" s="11">
        <v>0</v>
      </c>
      <c r="H98" s="11">
        <v>1733333</v>
      </c>
      <c r="I98" s="11">
        <v>1060032.06</v>
      </c>
      <c r="J98" s="11">
        <v>0</v>
      </c>
      <c r="K98" s="11">
        <v>97</v>
      </c>
      <c r="L98" s="11">
        <v>80</v>
      </c>
      <c r="M98" s="11">
        <v>1</v>
      </c>
      <c r="N98" s="11">
        <v>98</v>
      </c>
      <c r="O98" s="11">
        <v>18</v>
      </c>
      <c r="P98" s="11">
        <v>954244.56</v>
      </c>
      <c r="Q98" s="11">
        <v>105787.5</v>
      </c>
      <c r="R98" s="11">
        <v>12</v>
      </c>
      <c r="S98" s="11">
        <v>1</v>
      </c>
      <c r="T98" s="11">
        <v>13</v>
      </c>
      <c r="U98" s="11">
        <v>0</v>
      </c>
      <c r="V98" s="11">
        <v>18</v>
      </c>
      <c r="W98" s="11">
        <v>20</v>
      </c>
      <c r="X98" s="11">
        <v>229</v>
      </c>
      <c r="Y98" s="11">
        <v>2</v>
      </c>
      <c r="Z98" s="11">
        <v>7</v>
      </c>
      <c r="AA98" s="11">
        <v>0</v>
      </c>
      <c r="AB98" s="11">
        <v>0</v>
      </c>
      <c r="AC98" s="11">
        <v>0</v>
      </c>
      <c r="AD98" s="11">
        <v>0</v>
      </c>
      <c r="AE98" s="11">
        <v>117</v>
      </c>
      <c r="AF98" s="11">
        <v>144</v>
      </c>
      <c r="AG98" s="11">
        <v>25</v>
      </c>
      <c r="AH98" s="3">
        <f t="shared" si="0"/>
        <v>42401.282400000004</v>
      </c>
      <c r="AI98" s="3">
        <f t="shared" si="1"/>
        <v>5.76</v>
      </c>
      <c r="AJ98" s="11">
        <v>0</v>
      </c>
      <c r="AK98" s="11">
        <v>0</v>
      </c>
      <c r="AL98" s="181">
        <f t="shared" si="2"/>
        <v>0</v>
      </c>
      <c r="AM98" s="11">
        <v>81541</v>
      </c>
      <c r="AN98" s="181">
        <f t="shared" si="3"/>
        <v>0.61155707529943759</v>
      </c>
      <c r="AO98" s="182">
        <v>0</v>
      </c>
      <c r="AP98" s="11">
        <v>14</v>
      </c>
      <c r="AQ98" s="11">
        <v>273</v>
      </c>
      <c r="AR98" s="11">
        <v>1778.27</v>
      </c>
      <c r="AS98" s="11">
        <v>1</v>
      </c>
      <c r="AT98" s="11">
        <v>22</v>
      </c>
      <c r="AV98" s="11" t="str">
        <f t="shared" si="4"/>
        <v>Active</v>
      </c>
    </row>
    <row r="99" spans="1:48">
      <c r="A99" s="11" t="s">
        <v>201</v>
      </c>
      <c r="B99" s="11" t="s">
        <v>469</v>
      </c>
      <c r="C99" s="11" t="s">
        <v>211</v>
      </c>
      <c r="D99" s="11" t="s">
        <v>470</v>
      </c>
      <c r="E99" s="11" t="s">
        <v>471</v>
      </c>
      <c r="F99" s="45">
        <v>45152</v>
      </c>
      <c r="G99" s="11">
        <v>0</v>
      </c>
      <c r="H99" s="11">
        <v>2000000</v>
      </c>
      <c r="I99" s="11">
        <v>1958940.4</v>
      </c>
      <c r="J99" s="11">
        <v>0</v>
      </c>
      <c r="K99" s="11">
        <v>102</v>
      </c>
      <c r="L99" s="11">
        <v>50</v>
      </c>
      <c r="M99" s="11">
        <v>9</v>
      </c>
      <c r="N99" s="11">
        <v>111</v>
      </c>
      <c r="O99" s="11">
        <v>61</v>
      </c>
      <c r="P99" s="11">
        <v>1550106.42</v>
      </c>
      <c r="Q99" s="11">
        <v>408833.98</v>
      </c>
      <c r="R99" s="11">
        <v>32</v>
      </c>
      <c r="S99" s="11">
        <v>7</v>
      </c>
      <c r="T99" s="11">
        <v>39</v>
      </c>
      <c r="U99" s="11">
        <v>0</v>
      </c>
      <c r="V99" s="11">
        <v>12</v>
      </c>
      <c r="W99" s="11">
        <v>12</v>
      </c>
      <c r="X99" s="11">
        <v>282</v>
      </c>
      <c r="Y99" s="11">
        <v>2</v>
      </c>
      <c r="Z99" s="11">
        <v>4</v>
      </c>
      <c r="AA99" s="11">
        <v>0</v>
      </c>
      <c r="AB99" s="11">
        <v>0</v>
      </c>
      <c r="AC99" s="11">
        <v>1</v>
      </c>
      <c r="AD99" s="11">
        <v>5</v>
      </c>
      <c r="AE99" s="11">
        <v>65</v>
      </c>
      <c r="AF99" s="11">
        <v>86</v>
      </c>
      <c r="AG99" s="11">
        <v>25</v>
      </c>
      <c r="AH99" s="3">
        <f t="shared" si="0"/>
        <v>78357.615999999995</v>
      </c>
      <c r="AI99" s="3">
        <f t="shared" si="1"/>
        <v>3.44</v>
      </c>
      <c r="AJ99" s="11">
        <v>0</v>
      </c>
      <c r="AK99" s="11">
        <v>0</v>
      </c>
      <c r="AL99" s="181">
        <f t="shared" si="2"/>
        <v>0</v>
      </c>
      <c r="AM99" s="11">
        <v>50229</v>
      </c>
      <c r="AN99" s="181">
        <f t="shared" si="3"/>
        <v>0.97947019999999996</v>
      </c>
      <c r="AO99" s="182">
        <v>0</v>
      </c>
      <c r="AP99" s="11">
        <v>98</v>
      </c>
      <c r="AQ99" s="11">
        <v>214</v>
      </c>
      <c r="AR99" s="11">
        <v>1352.26</v>
      </c>
      <c r="AS99" s="11">
        <v>7</v>
      </c>
      <c r="AT99" s="11">
        <v>27</v>
      </c>
      <c r="AV99" s="11" t="str">
        <f t="shared" si="4"/>
        <v>Active</v>
      </c>
    </row>
    <row r="100" spans="1:48">
      <c r="A100" s="11" t="s">
        <v>124</v>
      </c>
      <c r="B100" s="11" t="s">
        <v>443</v>
      </c>
      <c r="C100" s="11" t="s">
        <v>212</v>
      </c>
      <c r="D100" s="11" t="s">
        <v>517</v>
      </c>
      <c r="E100" s="11" t="s">
        <v>554</v>
      </c>
      <c r="F100" s="45">
        <v>45159</v>
      </c>
      <c r="G100" s="11">
        <v>0</v>
      </c>
      <c r="H100" s="11">
        <v>1500000</v>
      </c>
      <c r="I100" s="11">
        <v>1009615.02</v>
      </c>
      <c r="J100" s="11">
        <v>0</v>
      </c>
      <c r="K100" s="11">
        <v>69</v>
      </c>
      <c r="L100" s="11">
        <v>58</v>
      </c>
      <c r="M100" s="11">
        <v>0</v>
      </c>
      <c r="N100" s="11">
        <v>69</v>
      </c>
      <c r="O100" s="11">
        <v>11</v>
      </c>
      <c r="P100" s="11">
        <v>1009615.02</v>
      </c>
      <c r="Q100" s="11">
        <v>0</v>
      </c>
      <c r="R100" s="11">
        <v>18</v>
      </c>
      <c r="S100" s="11">
        <v>0</v>
      </c>
      <c r="T100" s="11">
        <v>18</v>
      </c>
      <c r="U100" s="11">
        <v>0</v>
      </c>
      <c r="V100" s="11">
        <v>23</v>
      </c>
      <c r="W100" s="11">
        <v>25</v>
      </c>
      <c r="X100" s="11">
        <v>153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132</v>
      </c>
      <c r="AF100" s="11">
        <v>157</v>
      </c>
      <c r="AG100" s="11">
        <v>26</v>
      </c>
      <c r="AH100" s="3">
        <f t="shared" si="0"/>
        <v>38831.346923076926</v>
      </c>
      <c r="AI100" s="3">
        <f t="shared" si="1"/>
        <v>6.0384615384615383</v>
      </c>
      <c r="AJ100" s="11">
        <v>0</v>
      </c>
      <c r="AK100" s="11">
        <v>0</v>
      </c>
      <c r="AL100" s="181">
        <f t="shared" si="2"/>
        <v>0</v>
      </c>
      <c r="AM100" s="11">
        <v>56090</v>
      </c>
      <c r="AN100" s="181">
        <f t="shared" si="3"/>
        <v>0.67307667999999998</v>
      </c>
      <c r="AO100" s="182">
        <v>0</v>
      </c>
      <c r="AP100" s="11">
        <v>28</v>
      </c>
      <c r="AQ100" s="11">
        <v>277</v>
      </c>
      <c r="AR100" s="11">
        <v>2396.59</v>
      </c>
      <c r="AS100" s="11">
        <v>0</v>
      </c>
      <c r="AT100" s="11">
        <v>41</v>
      </c>
      <c r="AV100" s="11" t="str">
        <f t="shared" si="4"/>
        <v>Active</v>
      </c>
    </row>
    <row r="101" spans="1:48">
      <c r="A101" s="11" t="s">
        <v>118</v>
      </c>
      <c r="B101" s="11" t="s">
        <v>468</v>
      </c>
      <c r="C101" s="11" t="s">
        <v>213</v>
      </c>
      <c r="D101" s="11" t="s">
        <v>515</v>
      </c>
      <c r="E101" s="11" t="s">
        <v>555</v>
      </c>
      <c r="F101" s="45">
        <v>45170</v>
      </c>
      <c r="G101" s="11">
        <v>0</v>
      </c>
      <c r="H101" s="11">
        <v>0</v>
      </c>
      <c r="I101" s="11">
        <v>0</v>
      </c>
      <c r="J101" s="11">
        <v>0</v>
      </c>
      <c r="K101" s="11">
        <v>172</v>
      </c>
      <c r="L101" s="11">
        <v>48</v>
      </c>
      <c r="M101" s="11">
        <v>3</v>
      </c>
      <c r="N101" s="11">
        <v>175</v>
      </c>
      <c r="O101" s="11">
        <v>127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15</v>
      </c>
      <c r="W101" s="11">
        <v>15</v>
      </c>
      <c r="X101" s="11">
        <v>44</v>
      </c>
      <c r="Y101" s="11">
        <v>4</v>
      </c>
      <c r="Z101" s="11">
        <v>16</v>
      </c>
      <c r="AA101" s="11">
        <v>0</v>
      </c>
      <c r="AB101" s="11">
        <v>0</v>
      </c>
      <c r="AC101" s="11">
        <v>0</v>
      </c>
      <c r="AD101" s="11">
        <v>0</v>
      </c>
      <c r="AE101" s="11">
        <v>56</v>
      </c>
      <c r="AF101" s="11">
        <v>87</v>
      </c>
      <c r="AG101" s="11">
        <v>26</v>
      </c>
      <c r="AH101" s="3">
        <f t="shared" si="0"/>
        <v>0</v>
      </c>
      <c r="AI101" s="3">
        <f t="shared" si="1"/>
        <v>3.3461538461538463</v>
      </c>
      <c r="AJ101" s="11">
        <v>0</v>
      </c>
      <c r="AK101" s="11">
        <v>0</v>
      </c>
      <c r="AL101" s="181" t="str">
        <f t="shared" si="2"/>
        <v/>
      </c>
      <c r="AM101" s="11">
        <v>0</v>
      </c>
      <c r="AN101" s="181" t="str">
        <f t="shared" si="3"/>
        <v/>
      </c>
      <c r="AO101" s="182">
        <v>0</v>
      </c>
      <c r="AP101" s="11">
        <v>0</v>
      </c>
      <c r="AQ101" s="11">
        <v>257</v>
      </c>
      <c r="AR101" s="11">
        <v>1568.97</v>
      </c>
      <c r="AS101" s="11">
        <v>0</v>
      </c>
      <c r="AT101" s="11">
        <v>33</v>
      </c>
      <c r="AV101" s="11" t="str">
        <f t="shared" si="4"/>
        <v>Active</v>
      </c>
    </row>
    <row r="102" spans="1:48">
      <c r="A102" s="11" t="s">
        <v>201</v>
      </c>
      <c r="B102" s="11" t="s">
        <v>431</v>
      </c>
      <c r="C102" s="11" t="s">
        <v>214</v>
      </c>
      <c r="D102" s="11" t="s">
        <v>556</v>
      </c>
      <c r="E102" s="11" t="s">
        <v>557</v>
      </c>
      <c r="F102" s="45">
        <v>45171</v>
      </c>
      <c r="G102" s="11">
        <v>0</v>
      </c>
      <c r="H102" s="11">
        <v>1000000</v>
      </c>
      <c r="I102" s="11">
        <v>235072.68</v>
      </c>
      <c r="J102" s="11">
        <v>0</v>
      </c>
      <c r="K102" s="11">
        <v>24</v>
      </c>
      <c r="L102" s="11">
        <v>19</v>
      </c>
      <c r="M102" s="11">
        <v>0</v>
      </c>
      <c r="N102" s="11">
        <v>24</v>
      </c>
      <c r="O102" s="11">
        <v>5</v>
      </c>
      <c r="P102" s="11">
        <v>235072.68</v>
      </c>
      <c r="Q102" s="11">
        <v>0</v>
      </c>
      <c r="R102" s="11">
        <v>9</v>
      </c>
      <c r="S102" s="11">
        <v>0</v>
      </c>
      <c r="T102" s="11">
        <v>9</v>
      </c>
      <c r="U102" s="11">
        <v>0</v>
      </c>
      <c r="V102" s="11">
        <v>21</v>
      </c>
      <c r="W102" s="11">
        <v>25</v>
      </c>
      <c r="X102" s="11">
        <v>211</v>
      </c>
      <c r="Y102" s="11">
        <v>3</v>
      </c>
      <c r="Z102" s="11">
        <v>19</v>
      </c>
      <c r="AA102" s="11">
        <v>0</v>
      </c>
      <c r="AB102" s="11">
        <v>0</v>
      </c>
      <c r="AC102" s="11">
        <v>9</v>
      </c>
      <c r="AD102" s="11">
        <v>18</v>
      </c>
      <c r="AE102" s="11">
        <v>62</v>
      </c>
      <c r="AF102" s="11">
        <v>124</v>
      </c>
      <c r="AG102" s="11">
        <v>27</v>
      </c>
      <c r="AH102" s="3">
        <f t="shared" si="0"/>
        <v>8706.3955555555549</v>
      </c>
      <c r="AI102" s="3">
        <f t="shared" si="1"/>
        <v>4.5925925925925926</v>
      </c>
      <c r="AJ102" s="11">
        <v>1</v>
      </c>
      <c r="AK102" s="11">
        <v>0</v>
      </c>
      <c r="AL102" s="181">
        <f t="shared" si="2"/>
        <v>4.2540034852199754E-6</v>
      </c>
      <c r="AM102" s="11">
        <v>26119</v>
      </c>
      <c r="AN102" s="181">
        <f t="shared" si="3"/>
        <v>0.23507268000000001</v>
      </c>
      <c r="AO102" s="182">
        <v>0</v>
      </c>
      <c r="AP102" s="11">
        <v>11</v>
      </c>
      <c r="AQ102" s="11">
        <v>268</v>
      </c>
      <c r="AR102" s="11">
        <v>1367.01</v>
      </c>
      <c r="AS102" s="11">
        <v>0</v>
      </c>
      <c r="AT102" s="11">
        <v>72</v>
      </c>
      <c r="AV102" s="11" t="str">
        <f t="shared" si="4"/>
        <v>Active</v>
      </c>
    </row>
    <row r="103" spans="1:48">
      <c r="A103" s="11" t="s">
        <v>118</v>
      </c>
      <c r="B103" s="11" t="s">
        <v>468</v>
      </c>
      <c r="C103" s="11" t="s">
        <v>215</v>
      </c>
      <c r="D103" s="11" t="s">
        <v>509</v>
      </c>
      <c r="E103" s="11" t="s">
        <v>558</v>
      </c>
      <c r="F103" s="45">
        <v>45184</v>
      </c>
      <c r="G103" s="11">
        <v>0</v>
      </c>
      <c r="H103" s="11">
        <v>1858333</v>
      </c>
      <c r="I103" s="11">
        <v>1216153.75</v>
      </c>
      <c r="J103" s="11">
        <v>0</v>
      </c>
      <c r="K103" s="11">
        <v>47</v>
      </c>
      <c r="L103" s="11">
        <v>35</v>
      </c>
      <c r="M103" s="11">
        <v>1</v>
      </c>
      <c r="N103" s="11">
        <v>48</v>
      </c>
      <c r="O103" s="11">
        <v>13</v>
      </c>
      <c r="P103" s="11">
        <v>1203226.71</v>
      </c>
      <c r="Q103" s="11">
        <v>12927.04</v>
      </c>
      <c r="R103" s="11">
        <v>15</v>
      </c>
      <c r="S103" s="11">
        <v>1</v>
      </c>
      <c r="T103" s="11">
        <v>16</v>
      </c>
      <c r="U103" s="11">
        <v>0</v>
      </c>
      <c r="V103" s="11">
        <v>8</v>
      </c>
      <c r="W103" s="11">
        <v>9</v>
      </c>
      <c r="X103" s="11">
        <v>109</v>
      </c>
      <c r="Y103" s="11">
        <v>1</v>
      </c>
      <c r="Z103" s="11">
        <v>1</v>
      </c>
      <c r="AA103" s="11">
        <v>0</v>
      </c>
      <c r="AB103" s="11">
        <v>0</v>
      </c>
      <c r="AC103" s="11">
        <v>0</v>
      </c>
      <c r="AD103" s="11">
        <v>0</v>
      </c>
      <c r="AE103" s="11">
        <v>96</v>
      </c>
      <c r="AF103" s="11">
        <v>106</v>
      </c>
      <c r="AG103" s="11">
        <v>27</v>
      </c>
      <c r="AH103" s="3">
        <f t="shared" si="0"/>
        <v>45042.731481481482</v>
      </c>
      <c r="AI103" s="3">
        <f t="shared" si="1"/>
        <v>3.925925925925926</v>
      </c>
      <c r="AJ103" s="11">
        <v>0</v>
      </c>
      <c r="AK103" s="11">
        <v>0</v>
      </c>
      <c r="AL103" s="181">
        <f t="shared" si="2"/>
        <v>0</v>
      </c>
      <c r="AM103" s="11">
        <v>76010</v>
      </c>
      <c r="AN103" s="181">
        <f t="shared" si="3"/>
        <v>0.65443262859778095</v>
      </c>
      <c r="AO103" s="182">
        <v>0</v>
      </c>
      <c r="AP103" s="11">
        <v>24</v>
      </c>
      <c r="AQ103" s="11">
        <v>217</v>
      </c>
      <c r="AR103" s="11">
        <v>1465.72</v>
      </c>
      <c r="AS103" s="11">
        <v>1</v>
      </c>
      <c r="AT103" s="11">
        <v>42</v>
      </c>
      <c r="AV103" s="11" t="str">
        <f t="shared" si="4"/>
        <v>Active</v>
      </c>
    </row>
    <row r="104" spans="1:48">
      <c r="A104" s="11" t="s">
        <v>118</v>
      </c>
      <c r="B104" s="11" t="s">
        <v>372</v>
      </c>
      <c r="C104" s="11" t="s">
        <v>216</v>
      </c>
      <c r="D104" s="11" t="s">
        <v>356</v>
      </c>
      <c r="E104" s="11" t="s">
        <v>291</v>
      </c>
      <c r="F104" s="45">
        <v>45182</v>
      </c>
      <c r="G104" s="11">
        <v>0</v>
      </c>
      <c r="H104" s="11">
        <v>0</v>
      </c>
      <c r="I104" s="11">
        <v>0</v>
      </c>
      <c r="J104" s="11">
        <v>0</v>
      </c>
      <c r="K104" s="11">
        <v>46</v>
      </c>
      <c r="L104" s="11">
        <v>0</v>
      </c>
      <c r="M104" s="11">
        <v>0</v>
      </c>
      <c r="N104" s="11">
        <v>46</v>
      </c>
      <c r="O104" s="11">
        <v>46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89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3" t="str">
        <f t="shared" si="0"/>
        <v/>
      </c>
      <c r="AI104" s="3" t="str">
        <f t="shared" si="1"/>
        <v/>
      </c>
      <c r="AJ104" s="11" t="e">
        <v>#N/A</v>
      </c>
      <c r="AK104" s="11">
        <v>0</v>
      </c>
      <c r="AL104" s="181" t="str">
        <f t="shared" si="2"/>
        <v/>
      </c>
      <c r="AM104" s="11">
        <v>0</v>
      </c>
      <c r="AN104" s="181" t="str">
        <f t="shared" si="3"/>
        <v/>
      </c>
      <c r="AO104" s="182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86">
        <v>45421</v>
      </c>
      <c r="AV104" s="11" t="str">
        <f t="shared" si="4"/>
        <v>Left</v>
      </c>
    </row>
    <row r="105" spans="1:48">
      <c r="A105" s="11" t="s">
        <v>201</v>
      </c>
      <c r="B105" s="11" t="s">
        <v>431</v>
      </c>
      <c r="C105" s="11" t="s">
        <v>217</v>
      </c>
      <c r="D105" s="11" t="s">
        <v>431</v>
      </c>
      <c r="E105" s="11" t="s">
        <v>531</v>
      </c>
      <c r="F105" s="45">
        <v>45187</v>
      </c>
      <c r="G105" s="11">
        <v>0</v>
      </c>
      <c r="H105" s="11">
        <v>1833333</v>
      </c>
      <c r="I105" s="11">
        <v>733867.51</v>
      </c>
      <c r="J105" s="11">
        <v>0</v>
      </c>
      <c r="K105" s="11">
        <v>105</v>
      </c>
      <c r="L105" s="11">
        <v>61</v>
      </c>
      <c r="M105" s="11">
        <v>7</v>
      </c>
      <c r="N105" s="11">
        <v>112</v>
      </c>
      <c r="O105" s="11">
        <v>51</v>
      </c>
      <c r="P105" s="11">
        <v>653828.61</v>
      </c>
      <c r="Q105" s="11">
        <v>80038.899999999994</v>
      </c>
      <c r="R105" s="11">
        <v>32</v>
      </c>
      <c r="S105" s="11">
        <v>4</v>
      </c>
      <c r="T105" s="11">
        <v>36</v>
      </c>
      <c r="U105" s="11">
        <v>0</v>
      </c>
      <c r="V105" s="11">
        <v>8</v>
      </c>
      <c r="W105" s="11">
        <v>9</v>
      </c>
      <c r="X105" s="11">
        <v>204</v>
      </c>
      <c r="Y105" s="11">
        <v>3</v>
      </c>
      <c r="Z105" s="11">
        <v>12</v>
      </c>
      <c r="AA105" s="11">
        <v>0</v>
      </c>
      <c r="AB105" s="11">
        <v>0</v>
      </c>
      <c r="AC105" s="11">
        <v>0</v>
      </c>
      <c r="AD105" s="11">
        <v>0</v>
      </c>
      <c r="AE105" s="11">
        <v>98</v>
      </c>
      <c r="AF105" s="11">
        <v>119</v>
      </c>
      <c r="AG105" s="11">
        <v>25</v>
      </c>
      <c r="AH105" s="3">
        <f t="shared" si="0"/>
        <v>29354.700400000002</v>
      </c>
      <c r="AI105" s="3">
        <f t="shared" si="1"/>
        <v>4.76</v>
      </c>
      <c r="AJ105" s="11">
        <v>0</v>
      </c>
      <c r="AK105" s="11">
        <v>0</v>
      </c>
      <c r="AL105" s="181">
        <f t="shared" si="2"/>
        <v>0</v>
      </c>
      <c r="AM105" s="11">
        <v>20385</v>
      </c>
      <c r="AN105" s="181">
        <f t="shared" si="3"/>
        <v>0.40029144187117127</v>
      </c>
      <c r="AO105" s="182">
        <v>0</v>
      </c>
      <c r="AP105" s="11">
        <v>59</v>
      </c>
      <c r="AQ105" s="11">
        <v>235</v>
      </c>
      <c r="AR105" s="11">
        <v>973.24</v>
      </c>
      <c r="AS105" s="11">
        <v>4</v>
      </c>
      <c r="AT105" s="11">
        <v>16</v>
      </c>
      <c r="AV105" s="11" t="str">
        <f t="shared" si="4"/>
        <v>Active</v>
      </c>
    </row>
    <row r="106" spans="1:48">
      <c r="A106" s="11" t="s">
        <v>118</v>
      </c>
      <c r="B106" s="11" t="s">
        <v>362</v>
      </c>
      <c r="C106" s="11" t="s">
        <v>218</v>
      </c>
      <c r="D106" s="11" t="s">
        <v>559</v>
      </c>
      <c r="E106" s="11" t="s">
        <v>560</v>
      </c>
      <c r="F106" s="45">
        <v>45202</v>
      </c>
      <c r="G106" s="11">
        <v>0</v>
      </c>
      <c r="H106" s="11">
        <v>1500000</v>
      </c>
      <c r="I106" s="11">
        <v>1095172.43</v>
      </c>
      <c r="J106" s="11">
        <v>0</v>
      </c>
      <c r="K106" s="11">
        <v>39</v>
      </c>
      <c r="L106" s="11">
        <v>29</v>
      </c>
      <c r="M106" s="11">
        <v>0</v>
      </c>
      <c r="N106" s="11">
        <v>39</v>
      </c>
      <c r="O106" s="11">
        <v>10</v>
      </c>
      <c r="P106" s="11">
        <v>1095172.43</v>
      </c>
      <c r="Q106" s="11">
        <v>0</v>
      </c>
      <c r="R106" s="11">
        <v>10</v>
      </c>
      <c r="S106" s="11">
        <v>0</v>
      </c>
      <c r="T106" s="11">
        <v>10</v>
      </c>
      <c r="U106" s="11">
        <v>0</v>
      </c>
      <c r="V106" s="11">
        <v>1</v>
      </c>
      <c r="W106" s="11">
        <v>2</v>
      </c>
      <c r="X106" s="11">
        <v>74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102</v>
      </c>
      <c r="AF106" s="11">
        <v>104</v>
      </c>
      <c r="AG106" s="11">
        <v>21</v>
      </c>
      <c r="AH106" s="3">
        <f t="shared" si="0"/>
        <v>52151.068095238094</v>
      </c>
      <c r="AI106" s="3">
        <f t="shared" si="1"/>
        <v>4.9523809523809526</v>
      </c>
      <c r="AJ106" s="11">
        <v>0</v>
      </c>
      <c r="AK106" s="11">
        <v>0</v>
      </c>
      <c r="AL106" s="181">
        <f t="shared" si="2"/>
        <v>0</v>
      </c>
      <c r="AM106" s="11">
        <v>109517</v>
      </c>
      <c r="AN106" s="181">
        <f t="shared" si="3"/>
        <v>0.73011495333333332</v>
      </c>
      <c r="AO106" s="182">
        <v>0</v>
      </c>
      <c r="AP106" s="11">
        <v>24</v>
      </c>
      <c r="AQ106" s="11">
        <v>233</v>
      </c>
      <c r="AR106" s="11">
        <v>601.24</v>
      </c>
      <c r="AS106" s="11">
        <v>0</v>
      </c>
      <c r="AT106" s="11">
        <v>21</v>
      </c>
      <c r="AV106" s="11" t="str">
        <f t="shared" si="4"/>
        <v>Active</v>
      </c>
    </row>
    <row r="107" spans="1:48">
      <c r="A107" s="11" t="s">
        <v>118</v>
      </c>
      <c r="B107" s="11" t="s">
        <v>362</v>
      </c>
      <c r="C107" s="11" t="s">
        <v>219</v>
      </c>
      <c r="D107" s="11" t="s">
        <v>419</v>
      </c>
      <c r="E107" s="11" t="s">
        <v>539</v>
      </c>
      <c r="F107" s="45">
        <v>45202</v>
      </c>
      <c r="G107" s="11">
        <v>0</v>
      </c>
      <c r="H107" s="11">
        <v>0</v>
      </c>
      <c r="I107" s="11">
        <v>0</v>
      </c>
      <c r="J107" s="11">
        <v>0</v>
      </c>
      <c r="K107" s="11">
        <v>92</v>
      </c>
      <c r="L107" s="11">
        <v>43</v>
      </c>
      <c r="M107" s="11">
        <v>0</v>
      </c>
      <c r="N107" s="11">
        <v>92</v>
      </c>
      <c r="O107" s="11">
        <v>49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5</v>
      </c>
      <c r="W107" s="11">
        <v>6</v>
      </c>
      <c r="X107" s="11">
        <v>23</v>
      </c>
      <c r="Y107" s="11">
        <v>3</v>
      </c>
      <c r="Z107" s="11">
        <v>8</v>
      </c>
      <c r="AA107" s="11">
        <v>0</v>
      </c>
      <c r="AB107" s="11">
        <v>0</v>
      </c>
      <c r="AC107" s="11">
        <v>0</v>
      </c>
      <c r="AD107" s="11">
        <v>0</v>
      </c>
      <c r="AE107" s="11">
        <v>49</v>
      </c>
      <c r="AF107" s="11">
        <v>63</v>
      </c>
      <c r="AG107" s="11">
        <v>25</v>
      </c>
      <c r="AH107" s="3">
        <f t="shared" si="0"/>
        <v>0</v>
      </c>
      <c r="AI107" s="3">
        <f t="shared" si="1"/>
        <v>2.52</v>
      </c>
      <c r="AJ107" s="11">
        <v>1</v>
      </c>
      <c r="AK107" s="11">
        <v>0</v>
      </c>
      <c r="AL107" s="181" t="str">
        <f t="shared" si="2"/>
        <v/>
      </c>
      <c r="AM107" s="11">
        <v>0</v>
      </c>
      <c r="AN107" s="181" t="str">
        <f t="shared" si="3"/>
        <v/>
      </c>
      <c r="AO107" s="182">
        <v>0</v>
      </c>
      <c r="AP107" s="11">
        <v>0</v>
      </c>
      <c r="AQ107" s="11">
        <v>251</v>
      </c>
      <c r="AR107" s="11">
        <v>1695.33</v>
      </c>
      <c r="AS107" s="11">
        <v>0</v>
      </c>
      <c r="AT107" s="11">
        <v>39</v>
      </c>
      <c r="AV107" s="11" t="str">
        <f t="shared" si="4"/>
        <v>Active</v>
      </c>
    </row>
    <row r="108" spans="1:48">
      <c r="A108" s="11" t="s">
        <v>136</v>
      </c>
      <c r="B108" s="11" t="s">
        <v>653</v>
      </c>
      <c r="C108" s="11" t="s">
        <v>220</v>
      </c>
      <c r="D108" s="11" t="s">
        <v>421</v>
      </c>
      <c r="E108" s="11" t="s">
        <v>424</v>
      </c>
      <c r="F108" s="45">
        <v>45208</v>
      </c>
      <c r="G108" s="11">
        <v>166667</v>
      </c>
      <c r="H108" s="11">
        <v>1000000</v>
      </c>
      <c r="I108" s="11">
        <v>126287.56</v>
      </c>
      <c r="J108" s="11">
        <v>0</v>
      </c>
      <c r="K108" s="11">
        <v>21</v>
      </c>
      <c r="L108" s="11">
        <v>19</v>
      </c>
      <c r="M108" s="11">
        <v>0</v>
      </c>
      <c r="N108" s="11">
        <v>21</v>
      </c>
      <c r="O108" s="11">
        <v>2</v>
      </c>
      <c r="P108" s="11">
        <v>126287.56</v>
      </c>
      <c r="Q108" s="11">
        <v>0</v>
      </c>
      <c r="R108" s="11">
        <v>7</v>
      </c>
      <c r="S108" s="11">
        <v>0</v>
      </c>
      <c r="T108" s="11">
        <v>7</v>
      </c>
      <c r="U108" s="11">
        <v>0</v>
      </c>
      <c r="V108" s="11">
        <v>2</v>
      </c>
      <c r="W108" s="11">
        <v>2</v>
      </c>
      <c r="X108" s="11">
        <v>117</v>
      </c>
      <c r="Y108" s="11">
        <v>1</v>
      </c>
      <c r="Z108" s="11">
        <v>3</v>
      </c>
      <c r="AA108" s="11">
        <v>1</v>
      </c>
      <c r="AB108" s="11">
        <v>4</v>
      </c>
      <c r="AC108" s="11">
        <v>0</v>
      </c>
      <c r="AD108" s="11">
        <v>0</v>
      </c>
      <c r="AE108" s="11">
        <v>73</v>
      </c>
      <c r="AF108" s="11">
        <v>82</v>
      </c>
      <c r="AG108" s="11">
        <v>24</v>
      </c>
      <c r="AH108" s="3">
        <f t="shared" si="0"/>
        <v>5261.9816666666666</v>
      </c>
      <c r="AI108" s="3">
        <f t="shared" si="1"/>
        <v>3.4166666666666665</v>
      </c>
      <c r="AJ108" s="11">
        <v>2</v>
      </c>
      <c r="AK108" s="11">
        <v>0</v>
      </c>
      <c r="AL108" s="181">
        <f t="shared" si="2"/>
        <v>1.5836872610413884E-5</v>
      </c>
      <c r="AM108" s="11">
        <v>18041</v>
      </c>
      <c r="AN108" s="181">
        <f t="shared" si="3"/>
        <v>0.10824644907244312</v>
      </c>
      <c r="AO108" s="182">
        <v>0</v>
      </c>
      <c r="AP108" s="11">
        <v>9</v>
      </c>
      <c r="AQ108" s="11">
        <v>227</v>
      </c>
      <c r="AR108" s="11">
        <v>822.88</v>
      </c>
      <c r="AS108" s="11">
        <v>0</v>
      </c>
      <c r="AT108" s="11">
        <v>43</v>
      </c>
      <c r="AV108" s="11" t="str">
        <f t="shared" si="4"/>
        <v>Active</v>
      </c>
    </row>
    <row r="109" spans="1:48">
      <c r="A109" s="11" t="s">
        <v>118</v>
      </c>
      <c r="B109" s="11" t="s">
        <v>372</v>
      </c>
      <c r="C109" s="11" t="s">
        <v>221</v>
      </c>
      <c r="D109" s="11" t="s">
        <v>515</v>
      </c>
      <c r="E109" s="11" t="s">
        <v>562</v>
      </c>
      <c r="F109" s="45">
        <v>45231</v>
      </c>
      <c r="G109" s="11">
        <v>0</v>
      </c>
      <c r="H109" s="11">
        <v>1500000</v>
      </c>
      <c r="I109" s="11">
        <v>0</v>
      </c>
      <c r="J109" s="11">
        <v>0</v>
      </c>
      <c r="K109" s="11">
        <v>38</v>
      </c>
      <c r="L109" s="11">
        <v>23</v>
      </c>
      <c r="M109" s="11">
        <v>0</v>
      </c>
      <c r="N109" s="11">
        <v>38</v>
      </c>
      <c r="O109" s="11">
        <v>15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4</v>
      </c>
      <c r="W109" s="11">
        <v>4</v>
      </c>
      <c r="X109" s="11">
        <v>80</v>
      </c>
      <c r="Y109" s="11">
        <v>1</v>
      </c>
      <c r="Z109" s="11">
        <v>10</v>
      </c>
      <c r="AA109" s="11">
        <v>0</v>
      </c>
      <c r="AB109" s="11">
        <v>0</v>
      </c>
      <c r="AC109" s="11">
        <v>0</v>
      </c>
      <c r="AD109" s="11">
        <v>0</v>
      </c>
      <c r="AE109" s="11">
        <v>55</v>
      </c>
      <c r="AF109" s="11">
        <v>69</v>
      </c>
      <c r="AG109" s="11">
        <v>15</v>
      </c>
      <c r="AH109" s="3">
        <f t="shared" si="0"/>
        <v>0</v>
      </c>
      <c r="AI109" s="3">
        <f t="shared" si="1"/>
        <v>4.5999999999999996</v>
      </c>
      <c r="AJ109" s="11">
        <v>0</v>
      </c>
      <c r="AK109" s="11">
        <v>0</v>
      </c>
      <c r="AL109" s="181" t="str">
        <f t="shared" si="2"/>
        <v/>
      </c>
      <c r="AM109" s="11">
        <v>0</v>
      </c>
      <c r="AN109" s="181">
        <f t="shared" si="3"/>
        <v>0</v>
      </c>
      <c r="AO109" s="182">
        <v>0</v>
      </c>
      <c r="AP109" s="11">
        <v>0</v>
      </c>
      <c r="AQ109" s="11">
        <v>161</v>
      </c>
      <c r="AR109" s="11">
        <v>752.1</v>
      </c>
      <c r="AS109" s="11">
        <v>0</v>
      </c>
      <c r="AT109" s="11">
        <v>33</v>
      </c>
      <c r="AV109" s="11" t="str">
        <f t="shared" si="4"/>
        <v>Active</v>
      </c>
    </row>
    <row r="110" spans="1:48">
      <c r="A110" s="11" t="s">
        <v>118</v>
      </c>
      <c r="B110" s="11" t="s">
        <v>372</v>
      </c>
      <c r="C110" s="11" t="s">
        <v>222</v>
      </c>
      <c r="D110" s="11" t="s">
        <v>447</v>
      </c>
      <c r="E110" s="11" t="s">
        <v>564</v>
      </c>
      <c r="F110" s="45">
        <v>45233</v>
      </c>
      <c r="G110" s="11">
        <v>0</v>
      </c>
      <c r="H110" s="11">
        <v>1500000</v>
      </c>
      <c r="I110" s="11">
        <v>1274827.8500000001</v>
      </c>
      <c r="J110" s="11">
        <v>0</v>
      </c>
      <c r="K110" s="11">
        <v>42</v>
      </c>
      <c r="L110" s="11">
        <v>34</v>
      </c>
      <c r="M110" s="11">
        <v>2</v>
      </c>
      <c r="N110" s="11">
        <v>44</v>
      </c>
      <c r="O110" s="11">
        <v>10</v>
      </c>
      <c r="P110" s="11">
        <v>1246644.0900000001</v>
      </c>
      <c r="Q110" s="11">
        <v>28183.759999999998</v>
      </c>
      <c r="R110" s="11">
        <v>23</v>
      </c>
      <c r="S110" s="11">
        <v>2</v>
      </c>
      <c r="T110" s="11">
        <v>25</v>
      </c>
      <c r="U110" s="11">
        <v>0</v>
      </c>
      <c r="V110" s="11">
        <v>7</v>
      </c>
      <c r="W110" s="11">
        <v>8</v>
      </c>
      <c r="X110" s="11">
        <v>81</v>
      </c>
      <c r="Y110" s="11">
        <v>1</v>
      </c>
      <c r="Z110" s="11">
        <v>9</v>
      </c>
      <c r="AA110" s="11">
        <v>2</v>
      </c>
      <c r="AB110" s="11">
        <v>3</v>
      </c>
      <c r="AC110" s="11">
        <v>1</v>
      </c>
      <c r="AD110" s="11">
        <v>1</v>
      </c>
      <c r="AE110" s="11">
        <v>57</v>
      </c>
      <c r="AF110" s="11">
        <v>78</v>
      </c>
      <c r="AG110" s="11">
        <v>26</v>
      </c>
      <c r="AH110" s="3">
        <f t="shared" si="0"/>
        <v>49031.840384615389</v>
      </c>
      <c r="AI110" s="3">
        <f t="shared" si="1"/>
        <v>3</v>
      </c>
      <c r="AJ110" s="11">
        <v>2</v>
      </c>
      <c r="AK110" s="11">
        <v>0</v>
      </c>
      <c r="AL110" s="181">
        <f t="shared" si="2"/>
        <v>1.5688392750440775E-6</v>
      </c>
      <c r="AM110" s="11">
        <v>50993</v>
      </c>
      <c r="AN110" s="181">
        <f t="shared" si="3"/>
        <v>0.84988523333333343</v>
      </c>
      <c r="AO110" s="182">
        <v>0</v>
      </c>
      <c r="AP110" s="11">
        <v>39</v>
      </c>
      <c r="AQ110" s="11">
        <v>260</v>
      </c>
      <c r="AR110" s="11">
        <v>1483.33</v>
      </c>
      <c r="AS110" s="11">
        <v>2</v>
      </c>
      <c r="AT110" s="11">
        <v>44</v>
      </c>
      <c r="AV110" s="11" t="str">
        <f t="shared" si="4"/>
        <v>Active</v>
      </c>
    </row>
    <row r="111" spans="1:48">
      <c r="A111" s="11" t="s">
        <v>118</v>
      </c>
      <c r="B111" s="11" t="s">
        <v>372</v>
      </c>
      <c r="C111" s="11" t="s">
        <v>223</v>
      </c>
      <c r="D111" s="11" t="s">
        <v>447</v>
      </c>
      <c r="E111" s="11" t="s">
        <v>565</v>
      </c>
      <c r="F111" s="45">
        <v>45236</v>
      </c>
      <c r="G111" s="11">
        <v>0</v>
      </c>
      <c r="H111" s="11">
        <v>1500000</v>
      </c>
      <c r="I111" s="11">
        <v>1110395</v>
      </c>
      <c r="J111" s="11">
        <v>0</v>
      </c>
      <c r="K111" s="11">
        <v>56</v>
      </c>
      <c r="L111" s="11">
        <v>37</v>
      </c>
      <c r="M111" s="11">
        <v>0</v>
      </c>
      <c r="N111" s="11">
        <v>56</v>
      </c>
      <c r="O111" s="11">
        <v>19</v>
      </c>
      <c r="P111" s="11">
        <v>1110395</v>
      </c>
      <c r="Q111" s="11">
        <v>0</v>
      </c>
      <c r="R111" s="11">
        <v>25</v>
      </c>
      <c r="S111" s="11">
        <v>0</v>
      </c>
      <c r="T111" s="11">
        <v>25</v>
      </c>
      <c r="U111" s="11">
        <v>0</v>
      </c>
      <c r="V111" s="11">
        <v>2</v>
      </c>
      <c r="W111" s="11">
        <v>2</v>
      </c>
      <c r="X111" s="11">
        <v>165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127</v>
      </c>
      <c r="AF111" s="11">
        <v>129</v>
      </c>
      <c r="AG111" s="11">
        <v>25</v>
      </c>
      <c r="AH111" s="3">
        <f t="shared" si="0"/>
        <v>44415.8</v>
      </c>
      <c r="AI111" s="3">
        <f t="shared" si="1"/>
        <v>5.16</v>
      </c>
      <c r="AJ111" s="11">
        <v>0</v>
      </c>
      <c r="AK111" s="11">
        <v>0</v>
      </c>
      <c r="AL111" s="181">
        <f t="shared" si="2"/>
        <v>0</v>
      </c>
      <c r="AM111" s="11">
        <v>44416</v>
      </c>
      <c r="AN111" s="181">
        <f t="shared" si="3"/>
        <v>0.74026333333333338</v>
      </c>
      <c r="AO111" s="182">
        <v>0</v>
      </c>
      <c r="AP111" s="11">
        <v>49</v>
      </c>
      <c r="AQ111" s="11">
        <v>184</v>
      </c>
      <c r="AR111" s="11">
        <v>1468.99</v>
      </c>
      <c r="AS111" s="11">
        <v>0</v>
      </c>
      <c r="AT111" s="11">
        <v>40</v>
      </c>
      <c r="AV111" s="11" t="str">
        <f t="shared" si="4"/>
        <v>Active</v>
      </c>
    </row>
    <row r="112" spans="1:48">
      <c r="A112" s="11" t="s">
        <v>118</v>
      </c>
      <c r="B112" s="11" t="s">
        <v>468</v>
      </c>
      <c r="C112" s="11" t="s">
        <v>224</v>
      </c>
      <c r="D112" s="11" t="s">
        <v>515</v>
      </c>
      <c r="E112" s="11" t="s">
        <v>566</v>
      </c>
      <c r="F112" s="45">
        <v>45236</v>
      </c>
      <c r="G112" s="11">
        <v>0</v>
      </c>
      <c r="H112" s="11">
        <v>1950000</v>
      </c>
      <c r="I112" s="11">
        <v>1148172.8500000001</v>
      </c>
      <c r="J112" s="11">
        <v>0</v>
      </c>
      <c r="K112" s="11">
        <v>29</v>
      </c>
      <c r="L112" s="11">
        <v>26</v>
      </c>
      <c r="M112" s="11">
        <v>0</v>
      </c>
      <c r="N112" s="11">
        <v>29</v>
      </c>
      <c r="O112" s="11">
        <v>3</v>
      </c>
      <c r="P112" s="11">
        <v>1148172.8500000001</v>
      </c>
      <c r="Q112" s="11">
        <v>0</v>
      </c>
      <c r="R112" s="11">
        <v>10</v>
      </c>
      <c r="S112" s="11">
        <v>0</v>
      </c>
      <c r="T112" s="11">
        <v>10</v>
      </c>
      <c r="U112" s="11">
        <v>0</v>
      </c>
      <c r="V112" s="11">
        <v>5</v>
      </c>
      <c r="W112" s="11">
        <v>5</v>
      </c>
      <c r="X112" s="11">
        <v>116</v>
      </c>
      <c r="Y112" s="11">
        <v>1</v>
      </c>
      <c r="Z112" s="11">
        <v>1</v>
      </c>
      <c r="AA112" s="11">
        <v>0</v>
      </c>
      <c r="AB112" s="11">
        <v>0</v>
      </c>
      <c r="AC112" s="11">
        <v>0</v>
      </c>
      <c r="AD112" s="11">
        <v>0</v>
      </c>
      <c r="AE112" s="11">
        <v>99</v>
      </c>
      <c r="AF112" s="11">
        <v>105</v>
      </c>
      <c r="AG112" s="11">
        <v>26</v>
      </c>
      <c r="AH112" s="3">
        <f t="shared" si="0"/>
        <v>44160.494230769233</v>
      </c>
      <c r="AI112" s="3">
        <f t="shared" si="1"/>
        <v>4.0384615384615383</v>
      </c>
      <c r="AJ112" s="11">
        <v>0</v>
      </c>
      <c r="AK112" s="11">
        <v>0</v>
      </c>
      <c r="AL112" s="181">
        <f t="shared" si="2"/>
        <v>0</v>
      </c>
      <c r="AM112" s="11">
        <v>114817</v>
      </c>
      <c r="AN112" s="181">
        <f t="shared" si="3"/>
        <v>0.58880658974358979</v>
      </c>
      <c r="AO112" s="182">
        <v>0</v>
      </c>
      <c r="AP112" s="11">
        <v>11</v>
      </c>
      <c r="AQ112" s="11">
        <v>261</v>
      </c>
      <c r="AR112" s="11">
        <v>1568.84</v>
      </c>
      <c r="AS112" s="11">
        <v>0</v>
      </c>
      <c r="AT112" s="11">
        <v>60</v>
      </c>
      <c r="AV112" s="11" t="str">
        <f t="shared" si="4"/>
        <v>Active</v>
      </c>
    </row>
    <row r="113" spans="1:48">
      <c r="A113" s="11" t="s">
        <v>120</v>
      </c>
      <c r="B113" s="11" t="s">
        <v>206</v>
      </c>
      <c r="C113" s="11" t="s">
        <v>180</v>
      </c>
      <c r="D113" s="11" t="s">
        <v>206</v>
      </c>
      <c r="E113" s="11" t="s">
        <v>182</v>
      </c>
      <c r="F113" s="45">
        <v>45261</v>
      </c>
      <c r="G113" s="11">
        <v>200000</v>
      </c>
      <c r="H113" s="11">
        <v>1200000</v>
      </c>
      <c r="I113" s="11">
        <v>1210763.82</v>
      </c>
      <c r="J113" s="11">
        <v>0</v>
      </c>
      <c r="K113" s="11">
        <v>80</v>
      </c>
      <c r="L113" s="11">
        <v>62</v>
      </c>
      <c r="M113" s="11">
        <v>4</v>
      </c>
      <c r="N113" s="11">
        <v>84</v>
      </c>
      <c r="O113" s="11">
        <v>22</v>
      </c>
      <c r="P113" s="11">
        <v>1018052.55</v>
      </c>
      <c r="Q113" s="11">
        <v>192711.27</v>
      </c>
      <c r="R113" s="11">
        <v>21</v>
      </c>
      <c r="S113" s="11">
        <v>4</v>
      </c>
      <c r="T113" s="11">
        <v>25</v>
      </c>
      <c r="U113" s="11">
        <v>0</v>
      </c>
      <c r="V113" s="11">
        <v>21</v>
      </c>
      <c r="W113" s="11">
        <v>26</v>
      </c>
      <c r="X113" s="11">
        <v>99</v>
      </c>
      <c r="Y113" s="11">
        <v>2</v>
      </c>
      <c r="Z113" s="11">
        <v>23</v>
      </c>
      <c r="AA113" s="11">
        <v>2</v>
      </c>
      <c r="AB113" s="11">
        <v>3</v>
      </c>
      <c r="AC113" s="11">
        <v>0</v>
      </c>
      <c r="AD113" s="11">
        <v>0</v>
      </c>
      <c r="AE113" s="11">
        <v>116</v>
      </c>
      <c r="AF113" s="11">
        <v>168</v>
      </c>
      <c r="AG113" s="11">
        <v>25</v>
      </c>
      <c r="AH113" s="3">
        <f t="shared" si="0"/>
        <v>48430.552800000005</v>
      </c>
      <c r="AI113" s="3">
        <f t="shared" si="1"/>
        <v>6.72</v>
      </c>
      <c r="AJ113" s="11">
        <v>5</v>
      </c>
      <c r="AK113" s="11">
        <v>0</v>
      </c>
      <c r="AL113" s="181">
        <f t="shared" si="2"/>
        <v>4.1296245538622057E-6</v>
      </c>
      <c r="AM113" s="11">
        <v>48431</v>
      </c>
      <c r="AN113" s="181">
        <f t="shared" si="3"/>
        <v>0.86483130000000008</v>
      </c>
      <c r="AO113" s="182">
        <v>0</v>
      </c>
      <c r="AP113" s="11">
        <v>28</v>
      </c>
      <c r="AQ113" s="11">
        <v>258</v>
      </c>
      <c r="AR113" s="11">
        <v>1559.87</v>
      </c>
      <c r="AS113" s="11">
        <v>4</v>
      </c>
      <c r="AT113" s="11">
        <v>25</v>
      </c>
      <c r="AV113" s="11" t="str">
        <f t="shared" si="4"/>
        <v>Active</v>
      </c>
    </row>
    <row r="114" spans="1:48">
      <c r="A114" s="11" t="s">
        <v>177</v>
      </c>
      <c r="B114" s="11" t="s">
        <v>364</v>
      </c>
      <c r="C114" s="11" t="s">
        <v>225</v>
      </c>
      <c r="D114" s="11" t="s">
        <v>568</v>
      </c>
      <c r="E114" s="11" t="s">
        <v>569</v>
      </c>
      <c r="F114" s="45">
        <v>45271</v>
      </c>
      <c r="G114" s="11">
        <v>0</v>
      </c>
      <c r="H114" s="11">
        <v>0</v>
      </c>
      <c r="I114" s="11">
        <v>0</v>
      </c>
      <c r="J114" s="11">
        <v>0</v>
      </c>
      <c r="K114" s="11">
        <v>63</v>
      </c>
      <c r="L114" s="11">
        <v>11</v>
      </c>
      <c r="M114" s="11">
        <v>0</v>
      </c>
      <c r="N114" s="11">
        <v>63</v>
      </c>
      <c r="O114" s="11">
        <v>52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2</v>
      </c>
      <c r="W114" s="11">
        <v>2</v>
      </c>
      <c r="X114" s="11">
        <v>86</v>
      </c>
      <c r="Y114" s="11">
        <v>6</v>
      </c>
      <c r="Z114" s="11">
        <v>16</v>
      </c>
      <c r="AA114" s="11">
        <v>0</v>
      </c>
      <c r="AB114" s="11">
        <v>0</v>
      </c>
      <c r="AC114" s="11">
        <v>29</v>
      </c>
      <c r="AD114" s="11">
        <v>35</v>
      </c>
      <c r="AE114" s="11">
        <v>11</v>
      </c>
      <c r="AF114" s="11">
        <v>64</v>
      </c>
      <c r="AG114" s="11">
        <v>24</v>
      </c>
      <c r="AH114" s="3">
        <f t="shared" si="0"/>
        <v>0</v>
      </c>
      <c r="AI114" s="3">
        <f t="shared" si="1"/>
        <v>2.6666666666666665</v>
      </c>
      <c r="AJ114" s="11">
        <v>0</v>
      </c>
      <c r="AK114" s="11">
        <v>0</v>
      </c>
      <c r="AL114" s="181" t="str">
        <f t="shared" si="2"/>
        <v/>
      </c>
      <c r="AM114" s="11">
        <v>0</v>
      </c>
      <c r="AN114" s="181" t="str">
        <f t="shared" si="3"/>
        <v/>
      </c>
      <c r="AO114" s="182">
        <v>0</v>
      </c>
      <c r="AP114" s="11">
        <v>0</v>
      </c>
      <c r="AQ114" s="11">
        <v>234</v>
      </c>
      <c r="AR114" s="11">
        <v>3809.19</v>
      </c>
      <c r="AS114" s="11">
        <v>0</v>
      </c>
      <c r="AT114" s="11">
        <v>346</v>
      </c>
      <c r="AV114" s="11" t="str">
        <f t="shared" si="4"/>
        <v>Active</v>
      </c>
    </row>
    <row r="115" spans="1:48">
      <c r="A115" s="11" t="s">
        <v>118</v>
      </c>
      <c r="B115" s="11" t="s">
        <v>359</v>
      </c>
      <c r="C115" s="11" t="s">
        <v>226</v>
      </c>
      <c r="D115" s="11" t="s">
        <v>442</v>
      </c>
      <c r="E115" s="11" t="s">
        <v>571</v>
      </c>
      <c r="F115" s="45">
        <v>45278</v>
      </c>
      <c r="G115" s="11">
        <v>0</v>
      </c>
      <c r="H115" s="11">
        <v>1700000</v>
      </c>
      <c r="I115" s="11">
        <v>1365694.65</v>
      </c>
      <c r="J115" s="11">
        <v>0</v>
      </c>
      <c r="K115" s="11">
        <v>64</v>
      </c>
      <c r="L115" s="11">
        <v>63</v>
      </c>
      <c r="M115" s="11">
        <v>3</v>
      </c>
      <c r="N115" s="11">
        <v>67</v>
      </c>
      <c r="O115" s="11">
        <v>4</v>
      </c>
      <c r="P115" s="11">
        <v>1095159.3400000001</v>
      </c>
      <c r="Q115" s="11">
        <v>270535.31</v>
      </c>
      <c r="R115" s="11">
        <v>14</v>
      </c>
      <c r="S115" s="11">
        <v>3</v>
      </c>
      <c r="T115" s="11">
        <v>17</v>
      </c>
      <c r="U115" s="11">
        <v>0</v>
      </c>
      <c r="V115" s="11">
        <v>16</v>
      </c>
      <c r="W115" s="11">
        <v>20</v>
      </c>
      <c r="X115" s="11">
        <v>106</v>
      </c>
      <c r="Y115" s="11">
        <v>1</v>
      </c>
      <c r="Z115" s="11">
        <v>2</v>
      </c>
      <c r="AA115" s="11">
        <v>0</v>
      </c>
      <c r="AB115" s="11">
        <v>0</v>
      </c>
      <c r="AC115" s="11">
        <v>0</v>
      </c>
      <c r="AD115" s="11">
        <v>0</v>
      </c>
      <c r="AE115" s="11">
        <v>126</v>
      </c>
      <c r="AF115" s="11">
        <v>148</v>
      </c>
      <c r="AG115" s="11">
        <v>26</v>
      </c>
      <c r="AH115" s="3">
        <f t="shared" si="0"/>
        <v>52526.717307692306</v>
      </c>
      <c r="AI115" s="3">
        <f t="shared" si="1"/>
        <v>5.6923076923076925</v>
      </c>
      <c r="AJ115" s="11">
        <v>0</v>
      </c>
      <c r="AK115" s="11">
        <v>0</v>
      </c>
      <c r="AL115" s="181">
        <f t="shared" si="2"/>
        <v>0</v>
      </c>
      <c r="AM115" s="11">
        <v>80335</v>
      </c>
      <c r="AN115" s="181">
        <f t="shared" si="3"/>
        <v>0.80334979411764695</v>
      </c>
      <c r="AO115" s="182">
        <v>0</v>
      </c>
      <c r="AP115" s="11">
        <v>30</v>
      </c>
      <c r="AQ115" s="11">
        <v>300</v>
      </c>
      <c r="AR115" s="11">
        <v>2393.23</v>
      </c>
      <c r="AS115" s="11">
        <v>3</v>
      </c>
      <c r="AT115" s="11">
        <v>38</v>
      </c>
      <c r="AV115" s="11" t="str">
        <f t="shared" si="4"/>
        <v>Active</v>
      </c>
    </row>
    <row r="116" spans="1:48">
      <c r="A116" s="11" t="s">
        <v>118</v>
      </c>
      <c r="B116" s="11" t="s">
        <v>484</v>
      </c>
      <c r="C116" s="11" t="s">
        <v>227</v>
      </c>
      <c r="D116" s="11" t="s">
        <v>572</v>
      </c>
      <c r="E116" s="11" t="s">
        <v>573</v>
      </c>
      <c r="F116" s="45">
        <v>45292</v>
      </c>
      <c r="G116" s="11">
        <v>0</v>
      </c>
      <c r="H116" s="11">
        <v>1500000</v>
      </c>
      <c r="I116" s="11">
        <v>1421428.32</v>
      </c>
      <c r="J116" s="11">
        <v>0</v>
      </c>
      <c r="K116" s="11">
        <v>42</v>
      </c>
      <c r="L116" s="11">
        <v>28</v>
      </c>
      <c r="M116" s="11">
        <v>0</v>
      </c>
      <c r="N116" s="11">
        <v>42</v>
      </c>
      <c r="O116" s="11">
        <v>14</v>
      </c>
      <c r="P116" s="11">
        <v>1421428.32</v>
      </c>
      <c r="Q116" s="11">
        <v>0</v>
      </c>
      <c r="R116" s="11">
        <v>16</v>
      </c>
      <c r="S116" s="11">
        <v>0</v>
      </c>
      <c r="T116" s="11">
        <v>16</v>
      </c>
      <c r="U116" s="11">
        <v>0</v>
      </c>
      <c r="V116" s="11">
        <v>9</v>
      </c>
      <c r="W116" s="11">
        <v>14</v>
      </c>
      <c r="X116" s="11">
        <v>78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130</v>
      </c>
      <c r="AF116" s="11">
        <v>144</v>
      </c>
      <c r="AG116" s="11">
        <v>25</v>
      </c>
      <c r="AH116" s="3">
        <f t="shared" si="0"/>
        <v>56857.132799999999</v>
      </c>
      <c r="AI116" s="3">
        <f t="shared" si="1"/>
        <v>5.76</v>
      </c>
      <c r="AJ116" s="11">
        <v>0</v>
      </c>
      <c r="AK116" s="11">
        <v>0</v>
      </c>
      <c r="AL116" s="181">
        <f t="shared" si="2"/>
        <v>0</v>
      </c>
      <c r="AM116" s="11">
        <v>88839</v>
      </c>
      <c r="AN116" s="181">
        <f t="shared" si="3"/>
        <v>0.94761888000000005</v>
      </c>
      <c r="AO116" s="182">
        <v>0</v>
      </c>
      <c r="AP116" s="11">
        <v>17</v>
      </c>
      <c r="AQ116" s="11">
        <v>300</v>
      </c>
      <c r="AR116" s="11">
        <v>897.19</v>
      </c>
      <c r="AS116" s="11">
        <v>0</v>
      </c>
      <c r="AT116" s="11">
        <v>32</v>
      </c>
      <c r="AV116" s="11" t="str">
        <f t="shared" si="4"/>
        <v>Active</v>
      </c>
    </row>
    <row r="117" spans="1:48">
      <c r="A117" s="11" t="s">
        <v>118</v>
      </c>
      <c r="B117" s="11" t="s">
        <v>436</v>
      </c>
      <c r="C117" s="11" t="s">
        <v>228</v>
      </c>
      <c r="D117" s="11" t="s">
        <v>499</v>
      </c>
      <c r="E117" s="11" t="s">
        <v>449</v>
      </c>
      <c r="F117" s="45">
        <v>45294</v>
      </c>
      <c r="G117" s="11">
        <v>0</v>
      </c>
      <c r="H117" s="11">
        <v>1666667</v>
      </c>
      <c r="I117" s="11">
        <v>1703610.65</v>
      </c>
      <c r="J117" s="11">
        <v>0</v>
      </c>
      <c r="K117" s="11">
        <v>81</v>
      </c>
      <c r="L117" s="11">
        <v>37</v>
      </c>
      <c r="M117" s="11">
        <v>3</v>
      </c>
      <c r="N117" s="11">
        <v>84</v>
      </c>
      <c r="O117" s="11">
        <v>47</v>
      </c>
      <c r="P117" s="11">
        <v>1674674.65</v>
      </c>
      <c r="Q117" s="11">
        <v>28936</v>
      </c>
      <c r="R117" s="11">
        <v>25</v>
      </c>
      <c r="S117" s="11">
        <v>3</v>
      </c>
      <c r="T117" s="11">
        <v>28</v>
      </c>
      <c r="U117" s="11">
        <v>0</v>
      </c>
      <c r="V117" s="11">
        <v>2</v>
      </c>
      <c r="W117" s="11">
        <v>2</v>
      </c>
      <c r="X117" s="11">
        <v>93</v>
      </c>
      <c r="Y117" s="11">
        <v>2</v>
      </c>
      <c r="Z117" s="11">
        <v>8</v>
      </c>
      <c r="AA117" s="11">
        <v>1</v>
      </c>
      <c r="AB117" s="11">
        <v>11</v>
      </c>
      <c r="AC117" s="11">
        <v>0</v>
      </c>
      <c r="AD117" s="11">
        <v>0</v>
      </c>
      <c r="AE117" s="11">
        <v>74</v>
      </c>
      <c r="AF117" s="11">
        <v>95</v>
      </c>
      <c r="AG117" s="11">
        <v>26</v>
      </c>
      <c r="AH117" s="3">
        <f t="shared" si="0"/>
        <v>65523.486538461533</v>
      </c>
      <c r="AI117" s="3">
        <f t="shared" si="1"/>
        <v>3.6538461538461537</v>
      </c>
      <c r="AJ117" s="11">
        <v>2</v>
      </c>
      <c r="AK117" s="11">
        <v>0</v>
      </c>
      <c r="AL117" s="181">
        <f t="shared" si="2"/>
        <v>1.1739771643244893E-6</v>
      </c>
      <c r="AM117" s="11">
        <v>60843</v>
      </c>
      <c r="AN117" s="181">
        <f t="shared" si="3"/>
        <v>1.0221661855667628</v>
      </c>
      <c r="AO117" s="182">
        <v>0</v>
      </c>
      <c r="AP117" s="11">
        <v>39</v>
      </c>
      <c r="AQ117" s="11">
        <v>279</v>
      </c>
      <c r="AR117" s="11">
        <v>2103.2399999999998</v>
      </c>
      <c r="AS117" s="11">
        <v>3</v>
      </c>
      <c r="AT117" s="11">
        <v>57</v>
      </c>
      <c r="AV117" s="11" t="str">
        <f t="shared" si="4"/>
        <v>Active</v>
      </c>
    </row>
    <row r="118" spans="1:48">
      <c r="A118" s="11" t="s">
        <v>118</v>
      </c>
      <c r="B118" s="11" t="s">
        <v>362</v>
      </c>
      <c r="C118" s="11" t="s">
        <v>229</v>
      </c>
      <c r="D118" s="11" t="s">
        <v>419</v>
      </c>
      <c r="E118" s="11" t="s">
        <v>539</v>
      </c>
      <c r="F118" s="45">
        <v>45295</v>
      </c>
      <c r="G118" s="11">
        <v>0</v>
      </c>
      <c r="H118" s="11">
        <v>0</v>
      </c>
      <c r="I118" s="11">
        <v>0</v>
      </c>
      <c r="J118" s="11">
        <v>0</v>
      </c>
      <c r="K118" s="11">
        <v>142</v>
      </c>
      <c r="L118" s="11">
        <v>63</v>
      </c>
      <c r="M118" s="11">
        <v>2</v>
      </c>
      <c r="N118" s="11">
        <v>144</v>
      </c>
      <c r="O118" s="11">
        <v>81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7</v>
      </c>
      <c r="W118" s="11">
        <v>8</v>
      </c>
      <c r="X118" s="11">
        <v>9</v>
      </c>
      <c r="Y118" s="11">
        <v>4</v>
      </c>
      <c r="Z118" s="11">
        <v>5</v>
      </c>
      <c r="AA118" s="11">
        <v>0</v>
      </c>
      <c r="AB118" s="11">
        <v>0</v>
      </c>
      <c r="AC118" s="11">
        <v>0</v>
      </c>
      <c r="AD118" s="11">
        <v>0</v>
      </c>
      <c r="AE118" s="11">
        <v>70</v>
      </c>
      <c r="AF118" s="11">
        <v>83</v>
      </c>
      <c r="AG118" s="11">
        <v>26</v>
      </c>
      <c r="AH118" s="3">
        <f t="shared" si="0"/>
        <v>0</v>
      </c>
      <c r="AI118" s="3">
        <f t="shared" si="1"/>
        <v>3.1923076923076925</v>
      </c>
      <c r="AJ118" s="11">
        <v>0</v>
      </c>
      <c r="AK118" s="11">
        <v>0</v>
      </c>
      <c r="AL118" s="181" t="str">
        <f t="shared" si="2"/>
        <v/>
      </c>
      <c r="AM118" s="11">
        <v>0</v>
      </c>
      <c r="AN118" s="181" t="str">
        <f t="shared" si="3"/>
        <v/>
      </c>
      <c r="AO118" s="182">
        <v>0</v>
      </c>
      <c r="AP118" s="11">
        <v>0</v>
      </c>
      <c r="AQ118" s="11">
        <v>288</v>
      </c>
      <c r="AR118" s="11">
        <v>2417.77</v>
      </c>
      <c r="AS118" s="11">
        <v>0</v>
      </c>
      <c r="AT118" s="11">
        <v>38</v>
      </c>
      <c r="AV118" s="11" t="str">
        <f t="shared" si="4"/>
        <v>Active</v>
      </c>
    </row>
    <row r="119" spans="1:48">
      <c r="A119" s="11" t="s">
        <v>177</v>
      </c>
      <c r="B119" s="11" t="s">
        <v>364</v>
      </c>
      <c r="C119" s="11" t="s">
        <v>231</v>
      </c>
      <c r="D119" s="11" t="s">
        <v>576</v>
      </c>
      <c r="E119" s="11" t="s">
        <v>361</v>
      </c>
      <c r="F119" s="45">
        <v>45311</v>
      </c>
      <c r="G119" s="11">
        <v>0</v>
      </c>
      <c r="H119" s="11">
        <v>833333</v>
      </c>
      <c r="I119" s="11">
        <v>395739.72</v>
      </c>
      <c r="J119" s="11">
        <v>0</v>
      </c>
      <c r="K119" s="11">
        <v>71</v>
      </c>
      <c r="L119" s="11">
        <v>63</v>
      </c>
      <c r="M119" s="11">
        <v>0</v>
      </c>
      <c r="N119" s="11">
        <v>71</v>
      </c>
      <c r="O119" s="11">
        <v>8</v>
      </c>
      <c r="P119" s="11">
        <v>395739.72</v>
      </c>
      <c r="Q119" s="11">
        <v>0</v>
      </c>
      <c r="R119" s="11">
        <v>50</v>
      </c>
      <c r="S119" s="11">
        <v>0</v>
      </c>
      <c r="T119" s="11">
        <v>50</v>
      </c>
      <c r="U119" s="11">
        <v>0</v>
      </c>
      <c r="V119" s="11">
        <v>14</v>
      </c>
      <c r="W119" s="11">
        <v>15</v>
      </c>
      <c r="X119" s="11">
        <v>217</v>
      </c>
      <c r="Y119" s="11">
        <v>1</v>
      </c>
      <c r="Z119" s="11">
        <v>16</v>
      </c>
      <c r="AA119" s="11">
        <v>0</v>
      </c>
      <c r="AB119" s="11">
        <v>0</v>
      </c>
      <c r="AC119" s="11">
        <v>0</v>
      </c>
      <c r="AD119" s="11">
        <v>0</v>
      </c>
      <c r="AE119" s="11">
        <v>128</v>
      </c>
      <c r="AF119" s="11">
        <v>159</v>
      </c>
      <c r="AG119" s="11">
        <v>25</v>
      </c>
      <c r="AH119" s="3">
        <f t="shared" si="0"/>
        <v>15829.5888</v>
      </c>
      <c r="AI119" s="3">
        <f t="shared" si="1"/>
        <v>6.36</v>
      </c>
      <c r="AJ119" s="11">
        <v>1</v>
      </c>
      <c r="AK119" s="11">
        <v>0</v>
      </c>
      <c r="AL119" s="181">
        <f t="shared" si="2"/>
        <v>2.5269133965122332E-6</v>
      </c>
      <c r="AM119" s="11">
        <v>7915</v>
      </c>
      <c r="AN119" s="181">
        <f t="shared" si="3"/>
        <v>0.47488785395514155</v>
      </c>
      <c r="AO119" s="182">
        <v>0</v>
      </c>
      <c r="AP119" s="11">
        <v>75</v>
      </c>
      <c r="AQ119" s="11">
        <v>241</v>
      </c>
      <c r="AR119" s="11">
        <v>3089.25</v>
      </c>
      <c r="AS119" s="11">
        <v>0</v>
      </c>
      <c r="AT119" s="11">
        <v>49</v>
      </c>
      <c r="AV119" s="11" t="str">
        <f t="shared" si="4"/>
        <v>Active</v>
      </c>
    </row>
    <row r="120" spans="1:48">
      <c r="A120" s="11" t="s">
        <v>118</v>
      </c>
      <c r="B120" s="11" t="s">
        <v>484</v>
      </c>
      <c r="C120" s="11" t="s">
        <v>232</v>
      </c>
      <c r="D120" s="11" t="s">
        <v>574</v>
      </c>
      <c r="E120" s="11" t="s">
        <v>575</v>
      </c>
      <c r="F120" s="45">
        <v>45309</v>
      </c>
      <c r="G120" s="11">
        <v>0</v>
      </c>
      <c r="H120" s="11">
        <v>1500000</v>
      </c>
      <c r="I120" s="11">
        <v>1390844.57</v>
      </c>
      <c r="J120" s="11">
        <v>0</v>
      </c>
      <c r="K120" s="11">
        <v>105</v>
      </c>
      <c r="L120" s="11">
        <v>66</v>
      </c>
      <c r="M120" s="11">
        <v>0</v>
      </c>
      <c r="N120" s="11">
        <v>105</v>
      </c>
      <c r="O120" s="11">
        <v>39</v>
      </c>
      <c r="P120" s="11">
        <v>1390844.57</v>
      </c>
      <c r="Q120" s="11">
        <v>0</v>
      </c>
      <c r="R120" s="11">
        <v>22</v>
      </c>
      <c r="S120" s="11">
        <v>0</v>
      </c>
      <c r="T120" s="11">
        <v>22</v>
      </c>
      <c r="U120" s="11">
        <v>0</v>
      </c>
      <c r="V120" s="11">
        <v>3</v>
      </c>
      <c r="W120" s="11">
        <v>5</v>
      </c>
      <c r="X120" s="11">
        <v>88</v>
      </c>
      <c r="Y120" s="11">
        <v>1</v>
      </c>
      <c r="Z120" s="11">
        <v>2</v>
      </c>
      <c r="AA120" s="11">
        <v>0</v>
      </c>
      <c r="AB120" s="11">
        <v>0</v>
      </c>
      <c r="AC120" s="11">
        <v>0</v>
      </c>
      <c r="AD120" s="11">
        <v>0</v>
      </c>
      <c r="AE120" s="11">
        <v>120</v>
      </c>
      <c r="AF120" s="11">
        <v>127</v>
      </c>
      <c r="AG120" s="11">
        <v>25</v>
      </c>
      <c r="AH120" s="3">
        <f t="shared" si="0"/>
        <v>55633.782800000001</v>
      </c>
      <c r="AI120" s="3">
        <f t="shared" si="1"/>
        <v>5.08</v>
      </c>
      <c r="AJ120" s="11">
        <v>0</v>
      </c>
      <c r="AK120" s="11">
        <v>0</v>
      </c>
      <c r="AL120" s="181">
        <f t="shared" si="2"/>
        <v>0</v>
      </c>
      <c r="AM120" s="11">
        <v>63220</v>
      </c>
      <c r="AN120" s="181">
        <f t="shared" si="3"/>
        <v>0.92722971333333337</v>
      </c>
      <c r="AO120" s="182">
        <v>0</v>
      </c>
      <c r="AP120" s="11">
        <v>27</v>
      </c>
      <c r="AQ120" s="11">
        <v>239</v>
      </c>
      <c r="AR120" s="11">
        <v>1071.53</v>
      </c>
      <c r="AS120" s="11">
        <v>0</v>
      </c>
      <c r="AT120" s="11">
        <v>16</v>
      </c>
      <c r="AV120" s="11" t="str">
        <f t="shared" si="4"/>
        <v>Active</v>
      </c>
    </row>
    <row r="121" spans="1:48">
      <c r="A121" s="11" t="s">
        <v>154</v>
      </c>
      <c r="B121" s="11" t="s">
        <v>367</v>
      </c>
      <c r="C121" s="11" t="s">
        <v>234</v>
      </c>
      <c r="D121" s="11" t="s">
        <v>577</v>
      </c>
      <c r="E121" s="11" t="s">
        <v>578</v>
      </c>
      <c r="F121" s="45">
        <v>45313</v>
      </c>
      <c r="G121" s="11">
        <v>0</v>
      </c>
      <c r="H121" s="11">
        <v>0</v>
      </c>
      <c r="I121" s="11">
        <v>0</v>
      </c>
      <c r="J121" s="11">
        <v>0</v>
      </c>
      <c r="K121" s="11">
        <v>41</v>
      </c>
      <c r="L121" s="11">
        <v>0</v>
      </c>
      <c r="M121" s="11">
        <v>1</v>
      </c>
      <c r="N121" s="11">
        <v>42</v>
      </c>
      <c r="O121" s="11">
        <v>42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366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3" t="str">
        <f t="shared" si="0"/>
        <v/>
      </c>
      <c r="AI121" s="3" t="str">
        <f t="shared" si="1"/>
        <v/>
      </c>
      <c r="AJ121" s="11">
        <v>0</v>
      </c>
      <c r="AK121" s="11">
        <v>0</v>
      </c>
      <c r="AL121" s="181" t="str">
        <f t="shared" si="2"/>
        <v/>
      </c>
      <c r="AM121" s="11">
        <v>0</v>
      </c>
      <c r="AN121" s="181" t="str">
        <f t="shared" si="3"/>
        <v/>
      </c>
      <c r="AO121" s="182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84">
        <v>45768</v>
      </c>
      <c r="AV121" s="11" t="str">
        <f t="shared" si="4"/>
        <v>Left</v>
      </c>
    </row>
    <row r="122" spans="1:48">
      <c r="A122" s="11" t="s">
        <v>118</v>
      </c>
      <c r="B122" s="11" t="s">
        <v>362</v>
      </c>
      <c r="C122" s="11" t="s">
        <v>235</v>
      </c>
      <c r="D122" s="11" t="s">
        <v>419</v>
      </c>
      <c r="E122" s="11" t="s">
        <v>579</v>
      </c>
      <c r="F122" s="45">
        <v>45323</v>
      </c>
      <c r="G122" s="11">
        <v>0</v>
      </c>
      <c r="H122" s="11">
        <v>2000000</v>
      </c>
      <c r="I122" s="11">
        <v>1494245.31</v>
      </c>
      <c r="J122" s="11">
        <v>0</v>
      </c>
      <c r="K122" s="11">
        <v>64</v>
      </c>
      <c r="L122" s="11">
        <v>53</v>
      </c>
      <c r="M122" s="11">
        <v>1</v>
      </c>
      <c r="N122" s="11">
        <v>65</v>
      </c>
      <c r="O122" s="11">
        <v>12</v>
      </c>
      <c r="P122" s="11">
        <v>1456860.01</v>
      </c>
      <c r="Q122" s="11">
        <v>37385.300000000003</v>
      </c>
      <c r="R122" s="11">
        <v>28</v>
      </c>
      <c r="S122" s="11">
        <v>1</v>
      </c>
      <c r="T122" s="11">
        <v>29</v>
      </c>
      <c r="U122" s="11">
        <v>0</v>
      </c>
      <c r="V122" s="11">
        <v>32</v>
      </c>
      <c r="W122" s="11">
        <v>34</v>
      </c>
      <c r="X122" s="11">
        <v>196</v>
      </c>
      <c r="Y122" s="11">
        <v>1</v>
      </c>
      <c r="Z122" s="11">
        <v>2</v>
      </c>
      <c r="AA122" s="11">
        <v>0</v>
      </c>
      <c r="AB122" s="11">
        <v>0</v>
      </c>
      <c r="AC122" s="11">
        <v>0</v>
      </c>
      <c r="AD122" s="11">
        <v>0</v>
      </c>
      <c r="AE122" s="11">
        <v>99</v>
      </c>
      <c r="AF122" s="11">
        <v>135</v>
      </c>
      <c r="AG122" s="11">
        <v>25</v>
      </c>
      <c r="AH122" s="3">
        <f t="shared" si="0"/>
        <v>59769.812400000003</v>
      </c>
      <c r="AI122" s="3">
        <f t="shared" si="1"/>
        <v>5.4</v>
      </c>
      <c r="AJ122" s="11">
        <v>0</v>
      </c>
      <c r="AK122" s="11">
        <v>0</v>
      </c>
      <c r="AL122" s="181">
        <f t="shared" si="2"/>
        <v>0</v>
      </c>
      <c r="AM122" s="11">
        <v>51526</v>
      </c>
      <c r="AN122" s="181">
        <f t="shared" si="3"/>
        <v>0.74712265500000008</v>
      </c>
      <c r="AO122" s="182">
        <v>0</v>
      </c>
      <c r="AP122" s="11">
        <v>35</v>
      </c>
      <c r="AQ122" s="11">
        <v>298</v>
      </c>
      <c r="AR122" s="11">
        <v>1672.46</v>
      </c>
      <c r="AS122" s="11">
        <v>1</v>
      </c>
      <c r="AT122" s="11">
        <v>32</v>
      </c>
      <c r="AV122" s="11" t="str">
        <f t="shared" si="4"/>
        <v>Active</v>
      </c>
    </row>
    <row r="123" spans="1:48">
      <c r="A123" s="11" t="s">
        <v>201</v>
      </c>
      <c r="B123" s="11" t="s">
        <v>443</v>
      </c>
      <c r="C123" s="11" t="s">
        <v>236</v>
      </c>
      <c r="D123" s="11" t="s">
        <v>517</v>
      </c>
      <c r="E123" s="11" t="s">
        <v>563</v>
      </c>
      <c r="F123" s="45">
        <v>45331</v>
      </c>
      <c r="G123" s="11">
        <v>0</v>
      </c>
      <c r="H123" s="11">
        <v>1150000</v>
      </c>
      <c r="I123" s="11">
        <v>586579.55000000005</v>
      </c>
      <c r="J123" s="11">
        <v>0</v>
      </c>
      <c r="K123" s="11">
        <v>30</v>
      </c>
      <c r="L123" s="11">
        <v>24</v>
      </c>
      <c r="M123" s="11">
        <v>1</v>
      </c>
      <c r="N123" s="11">
        <v>31</v>
      </c>
      <c r="O123" s="11">
        <v>7</v>
      </c>
      <c r="P123" s="11">
        <v>508987.75</v>
      </c>
      <c r="Q123" s="11">
        <v>77591.8</v>
      </c>
      <c r="R123" s="11">
        <v>13</v>
      </c>
      <c r="S123" s="11">
        <v>1</v>
      </c>
      <c r="T123" s="11">
        <v>14</v>
      </c>
      <c r="U123" s="11">
        <v>0</v>
      </c>
      <c r="V123" s="11">
        <v>47</v>
      </c>
      <c r="W123" s="11">
        <v>51</v>
      </c>
      <c r="X123" s="11">
        <v>165</v>
      </c>
      <c r="Y123" s="11">
        <v>2</v>
      </c>
      <c r="Z123" s="11">
        <v>4</v>
      </c>
      <c r="AA123" s="11">
        <v>0</v>
      </c>
      <c r="AB123" s="11">
        <v>0</v>
      </c>
      <c r="AC123" s="11">
        <v>0</v>
      </c>
      <c r="AD123" s="11">
        <v>0</v>
      </c>
      <c r="AE123" s="11">
        <v>65</v>
      </c>
      <c r="AF123" s="11">
        <v>120</v>
      </c>
      <c r="AG123" s="11">
        <v>25</v>
      </c>
      <c r="AH123" s="3">
        <f t="shared" si="0"/>
        <v>23463.182000000001</v>
      </c>
      <c r="AI123" s="3">
        <f t="shared" si="1"/>
        <v>4.8</v>
      </c>
      <c r="AJ123" s="11">
        <v>0</v>
      </c>
      <c r="AK123" s="11">
        <v>0</v>
      </c>
      <c r="AL123" s="181">
        <f t="shared" si="2"/>
        <v>0</v>
      </c>
      <c r="AM123" s="11">
        <v>41899</v>
      </c>
      <c r="AN123" s="181">
        <f t="shared" si="3"/>
        <v>0.51006917391304352</v>
      </c>
      <c r="AO123" s="182">
        <v>0</v>
      </c>
      <c r="AP123" s="11">
        <v>20</v>
      </c>
      <c r="AQ123" s="11">
        <v>313</v>
      </c>
      <c r="AR123" s="11">
        <v>1890.54</v>
      </c>
      <c r="AS123" s="11">
        <v>1</v>
      </c>
      <c r="AT123" s="11">
        <v>79</v>
      </c>
      <c r="AV123" s="11" t="str">
        <f t="shared" si="4"/>
        <v>Active</v>
      </c>
    </row>
    <row r="124" spans="1:48">
      <c r="A124" s="11" t="s">
        <v>177</v>
      </c>
      <c r="B124" s="11" t="s">
        <v>364</v>
      </c>
      <c r="C124" s="11" t="s">
        <v>237</v>
      </c>
      <c r="D124" s="11" t="s">
        <v>576</v>
      </c>
      <c r="E124" s="11" t="s">
        <v>365</v>
      </c>
      <c r="F124" s="45">
        <v>45393</v>
      </c>
      <c r="G124" s="11">
        <v>0</v>
      </c>
      <c r="H124" s="11">
        <v>750000</v>
      </c>
      <c r="I124" s="11">
        <v>309427.46999999997</v>
      </c>
      <c r="J124" s="11">
        <v>0</v>
      </c>
      <c r="K124" s="11">
        <v>134</v>
      </c>
      <c r="L124" s="11">
        <v>82</v>
      </c>
      <c r="M124" s="11">
        <v>2</v>
      </c>
      <c r="N124" s="11">
        <v>136</v>
      </c>
      <c r="O124" s="11">
        <v>54</v>
      </c>
      <c r="P124" s="11">
        <v>299757.15000000002</v>
      </c>
      <c r="Q124" s="11">
        <v>9670.32</v>
      </c>
      <c r="R124" s="11">
        <v>26</v>
      </c>
      <c r="S124" s="11">
        <v>2</v>
      </c>
      <c r="T124" s="11">
        <v>28</v>
      </c>
      <c r="U124" s="11">
        <v>0</v>
      </c>
      <c r="V124" s="11">
        <v>10</v>
      </c>
      <c r="W124" s="11">
        <v>12</v>
      </c>
      <c r="X124" s="11">
        <v>418</v>
      </c>
      <c r="Y124" s="11">
        <v>1</v>
      </c>
      <c r="Z124" s="11">
        <v>5</v>
      </c>
      <c r="AA124" s="11">
        <v>0</v>
      </c>
      <c r="AB124" s="11">
        <v>0</v>
      </c>
      <c r="AC124" s="11">
        <v>0</v>
      </c>
      <c r="AD124" s="11">
        <v>0</v>
      </c>
      <c r="AE124" s="11">
        <v>135</v>
      </c>
      <c r="AF124" s="11">
        <v>152</v>
      </c>
      <c r="AG124" s="11">
        <v>24</v>
      </c>
      <c r="AH124" s="3">
        <f t="shared" si="0"/>
        <v>12892.811249999999</v>
      </c>
      <c r="AI124" s="3">
        <f t="shared" si="1"/>
        <v>6.333333333333333</v>
      </c>
      <c r="AJ124" s="11">
        <v>0</v>
      </c>
      <c r="AK124" s="11">
        <v>0</v>
      </c>
      <c r="AL124" s="181">
        <f t="shared" si="2"/>
        <v>0</v>
      </c>
      <c r="AM124" s="11">
        <v>11051</v>
      </c>
      <c r="AN124" s="181">
        <f t="shared" si="3"/>
        <v>0.41256995999999996</v>
      </c>
      <c r="AO124" s="182">
        <v>0</v>
      </c>
      <c r="AP124" s="11">
        <v>33</v>
      </c>
      <c r="AQ124" s="11">
        <v>219</v>
      </c>
      <c r="AR124" s="11">
        <v>1848.18</v>
      </c>
      <c r="AS124" s="11">
        <v>2</v>
      </c>
      <c r="AT124" s="11">
        <v>23</v>
      </c>
      <c r="AV124" s="11" t="str">
        <f t="shared" si="4"/>
        <v>Active</v>
      </c>
    </row>
    <row r="125" spans="1:48">
      <c r="A125" s="11" t="s">
        <v>120</v>
      </c>
      <c r="B125" s="11" t="s">
        <v>206</v>
      </c>
      <c r="C125" s="11" t="s">
        <v>238</v>
      </c>
      <c r="D125" s="11" t="s">
        <v>206</v>
      </c>
      <c r="E125" s="11" t="s">
        <v>360</v>
      </c>
      <c r="F125" s="45">
        <v>45384</v>
      </c>
      <c r="G125" s="11">
        <v>300000</v>
      </c>
      <c r="H125" s="11">
        <v>1200000</v>
      </c>
      <c r="I125" s="11">
        <v>631174.63</v>
      </c>
      <c r="J125" s="11">
        <v>0</v>
      </c>
      <c r="K125" s="11">
        <v>58</v>
      </c>
      <c r="L125" s="11">
        <v>30</v>
      </c>
      <c r="M125" s="11">
        <v>0</v>
      </c>
      <c r="N125" s="11">
        <v>58</v>
      </c>
      <c r="O125" s="11">
        <v>28</v>
      </c>
      <c r="P125" s="11">
        <v>631174.63</v>
      </c>
      <c r="Q125" s="11">
        <v>0</v>
      </c>
      <c r="R125" s="11">
        <v>20</v>
      </c>
      <c r="S125" s="11">
        <v>0</v>
      </c>
      <c r="T125" s="11">
        <v>20</v>
      </c>
      <c r="U125" s="11">
        <v>0</v>
      </c>
      <c r="V125" s="11">
        <v>60</v>
      </c>
      <c r="W125" s="11">
        <v>65</v>
      </c>
      <c r="X125" s="11">
        <v>340</v>
      </c>
      <c r="Y125" s="11">
        <v>1</v>
      </c>
      <c r="Z125" s="11">
        <v>1</v>
      </c>
      <c r="AA125" s="11">
        <v>0</v>
      </c>
      <c r="AB125" s="11">
        <v>0</v>
      </c>
      <c r="AC125" s="11">
        <v>0</v>
      </c>
      <c r="AD125" s="11">
        <v>0</v>
      </c>
      <c r="AE125" s="11">
        <v>49</v>
      </c>
      <c r="AF125" s="11">
        <v>115</v>
      </c>
      <c r="AG125" s="11">
        <v>27</v>
      </c>
      <c r="AH125" s="3">
        <f t="shared" si="0"/>
        <v>23376.838148148148</v>
      </c>
      <c r="AI125" s="3">
        <f t="shared" si="1"/>
        <v>4.2592592592592595</v>
      </c>
      <c r="AJ125" s="11">
        <v>4</v>
      </c>
      <c r="AK125" s="11">
        <v>0</v>
      </c>
      <c r="AL125" s="181">
        <f t="shared" si="2"/>
        <v>6.3373903352230745E-6</v>
      </c>
      <c r="AM125" s="11">
        <v>31559</v>
      </c>
      <c r="AN125" s="181">
        <f t="shared" si="3"/>
        <v>0.42078308666666669</v>
      </c>
      <c r="AO125" s="182">
        <v>0</v>
      </c>
      <c r="AP125" s="11">
        <v>22</v>
      </c>
      <c r="AQ125" s="11">
        <v>272</v>
      </c>
      <c r="AR125" s="11">
        <v>1589.63</v>
      </c>
      <c r="AS125" s="11">
        <v>0</v>
      </c>
      <c r="AT125" s="11">
        <v>53</v>
      </c>
      <c r="AV125" s="11" t="str">
        <f t="shared" si="4"/>
        <v>Active</v>
      </c>
    </row>
    <row r="126" spans="1:48">
      <c r="A126" s="11" t="s">
        <v>177</v>
      </c>
      <c r="B126" s="11" t="s">
        <v>458</v>
      </c>
      <c r="C126" s="11" t="s">
        <v>239</v>
      </c>
      <c r="D126" s="11" t="s">
        <v>581</v>
      </c>
      <c r="E126" s="11" t="s">
        <v>582</v>
      </c>
      <c r="F126" s="45">
        <v>45411</v>
      </c>
      <c r="G126" s="11">
        <v>0</v>
      </c>
      <c r="H126" s="11">
        <v>583333</v>
      </c>
      <c r="I126" s="11">
        <v>418251.9</v>
      </c>
      <c r="J126" s="11">
        <v>0</v>
      </c>
      <c r="K126" s="11">
        <v>88</v>
      </c>
      <c r="L126" s="11">
        <v>52</v>
      </c>
      <c r="M126" s="11">
        <v>6</v>
      </c>
      <c r="N126" s="11">
        <v>94</v>
      </c>
      <c r="O126" s="11">
        <v>42</v>
      </c>
      <c r="P126" s="11">
        <v>369767.2</v>
      </c>
      <c r="Q126" s="11">
        <v>48484.7</v>
      </c>
      <c r="R126" s="11">
        <v>14</v>
      </c>
      <c r="S126" s="11">
        <v>2</v>
      </c>
      <c r="T126" s="11">
        <v>16</v>
      </c>
      <c r="U126" s="11">
        <v>0</v>
      </c>
      <c r="V126" s="11">
        <v>57</v>
      </c>
      <c r="W126" s="11">
        <v>73</v>
      </c>
      <c r="X126" s="11">
        <v>544</v>
      </c>
      <c r="Y126" s="11">
        <v>0</v>
      </c>
      <c r="Z126" s="11">
        <v>0</v>
      </c>
      <c r="AA126" s="11">
        <v>0</v>
      </c>
      <c r="AB126" s="11">
        <v>0</v>
      </c>
      <c r="AC126" s="11">
        <v>4</v>
      </c>
      <c r="AD126" s="11">
        <v>4</v>
      </c>
      <c r="AE126" s="11">
        <v>84</v>
      </c>
      <c r="AF126" s="11">
        <v>161</v>
      </c>
      <c r="AG126" s="11">
        <v>24</v>
      </c>
      <c r="AH126" s="3">
        <f t="shared" si="0"/>
        <v>17427.162500000002</v>
      </c>
      <c r="AI126" s="3">
        <f t="shared" si="1"/>
        <v>6.708333333333333</v>
      </c>
      <c r="AJ126" s="11">
        <v>0</v>
      </c>
      <c r="AK126" s="11">
        <v>0</v>
      </c>
      <c r="AL126" s="181">
        <f t="shared" si="2"/>
        <v>0</v>
      </c>
      <c r="AM126" s="11">
        <v>26141</v>
      </c>
      <c r="AN126" s="181">
        <f t="shared" si="3"/>
        <v>0.71700366685923822</v>
      </c>
      <c r="AO126" s="182">
        <v>0</v>
      </c>
      <c r="AP126" s="11">
        <v>17</v>
      </c>
      <c r="AQ126" s="11">
        <v>282</v>
      </c>
      <c r="AR126" s="11">
        <v>2163.75</v>
      </c>
      <c r="AS126" s="11">
        <v>2</v>
      </c>
      <c r="AT126" s="11">
        <v>42</v>
      </c>
      <c r="AV126" s="11" t="str">
        <f t="shared" si="4"/>
        <v>Active</v>
      </c>
    </row>
    <row r="127" spans="1:48">
      <c r="A127" s="11" t="s">
        <v>118</v>
      </c>
      <c r="B127" s="11" t="s">
        <v>468</v>
      </c>
      <c r="C127" s="11" t="s">
        <v>240</v>
      </c>
      <c r="D127" s="11" t="s">
        <v>509</v>
      </c>
      <c r="E127" s="11" t="s">
        <v>585</v>
      </c>
      <c r="F127" s="45">
        <v>45432</v>
      </c>
      <c r="G127" s="11">
        <v>0</v>
      </c>
      <c r="H127" s="11">
        <v>2483333</v>
      </c>
      <c r="I127" s="11">
        <v>947621.72</v>
      </c>
      <c r="J127" s="11">
        <v>0</v>
      </c>
      <c r="K127" s="11">
        <v>106</v>
      </c>
      <c r="L127" s="11">
        <v>71</v>
      </c>
      <c r="M127" s="11">
        <v>1</v>
      </c>
      <c r="N127" s="11">
        <v>107</v>
      </c>
      <c r="O127" s="11">
        <v>36</v>
      </c>
      <c r="P127" s="11">
        <v>938457.32</v>
      </c>
      <c r="Q127" s="11">
        <v>9164.4</v>
      </c>
      <c r="R127" s="11">
        <v>30</v>
      </c>
      <c r="S127" s="11">
        <v>1</v>
      </c>
      <c r="T127" s="11">
        <v>31</v>
      </c>
      <c r="U127" s="11">
        <v>0</v>
      </c>
      <c r="V127" s="11">
        <v>23</v>
      </c>
      <c r="W127" s="11">
        <v>25</v>
      </c>
      <c r="X127" s="11">
        <v>151</v>
      </c>
      <c r="Y127" s="11">
        <v>1</v>
      </c>
      <c r="Z127" s="11">
        <v>11</v>
      </c>
      <c r="AA127" s="11">
        <v>0</v>
      </c>
      <c r="AB127" s="11">
        <v>0</v>
      </c>
      <c r="AC127" s="11">
        <v>0</v>
      </c>
      <c r="AD127" s="11">
        <v>0</v>
      </c>
      <c r="AE127" s="11">
        <v>124</v>
      </c>
      <c r="AF127" s="11">
        <v>160</v>
      </c>
      <c r="AG127" s="11">
        <v>26</v>
      </c>
      <c r="AH127" s="3">
        <f t="shared" si="0"/>
        <v>36446.989230769228</v>
      </c>
      <c r="AI127" s="3">
        <f t="shared" si="1"/>
        <v>6.1538461538461542</v>
      </c>
      <c r="AJ127" s="11">
        <v>0</v>
      </c>
      <c r="AK127" s="11">
        <v>0</v>
      </c>
      <c r="AL127" s="181">
        <f t="shared" si="2"/>
        <v>0</v>
      </c>
      <c r="AM127" s="11">
        <v>30568</v>
      </c>
      <c r="AN127" s="181">
        <f t="shared" si="3"/>
        <v>0.3815926901466698</v>
      </c>
      <c r="AO127" s="182">
        <v>0</v>
      </c>
      <c r="AP127" s="11">
        <v>40</v>
      </c>
      <c r="AQ127" s="11">
        <v>248</v>
      </c>
      <c r="AR127" s="11">
        <v>963.61</v>
      </c>
      <c r="AS127" s="11">
        <v>1</v>
      </c>
      <c r="AT127" s="11">
        <v>14</v>
      </c>
      <c r="AV127" s="11" t="str">
        <f t="shared" si="4"/>
        <v>Active</v>
      </c>
    </row>
    <row r="128" spans="1:48">
      <c r="A128" s="11" t="s">
        <v>118</v>
      </c>
      <c r="B128" s="11" t="s">
        <v>359</v>
      </c>
      <c r="C128" s="11" t="s">
        <v>241</v>
      </c>
      <c r="D128" s="11" t="s">
        <v>442</v>
      </c>
      <c r="E128" s="11" t="s">
        <v>586</v>
      </c>
      <c r="F128" s="45">
        <v>45434</v>
      </c>
      <c r="G128" s="11">
        <v>0</v>
      </c>
      <c r="H128" s="11">
        <v>2000000</v>
      </c>
      <c r="I128" s="11">
        <v>1586080.21</v>
      </c>
      <c r="J128" s="11">
        <v>0</v>
      </c>
      <c r="K128" s="11">
        <v>71</v>
      </c>
      <c r="L128" s="11">
        <v>43</v>
      </c>
      <c r="M128" s="11">
        <v>1</v>
      </c>
      <c r="N128" s="11">
        <v>72</v>
      </c>
      <c r="O128" s="11">
        <v>29</v>
      </c>
      <c r="P128" s="11">
        <v>1536635.57</v>
      </c>
      <c r="Q128" s="11">
        <v>49444.639999999999</v>
      </c>
      <c r="R128" s="11">
        <v>24</v>
      </c>
      <c r="S128" s="11">
        <v>1</v>
      </c>
      <c r="T128" s="11">
        <v>25</v>
      </c>
      <c r="U128" s="11">
        <v>0</v>
      </c>
      <c r="V128" s="11">
        <v>3</v>
      </c>
      <c r="W128" s="11">
        <v>4</v>
      </c>
      <c r="X128" s="11">
        <v>19</v>
      </c>
      <c r="Y128" s="11">
        <v>1</v>
      </c>
      <c r="Z128" s="11">
        <v>9</v>
      </c>
      <c r="AA128" s="11">
        <v>0</v>
      </c>
      <c r="AB128" s="11">
        <v>0</v>
      </c>
      <c r="AC128" s="11">
        <v>0</v>
      </c>
      <c r="AD128" s="11">
        <v>0</v>
      </c>
      <c r="AE128" s="11">
        <v>75</v>
      </c>
      <c r="AF128" s="11">
        <v>88</v>
      </c>
      <c r="AG128" s="11">
        <v>25</v>
      </c>
      <c r="AH128" s="3">
        <f t="shared" si="0"/>
        <v>63443.208399999996</v>
      </c>
      <c r="AI128" s="3">
        <f t="shared" si="1"/>
        <v>3.52</v>
      </c>
      <c r="AJ128" s="11">
        <v>0</v>
      </c>
      <c r="AK128" s="11">
        <v>0</v>
      </c>
      <c r="AL128" s="181">
        <f t="shared" si="2"/>
        <v>0</v>
      </c>
      <c r="AM128" s="11">
        <v>63443</v>
      </c>
      <c r="AN128" s="181">
        <f t="shared" si="3"/>
        <v>0.793040105</v>
      </c>
      <c r="AO128" s="182">
        <v>0</v>
      </c>
      <c r="AP128" s="11">
        <v>65</v>
      </c>
      <c r="AQ128" s="11">
        <v>278</v>
      </c>
      <c r="AR128" s="11">
        <v>1868.63</v>
      </c>
      <c r="AS128" s="11">
        <v>1</v>
      </c>
      <c r="AT128" s="11">
        <v>43</v>
      </c>
      <c r="AV128" s="11" t="str">
        <f t="shared" si="4"/>
        <v>Active</v>
      </c>
    </row>
    <row r="129" spans="1:48">
      <c r="A129" s="11" t="s">
        <v>124</v>
      </c>
      <c r="B129" s="11" t="s">
        <v>443</v>
      </c>
      <c r="C129" s="11" t="s">
        <v>242</v>
      </c>
      <c r="D129" s="11" t="s">
        <v>517</v>
      </c>
      <c r="E129" s="11" t="s">
        <v>518</v>
      </c>
      <c r="F129" s="45">
        <v>45446</v>
      </c>
      <c r="G129" s="11">
        <v>0</v>
      </c>
      <c r="H129" s="11">
        <v>1200000</v>
      </c>
      <c r="I129" s="11">
        <v>1800314.17</v>
      </c>
      <c r="J129" s="11">
        <v>0</v>
      </c>
      <c r="K129" s="11">
        <v>38</v>
      </c>
      <c r="L129" s="11">
        <v>25</v>
      </c>
      <c r="M129" s="11">
        <v>3</v>
      </c>
      <c r="N129" s="11">
        <v>41</v>
      </c>
      <c r="O129" s="11">
        <v>16</v>
      </c>
      <c r="P129" s="11">
        <v>1517390.97</v>
      </c>
      <c r="Q129" s="11">
        <v>282923.2</v>
      </c>
      <c r="R129" s="11">
        <v>9</v>
      </c>
      <c r="S129" s="11">
        <v>3</v>
      </c>
      <c r="T129" s="11">
        <v>12</v>
      </c>
      <c r="U129" s="11">
        <v>0</v>
      </c>
      <c r="V129" s="11">
        <v>18</v>
      </c>
      <c r="W129" s="11">
        <v>23</v>
      </c>
      <c r="X129" s="11">
        <v>193</v>
      </c>
      <c r="Y129" s="11">
        <v>6</v>
      </c>
      <c r="Z129" s="11">
        <v>23</v>
      </c>
      <c r="AA129" s="11">
        <v>0</v>
      </c>
      <c r="AB129" s="11">
        <v>0</v>
      </c>
      <c r="AC129" s="11">
        <v>0</v>
      </c>
      <c r="AD129" s="11">
        <v>0</v>
      </c>
      <c r="AE129" s="11">
        <v>53</v>
      </c>
      <c r="AF129" s="11">
        <v>99</v>
      </c>
      <c r="AG129" s="11">
        <v>27</v>
      </c>
      <c r="AH129" s="3">
        <f t="shared" si="0"/>
        <v>66678.30259259259</v>
      </c>
      <c r="AI129" s="3">
        <f t="shared" si="1"/>
        <v>3.6666666666666665</v>
      </c>
      <c r="AJ129" s="11">
        <v>0</v>
      </c>
      <c r="AK129" s="11">
        <v>0</v>
      </c>
      <c r="AL129" s="181">
        <f t="shared" si="2"/>
        <v>0</v>
      </c>
      <c r="AM129" s="11">
        <v>150026</v>
      </c>
      <c r="AN129" s="181">
        <f t="shared" si="3"/>
        <v>1.5002618083333332</v>
      </c>
      <c r="AO129" s="182">
        <v>0</v>
      </c>
      <c r="AP129" s="11">
        <v>37</v>
      </c>
      <c r="AQ129" s="11">
        <v>276</v>
      </c>
      <c r="AR129" s="11">
        <v>1198.52</v>
      </c>
      <c r="AS129" s="11">
        <v>3</v>
      </c>
      <c r="AT129" s="11">
        <v>48</v>
      </c>
      <c r="AV129" s="11" t="str">
        <f t="shared" si="4"/>
        <v>Active</v>
      </c>
    </row>
    <row r="130" spans="1:48">
      <c r="A130" s="11" t="s">
        <v>119</v>
      </c>
      <c r="B130" s="11" t="s">
        <v>649</v>
      </c>
      <c r="C130" s="11" t="s">
        <v>243</v>
      </c>
      <c r="D130" s="11" t="s">
        <v>486</v>
      </c>
      <c r="E130" s="11" t="s">
        <v>512</v>
      </c>
      <c r="F130" s="45">
        <v>45453</v>
      </c>
      <c r="G130" s="11">
        <v>0</v>
      </c>
      <c r="H130" s="11">
        <v>1200000</v>
      </c>
      <c r="I130" s="11">
        <v>970621.3</v>
      </c>
      <c r="J130" s="11">
        <v>0</v>
      </c>
      <c r="K130" s="11">
        <v>122</v>
      </c>
      <c r="L130" s="11">
        <v>112</v>
      </c>
      <c r="M130" s="11">
        <v>9</v>
      </c>
      <c r="N130" s="11">
        <v>131</v>
      </c>
      <c r="O130" s="11">
        <v>19</v>
      </c>
      <c r="P130" s="11">
        <v>862511.1</v>
      </c>
      <c r="Q130" s="11">
        <v>108110.2</v>
      </c>
      <c r="R130" s="11">
        <v>30</v>
      </c>
      <c r="S130" s="11">
        <v>9</v>
      </c>
      <c r="T130" s="11">
        <v>39</v>
      </c>
      <c r="U130" s="11">
        <v>0</v>
      </c>
      <c r="V130" s="11">
        <v>17</v>
      </c>
      <c r="W130" s="11">
        <v>30</v>
      </c>
      <c r="X130" s="11">
        <v>186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165</v>
      </c>
      <c r="AF130" s="11">
        <v>195</v>
      </c>
      <c r="AG130" s="11">
        <v>26</v>
      </c>
      <c r="AH130" s="3">
        <f t="shared" si="0"/>
        <v>37331.588461538464</v>
      </c>
      <c r="AI130" s="3">
        <f t="shared" si="1"/>
        <v>7.5</v>
      </c>
      <c r="AJ130" s="11">
        <v>0</v>
      </c>
      <c r="AK130" s="11">
        <v>0</v>
      </c>
      <c r="AL130" s="181">
        <f t="shared" si="2"/>
        <v>0</v>
      </c>
      <c r="AM130" s="11">
        <v>24888</v>
      </c>
      <c r="AN130" s="181">
        <f t="shared" si="3"/>
        <v>0.80885108333333333</v>
      </c>
      <c r="AO130" s="182">
        <v>0</v>
      </c>
      <c r="AP130" s="11">
        <v>49</v>
      </c>
      <c r="AQ130" s="11">
        <v>333</v>
      </c>
      <c r="AR130" s="11">
        <v>1716.4</v>
      </c>
      <c r="AS130" s="11">
        <v>9</v>
      </c>
      <c r="AT130" s="11">
        <v>15</v>
      </c>
      <c r="AV130" s="11" t="str">
        <f t="shared" si="4"/>
        <v>Active</v>
      </c>
    </row>
    <row r="131" spans="1:48">
      <c r="A131" s="11" t="s">
        <v>118</v>
      </c>
      <c r="B131" s="11" t="s">
        <v>362</v>
      </c>
      <c r="C131" s="11" t="s">
        <v>245</v>
      </c>
      <c r="D131" s="11" t="s">
        <v>419</v>
      </c>
      <c r="E131" s="11" t="s">
        <v>591</v>
      </c>
      <c r="F131" s="45">
        <v>45460</v>
      </c>
      <c r="G131" s="11">
        <v>0</v>
      </c>
      <c r="H131" s="11">
        <v>1500000</v>
      </c>
      <c r="I131" s="11">
        <v>1639052.91</v>
      </c>
      <c r="J131" s="11">
        <v>0</v>
      </c>
      <c r="K131" s="11">
        <v>69</v>
      </c>
      <c r="L131" s="11">
        <v>44</v>
      </c>
      <c r="M131" s="11">
        <v>3</v>
      </c>
      <c r="N131" s="11">
        <v>72</v>
      </c>
      <c r="O131" s="11">
        <v>28</v>
      </c>
      <c r="P131" s="11">
        <v>1341462.23</v>
      </c>
      <c r="Q131" s="11">
        <v>297590.68</v>
      </c>
      <c r="R131" s="11">
        <v>16</v>
      </c>
      <c r="S131" s="11">
        <v>3</v>
      </c>
      <c r="T131" s="11">
        <v>19</v>
      </c>
      <c r="U131" s="11">
        <v>0</v>
      </c>
      <c r="V131" s="11">
        <v>6</v>
      </c>
      <c r="W131" s="11">
        <v>6</v>
      </c>
      <c r="X131" s="11">
        <v>63</v>
      </c>
      <c r="Y131" s="11">
        <v>1</v>
      </c>
      <c r="Z131" s="11">
        <v>2</v>
      </c>
      <c r="AA131" s="11">
        <v>0</v>
      </c>
      <c r="AB131" s="11">
        <v>0</v>
      </c>
      <c r="AC131" s="11">
        <v>0</v>
      </c>
      <c r="AD131" s="11">
        <v>0</v>
      </c>
      <c r="AE131" s="11">
        <v>97</v>
      </c>
      <c r="AF131" s="11">
        <v>105</v>
      </c>
      <c r="AG131" s="11">
        <v>28</v>
      </c>
      <c r="AH131" s="3">
        <f t="shared" si="0"/>
        <v>58537.603928571429</v>
      </c>
      <c r="AI131" s="3">
        <f t="shared" si="1"/>
        <v>3.75</v>
      </c>
      <c r="AJ131" s="11">
        <v>0</v>
      </c>
      <c r="AK131" s="11">
        <v>0</v>
      </c>
      <c r="AL131" s="181">
        <f t="shared" si="2"/>
        <v>0</v>
      </c>
      <c r="AM131" s="11">
        <v>86266</v>
      </c>
      <c r="AN131" s="181">
        <f t="shared" si="3"/>
        <v>1.09270194</v>
      </c>
      <c r="AO131" s="182">
        <v>0</v>
      </c>
      <c r="AP131" s="11">
        <v>29</v>
      </c>
      <c r="AQ131" s="11">
        <v>315</v>
      </c>
      <c r="AR131" s="11">
        <v>1863.58</v>
      </c>
      <c r="AS131" s="11">
        <v>3</v>
      </c>
      <c r="AT131" s="11">
        <v>42</v>
      </c>
      <c r="AV131" s="11" t="str">
        <f t="shared" si="4"/>
        <v>Active</v>
      </c>
    </row>
    <row r="132" spans="1:48">
      <c r="A132" s="11" t="s">
        <v>119</v>
      </c>
      <c r="B132" s="11" t="s">
        <v>375</v>
      </c>
      <c r="C132" s="11" t="s">
        <v>246</v>
      </c>
      <c r="D132" s="11" t="s">
        <v>473</v>
      </c>
      <c r="E132" s="11" t="s">
        <v>594</v>
      </c>
      <c r="F132" s="45">
        <v>45462</v>
      </c>
      <c r="G132" s="11">
        <v>0</v>
      </c>
      <c r="H132" s="11">
        <v>1200000</v>
      </c>
      <c r="I132" s="11">
        <v>0</v>
      </c>
      <c r="J132" s="11">
        <v>0</v>
      </c>
      <c r="K132" s="11">
        <v>48</v>
      </c>
      <c r="L132" s="11">
        <v>0</v>
      </c>
      <c r="M132" s="11">
        <v>0</v>
      </c>
      <c r="N132" s="11">
        <v>48</v>
      </c>
      <c r="O132" s="11">
        <v>48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70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3" t="str">
        <f t="shared" si="0"/>
        <v/>
      </c>
      <c r="AI132" s="3" t="str">
        <f t="shared" si="1"/>
        <v/>
      </c>
      <c r="AJ132" s="11">
        <v>0</v>
      </c>
      <c r="AK132" s="11">
        <v>0</v>
      </c>
      <c r="AL132" s="181" t="str">
        <f t="shared" si="2"/>
        <v/>
      </c>
      <c r="AM132" s="11">
        <v>0</v>
      </c>
      <c r="AN132" s="181">
        <f t="shared" si="3"/>
        <v>0</v>
      </c>
      <c r="AO132" s="182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84">
        <v>45838</v>
      </c>
      <c r="AV132" s="11" t="str">
        <f t="shared" si="4"/>
        <v>Left</v>
      </c>
    </row>
    <row r="133" spans="1:48">
      <c r="A133" s="11" t="s">
        <v>154</v>
      </c>
      <c r="B133" s="11" t="s">
        <v>367</v>
      </c>
      <c r="C133" s="11" t="s">
        <v>247</v>
      </c>
      <c r="D133" s="11" t="s">
        <v>577</v>
      </c>
      <c r="E133" s="11" t="s">
        <v>377</v>
      </c>
      <c r="F133" s="45">
        <v>45464</v>
      </c>
      <c r="G133" s="11">
        <v>0</v>
      </c>
      <c r="H133" s="11">
        <v>1500000</v>
      </c>
      <c r="I133" s="11">
        <v>0</v>
      </c>
      <c r="J133" s="11">
        <v>0</v>
      </c>
      <c r="K133" s="11">
        <v>34</v>
      </c>
      <c r="L133" s="11">
        <v>0</v>
      </c>
      <c r="M133" s="11">
        <v>0</v>
      </c>
      <c r="N133" s="11">
        <v>34</v>
      </c>
      <c r="O133" s="11">
        <v>34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402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3" t="str">
        <f t="shared" si="0"/>
        <v/>
      </c>
      <c r="AI133" s="3" t="str">
        <f t="shared" si="1"/>
        <v/>
      </c>
      <c r="AJ133" s="11">
        <v>0</v>
      </c>
      <c r="AK133" s="11">
        <v>0</v>
      </c>
      <c r="AL133" s="181" t="str">
        <f t="shared" si="2"/>
        <v/>
      </c>
      <c r="AM133" s="11">
        <v>0</v>
      </c>
      <c r="AN133" s="181">
        <f t="shared" si="3"/>
        <v>0</v>
      </c>
      <c r="AO133" s="182">
        <v>0</v>
      </c>
      <c r="AP133" s="11">
        <v>0</v>
      </c>
      <c r="AQ133" s="11">
        <v>8</v>
      </c>
      <c r="AR133" s="11">
        <v>0</v>
      </c>
      <c r="AS133" s="11">
        <v>0</v>
      </c>
      <c r="AT133" s="11">
        <v>0</v>
      </c>
      <c r="AU133" s="184">
        <v>45838</v>
      </c>
      <c r="AV133" s="11" t="str">
        <f t="shared" si="4"/>
        <v>Left</v>
      </c>
    </row>
    <row r="134" spans="1:48">
      <c r="A134" s="11" t="s">
        <v>201</v>
      </c>
      <c r="B134" s="11" t="s">
        <v>438</v>
      </c>
      <c r="C134" s="11" t="s">
        <v>248</v>
      </c>
      <c r="D134" s="11" t="s">
        <v>504</v>
      </c>
      <c r="E134" s="11" t="s">
        <v>604</v>
      </c>
      <c r="F134" s="45">
        <v>45467</v>
      </c>
      <c r="G134" s="11">
        <v>0</v>
      </c>
      <c r="H134" s="11">
        <v>1666667</v>
      </c>
      <c r="I134" s="11">
        <v>380242.82</v>
      </c>
      <c r="J134" s="11">
        <v>0</v>
      </c>
      <c r="K134" s="11">
        <v>46</v>
      </c>
      <c r="L134" s="11">
        <v>31</v>
      </c>
      <c r="M134" s="11">
        <v>0</v>
      </c>
      <c r="N134" s="11">
        <v>46</v>
      </c>
      <c r="O134" s="11">
        <v>15</v>
      </c>
      <c r="P134" s="11">
        <v>380242.82</v>
      </c>
      <c r="Q134" s="11">
        <v>0</v>
      </c>
      <c r="R134" s="11">
        <v>7</v>
      </c>
      <c r="S134" s="11">
        <v>0</v>
      </c>
      <c r="T134" s="11">
        <v>7</v>
      </c>
      <c r="U134" s="11">
        <v>0</v>
      </c>
      <c r="V134" s="11">
        <v>1</v>
      </c>
      <c r="W134" s="11">
        <v>1</v>
      </c>
      <c r="X134" s="11">
        <v>16</v>
      </c>
      <c r="Y134" s="11">
        <v>2</v>
      </c>
      <c r="Z134" s="11">
        <v>4</v>
      </c>
      <c r="AA134" s="11">
        <v>0</v>
      </c>
      <c r="AB134" s="11">
        <v>0</v>
      </c>
      <c r="AC134" s="11">
        <v>0</v>
      </c>
      <c r="AD134" s="11">
        <v>0</v>
      </c>
      <c r="AE134" s="11">
        <v>72</v>
      </c>
      <c r="AF134" s="11">
        <v>77</v>
      </c>
      <c r="AG134" s="11">
        <v>24</v>
      </c>
      <c r="AH134" s="3">
        <f t="shared" si="0"/>
        <v>15843.450833333334</v>
      </c>
      <c r="AI134" s="3">
        <f t="shared" si="1"/>
        <v>3.2083333333333335</v>
      </c>
      <c r="AJ134" s="11">
        <v>0</v>
      </c>
      <c r="AK134" s="11">
        <v>0</v>
      </c>
      <c r="AL134" s="181">
        <f t="shared" si="2"/>
        <v>0</v>
      </c>
      <c r="AM134" s="11">
        <v>54320</v>
      </c>
      <c r="AN134" s="181">
        <f t="shared" si="3"/>
        <v>0.22814564637087073</v>
      </c>
      <c r="AO134" s="182">
        <v>0</v>
      </c>
      <c r="AP134" s="11">
        <v>7</v>
      </c>
      <c r="AQ134" s="11">
        <v>237</v>
      </c>
      <c r="AR134" s="11">
        <v>1039.2</v>
      </c>
      <c r="AS134" s="11">
        <v>0</v>
      </c>
      <c r="AT134" s="11">
        <v>34</v>
      </c>
      <c r="AV134" s="11" t="str">
        <f t="shared" si="4"/>
        <v>Active</v>
      </c>
    </row>
    <row r="135" spans="1:48">
      <c r="A135" s="11" t="s">
        <v>118</v>
      </c>
      <c r="B135" s="11" t="s">
        <v>436</v>
      </c>
      <c r="C135" s="11" t="s">
        <v>249</v>
      </c>
      <c r="D135" s="11" t="s">
        <v>499</v>
      </c>
      <c r="E135" s="11" t="s">
        <v>606</v>
      </c>
      <c r="F135" s="45">
        <v>45474</v>
      </c>
      <c r="G135" s="11">
        <v>0</v>
      </c>
      <c r="H135" s="11">
        <v>1250000</v>
      </c>
      <c r="I135" s="11">
        <v>0</v>
      </c>
      <c r="J135" s="11">
        <v>0</v>
      </c>
      <c r="K135" s="11">
        <v>21</v>
      </c>
      <c r="L135" s="11">
        <v>5</v>
      </c>
      <c r="M135" s="11">
        <v>0</v>
      </c>
      <c r="N135" s="11">
        <v>21</v>
      </c>
      <c r="O135" s="11">
        <v>16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108</v>
      </c>
      <c r="W135" s="11">
        <v>124</v>
      </c>
      <c r="X135" s="11">
        <v>422</v>
      </c>
      <c r="Y135" s="11">
        <v>0</v>
      </c>
      <c r="Z135" s="11">
        <v>0</v>
      </c>
      <c r="AA135" s="11">
        <v>0</v>
      </c>
      <c r="AB135" s="11">
        <v>0</v>
      </c>
      <c r="AC135" s="11">
        <v>1</v>
      </c>
      <c r="AD135" s="11">
        <v>1</v>
      </c>
      <c r="AE135" s="11">
        <v>8</v>
      </c>
      <c r="AF135" s="11">
        <v>133</v>
      </c>
      <c r="AG135" s="11">
        <v>23</v>
      </c>
      <c r="AH135" s="3">
        <f t="shared" si="0"/>
        <v>0</v>
      </c>
      <c r="AI135" s="3">
        <f t="shared" si="1"/>
        <v>5.7826086956521738</v>
      </c>
      <c r="AJ135" s="11">
        <v>1</v>
      </c>
      <c r="AK135" s="11">
        <v>0</v>
      </c>
      <c r="AL135" s="181" t="str">
        <f t="shared" si="2"/>
        <v/>
      </c>
      <c r="AM135" s="11">
        <v>0</v>
      </c>
      <c r="AN135" s="181">
        <f t="shared" si="3"/>
        <v>0</v>
      </c>
      <c r="AO135" s="182">
        <v>0</v>
      </c>
      <c r="AP135" s="11">
        <v>0</v>
      </c>
      <c r="AQ135" s="11">
        <v>237</v>
      </c>
      <c r="AR135" s="11">
        <v>1761.16</v>
      </c>
      <c r="AS135" s="11">
        <v>0</v>
      </c>
      <c r="AT135" s="11">
        <v>352</v>
      </c>
      <c r="AV135" s="11" t="str">
        <f t="shared" si="4"/>
        <v>Active</v>
      </c>
    </row>
    <row r="136" spans="1:48">
      <c r="A136" s="11" t="s">
        <v>201</v>
      </c>
      <c r="B136" s="11" t="s">
        <v>431</v>
      </c>
      <c r="C136" s="11" t="s">
        <v>250</v>
      </c>
      <c r="D136" s="11" t="s">
        <v>431</v>
      </c>
      <c r="E136" s="11" t="s">
        <v>561</v>
      </c>
      <c r="F136" s="45">
        <v>45482</v>
      </c>
      <c r="G136" s="11">
        <v>0</v>
      </c>
      <c r="H136" s="11">
        <v>1583333</v>
      </c>
      <c r="I136" s="11">
        <v>765124.53</v>
      </c>
      <c r="J136" s="11">
        <v>0</v>
      </c>
      <c r="K136" s="11">
        <v>62</v>
      </c>
      <c r="L136" s="11">
        <v>43</v>
      </c>
      <c r="M136" s="11">
        <v>1</v>
      </c>
      <c r="N136" s="11">
        <v>63</v>
      </c>
      <c r="O136" s="11">
        <v>20</v>
      </c>
      <c r="P136" s="11">
        <v>765124.53</v>
      </c>
      <c r="Q136" s="11">
        <v>0</v>
      </c>
      <c r="R136" s="11">
        <v>15</v>
      </c>
      <c r="S136" s="11">
        <v>0</v>
      </c>
      <c r="T136" s="11">
        <v>15</v>
      </c>
      <c r="U136" s="11">
        <v>0</v>
      </c>
      <c r="V136" s="11">
        <v>17</v>
      </c>
      <c r="W136" s="11">
        <v>19</v>
      </c>
      <c r="X136" s="11">
        <v>238</v>
      </c>
      <c r="Y136" s="11">
        <v>1</v>
      </c>
      <c r="Z136" s="11">
        <v>7</v>
      </c>
      <c r="AA136" s="11">
        <v>0</v>
      </c>
      <c r="AB136" s="11">
        <v>0</v>
      </c>
      <c r="AC136" s="11">
        <v>0</v>
      </c>
      <c r="AD136" s="11">
        <v>0</v>
      </c>
      <c r="AE136" s="11">
        <v>104</v>
      </c>
      <c r="AF136" s="11">
        <v>130</v>
      </c>
      <c r="AG136" s="11">
        <v>25</v>
      </c>
      <c r="AH136" s="3">
        <f t="shared" si="0"/>
        <v>30604.981200000002</v>
      </c>
      <c r="AI136" s="3">
        <f t="shared" si="1"/>
        <v>5.2</v>
      </c>
      <c r="AJ136" s="11">
        <v>0</v>
      </c>
      <c r="AK136" s="11">
        <v>0</v>
      </c>
      <c r="AL136" s="181">
        <f t="shared" si="2"/>
        <v>0</v>
      </c>
      <c r="AM136" s="11">
        <v>51008</v>
      </c>
      <c r="AN136" s="181">
        <f t="shared" si="3"/>
        <v>0.48323664699718888</v>
      </c>
      <c r="AO136" s="182">
        <v>0</v>
      </c>
      <c r="AP136" s="11">
        <v>27</v>
      </c>
      <c r="AQ136" s="11">
        <v>204</v>
      </c>
      <c r="AR136" s="11">
        <v>1441.18</v>
      </c>
      <c r="AS136" s="11">
        <v>0</v>
      </c>
      <c r="AT136" s="11">
        <v>34</v>
      </c>
      <c r="AV136" s="11" t="str">
        <f t="shared" si="4"/>
        <v>Active</v>
      </c>
    </row>
    <row r="137" spans="1:48">
      <c r="A137" s="11" t="s">
        <v>124</v>
      </c>
      <c r="B137" s="11" t="s">
        <v>443</v>
      </c>
      <c r="C137" s="11" t="s">
        <v>251</v>
      </c>
      <c r="D137" s="11" t="s">
        <v>517</v>
      </c>
      <c r="E137" s="11" t="s">
        <v>607</v>
      </c>
      <c r="F137" s="45">
        <v>45483</v>
      </c>
      <c r="G137" s="11">
        <v>0</v>
      </c>
      <c r="H137" s="11">
        <v>1000000</v>
      </c>
      <c r="I137" s="11">
        <v>522859.56</v>
      </c>
      <c r="J137" s="11">
        <v>0</v>
      </c>
      <c r="K137" s="11">
        <v>60</v>
      </c>
      <c r="L137" s="11">
        <v>57</v>
      </c>
      <c r="M137" s="11">
        <v>3</v>
      </c>
      <c r="N137" s="11">
        <v>63</v>
      </c>
      <c r="O137" s="11">
        <v>6</v>
      </c>
      <c r="P137" s="11">
        <v>510696.96000000002</v>
      </c>
      <c r="Q137" s="11">
        <v>12162.6</v>
      </c>
      <c r="R137" s="11">
        <v>29</v>
      </c>
      <c r="S137" s="11">
        <v>3</v>
      </c>
      <c r="T137" s="11">
        <v>32</v>
      </c>
      <c r="U137" s="11">
        <v>0</v>
      </c>
      <c r="V137" s="11">
        <v>38</v>
      </c>
      <c r="W137" s="11">
        <v>44</v>
      </c>
      <c r="X137" s="11">
        <v>129</v>
      </c>
      <c r="Y137" s="11">
        <v>1</v>
      </c>
      <c r="Z137" s="11">
        <v>12</v>
      </c>
      <c r="AA137" s="11">
        <v>0</v>
      </c>
      <c r="AB137" s="11">
        <v>0</v>
      </c>
      <c r="AC137" s="11">
        <v>0</v>
      </c>
      <c r="AD137" s="11">
        <v>0</v>
      </c>
      <c r="AE137" s="11">
        <v>83</v>
      </c>
      <c r="AF137" s="11">
        <v>139</v>
      </c>
      <c r="AG137" s="11">
        <v>26</v>
      </c>
      <c r="AH137" s="3">
        <f t="shared" si="0"/>
        <v>20109.983076923076</v>
      </c>
      <c r="AI137" s="3">
        <f t="shared" si="1"/>
        <v>5.3461538461538458</v>
      </c>
      <c r="AJ137" s="11">
        <v>0</v>
      </c>
      <c r="AK137" s="11">
        <v>0</v>
      </c>
      <c r="AL137" s="181">
        <f t="shared" si="2"/>
        <v>0</v>
      </c>
      <c r="AM137" s="11">
        <v>16339</v>
      </c>
      <c r="AN137" s="181">
        <f t="shared" si="3"/>
        <v>0.52285956</v>
      </c>
      <c r="AO137" s="182">
        <v>0</v>
      </c>
      <c r="AP137" s="11">
        <v>41</v>
      </c>
      <c r="AQ137" s="11">
        <v>229</v>
      </c>
      <c r="AR137" s="11">
        <v>2687.46</v>
      </c>
      <c r="AS137" s="11">
        <v>3</v>
      </c>
      <c r="AT137" s="11">
        <v>47</v>
      </c>
      <c r="AV137" s="11" t="str">
        <f t="shared" si="4"/>
        <v>Active</v>
      </c>
    </row>
    <row r="138" spans="1:48">
      <c r="A138" s="11" t="s">
        <v>108</v>
      </c>
      <c r="B138" s="11" t="s">
        <v>465</v>
      </c>
      <c r="C138" s="11" t="s">
        <v>252</v>
      </c>
      <c r="D138" s="11" t="s">
        <v>621</v>
      </c>
      <c r="E138" s="11" t="s">
        <v>622</v>
      </c>
      <c r="F138" s="45">
        <v>45597</v>
      </c>
      <c r="G138" s="11">
        <v>0</v>
      </c>
      <c r="H138" s="11">
        <v>770000</v>
      </c>
      <c r="I138" s="11">
        <v>718098</v>
      </c>
      <c r="J138" s="11">
        <v>0</v>
      </c>
      <c r="K138" s="11">
        <v>97</v>
      </c>
      <c r="L138" s="11">
        <v>69</v>
      </c>
      <c r="M138" s="11">
        <v>1</v>
      </c>
      <c r="N138" s="11">
        <v>98</v>
      </c>
      <c r="O138" s="11">
        <v>29</v>
      </c>
      <c r="P138" s="11">
        <v>697839.6</v>
      </c>
      <c r="Q138" s="11">
        <v>20258.400000000001</v>
      </c>
      <c r="R138" s="11">
        <v>21</v>
      </c>
      <c r="S138" s="11">
        <v>1</v>
      </c>
      <c r="T138" s="11">
        <v>22</v>
      </c>
      <c r="U138" s="11">
        <v>0</v>
      </c>
      <c r="V138" s="11">
        <v>8</v>
      </c>
      <c r="W138" s="11">
        <v>10</v>
      </c>
      <c r="X138" s="11">
        <v>62</v>
      </c>
      <c r="Y138" s="11">
        <v>1</v>
      </c>
      <c r="Z138" s="11">
        <v>11</v>
      </c>
      <c r="AA138" s="11">
        <v>0</v>
      </c>
      <c r="AB138" s="11">
        <v>0</v>
      </c>
      <c r="AC138" s="11">
        <v>0</v>
      </c>
      <c r="AD138" s="11">
        <v>0</v>
      </c>
      <c r="AE138" s="11">
        <v>132</v>
      </c>
      <c r="AF138" s="11">
        <v>153</v>
      </c>
      <c r="AG138" s="11">
        <v>21</v>
      </c>
      <c r="AH138" s="3">
        <f t="shared" si="0"/>
        <v>34195.142857142855</v>
      </c>
      <c r="AI138" s="3">
        <f t="shared" si="1"/>
        <v>7.2857142857142856</v>
      </c>
      <c r="AJ138" s="43">
        <v>0</v>
      </c>
      <c r="AK138" s="11">
        <v>0</v>
      </c>
      <c r="AL138" s="181">
        <f t="shared" si="2"/>
        <v>0</v>
      </c>
      <c r="AM138" s="11">
        <v>32641</v>
      </c>
      <c r="AN138" s="181">
        <f t="shared" si="3"/>
        <v>0.9325948051948052</v>
      </c>
      <c r="AO138" s="182">
        <v>0</v>
      </c>
      <c r="AP138" s="11">
        <v>27</v>
      </c>
      <c r="AQ138" s="11">
        <v>215</v>
      </c>
      <c r="AR138" s="11">
        <v>1262.05</v>
      </c>
      <c r="AS138" s="11">
        <v>1</v>
      </c>
      <c r="AT138" s="11">
        <v>18</v>
      </c>
      <c r="AV138" s="11" t="str">
        <f t="shared" si="4"/>
        <v>Active</v>
      </c>
    </row>
    <row r="139" spans="1:48">
      <c r="A139" s="11" t="s">
        <v>108</v>
      </c>
      <c r="B139" s="11" t="s">
        <v>465</v>
      </c>
      <c r="C139" s="11" t="s">
        <v>253</v>
      </c>
      <c r="D139" s="11" t="s">
        <v>506</v>
      </c>
      <c r="E139" s="11" t="s">
        <v>467</v>
      </c>
      <c r="F139" s="45">
        <v>45488</v>
      </c>
      <c r="G139" s="11">
        <v>0</v>
      </c>
      <c r="H139" s="11">
        <v>696575</v>
      </c>
      <c r="I139" s="11">
        <v>690333.6</v>
      </c>
      <c r="J139" s="11">
        <v>0</v>
      </c>
      <c r="K139" s="11">
        <v>107</v>
      </c>
      <c r="L139" s="11">
        <v>84</v>
      </c>
      <c r="M139" s="11">
        <v>0</v>
      </c>
      <c r="N139" s="11">
        <v>107</v>
      </c>
      <c r="O139" s="11">
        <v>23</v>
      </c>
      <c r="P139" s="11">
        <v>690333.6</v>
      </c>
      <c r="Q139" s="11">
        <v>0</v>
      </c>
      <c r="R139" s="11">
        <v>42</v>
      </c>
      <c r="S139" s="11">
        <v>0</v>
      </c>
      <c r="T139" s="11">
        <v>42</v>
      </c>
      <c r="U139" s="11">
        <v>0</v>
      </c>
      <c r="V139" s="11">
        <v>3</v>
      </c>
      <c r="W139" s="11">
        <v>3</v>
      </c>
      <c r="X139" s="11">
        <v>48</v>
      </c>
      <c r="Y139" s="11">
        <v>2</v>
      </c>
      <c r="Z139" s="11">
        <v>5</v>
      </c>
      <c r="AA139" s="11">
        <v>0</v>
      </c>
      <c r="AB139" s="11">
        <v>0</v>
      </c>
      <c r="AC139" s="11">
        <v>0</v>
      </c>
      <c r="AD139" s="11">
        <v>0</v>
      </c>
      <c r="AE139" s="11">
        <v>169</v>
      </c>
      <c r="AF139" s="11">
        <v>177</v>
      </c>
      <c r="AG139" s="11">
        <v>25</v>
      </c>
      <c r="AH139" s="3">
        <f t="shared" si="0"/>
        <v>27613.343999999997</v>
      </c>
      <c r="AI139" s="3">
        <f t="shared" si="1"/>
        <v>7.08</v>
      </c>
      <c r="AJ139" s="11">
        <v>0</v>
      </c>
      <c r="AK139" s="11">
        <v>0</v>
      </c>
      <c r="AL139" s="181">
        <f t="shared" si="2"/>
        <v>0</v>
      </c>
      <c r="AM139" s="11">
        <v>16437</v>
      </c>
      <c r="AN139" s="181">
        <f t="shared" si="3"/>
        <v>0.99103987366758783</v>
      </c>
      <c r="AO139" s="182">
        <v>0</v>
      </c>
      <c r="AP139" s="11">
        <v>65</v>
      </c>
      <c r="AQ139" s="11">
        <v>234</v>
      </c>
      <c r="AR139" s="11">
        <v>2080.0100000000002</v>
      </c>
      <c r="AS139" s="11">
        <v>0</v>
      </c>
      <c r="AT139" s="11">
        <v>25</v>
      </c>
      <c r="AV139" s="11" t="str">
        <f t="shared" si="4"/>
        <v>Active</v>
      </c>
    </row>
    <row r="140" spans="1:48">
      <c r="A140" s="11" t="s">
        <v>118</v>
      </c>
      <c r="B140" s="11" t="s">
        <v>372</v>
      </c>
      <c r="C140" s="11" t="s">
        <v>254</v>
      </c>
      <c r="D140" s="11" t="s">
        <v>447</v>
      </c>
      <c r="E140" s="11" t="s">
        <v>610</v>
      </c>
      <c r="F140" s="45">
        <v>45488</v>
      </c>
      <c r="G140" s="11">
        <v>0</v>
      </c>
      <c r="H140" s="11">
        <v>1500000</v>
      </c>
      <c r="I140" s="11">
        <v>1232915.8799999999</v>
      </c>
      <c r="J140" s="11">
        <v>0</v>
      </c>
      <c r="K140" s="11">
        <v>52</v>
      </c>
      <c r="L140" s="11">
        <v>41</v>
      </c>
      <c r="M140" s="11">
        <v>5</v>
      </c>
      <c r="N140" s="11">
        <v>57</v>
      </c>
      <c r="O140" s="11">
        <v>16</v>
      </c>
      <c r="P140" s="11">
        <v>644633.17000000004</v>
      </c>
      <c r="Q140" s="11">
        <v>588282.71</v>
      </c>
      <c r="R140" s="11">
        <v>19</v>
      </c>
      <c r="S140" s="11">
        <v>5</v>
      </c>
      <c r="T140" s="11">
        <v>24</v>
      </c>
      <c r="U140" s="11">
        <v>0</v>
      </c>
      <c r="V140" s="11">
        <v>18</v>
      </c>
      <c r="W140" s="11">
        <v>21</v>
      </c>
      <c r="X140" s="11">
        <v>39</v>
      </c>
      <c r="Y140" s="11">
        <v>1</v>
      </c>
      <c r="Z140" s="11">
        <v>14</v>
      </c>
      <c r="AA140" s="11">
        <v>0</v>
      </c>
      <c r="AB140" s="11">
        <v>0</v>
      </c>
      <c r="AC140" s="11">
        <v>0</v>
      </c>
      <c r="AD140" s="11">
        <v>0</v>
      </c>
      <c r="AE140" s="11">
        <v>68</v>
      </c>
      <c r="AF140" s="11">
        <v>103</v>
      </c>
      <c r="AG140" s="11">
        <v>24</v>
      </c>
      <c r="AH140" s="3">
        <f t="shared" si="0"/>
        <v>51371.494999999995</v>
      </c>
      <c r="AI140" s="3">
        <f t="shared" si="1"/>
        <v>4.291666666666667</v>
      </c>
      <c r="AJ140" s="11">
        <v>0</v>
      </c>
      <c r="AK140" s="11">
        <v>0</v>
      </c>
      <c r="AL140" s="181">
        <f t="shared" si="2"/>
        <v>0</v>
      </c>
      <c r="AM140" s="11">
        <v>51371</v>
      </c>
      <c r="AN140" s="181">
        <f t="shared" si="3"/>
        <v>0.82194391999999994</v>
      </c>
      <c r="AO140" s="182">
        <v>0</v>
      </c>
      <c r="AP140" s="11">
        <v>35</v>
      </c>
      <c r="AQ140" s="11">
        <v>263</v>
      </c>
      <c r="AR140" s="11">
        <v>1923.41</v>
      </c>
      <c r="AS140" s="11">
        <v>5</v>
      </c>
      <c r="AT140" s="11">
        <v>47</v>
      </c>
      <c r="AV140" s="11" t="str">
        <f t="shared" si="4"/>
        <v>Active</v>
      </c>
    </row>
    <row r="141" spans="1:48">
      <c r="A141" s="11" t="s">
        <v>201</v>
      </c>
      <c r="B141" s="11" t="s">
        <v>431</v>
      </c>
      <c r="C141" s="11" t="s">
        <v>255</v>
      </c>
      <c r="D141" s="11" t="s">
        <v>431</v>
      </c>
      <c r="E141" s="11" t="s">
        <v>612</v>
      </c>
      <c r="F141" s="45">
        <v>45506</v>
      </c>
      <c r="G141" s="11">
        <v>0</v>
      </c>
      <c r="H141" s="11">
        <v>1150000</v>
      </c>
      <c r="I141" s="11">
        <v>213537.28</v>
      </c>
      <c r="J141" s="11">
        <v>40101.050000000003</v>
      </c>
      <c r="K141" s="11">
        <v>35</v>
      </c>
      <c r="L141" s="11">
        <v>17</v>
      </c>
      <c r="M141" s="11">
        <v>3</v>
      </c>
      <c r="N141" s="11">
        <v>38</v>
      </c>
      <c r="O141" s="11">
        <v>21</v>
      </c>
      <c r="P141" s="11">
        <v>149776.68</v>
      </c>
      <c r="Q141" s="11">
        <v>63760.6</v>
      </c>
      <c r="R141" s="11">
        <v>6</v>
      </c>
      <c r="S141" s="11">
        <v>2</v>
      </c>
      <c r="T141" s="11">
        <v>8</v>
      </c>
      <c r="U141" s="11">
        <v>1</v>
      </c>
      <c r="V141" s="11">
        <v>6</v>
      </c>
      <c r="W141" s="11">
        <v>11</v>
      </c>
      <c r="X141" s="11">
        <v>80</v>
      </c>
      <c r="Y141" s="11">
        <v>2</v>
      </c>
      <c r="Z141" s="11">
        <v>6</v>
      </c>
      <c r="AA141" s="11">
        <v>1</v>
      </c>
      <c r="AB141" s="11">
        <v>22</v>
      </c>
      <c r="AC141" s="11">
        <v>0</v>
      </c>
      <c r="AD141" s="11">
        <v>0</v>
      </c>
      <c r="AE141" s="11">
        <v>45</v>
      </c>
      <c r="AF141" s="11">
        <v>84</v>
      </c>
      <c r="AG141" s="11">
        <v>26</v>
      </c>
      <c r="AH141" s="3">
        <f t="shared" si="0"/>
        <v>9755.3203846153847</v>
      </c>
      <c r="AI141" s="3">
        <f t="shared" si="1"/>
        <v>3.2307692307692308</v>
      </c>
      <c r="AJ141" s="11">
        <v>1</v>
      </c>
      <c r="AK141" s="11">
        <v>0</v>
      </c>
      <c r="AL141" s="181">
        <f t="shared" si="2"/>
        <v>3.9426217638319884E-6</v>
      </c>
      <c r="AM141" s="11">
        <v>26692</v>
      </c>
      <c r="AN141" s="181">
        <f t="shared" si="3"/>
        <v>0.22055506956521739</v>
      </c>
      <c r="AO141" s="182">
        <v>0</v>
      </c>
      <c r="AP141" s="11">
        <v>8</v>
      </c>
      <c r="AQ141" s="11">
        <v>252</v>
      </c>
      <c r="AR141" s="11">
        <v>531.72</v>
      </c>
      <c r="AS141" s="11">
        <v>2</v>
      </c>
      <c r="AT141" s="11">
        <v>31</v>
      </c>
      <c r="AV141" s="11" t="str">
        <f t="shared" si="4"/>
        <v>Active</v>
      </c>
    </row>
    <row r="142" spans="1:48">
      <c r="A142" s="11" t="s">
        <v>154</v>
      </c>
      <c r="B142" s="11" t="s">
        <v>367</v>
      </c>
      <c r="C142" s="11" t="s">
        <v>257</v>
      </c>
      <c r="D142" s="11" t="s">
        <v>577</v>
      </c>
      <c r="E142" s="11" t="s">
        <v>611</v>
      </c>
      <c r="F142" s="45">
        <v>45502</v>
      </c>
      <c r="G142" s="11">
        <v>0</v>
      </c>
      <c r="H142" s="11">
        <v>1500000</v>
      </c>
      <c r="I142" s="11">
        <v>138429.12</v>
      </c>
      <c r="J142" s="11">
        <v>0</v>
      </c>
      <c r="K142" s="11">
        <v>31</v>
      </c>
      <c r="L142" s="11">
        <v>23</v>
      </c>
      <c r="M142" s="11">
        <v>0</v>
      </c>
      <c r="N142" s="11">
        <v>31</v>
      </c>
      <c r="O142" s="11">
        <v>8</v>
      </c>
      <c r="P142" s="11">
        <v>138429.12</v>
      </c>
      <c r="Q142" s="11">
        <v>0</v>
      </c>
      <c r="R142" s="11">
        <v>1</v>
      </c>
      <c r="S142" s="11">
        <v>0</v>
      </c>
      <c r="T142" s="11">
        <v>1</v>
      </c>
      <c r="U142" s="11">
        <v>0</v>
      </c>
      <c r="V142" s="11">
        <v>22</v>
      </c>
      <c r="W142" s="11">
        <v>32</v>
      </c>
      <c r="X142" s="11">
        <v>107</v>
      </c>
      <c r="Y142" s="11">
        <v>1</v>
      </c>
      <c r="Z142" s="11">
        <v>14</v>
      </c>
      <c r="AA142" s="11">
        <v>0</v>
      </c>
      <c r="AB142" s="11">
        <v>0</v>
      </c>
      <c r="AC142" s="11">
        <v>0</v>
      </c>
      <c r="AD142" s="11">
        <v>0</v>
      </c>
      <c r="AE142" s="11">
        <v>82</v>
      </c>
      <c r="AF142" s="11">
        <v>128</v>
      </c>
      <c r="AG142" s="11">
        <v>26</v>
      </c>
      <c r="AH142" s="3">
        <f t="shared" si="0"/>
        <v>5324.1969230769228</v>
      </c>
      <c r="AI142" s="3">
        <f t="shared" si="1"/>
        <v>4.9230769230769234</v>
      </c>
      <c r="AJ142" s="11">
        <v>0</v>
      </c>
      <c r="AK142" s="11">
        <v>0</v>
      </c>
      <c r="AL142" s="181">
        <f t="shared" si="2"/>
        <v>0</v>
      </c>
      <c r="AM142" s="11">
        <v>138429</v>
      </c>
      <c r="AN142" s="181">
        <f t="shared" si="3"/>
        <v>9.2286079999999993E-2</v>
      </c>
      <c r="AO142" s="182">
        <v>0</v>
      </c>
      <c r="AP142" s="11">
        <v>1</v>
      </c>
      <c r="AQ142" s="11">
        <v>209</v>
      </c>
      <c r="AR142" s="11">
        <v>871.96</v>
      </c>
      <c r="AS142" s="11">
        <v>0</v>
      </c>
      <c r="AT142" s="11">
        <v>38</v>
      </c>
      <c r="AV142" s="11" t="str">
        <f t="shared" si="4"/>
        <v>Active</v>
      </c>
    </row>
    <row r="143" spans="1:48">
      <c r="A143" s="11" t="s">
        <v>118</v>
      </c>
      <c r="B143" s="11" t="s">
        <v>372</v>
      </c>
      <c r="C143" s="11" t="s">
        <v>258</v>
      </c>
      <c r="D143" s="11" t="s">
        <v>447</v>
      </c>
      <c r="E143" s="11" t="s">
        <v>625</v>
      </c>
      <c r="F143" s="45">
        <v>45628</v>
      </c>
      <c r="G143" s="11">
        <v>0</v>
      </c>
      <c r="H143" s="11">
        <v>1500000</v>
      </c>
      <c r="I143" s="11">
        <v>1158075.51</v>
      </c>
      <c r="J143" s="11">
        <v>0</v>
      </c>
      <c r="K143" s="11">
        <v>73</v>
      </c>
      <c r="L143" s="11">
        <v>52</v>
      </c>
      <c r="M143" s="11">
        <v>1</v>
      </c>
      <c r="N143" s="11">
        <v>74</v>
      </c>
      <c r="O143" s="11">
        <v>22</v>
      </c>
      <c r="P143" s="11">
        <v>1130264.4099999999</v>
      </c>
      <c r="Q143" s="11">
        <v>27811.1</v>
      </c>
      <c r="R143" s="11">
        <v>15</v>
      </c>
      <c r="S143" s="11">
        <v>1</v>
      </c>
      <c r="T143" s="11">
        <v>16</v>
      </c>
      <c r="U143" s="11">
        <v>0</v>
      </c>
      <c r="V143" s="11">
        <v>31</v>
      </c>
      <c r="W143" s="11">
        <v>32</v>
      </c>
      <c r="X143" s="11">
        <v>114</v>
      </c>
      <c r="Y143" s="11">
        <v>1</v>
      </c>
      <c r="Z143" s="11">
        <v>6</v>
      </c>
      <c r="AA143" s="11">
        <v>0</v>
      </c>
      <c r="AB143" s="11">
        <v>0</v>
      </c>
      <c r="AC143" s="11">
        <v>0</v>
      </c>
      <c r="AD143" s="11">
        <v>0</v>
      </c>
      <c r="AE143" s="11">
        <v>82</v>
      </c>
      <c r="AF143" s="11">
        <v>120</v>
      </c>
      <c r="AG143" s="11">
        <v>23</v>
      </c>
      <c r="AH143" s="3">
        <f t="shared" si="0"/>
        <v>50351.109130434786</v>
      </c>
      <c r="AI143" s="3">
        <f t="shared" si="1"/>
        <v>5.2173913043478262</v>
      </c>
      <c r="AJ143" s="11">
        <v>0</v>
      </c>
      <c r="AK143" s="11">
        <v>0</v>
      </c>
      <c r="AL143" s="181">
        <f t="shared" si="2"/>
        <v>0</v>
      </c>
      <c r="AM143" s="11">
        <v>72380</v>
      </c>
      <c r="AN143" s="181">
        <f t="shared" si="3"/>
        <v>0.77205034000000006</v>
      </c>
      <c r="AO143" s="182">
        <v>0</v>
      </c>
      <c r="AP143" s="11">
        <v>19</v>
      </c>
      <c r="AQ143" s="11">
        <v>234</v>
      </c>
      <c r="AR143" s="11">
        <v>1203.08</v>
      </c>
      <c r="AS143" s="11">
        <v>1</v>
      </c>
      <c r="AT143" s="11">
        <v>23</v>
      </c>
      <c r="AV143" s="11" t="str">
        <f t="shared" si="4"/>
        <v>Active</v>
      </c>
    </row>
    <row r="144" spans="1:48">
      <c r="A144" s="11" t="s">
        <v>118</v>
      </c>
      <c r="B144" s="11" t="s">
        <v>359</v>
      </c>
      <c r="C144" s="11" t="s">
        <v>260</v>
      </c>
      <c r="D144" s="11" t="s">
        <v>442</v>
      </c>
      <c r="E144" s="11" t="s">
        <v>613</v>
      </c>
      <c r="F144" s="45">
        <v>45516</v>
      </c>
      <c r="G144" s="11">
        <v>0</v>
      </c>
      <c r="H144" s="11">
        <v>1500000</v>
      </c>
      <c r="I144" s="11">
        <v>0</v>
      </c>
      <c r="J144" s="11">
        <v>0</v>
      </c>
      <c r="K144" s="11">
        <v>11</v>
      </c>
      <c r="L144" s="11">
        <v>8</v>
      </c>
      <c r="M144" s="11">
        <v>0</v>
      </c>
      <c r="N144" s="11">
        <v>11</v>
      </c>
      <c r="O144" s="11">
        <v>3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7</v>
      </c>
      <c r="W144" s="11">
        <v>12</v>
      </c>
      <c r="X144" s="11">
        <v>10</v>
      </c>
      <c r="Y144" s="11">
        <v>1</v>
      </c>
      <c r="Z144" s="11">
        <v>5</v>
      </c>
      <c r="AA144" s="11">
        <v>1</v>
      </c>
      <c r="AB144" s="11">
        <v>8</v>
      </c>
      <c r="AC144" s="11">
        <v>0</v>
      </c>
      <c r="AD144" s="11">
        <v>0</v>
      </c>
      <c r="AE144" s="11">
        <v>39</v>
      </c>
      <c r="AF144" s="11">
        <v>64</v>
      </c>
      <c r="AG144" s="11">
        <v>18</v>
      </c>
      <c r="AH144" s="3">
        <f t="shared" si="0"/>
        <v>0</v>
      </c>
      <c r="AI144" s="3">
        <f t="shared" si="1"/>
        <v>3.5555555555555554</v>
      </c>
      <c r="AJ144" s="11">
        <v>2</v>
      </c>
      <c r="AK144" s="11">
        <v>0</v>
      </c>
      <c r="AL144" s="181" t="str">
        <f t="shared" si="2"/>
        <v/>
      </c>
      <c r="AM144" s="11">
        <v>0</v>
      </c>
      <c r="AN144" s="181">
        <f t="shared" si="3"/>
        <v>0</v>
      </c>
      <c r="AO144" s="182">
        <v>0</v>
      </c>
      <c r="AP144" s="11">
        <v>0</v>
      </c>
      <c r="AQ144" s="11">
        <v>147</v>
      </c>
      <c r="AR144" s="11">
        <v>448.29</v>
      </c>
      <c r="AS144" s="11">
        <v>0</v>
      </c>
      <c r="AT144" s="11">
        <v>56</v>
      </c>
      <c r="AV144" s="11" t="str">
        <f t="shared" si="4"/>
        <v>Active</v>
      </c>
    </row>
    <row r="145" spans="1:48">
      <c r="A145" s="11" t="s">
        <v>124</v>
      </c>
      <c r="B145" s="11" t="s">
        <v>443</v>
      </c>
      <c r="C145" s="11" t="s">
        <v>261</v>
      </c>
      <c r="D145" s="11" t="s">
        <v>517</v>
      </c>
      <c r="E145" s="11" t="s">
        <v>614</v>
      </c>
      <c r="F145" s="45">
        <v>45516</v>
      </c>
      <c r="G145" s="11">
        <v>0</v>
      </c>
      <c r="H145" s="11">
        <v>1000000</v>
      </c>
      <c r="I145" s="11">
        <v>407362.44</v>
      </c>
      <c r="J145" s="11">
        <v>0</v>
      </c>
      <c r="K145" s="11">
        <v>132</v>
      </c>
      <c r="L145" s="11">
        <v>58</v>
      </c>
      <c r="M145" s="11">
        <v>0</v>
      </c>
      <c r="N145" s="11">
        <v>132</v>
      </c>
      <c r="O145" s="11">
        <v>74</v>
      </c>
      <c r="P145" s="11">
        <v>407362.44</v>
      </c>
      <c r="Q145" s="11">
        <v>0</v>
      </c>
      <c r="R145" s="11">
        <v>31</v>
      </c>
      <c r="S145" s="11">
        <v>0</v>
      </c>
      <c r="T145" s="11">
        <v>31</v>
      </c>
      <c r="U145" s="11">
        <v>0</v>
      </c>
      <c r="V145" s="11">
        <v>53</v>
      </c>
      <c r="W145" s="11">
        <v>53</v>
      </c>
      <c r="X145" s="11">
        <v>274</v>
      </c>
      <c r="Y145" s="11">
        <v>1</v>
      </c>
      <c r="Z145" s="11">
        <v>2</v>
      </c>
      <c r="AA145" s="11">
        <v>0</v>
      </c>
      <c r="AB145" s="11">
        <v>0</v>
      </c>
      <c r="AC145" s="11">
        <v>0</v>
      </c>
      <c r="AD145" s="11">
        <v>0</v>
      </c>
      <c r="AE145" s="11">
        <v>65</v>
      </c>
      <c r="AF145" s="11">
        <v>120</v>
      </c>
      <c r="AG145" s="11">
        <v>26</v>
      </c>
      <c r="AH145" s="3">
        <f t="shared" si="0"/>
        <v>15667.786153846155</v>
      </c>
      <c r="AI145" s="3">
        <f t="shared" si="1"/>
        <v>4.615384615384615</v>
      </c>
      <c r="AJ145" s="11">
        <v>0</v>
      </c>
      <c r="AK145" s="11">
        <v>0</v>
      </c>
      <c r="AL145" s="181">
        <f t="shared" si="2"/>
        <v>0</v>
      </c>
      <c r="AM145" s="11">
        <v>13141</v>
      </c>
      <c r="AN145" s="181">
        <f t="shared" si="3"/>
        <v>0.40736243999999999</v>
      </c>
      <c r="AO145" s="182">
        <v>0</v>
      </c>
      <c r="AP145" s="11">
        <v>34</v>
      </c>
      <c r="AQ145" s="11">
        <v>254</v>
      </c>
      <c r="AR145" s="11">
        <v>1744.57</v>
      </c>
      <c r="AS145" s="11">
        <v>0</v>
      </c>
      <c r="AT145" s="11">
        <v>30</v>
      </c>
      <c r="AV145" s="11" t="str">
        <f t="shared" si="4"/>
        <v>Active</v>
      </c>
    </row>
    <row r="146" spans="1:48">
      <c r="A146" s="11" t="s">
        <v>118</v>
      </c>
      <c r="B146" s="11" t="s">
        <v>615</v>
      </c>
      <c r="C146" s="11" t="s">
        <v>262</v>
      </c>
      <c r="D146" s="11" t="s">
        <v>615</v>
      </c>
      <c r="E146" s="11" t="s">
        <v>616</v>
      </c>
      <c r="F146" s="45">
        <v>45523</v>
      </c>
      <c r="G146" s="11">
        <v>0</v>
      </c>
      <c r="H146" s="11">
        <v>0</v>
      </c>
      <c r="I146" s="11">
        <v>0</v>
      </c>
      <c r="J146" s="11">
        <v>0</v>
      </c>
      <c r="K146" s="11">
        <v>1</v>
      </c>
      <c r="L146" s="11">
        <v>0</v>
      </c>
      <c r="M146" s="11">
        <v>0</v>
      </c>
      <c r="N146" s="11">
        <v>1</v>
      </c>
      <c r="O146" s="11">
        <v>1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5</v>
      </c>
      <c r="W146" s="11">
        <v>6</v>
      </c>
      <c r="X146" s="11">
        <v>48</v>
      </c>
      <c r="Y146" s="11">
        <v>0</v>
      </c>
      <c r="Z146" s="11">
        <v>0</v>
      </c>
      <c r="AA146" s="11">
        <v>0</v>
      </c>
      <c r="AB146" s="11">
        <v>0</v>
      </c>
      <c r="AC146" s="11">
        <v>32</v>
      </c>
      <c r="AD146" s="11">
        <v>48</v>
      </c>
      <c r="AE146" s="11">
        <v>0</v>
      </c>
      <c r="AF146" s="11">
        <v>54</v>
      </c>
      <c r="AG146" s="11">
        <v>17</v>
      </c>
      <c r="AH146" s="3">
        <f t="shared" si="0"/>
        <v>0</v>
      </c>
      <c r="AI146" s="3">
        <f t="shared" si="1"/>
        <v>3.1764705882352939</v>
      </c>
      <c r="AJ146" s="11">
        <v>0</v>
      </c>
      <c r="AK146" s="11">
        <v>0</v>
      </c>
      <c r="AL146" s="181" t="str">
        <f t="shared" si="2"/>
        <v/>
      </c>
      <c r="AM146" s="11">
        <v>0</v>
      </c>
      <c r="AN146" s="181" t="str">
        <f t="shared" si="3"/>
        <v/>
      </c>
      <c r="AO146" s="182">
        <v>0</v>
      </c>
      <c r="AP146" s="11">
        <v>0</v>
      </c>
      <c r="AQ146" s="11">
        <v>200</v>
      </c>
      <c r="AR146" s="11">
        <v>2103.87</v>
      </c>
      <c r="AS146" s="11">
        <v>0</v>
      </c>
      <c r="AT146" s="11">
        <v>0</v>
      </c>
      <c r="AU146" s="184">
        <v>45869</v>
      </c>
      <c r="AV146" s="11" t="str">
        <f t="shared" si="4"/>
        <v>Left</v>
      </c>
    </row>
    <row r="147" spans="1:48">
      <c r="A147" s="11" t="s">
        <v>154</v>
      </c>
      <c r="B147" s="11" t="s">
        <v>367</v>
      </c>
      <c r="C147" s="11" t="s">
        <v>263</v>
      </c>
      <c r="D147" s="11" t="s">
        <v>577</v>
      </c>
      <c r="E147" s="11" t="s">
        <v>368</v>
      </c>
      <c r="F147" s="45">
        <v>45518</v>
      </c>
      <c r="G147" s="11">
        <v>0</v>
      </c>
      <c r="H147" s="11">
        <v>700000</v>
      </c>
      <c r="I147" s="11">
        <v>286803.7</v>
      </c>
      <c r="J147" s="11">
        <v>0</v>
      </c>
      <c r="K147" s="11">
        <v>73</v>
      </c>
      <c r="L147" s="11">
        <v>60</v>
      </c>
      <c r="M147" s="11">
        <v>1</v>
      </c>
      <c r="N147" s="11">
        <v>74</v>
      </c>
      <c r="O147" s="11">
        <v>14</v>
      </c>
      <c r="P147" s="11">
        <v>269197.3</v>
      </c>
      <c r="Q147" s="11">
        <v>17606.400000000001</v>
      </c>
      <c r="R147" s="11">
        <v>18</v>
      </c>
      <c r="S147" s="11">
        <v>1</v>
      </c>
      <c r="T147" s="11">
        <v>19</v>
      </c>
      <c r="U147" s="11">
        <v>0</v>
      </c>
      <c r="V147" s="11">
        <v>32</v>
      </c>
      <c r="W147" s="11">
        <v>36</v>
      </c>
      <c r="X147" s="11">
        <v>174</v>
      </c>
      <c r="Y147" s="11">
        <v>1</v>
      </c>
      <c r="Z147" s="11">
        <v>23</v>
      </c>
      <c r="AA147" s="11">
        <v>0</v>
      </c>
      <c r="AB147" s="11">
        <v>0</v>
      </c>
      <c r="AC147" s="11">
        <v>0</v>
      </c>
      <c r="AD147" s="11">
        <v>0</v>
      </c>
      <c r="AE147" s="11">
        <v>149</v>
      </c>
      <c r="AF147" s="11">
        <v>208</v>
      </c>
      <c r="AG147" s="11">
        <v>26</v>
      </c>
      <c r="AH147" s="3">
        <f t="shared" si="0"/>
        <v>11030.91153846154</v>
      </c>
      <c r="AI147" s="3">
        <f t="shared" si="1"/>
        <v>8</v>
      </c>
      <c r="AJ147" s="11">
        <v>0</v>
      </c>
      <c r="AK147" s="11">
        <v>0</v>
      </c>
      <c r="AL147" s="181">
        <f t="shared" si="2"/>
        <v>0</v>
      </c>
      <c r="AM147" s="11">
        <v>15095</v>
      </c>
      <c r="AN147" s="181">
        <f t="shared" si="3"/>
        <v>0.40971957142857146</v>
      </c>
      <c r="AO147" s="182">
        <v>0</v>
      </c>
      <c r="AP147" s="11">
        <v>19</v>
      </c>
      <c r="AQ147" s="11">
        <v>284</v>
      </c>
      <c r="AR147" s="11">
        <v>2418.42</v>
      </c>
      <c r="AS147" s="11">
        <v>1</v>
      </c>
      <c r="AT147" s="11">
        <v>40</v>
      </c>
      <c r="AV147" s="11" t="str">
        <f t="shared" si="4"/>
        <v>Active</v>
      </c>
    </row>
    <row r="148" spans="1:48">
      <c r="A148" s="11" t="s">
        <v>120</v>
      </c>
      <c r="B148" s="11" t="s">
        <v>163</v>
      </c>
      <c r="C148" s="11" t="s">
        <v>207</v>
      </c>
      <c r="D148" s="11" t="s">
        <v>617</v>
      </c>
      <c r="E148" s="11" t="s">
        <v>209</v>
      </c>
      <c r="F148" s="45">
        <v>45551</v>
      </c>
      <c r="G148" s="11">
        <v>0</v>
      </c>
      <c r="H148" s="11">
        <v>1300000</v>
      </c>
      <c r="I148" s="11">
        <v>958979.14</v>
      </c>
      <c r="J148" s="11">
        <v>0</v>
      </c>
      <c r="K148" s="11">
        <v>120</v>
      </c>
      <c r="L148" s="11">
        <v>76</v>
      </c>
      <c r="M148" s="11">
        <v>3</v>
      </c>
      <c r="N148" s="11">
        <v>123</v>
      </c>
      <c r="O148" s="11">
        <v>47</v>
      </c>
      <c r="P148" s="11">
        <v>891295.26</v>
      </c>
      <c r="Q148" s="11">
        <v>67683.88</v>
      </c>
      <c r="R148" s="11">
        <v>38</v>
      </c>
      <c r="S148" s="11">
        <v>2</v>
      </c>
      <c r="T148" s="11">
        <v>40</v>
      </c>
      <c r="U148" s="11">
        <v>0</v>
      </c>
      <c r="V148" s="11">
        <v>28</v>
      </c>
      <c r="W148" s="11">
        <v>28</v>
      </c>
      <c r="X148" s="11">
        <v>141</v>
      </c>
      <c r="Y148" s="11">
        <v>1</v>
      </c>
      <c r="Z148" s="11">
        <v>13</v>
      </c>
      <c r="AA148" s="11">
        <v>0</v>
      </c>
      <c r="AB148" s="11">
        <v>0</v>
      </c>
      <c r="AC148" s="11">
        <v>1</v>
      </c>
      <c r="AD148" s="11">
        <v>1</v>
      </c>
      <c r="AE148" s="11">
        <v>130</v>
      </c>
      <c r="AF148" s="11">
        <v>172</v>
      </c>
      <c r="AG148" s="11">
        <v>25</v>
      </c>
      <c r="AH148" s="3">
        <f t="shared" si="0"/>
        <v>38359.1656</v>
      </c>
      <c r="AI148" s="3">
        <f t="shared" si="1"/>
        <v>6.88</v>
      </c>
      <c r="AJ148" s="11">
        <v>0</v>
      </c>
      <c r="AK148" s="11">
        <v>0</v>
      </c>
      <c r="AL148" s="181">
        <f t="shared" si="2"/>
        <v>0</v>
      </c>
      <c r="AM148" s="11">
        <v>23974</v>
      </c>
      <c r="AN148" s="181">
        <f t="shared" si="3"/>
        <v>0.73767626153846155</v>
      </c>
      <c r="AO148" s="182">
        <v>0</v>
      </c>
      <c r="AP148" s="11">
        <v>48</v>
      </c>
      <c r="AQ148" s="11">
        <v>255</v>
      </c>
      <c r="AR148" s="11">
        <v>621.11</v>
      </c>
      <c r="AS148" s="11">
        <v>2</v>
      </c>
      <c r="AT148" s="11">
        <v>8</v>
      </c>
      <c r="AV148" s="11" t="str">
        <f t="shared" si="4"/>
        <v>Active</v>
      </c>
    </row>
    <row r="149" spans="1:48">
      <c r="A149" s="11" t="s">
        <v>120</v>
      </c>
      <c r="B149" s="11" t="s">
        <v>206</v>
      </c>
      <c r="C149" s="11" t="s">
        <v>230</v>
      </c>
      <c r="D149" s="11" t="s">
        <v>618</v>
      </c>
      <c r="E149" s="11" t="s">
        <v>233</v>
      </c>
      <c r="F149" s="45">
        <v>45568</v>
      </c>
      <c r="G149" s="11">
        <v>200000</v>
      </c>
      <c r="H149" s="11">
        <v>1200000</v>
      </c>
      <c r="I149" s="11">
        <v>940606.26</v>
      </c>
      <c r="J149" s="11">
        <v>0</v>
      </c>
      <c r="K149" s="11">
        <v>24</v>
      </c>
      <c r="L149" s="11">
        <v>22</v>
      </c>
      <c r="M149" s="11">
        <v>0</v>
      </c>
      <c r="N149" s="11">
        <v>24</v>
      </c>
      <c r="O149" s="11">
        <v>2</v>
      </c>
      <c r="P149" s="11">
        <v>940606.26</v>
      </c>
      <c r="Q149" s="11">
        <v>0</v>
      </c>
      <c r="R149" s="11">
        <v>16</v>
      </c>
      <c r="S149" s="11">
        <v>0</v>
      </c>
      <c r="T149" s="11">
        <v>16</v>
      </c>
      <c r="U149" s="11">
        <v>0</v>
      </c>
      <c r="V149" s="11">
        <v>22</v>
      </c>
      <c r="W149" s="11">
        <v>31</v>
      </c>
      <c r="X149" s="11">
        <v>130</v>
      </c>
      <c r="Y149" s="11">
        <v>2</v>
      </c>
      <c r="Z149" s="11">
        <v>10</v>
      </c>
      <c r="AA149" s="11">
        <v>4</v>
      </c>
      <c r="AB149" s="11">
        <v>20</v>
      </c>
      <c r="AC149" s="11">
        <v>0</v>
      </c>
      <c r="AD149" s="11">
        <v>0</v>
      </c>
      <c r="AE149" s="11">
        <v>61</v>
      </c>
      <c r="AF149" s="11">
        <v>122</v>
      </c>
      <c r="AG149" s="11">
        <v>27</v>
      </c>
      <c r="AH149" s="3">
        <f t="shared" si="0"/>
        <v>34837.268888888888</v>
      </c>
      <c r="AI149" s="3">
        <f t="shared" si="1"/>
        <v>4.5185185185185182</v>
      </c>
      <c r="AJ149" s="11">
        <v>4</v>
      </c>
      <c r="AK149" s="11">
        <v>0</v>
      </c>
      <c r="AL149" s="181">
        <f t="shared" si="2"/>
        <v>4.2525764181071899E-6</v>
      </c>
      <c r="AM149" s="11">
        <v>58788</v>
      </c>
      <c r="AN149" s="181">
        <f t="shared" si="3"/>
        <v>0.67186161428571434</v>
      </c>
      <c r="AO149" s="182">
        <v>0</v>
      </c>
      <c r="AP149" s="11">
        <v>16</v>
      </c>
      <c r="AQ149" s="11">
        <v>222</v>
      </c>
      <c r="AR149" s="11">
        <v>1430.1</v>
      </c>
      <c r="AS149" s="11">
        <v>0</v>
      </c>
      <c r="AT149" s="11">
        <v>65</v>
      </c>
      <c r="AV149" s="11" t="str">
        <f t="shared" si="4"/>
        <v>Active</v>
      </c>
    </row>
    <row r="150" spans="1:48">
      <c r="A150" s="11" t="s">
        <v>118</v>
      </c>
      <c r="B150" s="11" t="s">
        <v>615</v>
      </c>
      <c r="C150" s="11" t="s">
        <v>264</v>
      </c>
      <c r="D150" s="11" t="s">
        <v>615</v>
      </c>
      <c r="E150" s="11" t="s">
        <v>619</v>
      </c>
      <c r="F150" s="45">
        <v>45569</v>
      </c>
      <c r="G150" s="11">
        <v>0</v>
      </c>
      <c r="H150" s="11">
        <v>0</v>
      </c>
      <c r="I150" s="11">
        <v>0</v>
      </c>
      <c r="J150" s="11">
        <v>0</v>
      </c>
      <c r="K150" s="11">
        <v>5</v>
      </c>
      <c r="L150" s="11">
        <v>2</v>
      </c>
      <c r="M150" s="11">
        <v>0</v>
      </c>
      <c r="N150" s="11">
        <v>5</v>
      </c>
      <c r="O150" s="11">
        <v>3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8</v>
      </c>
      <c r="W150" s="11">
        <v>9</v>
      </c>
      <c r="X150" s="11">
        <v>44</v>
      </c>
      <c r="Y150" s="11">
        <v>0</v>
      </c>
      <c r="Z150" s="11">
        <v>0</v>
      </c>
      <c r="AA150" s="11">
        <v>0</v>
      </c>
      <c r="AB150" s="11">
        <v>0</v>
      </c>
      <c r="AC150" s="11">
        <v>49</v>
      </c>
      <c r="AD150" s="11">
        <v>126</v>
      </c>
      <c r="AE150" s="11">
        <v>4</v>
      </c>
      <c r="AF150" s="11">
        <v>139</v>
      </c>
      <c r="AG150" s="11">
        <v>27</v>
      </c>
      <c r="AH150" s="3">
        <f t="shared" si="0"/>
        <v>0</v>
      </c>
      <c r="AI150" s="3">
        <f t="shared" si="1"/>
        <v>5.1481481481481479</v>
      </c>
      <c r="AJ150" s="11">
        <v>0</v>
      </c>
      <c r="AK150" s="11">
        <v>0</v>
      </c>
      <c r="AL150" s="181" t="str">
        <f t="shared" si="2"/>
        <v/>
      </c>
      <c r="AM150" s="11">
        <v>0</v>
      </c>
      <c r="AN150" s="181" t="str">
        <f t="shared" si="3"/>
        <v/>
      </c>
      <c r="AO150" s="182">
        <v>0</v>
      </c>
      <c r="AP150" s="11">
        <v>0</v>
      </c>
      <c r="AQ150" s="11">
        <v>287</v>
      </c>
      <c r="AR150" s="11">
        <v>1994.98</v>
      </c>
      <c r="AS150" s="11">
        <v>0</v>
      </c>
      <c r="AT150" s="11">
        <v>997</v>
      </c>
      <c r="AV150" s="11" t="str">
        <f t="shared" si="4"/>
        <v>Active</v>
      </c>
    </row>
    <row r="151" spans="1:48">
      <c r="A151" s="11" t="s">
        <v>118</v>
      </c>
      <c r="B151" s="11" t="s">
        <v>615</v>
      </c>
      <c r="C151" s="11" t="s">
        <v>265</v>
      </c>
      <c r="D151" s="11" t="s">
        <v>615</v>
      </c>
      <c r="E151" s="11" t="s">
        <v>620</v>
      </c>
      <c r="F151" s="45">
        <v>45569</v>
      </c>
      <c r="G151" s="11">
        <v>0</v>
      </c>
      <c r="H151" s="11">
        <v>0</v>
      </c>
      <c r="I151" s="11">
        <v>0</v>
      </c>
      <c r="J151" s="11">
        <v>0</v>
      </c>
      <c r="K151" s="11">
        <v>2</v>
      </c>
      <c r="L151" s="11">
        <v>0</v>
      </c>
      <c r="M151" s="11">
        <v>0</v>
      </c>
      <c r="N151" s="11">
        <v>2</v>
      </c>
      <c r="O151" s="11">
        <v>2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50</v>
      </c>
      <c r="Y151" s="11">
        <v>0</v>
      </c>
      <c r="Z151" s="11">
        <v>0</v>
      </c>
      <c r="AA151" s="11">
        <v>1</v>
      </c>
      <c r="AB151" s="11">
        <v>2</v>
      </c>
      <c r="AC151" s="11">
        <v>54</v>
      </c>
      <c r="AD151" s="11">
        <v>67</v>
      </c>
      <c r="AE151" s="11">
        <v>0</v>
      </c>
      <c r="AF151" s="11">
        <v>69</v>
      </c>
      <c r="AG151" s="11">
        <v>17</v>
      </c>
      <c r="AH151" s="3">
        <f t="shared" si="0"/>
        <v>0</v>
      </c>
      <c r="AI151" s="3">
        <f t="shared" si="1"/>
        <v>4.0588235294117645</v>
      </c>
      <c r="AJ151" s="11">
        <v>1</v>
      </c>
      <c r="AK151" s="11">
        <v>0</v>
      </c>
      <c r="AL151" s="181" t="str">
        <f t="shared" si="2"/>
        <v/>
      </c>
      <c r="AM151" s="11">
        <v>0</v>
      </c>
      <c r="AN151" s="181" t="str">
        <f t="shared" si="3"/>
        <v/>
      </c>
      <c r="AO151" s="182">
        <v>0</v>
      </c>
      <c r="AP151" s="11">
        <v>0</v>
      </c>
      <c r="AQ151" s="11">
        <v>193</v>
      </c>
      <c r="AR151" s="11">
        <v>2937.68</v>
      </c>
      <c r="AS151" s="11">
        <v>0</v>
      </c>
      <c r="AT151" s="11">
        <v>0</v>
      </c>
      <c r="AU151" s="184">
        <v>45856</v>
      </c>
      <c r="AV151" s="11" t="str">
        <f t="shared" si="4"/>
        <v>Left</v>
      </c>
    </row>
    <row r="152" spans="1:48">
      <c r="A152" s="11" t="s">
        <v>201</v>
      </c>
      <c r="B152" s="11" t="s">
        <v>431</v>
      </c>
      <c r="C152" s="11" t="s">
        <v>266</v>
      </c>
      <c r="D152" s="11" t="s">
        <v>431</v>
      </c>
      <c r="E152" s="11" t="s">
        <v>531</v>
      </c>
      <c r="F152" s="45">
        <v>45600</v>
      </c>
      <c r="G152" s="11">
        <v>0</v>
      </c>
      <c r="H152" s="11">
        <v>2083333</v>
      </c>
      <c r="I152" s="11">
        <v>3957570.92</v>
      </c>
      <c r="J152" s="11">
        <v>0</v>
      </c>
      <c r="K152" s="11">
        <v>112</v>
      </c>
      <c r="L152" s="11">
        <v>62</v>
      </c>
      <c r="M152" s="11">
        <v>4</v>
      </c>
      <c r="N152" s="11">
        <v>116</v>
      </c>
      <c r="O152" s="11">
        <v>54</v>
      </c>
      <c r="P152" s="11">
        <v>3935340.92</v>
      </c>
      <c r="Q152" s="11">
        <v>22230</v>
      </c>
      <c r="R152" s="11">
        <v>28</v>
      </c>
      <c r="S152" s="11">
        <v>1</v>
      </c>
      <c r="T152" s="11">
        <v>29</v>
      </c>
      <c r="U152" s="11">
        <v>0</v>
      </c>
      <c r="V152" s="11">
        <v>5</v>
      </c>
      <c r="W152" s="11">
        <v>5</v>
      </c>
      <c r="X152" s="11">
        <v>69</v>
      </c>
      <c r="Y152" s="11">
        <v>2</v>
      </c>
      <c r="Z152" s="11">
        <v>9</v>
      </c>
      <c r="AA152" s="11">
        <v>0</v>
      </c>
      <c r="AB152" s="11">
        <v>0</v>
      </c>
      <c r="AC152" s="11">
        <v>0</v>
      </c>
      <c r="AD152" s="11">
        <v>0</v>
      </c>
      <c r="AE152" s="11">
        <v>105</v>
      </c>
      <c r="AF152" s="11">
        <v>119</v>
      </c>
      <c r="AG152" s="11">
        <v>27</v>
      </c>
      <c r="AH152" s="3">
        <f t="shared" si="0"/>
        <v>146576.70074074075</v>
      </c>
      <c r="AI152" s="3">
        <f t="shared" si="1"/>
        <v>4.4074074074074074</v>
      </c>
      <c r="AJ152" s="43">
        <v>0</v>
      </c>
      <c r="AK152" s="11">
        <v>0</v>
      </c>
      <c r="AL152" s="181">
        <f t="shared" si="2"/>
        <v>0</v>
      </c>
      <c r="AM152" s="11">
        <v>136468</v>
      </c>
      <c r="AN152" s="181">
        <f t="shared" si="3"/>
        <v>1.8996343455414952</v>
      </c>
      <c r="AO152" s="182">
        <v>0</v>
      </c>
      <c r="AP152" s="11">
        <v>35</v>
      </c>
      <c r="AQ152" s="11">
        <v>227</v>
      </c>
      <c r="AR152" s="11">
        <v>1538.97</v>
      </c>
      <c r="AS152" s="11">
        <v>1</v>
      </c>
      <c r="AT152" s="11">
        <v>25</v>
      </c>
      <c r="AV152" s="11" t="str">
        <f t="shared" si="4"/>
        <v>Active</v>
      </c>
    </row>
    <row r="153" spans="1:48">
      <c r="A153" s="11" t="s">
        <v>201</v>
      </c>
      <c r="B153" s="11" t="s">
        <v>431</v>
      </c>
      <c r="C153" s="11" t="s">
        <v>267</v>
      </c>
      <c r="D153" s="11" t="s">
        <v>431</v>
      </c>
      <c r="E153" s="11" t="s">
        <v>531</v>
      </c>
      <c r="F153" s="45">
        <v>45607</v>
      </c>
      <c r="G153" s="11">
        <v>0</v>
      </c>
      <c r="H153" s="11">
        <v>1833333</v>
      </c>
      <c r="I153" s="11">
        <v>649111.86</v>
      </c>
      <c r="J153" s="11">
        <v>0</v>
      </c>
      <c r="K153" s="11">
        <v>97</v>
      </c>
      <c r="L153" s="11">
        <v>72</v>
      </c>
      <c r="M153" s="11">
        <v>7</v>
      </c>
      <c r="N153" s="11">
        <v>104</v>
      </c>
      <c r="O153" s="11">
        <v>32</v>
      </c>
      <c r="P153" s="11">
        <v>496308.78</v>
      </c>
      <c r="Q153" s="11">
        <v>152803.07999999999</v>
      </c>
      <c r="R153" s="11">
        <v>10</v>
      </c>
      <c r="S153" s="11">
        <v>5</v>
      </c>
      <c r="T153" s="11">
        <v>15</v>
      </c>
      <c r="U153" s="11">
        <v>0</v>
      </c>
      <c r="V153" s="11">
        <v>22</v>
      </c>
      <c r="W153" s="11">
        <v>27</v>
      </c>
      <c r="X153" s="11">
        <v>111</v>
      </c>
      <c r="Y153" s="11">
        <v>2</v>
      </c>
      <c r="Z153" s="11">
        <v>14</v>
      </c>
      <c r="AA153" s="11">
        <v>0</v>
      </c>
      <c r="AB153" s="11">
        <v>0</v>
      </c>
      <c r="AC153" s="11">
        <v>0</v>
      </c>
      <c r="AD153" s="11">
        <v>0</v>
      </c>
      <c r="AE153" s="11">
        <v>131</v>
      </c>
      <c r="AF153" s="11">
        <v>172</v>
      </c>
      <c r="AG153" s="11">
        <v>27</v>
      </c>
      <c r="AH153" s="3">
        <f t="shared" si="0"/>
        <v>24041.18</v>
      </c>
      <c r="AI153" s="3">
        <f t="shared" si="1"/>
        <v>6.3703703703703702</v>
      </c>
      <c r="AJ153" s="43">
        <v>0</v>
      </c>
      <c r="AK153" s="11">
        <v>0</v>
      </c>
      <c r="AL153" s="181">
        <f t="shared" si="2"/>
        <v>0</v>
      </c>
      <c r="AM153" s="11">
        <v>43274</v>
      </c>
      <c r="AN153" s="181">
        <f t="shared" si="3"/>
        <v>0.35406107892019617</v>
      </c>
      <c r="AO153" s="182">
        <v>0</v>
      </c>
      <c r="AP153" s="11">
        <v>22</v>
      </c>
      <c r="AQ153" s="11">
        <v>240</v>
      </c>
      <c r="AR153" s="11">
        <v>1135.97</v>
      </c>
      <c r="AS153" s="11">
        <v>5</v>
      </c>
      <c r="AT153" s="11">
        <v>16</v>
      </c>
      <c r="AV153" s="11" t="str">
        <f t="shared" si="4"/>
        <v>Active</v>
      </c>
    </row>
    <row r="154" spans="1:48">
      <c r="A154" s="11" t="s">
        <v>118</v>
      </c>
      <c r="B154" s="11" t="s">
        <v>362</v>
      </c>
      <c r="C154" s="11" t="s">
        <v>268</v>
      </c>
      <c r="D154" s="11" t="s">
        <v>623</v>
      </c>
      <c r="E154" s="11" t="s">
        <v>624</v>
      </c>
      <c r="F154" s="45">
        <v>45614</v>
      </c>
      <c r="G154" s="11">
        <v>0</v>
      </c>
      <c r="H154" s="11">
        <v>0</v>
      </c>
      <c r="I154" s="11">
        <v>341949.91</v>
      </c>
      <c r="J154" s="11">
        <v>0</v>
      </c>
      <c r="K154" s="11">
        <v>65</v>
      </c>
      <c r="L154" s="11">
        <v>41</v>
      </c>
      <c r="M154" s="11">
        <v>4</v>
      </c>
      <c r="N154" s="11">
        <v>69</v>
      </c>
      <c r="O154" s="11">
        <v>28</v>
      </c>
      <c r="P154" s="11">
        <v>251135.12</v>
      </c>
      <c r="Q154" s="11">
        <v>90814.79</v>
      </c>
      <c r="R154" s="11">
        <v>16</v>
      </c>
      <c r="S154" s="11">
        <v>4</v>
      </c>
      <c r="T154" s="11">
        <v>20</v>
      </c>
      <c r="U154" s="11">
        <v>0</v>
      </c>
      <c r="V154" s="11">
        <v>17</v>
      </c>
      <c r="W154" s="11">
        <v>18</v>
      </c>
      <c r="X154" s="11">
        <v>86</v>
      </c>
      <c r="Y154" s="11">
        <v>1</v>
      </c>
      <c r="Z154" s="11">
        <v>18</v>
      </c>
      <c r="AA154" s="11">
        <v>0</v>
      </c>
      <c r="AB154" s="11">
        <v>0</v>
      </c>
      <c r="AC154" s="11">
        <v>2</v>
      </c>
      <c r="AD154" s="11">
        <v>4</v>
      </c>
      <c r="AE154" s="11">
        <v>96</v>
      </c>
      <c r="AF154" s="11">
        <v>136</v>
      </c>
      <c r="AG154" s="11">
        <v>26</v>
      </c>
      <c r="AH154" s="3">
        <f t="shared" si="0"/>
        <v>13151.919615384615</v>
      </c>
      <c r="AI154" s="3">
        <f t="shared" si="1"/>
        <v>5.2307692307692308</v>
      </c>
      <c r="AJ154" s="11">
        <v>0</v>
      </c>
      <c r="AK154" s="11">
        <v>0</v>
      </c>
      <c r="AL154" s="181">
        <f t="shared" si="2"/>
        <v>0</v>
      </c>
      <c r="AM154" s="11">
        <v>17097</v>
      </c>
      <c r="AN154" s="181" t="str">
        <f t="shared" si="3"/>
        <v/>
      </c>
      <c r="AO154" s="182">
        <v>0</v>
      </c>
      <c r="AP154" s="11">
        <v>26</v>
      </c>
      <c r="AQ154" s="11">
        <v>259</v>
      </c>
      <c r="AR154" s="11">
        <v>1092.3800000000001</v>
      </c>
      <c r="AS154" s="11">
        <v>4</v>
      </c>
      <c r="AT154" s="11">
        <v>27</v>
      </c>
      <c r="AV154" s="11" t="str">
        <f t="shared" si="4"/>
        <v>Active</v>
      </c>
    </row>
    <row r="155" spans="1:48">
      <c r="A155" s="11" t="s">
        <v>119</v>
      </c>
      <c r="B155" s="11" t="s">
        <v>649</v>
      </c>
      <c r="C155" s="11" t="s">
        <v>269</v>
      </c>
      <c r="D155" s="11" t="s">
        <v>486</v>
      </c>
      <c r="E155" s="11" t="s">
        <v>519</v>
      </c>
      <c r="F155" s="45">
        <v>45636</v>
      </c>
      <c r="G155" s="11">
        <v>0</v>
      </c>
      <c r="H155" s="11">
        <v>2125000</v>
      </c>
      <c r="I155" s="11">
        <v>891662.08</v>
      </c>
      <c r="J155" s="11">
        <v>0</v>
      </c>
      <c r="K155" s="11">
        <v>122</v>
      </c>
      <c r="L155" s="11">
        <v>66</v>
      </c>
      <c r="M155" s="11">
        <v>12</v>
      </c>
      <c r="N155" s="11">
        <v>134</v>
      </c>
      <c r="O155" s="11">
        <v>68</v>
      </c>
      <c r="P155" s="11">
        <v>562999.93000000005</v>
      </c>
      <c r="Q155" s="11">
        <v>328662.15000000002</v>
      </c>
      <c r="R155" s="11">
        <v>15</v>
      </c>
      <c r="S155" s="11">
        <v>12</v>
      </c>
      <c r="T155" s="11">
        <v>27</v>
      </c>
      <c r="U155" s="11">
        <v>0</v>
      </c>
      <c r="V155" s="11">
        <v>54</v>
      </c>
      <c r="W155" s="11">
        <v>64</v>
      </c>
      <c r="X155" s="11">
        <v>231</v>
      </c>
      <c r="Y155" s="11">
        <v>1</v>
      </c>
      <c r="Z155" s="11">
        <v>2</v>
      </c>
      <c r="AA155" s="11">
        <v>1</v>
      </c>
      <c r="AB155" s="11">
        <v>1</v>
      </c>
      <c r="AC155" s="11">
        <v>0</v>
      </c>
      <c r="AD155" s="11">
        <v>0</v>
      </c>
      <c r="AE155" s="11">
        <v>84</v>
      </c>
      <c r="AF155" s="11">
        <v>151</v>
      </c>
      <c r="AG155" s="11">
        <v>15</v>
      </c>
      <c r="AH155" s="3">
        <f t="shared" si="0"/>
        <v>59444.138666666666</v>
      </c>
      <c r="AI155" s="3">
        <f t="shared" si="1"/>
        <v>10.066666666666666</v>
      </c>
      <c r="AJ155" s="11">
        <v>1</v>
      </c>
      <c r="AK155" s="11">
        <v>0</v>
      </c>
      <c r="AL155" s="181">
        <f t="shared" si="2"/>
        <v>1.1215010960205911E-6</v>
      </c>
      <c r="AM155" s="11">
        <v>33025</v>
      </c>
      <c r="AN155" s="181">
        <f t="shared" si="3"/>
        <v>0.41960568470588233</v>
      </c>
      <c r="AO155" s="182">
        <v>0</v>
      </c>
      <c r="AP155" s="11">
        <v>28</v>
      </c>
      <c r="AQ155" s="11">
        <v>181</v>
      </c>
      <c r="AR155" s="11">
        <v>1677.14</v>
      </c>
      <c r="AS155" s="11">
        <v>12</v>
      </c>
      <c r="AT155" s="11">
        <v>25</v>
      </c>
      <c r="AV155" s="11" t="str">
        <f t="shared" si="4"/>
        <v>Active</v>
      </c>
    </row>
    <row r="156" spans="1:48">
      <c r="A156" s="11" t="s">
        <v>118</v>
      </c>
      <c r="B156" s="11" t="s">
        <v>436</v>
      </c>
      <c r="C156" s="11" t="s">
        <v>270</v>
      </c>
      <c r="D156" s="11" t="s">
        <v>499</v>
      </c>
      <c r="E156" s="11" t="s">
        <v>449</v>
      </c>
      <c r="F156" s="45">
        <v>45635</v>
      </c>
      <c r="G156" s="11">
        <v>0</v>
      </c>
      <c r="H156" s="11">
        <v>1250000</v>
      </c>
      <c r="I156" s="11">
        <v>1035527.9</v>
      </c>
      <c r="J156" s="11">
        <v>0</v>
      </c>
      <c r="K156" s="11">
        <v>86</v>
      </c>
      <c r="L156" s="11">
        <v>71</v>
      </c>
      <c r="M156" s="11">
        <v>10</v>
      </c>
      <c r="N156" s="11">
        <v>96</v>
      </c>
      <c r="O156" s="11">
        <v>25</v>
      </c>
      <c r="P156" s="11">
        <v>879418.1</v>
      </c>
      <c r="Q156" s="11">
        <v>156109.79999999999</v>
      </c>
      <c r="R156" s="11">
        <v>26</v>
      </c>
      <c r="S156" s="11">
        <v>10</v>
      </c>
      <c r="T156" s="11">
        <v>36</v>
      </c>
      <c r="U156" s="11">
        <v>0</v>
      </c>
      <c r="V156" s="11">
        <v>23</v>
      </c>
      <c r="W156" s="11">
        <v>27</v>
      </c>
      <c r="X156" s="11">
        <v>57</v>
      </c>
      <c r="Y156" s="11">
        <v>3</v>
      </c>
      <c r="Z156" s="11">
        <v>18</v>
      </c>
      <c r="AA156" s="11">
        <v>0</v>
      </c>
      <c r="AB156" s="11">
        <v>0</v>
      </c>
      <c r="AC156" s="11">
        <v>1</v>
      </c>
      <c r="AD156" s="11">
        <v>2</v>
      </c>
      <c r="AE156" s="11">
        <v>166</v>
      </c>
      <c r="AF156" s="11">
        <v>213</v>
      </c>
      <c r="AG156" s="11">
        <v>26</v>
      </c>
      <c r="AH156" s="3">
        <f t="shared" si="0"/>
        <v>39827.996153846158</v>
      </c>
      <c r="AI156" s="3">
        <f t="shared" si="1"/>
        <v>8.1923076923076916</v>
      </c>
      <c r="AJ156" s="11">
        <v>3</v>
      </c>
      <c r="AK156" s="11">
        <v>0</v>
      </c>
      <c r="AL156" s="181">
        <f t="shared" si="2"/>
        <v>2.8970730774129792E-6</v>
      </c>
      <c r="AM156" s="11">
        <v>28765</v>
      </c>
      <c r="AN156" s="181">
        <f t="shared" si="3"/>
        <v>0.82842232000000005</v>
      </c>
      <c r="AO156" s="182">
        <v>0</v>
      </c>
      <c r="AP156" s="11">
        <v>54</v>
      </c>
      <c r="AQ156" s="11">
        <v>303</v>
      </c>
      <c r="AR156" s="11">
        <v>2004.68</v>
      </c>
      <c r="AS156" s="11">
        <v>10</v>
      </c>
      <c r="AT156" s="11">
        <v>28</v>
      </c>
      <c r="AV156" s="11" t="str">
        <f t="shared" si="4"/>
        <v>Active</v>
      </c>
    </row>
    <row r="157" spans="1:48">
      <c r="A157" s="11" t="s">
        <v>201</v>
      </c>
      <c r="B157" s="11" t="s">
        <v>431</v>
      </c>
      <c r="C157" s="11" t="s">
        <v>271</v>
      </c>
      <c r="D157" s="11" t="s">
        <v>431</v>
      </c>
      <c r="E157" s="11" t="s">
        <v>433</v>
      </c>
      <c r="F157" s="45">
        <v>45639</v>
      </c>
      <c r="G157" s="11">
        <v>0</v>
      </c>
      <c r="H157" s="11">
        <v>1791667</v>
      </c>
      <c r="I157" s="11">
        <v>1210495.0900000001</v>
      </c>
      <c r="J157" s="11">
        <v>0</v>
      </c>
      <c r="K157" s="11">
        <v>51</v>
      </c>
      <c r="L157" s="11">
        <v>36</v>
      </c>
      <c r="M157" s="11">
        <v>6</v>
      </c>
      <c r="N157" s="11">
        <v>57</v>
      </c>
      <c r="O157" s="11">
        <v>21</v>
      </c>
      <c r="P157" s="11">
        <v>1093199.77</v>
      </c>
      <c r="Q157" s="11">
        <v>117295.32</v>
      </c>
      <c r="R157" s="11">
        <v>15</v>
      </c>
      <c r="S157" s="11">
        <v>6</v>
      </c>
      <c r="T157" s="11">
        <v>21</v>
      </c>
      <c r="U157" s="11">
        <v>0</v>
      </c>
      <c r="V157" s="11">
        <v>32</v>
      </c>
      <c r="W157" s="11">
        <v>43</v>
      </c>
      <c r="X157" s="11">
        <v>86</v>
      </c>
      <c r="Y157" s="11">
        <v>4</v>
      </c>
      <c r="Z157" s="11">
        <v>24</v>
      </c>
      <c r="AA157" s="11">
        <v>0</v>
      </c>
      <c r="AB157" s="11">
        <v>0</v>
      </c>
      <c r="AC157" s="11">
        <v>0</v>
      </c>
      <c r="AD157" s="11">
        <v>0</v>
      </c>
      <c r="AE157" s="11">
        <v>73</v>
      </c>
      <c r="AF157" s="11">
        <v>140</v>
      </c>
      <c r="AG157" s="11">
        <v>25</v>
      </c>
      <c r="AH157" s="3">
        <f t="shared" si="0"/>
        <v>48419.803600000007</v>
      </c>
      <c r="AI157" s="3">
        <f t="shared" si="1"/>
        <v>5.6</v>
      </c>
      <c r="AJ157" s="11">
        <v>0</v>
      </c>
      <c r="AK157" s="11">
        <v>0</v>
      </c>
      <c r="AL157" s="181">
        <f t="shared" si="2"/>
        <v>0</v>
      </c>
      <c r="AM157" s="11">
        <v>57643</v>
      </c>
      <c r="AN157" s="181">
        <f t="shared" si="3"/>
        <v>0.67562504081394592</v>
      </c>
      <c r="AO157" s="182">
        <v>0</v>
      </c>
      <c r="AP157" s="11">
        <v>23</v>
      </c>
      <c r="AQ157" s="11">
        <v>206</v>
      </c>
      <c r="AR157" s="11">
        <v>1094.23</v>
      </c>
      <c r="AS157" s="11">
        <v>6</v>
      </c>
      <c r="AT157" s="11">
        <v>30</v>
      </c>
      <c r="AV157" s="11" t="str">
        <f t="shared" si="4"/>
        <v>Active</v>
      </c>
    </row>
    <row r="158" spans="1:48">
      <c r="A158" s="11" t="s">
        <v>118</v>
      </c>
      <c r="B158" s="11" t="s">
        <v>362</v>
      </c>
      <c r="C158" s="11" t="s">
        <v>272</v>
      </c>
      <c r="D158" s="11" t="s">
        <v>419</v>
      </c>
      <c r="E158" s="11" t="s">
        <v>627</v>
      </c>
      <c r="F158" s="45">
        <v>45637</v>
      </c>
      <c r="G158" s="11">
        <v>0</v>
      </c>
      <c r="H158" s="11">
        <v>4250000</v>
      </c>
      <c r="I158" s="11">
        <v>2953566.07</v>
      </c>
      <c r="J158" s="11">
        <v>0</v>
      </c>
      <c r="K158" s="11">
        <v>84</v>
      </c>
      <c r="L158" s="11">
        <v>71</v>
      </c>
      <c r="M158" s="11">
        <v>3</v>
      </c>
      <c r="N158" s="11">
        <v>87</v>
      </c>
      <c r="O158" s="11">
        <v>16</v>
      </c>
      <c r="P158" s="11">
        <v>2683247.7799999998</v>
      </c>
      <c r="Q158" s="11">
        <v>270318.28999999998</v>
      </c>
      <c r="R158" s="11">
        <v>26</v>
      </c>
      <c r="S158" s="11">
        <v>3</v>
      </c>
      <c r="T158" s="11">
        <v>29</v>
      </c>
      <c r="U158" s="11">
        <v>0</v>
      </c>
      <c r="V158" s="11">
        <v>2</v>
      </c>
      <c r="W158" s="11">
        <v>2</v>
      </c>
      <c r="X158" s="11">
        <v>34</v>
      </c>
      <c r="Y158" s="11">
        <v>1</v>
      </c>
      <c r="Z158" s="11">
        <v>3</v>
      </c>
      <c r="AA158" s="11">
        <v>0</v>
      </c>
      <c r="AB158" s="11">
        <v>0</v>
      </c>
      <c r="AC158" s="11">
        <v>0</v>
      </c>
      <c r="AD158" s="11">
        <v>0</v>
      </c>
      <c r="AE158" s="11">
        <v>153</v>
      </c>
      <c r="AF158" s="11">
        <v>158</v>
      </c>
      <c r="AG158" s="11">
        <v>27</v>
      </c>
      <c r="AH158" s="3">
        <f t="shared" si="0"/>
        <v>109391.33592592592</v>
      </c>
      <c r="AI158" s="3">
        <f t="shared" si="1"/>
        <v>5.8518518518518521</v>
      </c>
      <c r="AJ158" s="11">
        <v>0</v>
      </c>
      <c r="AK158" s="11">
        <v>0</v>
      </c>
      <c r="AL158" s="181">
        <f t="shared" si="2"/>
        <v>0</v>
      </c>
      <c r="AM158" s="11">
        <v>101847</v>
      </c>
      <c r="AN158" s="181">
        <f t="shared" si="3"/>
        <v>0.69495672235294115</v>
      </c>
      <c r="AO158" s="182">
        <v>0</v>
      </c>
      <c r="AP158" s="11">
        <v>32</v>
      </c>
      <c r="AQ158" s="11">
        <v>289</v>
      </c>
      <c r="AR158" s="11">
        <v>2090.67</v>
      </c>
      <c r="AS158" s="11">
        <v>3</v>
      </c>
      <c r="AT158" s="11">
        <v>29</v>
      </c>
      <c r="AV158" s="11" t="str">
        <f t="shared" si="4"/>
        <v>Active</v>
      </c>
    </row>
    <row r="159" spans="1:48">
      <c r="A159" s="11" t="s">
        <v>118</v>
      </c>
      <c r="B159" s="11" t="s">
        <v>468</v>
      </c>
      <c r="C159" s="11" t="s">
        <v>273</v>
      </c>
      <c r="D159" s="11" t="s">
        <v>509</v>
      </c>
      <c r="E159" s="11" t="s">
        <v>555</v>
      </c>
      <c r="F159" s="45">
        <v>45639</v>
      </c>
      <c r="G159" s="11">
        <v>0</v>
      </c>
      <c r="H159" s="11">
        <v>2000000</v>
      </c>
      <c r="I159" s="11">
        <v>1477211.67</v>
      </c>
      <c r="J159" s="11">
        <v>0</v>
      </c>
      <c r="K159" s="11">
        <v>90</v>
      </c>
      <c r="L159" s="11">
        <v>54</v>
      </c>
      <c r="M159" s="11">
        <v>3</v>
      </c>
      <c r="N159" s="11">
        <v>93</v>
      </c>
      <c r="O159" s="11">
        <v>39</v>
      </c>
      <c r="P159" s="11">
        <v>1405889.47</v>
      </c>
      <c r="Q159" s="11">
        <v>71322.2</v>
      </c>
      <c r="R159" s="11">
        <v>21</v>
      </c>
      <c r="S159" s="11">
        <v>2</v>
      </c>
      <c r="T159" s="11">
        <v>23</v>
      </c>
      <c r="U159" s="11">
        <v>0</v>
      </c>
      <c r="V159" s="11">
        <v>30</v>
      </c>
      <c r="W159" s="11">
        <v>38</v>
      </c>
      <c r="X159" s="11">
        <v>149</v>
      </c>
      <c r="Y159" s="11">
        <v>1</v>
      </c>
      <c r="Z159" s="11">
        <v>7</v>
      </c>
      <c r="AA159" s="11">
        <v>0</v>
      </c>
      <c r="AB159" s="11">
        <v>0</v>
      </c>
      <c r="AC159" s="11">
        <v>0</v>
      </c>
      <c r="AD159" s="11">
        <v>0</v>
      </c>
      <c r="AE159" s="11">
        <v>94</v>
      </c>
      <c r="AF159" s="11">
        <v>139</v>
      </c>
      <c r="AG159" s="11">
        <v>26</v>
      </c>
      <c r="AH159" s="3">
        <f t="shared" si="0"/>
        <v>56815.833461538459</v>
      </c>
      <c r="AI159" s="3">
        <f t="shared" si="1"/>
        <v>5.3461538461538458</v>
      </c>
      <c r="AJ159" s="11">
        <v>0</v>
      </c>
      <c r="AK159" s="11">
        <v>0</v>
      </c>
      <c r="AL159" s="181">
        <f t="shared" si="2"/>
        <v>0</v>
      </c>
      <c r="AM159" s="11">
        <v>64227</v>
      </c>
      <c r="AN159" s="181">
        <f t="shared" si="3"/>
        <v>0.73860583499999999</v>
      </c>
      <c r="AO159" s="182">
        <v>0</v>
      </c>
      <c r="AP159" s="11">
        <v>25</v>
      </c>
      <c r="AQ159" s="11">
        <v>247</v>
      </c>
      <c r="AR159" s="11">
        <v>1512.76</v>
      </c>
      <c r="AS159" s="11">
        <v>2</v>
      </c>
      <c r="AT159" s="11">
        <v>28</v>
      </c>
      <c r="AV159" s="11" t="str">
        <f t="shared" si="4"/>
        <v>Active</v>
      </c>
    </row>
    <row r="160" spans="1:48">
      <c r="A160" s="11" t="s">
        <v>118</v>
      </c>
      <c r="B160" s="11" t="s">
        <v>372</v>
      </c>
      <c r="C160" s="11" t="s">
        <v>274</v>
      </c>
      <c r="D160" s="11" t="s">
        <v>447</v>
      </c>
      <c r="E160" s="11" t="s">
        <v>629</v>
      </c>
      <c r="F160" s="45">
        <v>45640</v>
      </c>
      <c r="G160" s="11">
        <v>0</v>
      </c>
      <c r="H160" s="11">
        <v>1500000</v>
      </c>
      <c r="I160" s="11">
        <v>1431228.71</v>
      </c>
      <c r="J160" s="11">
        <v>0</v>
      </c>
      <c r="K160" s="11">
        <v>20</v>
      </c>
      <c r="L160" s="11">
        <v>21</v>
      </c>
      <c r="M160" s="11">
        <v>1</v>
      </c>
      <c r="N160" s="11">
        <v>21</v>
      </c>
      <c r="O160" s="11">
        <v>0</v>
      </c>
      <c r="P160" s="11">
        <v>1425978.96</v>
      </c>
      <c r="Q160" s="11">
        <v>5249.75</v>
      </c>
      <c r="R160" s="11">
        <v>10</v>
      </c>
      <c r="S160" s="11">
        <v>1</v>
      </c>
      <c r="T160" s="11">
        <v>11</v>
      </c>
      <c r="U160" s="11">
        <v>0</v>
      </c>
      <c r="V160" s="11">
        <v>29</v>
      </c>
      <c r="W160" s="11">
        <v>34</v>
      </c>
      <c r="X160" s="11">
        <v>71</v>
      </c>
      <c r="Y160" s="11">
        <v>1</v>
      </c>
      <c r="Z160" s="11">
        <v>4</v>
      </c>
      <c r="AA160" s="11">
        <v>0</v>
      </c>
      <c r="AB160" s="11">
        <v>0</v>
      </c>
      <c r="AC160" s="11">
        <v>0</v>
      </c>
      <c r="AD160" s="11">
        <v>0</v>
      </c>
      <c r="AE160" s="11">
        <v>48</v>
      </c>
      <c r="AF160" s="11">
        <v>86</v>
      </c>
      <c r="AG160" s="11">
        <v>23</v>
      </c>
      <c r="AH160" s="3">
        <f t="shared" si="0"/>
        <v>62227.335217391301</v>
      </c>
      <c r="AI160" s="3">
        <f t="shared" si="1"/>
        <v>3.7391304347826089</v>
      </c>
      <c r="AJ160" s="11">
        <v>0</v>
      </c>
      <c r="AK160" s="11">
        <v>0</v>
      </c>
      <c r="AL160" s="181">
        <f t="shared" si="2"/>
        <v>0</v>
      </c>
      <c r="AM160" s="11">
        <v>130112</v>
      </c>
      <c r="AN160" s="181">
        <f t="shared" si="3"/>
        <v>0.95415247333333331</v>
      </c>
      <c r="AO160" s="182">
        <v>0</v>
      </c>
      <c r="AP160" s="11">
        <v>25</v>
      </c>
      <c r="AQ160" s="11">
        <v>272</v>
      </c>
      <c r="AR160" s="11">
        <v>1351.67</v>
      </c>
      <c r="AS160" s="11">
        <v>1</v>
      </c>
      <c r="AT160" s="11">
        <v>64</v>
      </c>
      <c r="AV160" s="11" t="str">
        <f t="shared" si="4"/>
        <v>Active</v>
      </c>
    </row>
    <row r="161" spans="1:48">
      <c r="A161" s="11" t="s">
        <v>118</v>
      </c>
      <c r="B161" s="11" t="s">
        <v>436</v>
      </c>
      <c r="C161" s="11" t="s">
        <v>275</v>
      </c>
      <c r="D161" s="11" t="s">
        <v>499</v>
      </c>
      <c r="E161" s="11" t="s">
        <v>630</v>
      </c>
      <c r="F161" s="45">
        <v>45646</v>
      </c>
      <c r="G161" s="11">
        <v>0</v>
      </c>
      <c r="H161" s="11">
        <v>0</v>
      </c>
      <c r="I161" s="11">
        <v>0</v>
      </c>
      <c r="J161" s="11">
        <v>0</v>
      </c>
      <c r="K161" s="11">
        <v>30</v>
      </c>
      <c r="L161" s="11">
        <v>0</v>
      </c>
      <c r="M161" s="11">
        <v>1</v>
      </c>
      <c r="N161" s="11">
        <v>31</v>
      </c>
      <c r="O161" s="11">
        <v>31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97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3" t="str">
        <f t="shared" si="0"/>
        <v/>
      </c>
      <c r="AI161" s="3" t="str">
        <f t="shared" si="1"/>
        <v/>
      </c>
      <c r="AJ161" s="11">
        <v>0</v>
      </c>
      <c r="AK161" s="11">
        <v>0</v>
      </c>
      <c r="AL161" s="181" t="str">
        <f t="shared" si="2"/>
        <v/>
      </c>
      <c r="AM161" s="11">
        <v>0</v>
      </c>
      <c r="AN161" s="181" t="str">
        <f t="shared" si="3"/>
        <v/>
      </c>
      <c r="AO161" s="182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84">
        <v>45762</v>
      </c>
      <c r="AV161" s="11" t="str">
        <f t="shared" si="4"/>
        <v>Left</v>
      </c>
    </row>
    <row r="162" spans="1:48">
      <c r="A162" s="11" t="s">
        <v>124</v>
      </c>
      <c r="B162" s="11" t="s">
        <v>443</v>
      </c>
      <c r="C162" s="11" t="s">
        <v>276</v>
      </c>
      <c r="D162" s="11" t="s">
        <v>517</v>
      </c>
      <c r="E162" s="11" t="s">
        <v>524</v>
      </c>
      <c r="F162" s="45">
        <v>45651</v>
      </c>
      <c r="G162" s="11">
        <v>0</v>
      </c>
      <c r="H162" s="11">
        <v>1000000</v>
      </c>
      <c r="I162" s="11">
        <v>230524</v>
      </c>
      <c r="J162" s="11">
        <v>0</v>
      </c>
      <c r="K162" s="11">
        <v>77</v>
      </c>
      <c r="L162" s="11">
        <v>44</v>
      </c>
      <c r="M162" s="11">
        <v>0</v>
      </c>
      <c r="N162" s="11">
        <v>77</v>
      </c>
      <c r="O162" s="11">
        <v>33</v>
      </c>
      <c r="P162" s="11">
        <v>230524</v>
      </c>
      <c r="Q162" s="11">
        <v>0</v>
      </c>
      <c r="R162" s="11">
        <v>5</v>
      </c>
      <c r="S162" s="11">
        <v>0</v>
      </c>
      <c r="T162" s="11">
        <v>5</v>
      </c>
      <c r="U162" s="11">
        <v>0</v>
      </c>
      <c r="V162" s="11">
        <v>20</v>
      </c>
      <c r="W162" s="11">
        <v>25</v>
      </c>
      <c r="X162" s="11">
        <v>52</v>
      </c>
      <c r="Y162" s="11">
        <v>1</v>
      </c>
      <c r="Z162" s="11">
        <v>11</v>
      </c>
      <c r="AA162" s="11">
        <v>0</v>
      </c>
      <c r="AB162" s="11">
        <v>0</v>
      </c>
      <c r="AC162" s="11">
        <v>0</v>
      </c>
      <c r="AD162" s="11">
        <v>0</v>
      </c>
      <c r="AE162" s="11">
        <v>71</v>
      </c>
      <c r="AF162" s="11">
        <v>107</v>
      </c>
      <c r="AG162" s="11">
        <v>28</v>
      </c>
      <c r="AH162" s="3">
        <f t="shared" si="0"/>
        <v>8233</v>
      </c>
      <c r="AI162" s="3">
        <f t="shared" si="1"/>
        <v>3.8214285714285716</v>
      </c>
      <c r="AJ162" s="11">
        <v>0</v>
      </c>
      <c r="AK162" s="11">
        <v>0</v>
      </c>
      <c r="AL162" s="181">
        <f t="shared" si="2"/>
        <v>0</v>
      </c>
      <c r="AM162" s="11">
        <v>46105</v>
      </c>
      <c r="AN162" s="181">
        <f t="shared" si="3"/>
        <v>0.23052400000000001</v>
      </c>
      <c r="AO162" s="182">
        <v>0</v>
      </c>
      <c r="AP162" s="11">
        <v>7</v>
      </c>
      <c r="AQ162" s="11">
        <v>284</v>
      </c>
      <c r="AR162" s="11">
        <v>1975.65</v>
      </c>
      <c r="AS162" s="11">
        <v>0</v>
      </c>
      <c r="AT162" s="11">
        <v>45</v>
      </c>
      <c r="AV162" s="11" t="str">
        <f t="shared" si="4"/>
        <v>Active</v>
      </c>
    </row>
    <row r="163" spans="1:48">
      <c r="A163" s="11" t="s">
        <v>120</v>
      </c>
      <c r="B163" s="11" t="s">
        <v>286</v>
      </c>
      <c r="C163" s="11" t="s">
        <v>256</v>
      </c>
      <c r="D163" s="11" t="s">
        <v>631</v>
      </c>
      <c r="E163" s="11" t="s">
        <v>259</v>
      </c>
      <c r="F163" s="45">
        <v>45658</v>
      </c>
      <c r="G163" s="11">
        <v>0</v>
      </c>
      <c r="H163" s="11">
        <v>1200000</v>
      </c>
      <c r="I163" s="11">
        <v>627452.26</v>
      </c>
      <c r="J163" s="11">
        <v>0</v>
      </c>
      <c r="K163" s="11">
        <v>28</v>
      </c>
      <c r="L163" s="11">
        <v>23</v>
      </c>
      <c r="M163" s="11">
        <v>8</v>
      </c>
      <c r="N163" s="11">
        <v>36</v>
      </c>
      <c r="O163" s="11">
        <v>13</v>
      </c>
      <c r="P163" s="11">
        <v>211762.86</v>
      </c>
      <c r="Q163" s="11">
        <v>415689.4</v>
      </c>
      <c r="R163" s="11">
        <v>11</v>
      </c>
      <c r="S163" s="11">
        <v>8</v>
      </c>
      <c r="T163" s="11">
        <v>19</v>
      </c>
      <c r="U163" s="11">
        <v>0</v>
      </c>
      <c r="V163" s="11">
        <v>51</v>
      </c>
      <c r="W163" s="11">
        <v>56</v>
      </c>
      <c r="X163" s="11">
        <v>175</v>
      </c>
      <c r="Y163" s="11">
        <v>2</v>
      </c>
      <c r="Z163" s="11">
        <v>5</v>
      </c>
      <c r="AA163" s="11">
        <v>1</v>
      </c>
      <c r="AB163" s="11">
        <v>3</v>
      </c>
      <c r="AC163" s="11">
        <v>34</v>
      </c>
      <c r="AD163" s="11">
        <v>61</v>
      </c>
      <c r="AE163" s="11">
        <v>34</v>
      </c>
      <c r="AF163" s="11">
        <v>159</v>
      </c>
      <c r="AG163" s="11">
        <v>26</v>
      </c>
      <c r="AH163" s="3">
        <f t="shared" si="0"/>
        <v>24132.779230769233</v>
      </c>
      <c r="AI163" s="3">
        <f t="shared" si="1"/>
        <v>6.115384615384615</v>
      </c>
      <c r="AJ163" s="11">
        <v>1</v>
      </c>
      <c r="AK163" s="11">
        <v>0</v>
      </c>
      <c r="AL163" s="181">
        <f t="shared" si="2"/>
        <v>1.5937467497527221E-6</v>
      </c>
      <c r="AM163" s="11">
        <v>33024</v>
      </c>
      <c r="AN163" s="181">
        <f t="shared" si="3"/>
        <v>0.52287688333333338</v>
      </c>
      <c r="AO163" s="182">
        <v>0</v>
      </c>
      <c r="AP163" s="11">
        <v>29</v>
      </c>
      <c r="AQ163" s="11">
        <v>252</v>
      </c>
      <c r="AR163" s="11">
        <v>2253.48</v>
      </c>
      <c r="AS163" s="11">
        <v>8</v>
      </c>
      <c r="AT163" s="11">
        <v>98</v>
      </c>
      <c r="AV163" s="11" t="str">
        <f t="shared" si="4"/>
        <v>Active</v>
      </c>
    </row>
    <row r="164" spans="1:48">
      <c r="A164" s="11" t="s">
        <v>201</v>
      </c>
      <c r="B164" s="11" t="s">
        <v>469</v>
      </c>
      <c r="C164" s="11" t="s">
        <v>277</v>
      </c>
      <c r="D164" s="11" t="s">
        <v>470</v>
      </c>
      <c r="E164" s="11" t="s">
        <v>491</v>
      </c>
      <c r="F164" s="45">
        <v>45658</v>
      </c>
      <c r="G164" s="11">
        <v>0</v>
      </c>
      <c r="H164" s="11">
        <v>1166667</v>
      </c>
      <c r="I164" s="11">
        <v>406439.32</v>
      </c>
      <c r="J164" s="11">
        <v>0</v>
      </c>
      <c r="K164" s="11">
        <v>38</v>
      </c>
      <c r="L164" s="11">
        <v>34</v>
      </c>
      <c r="M164" s="11">
        <v>3</v>
      </c>
      <c r="N164" s="11">
        <v>41</v>
      </c>
      <c r="O164" s="11">
        <v>7</v>
      </c>
      <c r="P164" s="11">
        <v>301143.40000000002</v>
      </c>
      <c r="Q164" s="11">
        <v>105295.92</v>
      </c>
      <c r="R164" s="11">
        <v>8</v>
      </c>
      <c r="S164" s="11">
        <v>3</v>
      </c>
      <c r="T164" s="11">
        <v>11</v>
      </c>
      <c r="U164" s="11">
        <v>0</v>
      </c>
      <c r="V164" s="11">
        <v>53</v>
      </c>
      <c r="W164" s="11">
        <v>61</v>
      </c>
      <c r="X164" s="11">
        <v>193</v>
      </c>
      <c r="Y164" s="11">
        <v>1</v>
      </c>
      <c r="Z164" s="11">
        <v>2</v>
      </c>
      <c r="AA164" s="11">
        <v>0</v>
      </c>
      <c r="AB164" s="11">
        <v>0</v>
      </c>
      <c r="AC164" s="11">
        <v>0</v>
      </c>
      <c r="AD164" s="11">
        <v>0</v>
      </c>
      <c r="AE164" s="11">
        <v>85</v>
      </c>
      <c r="AF164" s="11">
        <v>148</v>
      </c>
      <c r="AG164" s="11">
        <v>25</v>
      </c>
      <c r="AH164" s="3">
        <f t="shared" si="0"/>
        <v>16257.5728</v>
      </c>
      <c r="AI164" s="3">
        <f t="shared" si="1"/>
        <v>5.92</v>
      </c>
      <c r="AJ164" s="11">
        <v>0</v>
      </c>
      <c r="AK164" s="11">
        <v>0</v>
      </c>
      <c r="AL164" s="181">
        <f t="shared" si="2"/>
        <v>0</v>
      </c>
      <c r="AM164" s="11">
        <v>36949</v>
      </c>
      <c r="AN164" s="181">
        <f t="shared" si="3"/>
        <v>0.34837646046386844</v>
      </c>
      <c r="AO164" s="182">
        <v>0</v>
      </c>
      <c r="AP164" s="11">
        <v>11</v>
      </c>
      <c r="AQ164" s="11">
        <v>219</v>
      </c>
      <c r="AR164" s="11">
        <v>1336.28</v>
      </c>
      <c r="AS164" s="11">
        <v>3</v>
      </c>
      <c r="AT164" s="11">
        <v>39</v>
      </c>
      <c r="AV164" s="11" t="str">
        <f t="shared" si="4"/>
        <v>Active</v>
      </c>
    </row>
    <row r="165" spans="1:48">
      <c r="A165" s="11" t="s">
        <v>118</v>
      </c>
      <c r="B165" s="11" t="s">
        <v>436</v>
      </c>
      <c r="C165" s="11" t="s">
        <v>278</v>
      </c>
      <c r="D165" s="11" t="s">
        <v>499</v>
      </c>
      <c r="E165" s="11" t="s">
        <v>632</v>
      </c>
      <c r="F165" s="45">
        <v>45660</v>
      </c>
      <c r="G165" s="11">
        <v>0</v>
      </c>
      <c r="H165" s="11">
        <v>0</v>
      </c>
      <c r="I165" s="11">
        <v>0</v>
      </c>
      <c r="J165" s="11">
        <v>0</v>
      </c>
      <c r="K165" s="11">
        <v>73</v>
      </c>
      <c r="L165" s="11">
        <v>0</v>
      </c>
      <c r="M165" s="11">
        <v>0</v>
      </c>
      <c r="N165" s="11">
        <v>73</v>
      </c>
      <c r="O165" s="11">
        <v>73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95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3" t="str">
        <f t="shared" si="0"/>
        <v/>
      </c>
      <c r="AI165" s="3" t="str">
        <f t="shared" si="1"/>
        <v/>
      </c>
      <c r="AJ165" s="11">
        <v>0</v>
      </c>
      <c r="AK165" s="11">
        <v>0</v>
      </c>
      <c r="AL165" s="181" t="str">
        <f t="shared" si="2"/>
        <v/>
      </c>
      <c r="AM165" s="11">
        <v>0</v>
      </c>
      <c r="AN165" s="181" t="str">
        <f t="shared" si="3"/>
        <v/>
      </c>
      <c r="AO165" s="182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84">
        <v>45819</v>
      </c>
      <c r="AV165" s="11" t="str">
        <f t="shared" si="4"/>
        <v>Left</v>
      </c>
    </row>
    <row r="166" spans="1:48">
      <c r="A166" s="11" t="s">
        <v>177</v>
      </c>
      <c r="B166" s="11" t="s">
        <v>458</v>
      </c>
      <c r="C166" s="11" t="s">
        <v>279</v>
      </c>
      <c r="D166" s="11" t="s">
        <v>581</v>
      </c>
      <c r="E166" s="11" t="s">
        <v>633</v>
      </c>
      <c r="F166" s="45">
        <v>45663</v>
      </c>
      <c r="G166" s="11">
        <v>0</v>
      </c>
      <c r="H166" s="11">
        <v>0</v>
      </c>
      <c r="I166" s="11">
        <v>0</v>
      </c>
      <c r="J166" s="11">
        <v>0</v>
      </c>
      <c r="K166" s="11">
        <v>22</v>
      </c>
      <c r="L166" s="11">
        <v>10</v>
      </c>
      <c r="M166" s="11">
        <v>2</v>
      </c>
      <c r="N166" s="11">
        <v>24</v>
      </c>
      <c r="O166" s="11">
        <v>14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25</v>
      </c>
      <c r="W166" s="11">
        <v>25</v>
      </c>
      <c r="X166" s="11">
        <v>81</v>
      </c>
      <c r="Y166" s="11">
        <v>2</v>
      </c>
      <c r="Z166" s="11">
        <v>12</v>
      </c>
      <c r="AA166" s="11">
        <v>0</v>
      </c>
      <c r="AB166" s="11">
        <v>0</v>
      </c>
      <c r="AC166" s="11">
        <v>39</v>
      </c>
      <c r="AD166" s="11">
        <v>66</v>
      </c>
      <c r="AE166" s="11">
        <v>11</v>
      </c>
      <c r="AF166" s="11">
        <v>114</v>
      </c>
      <c r="AG166" s="11">
        <v>25</v>
      </c>
      <c r="AH166" s="3">
        <f t="shared" si="0"/>
        <v>0</v>
      </c>
      <c r="AI166" s="3">
        <f t="shared" si="1"/>
        <v>4.5599999999999996</v>
      </c>
      <c r="AJ166" s="11">
        <v>0</v>
      </c>
      <c r="AK166" s="11">
        <v>0</v>
      </c>
      <c r="AL166" s="181" t="str">
        <f t="shared" si="2"/>
        <v/>
      </c>
      <c r="AM166" s="11">
        <v>0</v>
      </c>
      <c r="AN166" s="181" t="str">
        <f t="shared" si="3"/>
        <v/>
      </c>
      <c r="AO166" s="182">
        <v>0</v>
      </c>
      <c r="AP166" s="11">
        <v>0</v>
      </c>
      <c r="AQ166" s="11">
        <v>273</v>
      </c>
      <c r="AR166" s="11">
        <v>1691.36</v>
      </c>
      <c r="AS166" s="11">
        <v>0</v>
      </c>
      <c r="AT166" s="11">
        <v>169</v>
      </c>
      <c r="AV166" s="11" t="str">
        <f t="shared" si="4"/>
        <v>Active</v>
      </c>
    </row>
    <row r="167" spans="1:48">
      <c r="A167" s="11" t="s">
        <v>177</v>
      </c>
      <c r="B167" s="11" t="s">
        <v>458</v>
      </c>
      <c r="C167" s="11" t="s">
        <v>280</v>
      </c>
      <c r="D167" s="11" t="s">
        <v>581</v>
      </c>
      <c r="E167" s="11" t="s">
        <v>634</v>
      </c>
      <c r="F167" s="45">
        <v>45663</v>
      </c>
      <c r="G167" s="11">
        <v>0</v>
      </c>
      <c r="H167" s="11">
        <v>0</v>
      </c>
      <c r="I167" s="11">
        <v>143624.25</v>
      </c>
      <c r="J167" s="11">
        <v>0</v>
      </c>
      <c r="K167" s="11">
        <v>4</v>
      </c>
      <c r="L167" s="11">
        <v>2</v>
      </c>
      <c r="M167" s="11">
        <v>2</v>
      </c>
      <c r="N167" s="11">
        <v>6</v>
      </c>
      <c r="O167" s="11">
        <v>4</v>
      </c>
      <c r="P167" s="11">
        <v>0</v>
      </c>
      <c r="Q167" s="11">
        <v>143624.25</v>
      </c>
      <c r="R167" s="11">
        <v>0</v>
      </c>
      <c r="S167" s="11">
        <v>2</v>
      </c>
      <c r="T167" s="11">
        <v>2</v>
      </c>
      <c r="U167" s="11">
        <v>0</v>
      </c>
      <c r="V167" s="11">
        <v>25</v>
      </c>
      <c r="W167" s="11">
        <v>30</v>
      </c>
      <c r="X167" s="11">
        <v>83</v>
      </c>
      <c r="Y167" s="11">
        <v>2</v>
      </c>
      <c r="Z167" s="11">
        <v>9</v>
      </c>
      <c r="AA167" s="11">
        <v>0</v>
      </c>
      <c r="AB167" s="11">
        <v>0</v>
      </c>
      <c r="AC167" s="11">
        <v>20</v>
      </c>
      <c r="AD167" s="11">
        <v>45</v>
      </c>
      <c r="AE167" s="11">
        <v>8</v>
      </c>
      <c r="AF167" s="11">
        <v>92</v>
      </c>
      <c r="AG167" s="11">
        <v>24</v>
      </c>
      <c r="AH167" s="3">
        <f t="shared" si="0"/>
        <v>5984.34375</v>
      </c>
      <c r="AI167" s="3">
        <f t="shared" si="1"/>
        <v>3.8333333333333335</v>
      </c>
      <c r="AJ167" s="11">
        <v>0</v>
      </c>
      <c r="AK167" s="11">
        <v>0</v>
      </c>
      <c r="AL167" s="181">
        <f t="shared" si="2"/>
        <v>0</v>
      </c>
      <c r="AM167" s="11">
        <v>71812</v>
      </c>
      <c r="AN167" s="181" t="str">
        <f t="shared" si="3"/>
        <v/>
      </c>
      <c r="AO167" s="182">
        <v>0</v>
      </c>
      <c r="AP167" s="11">
        <v>2</v>
      </c>
      <c r="AQ167" s="11">
        <v>266</v>
      </c>
      <c r="AR167" s="11">
        <v>1148.3399999999999</v>
      </c>
      <c r="AS167" s="11">
        <v>2</v>
      </c>
      <c r="AT167" s="11">
        <v>574</v>
      </c>
      <c r="AV167" s="11" t="str">
        <f t="shared" si="4"/>
        <v>Active</v>
      </c>
    </row>
    <row r="168" spans="1:48">
      <c r="A168" s="11" t="s">
        <v>118</v>
      </c>
      <c r="B168" s="11" t="s">
        <v>362</v>
      </c>
      <c r="C168" s="11" t="s">
        <v>281</v>
      </c>
      <c r="D168" s="11" t="s">
        <v>419</v>
      </c>
      <c r="E168" s="11" t="s">
        <v>635</v>
      </c>
      <c r="F168" s="45">
        <v>45670</v>
      </c>
      <c r="G168" s="11">
        <v>0</v>
      </c>
      <c r="H168" s="11">
        <v>1500000</v>
      </c>
      <c r="I168" s="11">
        <v>1140416.6399999999</v>
      </c>
      <c r="J168" s="11">
        <v>0</v>
      </c>
      <c r="K168" s="11">
        <v>29</v>
      </c>
      <c r="L168" s="11">
        <v>21</v>
      </c>
      <c r="M168" s="11">
        <v>1</v>
      </c>
      <c r="N168" s="11">
        <v>30</v>
      </c>
      <c r="O168" s="11">
        <v>9</v>
      </c>
      <c r="P168" s="11">
        <v>840118.76</v>
      </c>
      <c r="Q168" s="11">
        <v>300297.88</v>
      </c>
      <c r="R168" s="11">
        <v>17</v>
      </c>
      <c r="S168" s="11">
        <v>1</v>
      </c>
      <c r="T168" s="11">
        <v>18</v>
      </c>
      <c r="U168" s="11">
        <v>0</v>
      </c>
      <c r="V168" s="11">
        <v>16</v>
      </c>
      <c r="W168" s="11">
        <v>20</v>
      </c>
      <c r="X168" s="11">
        <v>131</v>
      </c>
      <c r="Y168" s="11">
        <v>1</v>
      </c>
      <c r="Z168" s="11">
        <v>13</v>
      </c>
      <c r="AA168" s="11">
        <v>0</v>
      </c>
      <c r="AB168" s="11">
        <v>0</v>
      </c>
      <c r="AC168" s="11">
        <v>0</v>
      </c>
      <c r="AD168" s="11">
        <v>0</v>
      </c>
      <c r="AE168" s="11">
        <v>37</v>
      </c>
      <c r="AF168" s="11">
        <v>70</v>
      </c>
      <c r="AG168" s="11">
        <v>26</v>
      </c>
      <c r="AH168" s="3">
        <f t="shared" si="0"/>
        <v>43862.17846153846</v>
      </c>
      <c r="AI168" s="3">
        <f t="shared" si="1"/>
        <v>2.6923076923076925</v>
      </c>
      <c r="AJ168" s="11">
        <v>0</v>
      </c>
      <c r="AK168" s="11">
        <v>0</v>
      </c>
      <c r="AL168" s="181">
        <f t="shared" si="2"/>
        <v>0</v>
      </c>
      <c r="AM168" s="11">
        <v>63356</v>
      </c>
      <c r="AN168" s="181">
        <f t="shared" si="3"/>
        <v>0.76027775999999991</v>
      </c>
      <c r="AO168" s="182">
        <v>0</v>
      </c>
      <c r="AP168" s="11">
        <v>18</v>
      </c>
      <c r="AQ168" s="11">
        <v>294</v>
      </c>
      <c r="AR168" s="11">
        <v>668.41</v>
      </c>
      <c r="AS168" s="11">
        <v>1</v>
      </c>
      <c r="AT168" s="11">
        <v>32</v>
      </c>
      <c r="AV168" s="11" t="str">
        <f t="shared" si="4"/>
        <v>Active</v>
      </c>
    </row>
    <row r="169" spans="1:48">
      <c r="A169" s="11" t="s">
        <v>108</v>
      </c>
      <c r="B169" s="11" t="s">
        <v>465</v>
      </c>
      <c r="C169" s="11" t="s">
        <v>282</v>
      </c>
      <c r="D169" s="11" t="s">
        <v>506</v>
      </c>
      <c r="E169" s="11" t="s">
        <v>475</v>
      </c>
      <c r="F169" s="45">
        <v>45694</v>
      </c>
      <c r="G169" s="11">
        <v>0</v>
      </c>
      <c r="H169" s="11">
        <v>880000</v>
      </c>
      <c r="I169" s="11">
        <v>377134.8</v>
      </c>
      <c r="J169" s="11">
        <v>0</v>
      </c>
      <c r="K169" s="11">
        <v>70</v>
      </c>
      <c r="L169" s="11">
        <v>52</v>
      </c>
      <c r="M169" s="11">
        <v>2</v>
      </c>
      <c r="N169" s="11">
        <v>72</v>
      </c>
      <c r="O169" s="11">
        <v>20</v>
      </c>
      <c r="P169" s="11">
        <v>353650.8</v>
      </c>
      <c r="Q169" s="11">
        <v>23484</v>
      </c>
      <c r="R169" s="11">
        <v>25</v>
      </c>
      <c r="S169" s="11">
        <v>2</v>
      </c>
      <c r="T169" s="11">
        <v>27</v>
      </c>
      <c r="U169" s="11">
        <v>0</v>
      </c>
      <c r="V169" s="11">
        <v>8</v>
      </c>
      <c r="W169" s="11">
        <v>11</v>
      </c>
      <c r="X169" s="11">
        <v>11</v>
      </c>
      <c r="Y169" s="11">
        <v>1</v>
      </c>
      <c r="Z169" s="11">
        <v>12</v>
      </c>
      <c r="AA169" s="11">
        <v>0</v>
      </c>
      <c r="AB169" s="11">
        <v>0</v>
      </c>
      <c r="AC169" s="11">
        <v>0</v>
      </c>
      <c r="AD169" s="11">
        <v>0</v>
      </c>
      <c r="AE169" s="11">
        <v>150</v>
      </c>
      <c r="AF169" s="11">
        <v>173</v>
      </c>
      <c r="AG169" s="11">
        <v>23</v>
      </c>
      <c r="AH169" s="3">
        <f t="shared" si="0"/>
        <v>16397.165217391303</v>
      </c>
      <c r="AI169" s="3">
        <f t="shared" si="1"/>
        <v>7.5217391304347823</v>
      </c>
      <c r="AJ169" s="11">
        <v>0</v>
      </c>
      <c r="AK169" s="11">
        <v>0</v>
      </c>
      <c r="AL169" s="181">
        <f t="shared" si="2"/>
        <v>0</v>
      </c>
      <c r="AM169" s="11">
        <v>13968</v>
      </c>
      <c r="AN169" s="181">
        <f t="shared" si="3"/>
        <v>0.42856227272727271</v>
      </c>
      <c r="AO169" s="182">
        <v>0</v>
      </c>
      <c r="AP169" s="11">
        <v>39</v>
      </c>
      <c r="AQ169" s="11">
        <v>221</v>
      </c>
      <c r="AR169" s="11">
        <v>1550.45</v>
      </c>
      <c r="AS169" s="11">
        <v>2</v>
      </c>
      <c r="AT169" s="11">
        <v>30</v>
      </c>
      <c r="AV169" s="11" t="str">
        <f t="shared" si="4"/>
        <v>Active</v>
      </c>
    </row>
    <row r="170" spans="1:48">
      <c r="A170" s="11" t="s">
        <v>108</v>
      </c>
      <c r="B170" s="11" t="s">
        <v>465</v>
      </c>
      <c r="C170" s="11" t="s">
        <v>283</v>
      </c>
      <c r="D170" s="11" t="s">
        <v>506</v>
      </c>
      <c r="E170" s="11" t="s">
        <v>475</v>
      </c>
      <c r="F170" s="45">
        <v>45719</v>
      </c>
      <c r="G170" s="11">
        <v>0</v>
      </c>
      <c r="H170" s="11">
        <v>880000</v>
      </c>
      <c r="I170" s="11">
        <v>554759.99</v>
      </c>
      <c r="J170" s="11">
        <v>0</v>
      </c>
      <c r="K170" s="11">
        <v>102</v>
      </c>
      <c r="L170" s="11">
        <v>48</v>
      </c>
      <c r="M170" s="11">
        <v>2</v>
      </c>
      <c r="N170" s="11">
        <v>104</v>
      </c>
      <c r="O170" s="11">
        <v>56</v>
      </c>
      <c r="P170" s="11">
        <v>510499.19</v>
      </c>
      <c r="Q170" s="11">
        <v>44260.800000000003</v>
      </c>
      <c r="R170" s="11">
        <v>14</v>
      </c>
      <c r="S170" s="11">
        <v>2</v>
      </c>
      <c r="T170" s="11">
        <v>16</v>
      </c>
      <c r="U170" s="11">
        <v>0</v>
      </c>
      <c r="V170" s="11">
        <v>3</v>
      </c>
      <c r="W170" s="11">
        <v>6</v>
      </c>
      <c r="X170" s="11">
        <v>4</v>
      </c>
      <c r="Y170" s="11">
        <v>1</v>
      </c>
      <c r="Z170" s="11">
        <v>2</v>
      </c>
      <c r="AA170" s="11">
        <v>0</v>
      </c>
      <c r="AB170" s="11">
        <v>0</v>
      </c>
      <c r="AC170" s="11">
        <v>0</v>
      </c>
      <c r="AD170" s="11">
        <v>0</v>
      </c>
      <c r="AE170" s="11">
        <v>127</v>
      </c>
      <c r="AF170" s="11">
        <v>135</v>
      </c>
      <c r="AG170" s="11">
        <v>23</v>
      </c>
      <c r="AH170" s="3">
        <f t="shared" si="0"/>
        <v>24119.999565217389</v>
      </c>
      <c r="AI170" s="3">
        <f t="shared" si="1"/>
        <v>5.8695652173913047</v>
      </c>
      <c r="AJ170" s="11">
        <v>0</v>
      </c>
      <c r="AK170" s="11">
        <v>0</v>
      </c>
      <c r="AL170" s="181">
        <f t="shared" si="2"/>
        <v>0</v>
      </c>
      <c r="AM170" s="11">
        <v>34672</v>
      </c>
      <c r="AN170" s="181">
        <f t="shared" si="3"/>
        <v>0.63040907954545455</v>
      </c>
      <c r="AO170" s="182">
        <v>0</v>
      </c>
      <c r="AP170" s="11">
        <v>23</v>
      </c>
      <c r="AQ170" s="11">
        <v>220</v>
      </c>
      <c r="AR170" s="11">
        <v>1422.1</v>
      </c>
      <c r="AS170" s="11">
        <v>2</v>
      </c>
      <c r="AT170" s="11">
        <v>30</v>
      </c>
      <c r="AV170" s="11" t="str">
        <f t="shared" si="4"/>
        <v>Active</v>
      </c>
    </row>
    <row r="171" spans="1:48">
      <c r="A171" s="11" t="s">
        <v>120</v>
      </c>
      <c r="B171" s="11" t="s">
        <v>206</v>
      </c>
      <c r="C171" s="11" t="s">
        <v>284</v>
      </c>
      <c r="D171" s="11" t="s">
        <v>206</v>
      </c>
      <c r="E171" s="11" t="s">
        <v>358</v>
      </c>
      <c r="F171" s="45">
        <v>45722</v>
      </c>
      <c r="G171" s="11">
        <v>0</v>
      </c>
      <c r="H171" s="11">
        <v>1200000</v>
      </c>
      <c r="I171" s="11">
        <v>627120.82999999996</v>
      </c>
      <c r="J171" s="11">
        <v>0</v>
      </c>
      <c r="K171" s="11">
        <v>67</v>
      </c>
      <c r="L171" s="11">
        <v>50</v>
      </c>
      <c r="M171" s="11">
        <v>2</v>
      </c>
      <c r="N171" s="11">
        <v>69</v>
      </c>
      <c r="O171" s="11">
        <v>19</v>
      </c>
      <c r="P171" s="11">
        <v>579232.57999999996</v>
      </c>
      <c r="Q171" s="11">
        <v>47888.25</v>
      </c>
      <c r="R171" s="11">
        <v>15</v>
      </c>
      <c r="S171" s="11">
        <v>2</v>
      </c>
      <c r="T171" s="11">
        <v>17</v>
      </c>
      <c r="U171" s="11">
        <v>0</v>
      </c>
      <c r="V171" s="11">
        <v>116</v>
      </c>
      <c r="W171" s="11">
        <v>129</v>
      </c>
      <c r="X171" s="11">
        <v>135</v>
      </c>
      <c r="Y171" s="11">
        <v>4</v>
      </c>
      <c r="Z171" s="11">
        <v>9</v>
      </c>
      <c r="AA171" s="11">
        <v>2</v>
      </c>
      <c r="AB171" s="11">
        <v>2</v>
      </c>
      <c r="AC171" s="11">
        <v>5</v>
      </c>
      <c r="AD171" s="11">
        <v>5</v>
      </c>
      <c r="AE171" s="11">
        <v>79</v>
      </c>
      <c r="AF171" s="11">
        <v>224</v>
      </c>
      <c r="AG171" s="11">
        <v>25</v>
      </c>
      <c r="AH171" s="3">
        <f t="shared" si="0"/>
        <v>25084.833199999997</v>
      </c>
      <c r="AI171" s="3">
        <f t="shared" si="1"/>
        <v>8.9600000000000009</v>
      </c>
      <c r="AJ171" s="11">
        <v>2</v>
      </c>
      <c r="AK171" s="11">
        <v>0</v>
      </c>
      <c r="AL171" s="181">
        <f t="shared" si="2"/>
        <v>3.1891780727487559E-6</v>
      </c>
      <c r="AM171" s="11">
        <v>36889</v>
      </c>
      <c r="AN171" s="181">
        <f t="shared" si="3"/>
        <v>0.52260069166666667</v>
      </c>
      <c r="AO171" s="182">
        <v>0</v>
      </c>
      <c r="AP171" s="11">
        <v>23</v>
      </c>
      <c r="AQ171" s="11">
        <v>263</v>
      </c>
      <c r="AR171" s="11">
        <v>2620.59</v>
      </c>
      <c r="AS171" s="11">
        <v>2</v>
      </c>
      <c r="AT171" s="11">
        <v>52</v>
      </c>
      <c r="AV171" s="11" t="str">
        <f t="shared" si="4"/>
        <v>Active</v>
      </c>
    </row>
    <row r="172" spans="1:48">
      <c r="A172" s="11" t="s">
        <v>120</v>
      </c>
      <c r="B172" s="11" t="s">
        <v>356</v>
      </c>
      <c r="C172" s="11" t="s">
        <v>285</v>
      </c>
      <c r="D172" s="11" t="s">
        <v>770</v>
      </c>
      <c r="E172" s="11" t="s">
        <v>291</v>
      </c>
      <c r="F172" s="45">
        <v>45736</v>
      </c>
      <c r="G172" s="11">
        <v>0</v>
      </c>
      <c r="H172" s="11">
        <v>1200000</v>
      </c>
      <c r="I172" s="11">
        <v>794395.03</v>
      </c>
      <c r="J172" s="11">
        <v>94065.8</v>
      </c>
      <c r="K172" s="11">
        <v>22</v>
      </c>
      <c r="L172" s="11">
        <v>22</v>
      </c>
      <c r="M172" s="11">
        <v>5</v>
      </c>
      <c r="N172" s="11">
        <v>27</v>
      </c>
      <c r="O172" s="11">
        <v>5</v>
      </c>
      <c r="P172" s="11">
        <v>678350.27</v>
      </c>
      <c r="Q172" s="11">
        <v>116044.76</v>
      </c>
      <c r="R172" s="11">
        <v>7</v>
      </c>
      <c r="S172" s="11">
        <v>5</v>
      </c>
      <c r="T172" s="11">
        <v>12</v>
      </c>
      <c r="U172" s="11">
        <v>1</v>
      </c>
      <c r="V172" s="11">
        <v>87</v>
      </c>
      <c r="W172" s="11">
        <v>120</v>
      </c>
      <c r="X172" s="11">
        <v>97</v>
      </c>
      <c r="Y172" s="11">
        <v>1</v>
      </c>
      <c r="Z172" s="11">
        <v>4</v>
      </c>
      <c r="AA172" s="11">
        <v>3</v>
      </c>
      <c r="AB172" s="11">
        <v>6</v>
      </c>
      <c r="AC172" s="11">
        <v>1</v>
      </c>
      <c r="AD172" s="11">
        <v>4</v>
      </c>
      <c r="AE172" s="11">
        <v>47</v>
      </c>
      <c r="AF172" s="11">
        <v>181</v>
      </c>
      <c r="AG172" s="11">
        <v>27</v>
      </c>
      <c r="AH172" s="3">
        <f t="shared" si="0"/>
        <v>32905.956666666672</v>
      </c>
      <c r="AI172" s="3">
        <f t="shared" si="1"/>
        <v>6.7037037037037033</v>
      </c>
      <c r="AJ172" s="11">
        <v>5</v>
      </c>
      <c r="AK172" s="11">
        <v>0</v>
      </c>
      <c r="AL172" s="181">
        <f t="shared" si="2"/>
        <v>5.6277101152562909E-6</v>
      </c>
      <c r="AM172" s="11">
        <v>66200</v>
      </c>
      <c r="AN172" s="181">
        <f t="shared" si="3"/>
        <v>0.74038402500000011</v>
      </c>
      <c r="AO172" s="182">
        <v>0</v>
      </c>
      <c r="AP172" s="11">
        <v>17</v>
      </c>
      <c r="AQ172" s="11">
        <v>247</v>
      </c>
      <c r="AR172" s="11">
        <v>787.98</v>
      </c>
      <c r="AS172" s="11">
        <v>5</v>
      </c>
      <c r="AT172" s="11">
        <v>36</v>
      </c>
      <c r="AV172" s="11" t="str">
        <f t="shared" si="4"/>
        <v>Active</v>
      </c>
    </row>
    <row r="173" spans="1:48">
      <c r="A173" s="11" t="s">
        <v>154</v>
      </c>
      <c r="B173" s="11" t="s">
        <v>367</v>
      </c>
      <c r="C173" s="11" t="s">
        <v>287</v>
      </c>
      <c r="D173" s="11" t="s">
        <v>577</v>
      </c>
      <c r="E173" s="11" t="s">
        <v>371</v>
      </c>
      <c r="F173" s="45">
        <v>45733</v>
      </c>
      <c r="G173" s="11">
        <v>0</v>
      </c>
      <c r="H173" s="11">
        <v>1500000</v>
      </c>
      <c r="I173" s="11">
        <v>957045.25</v>
      </c>
      <c r="J173" s="11">
        <v>0</v>
      </c>
      <c r="K173" s="11">
        <v>70</v>
      </c>
      <c r="L173" s="11">
        <v>52</v>
      </c>
      <c r="M173" s="11">
        <v>2</v>
      </c>
      <c r="N173" s="11">
        <v>72</v>
      </c>
      <c r="O173" s="11">
        <v>20</v>
      </c>
      <c r="P173" s="11">
        <v>741825.73</v>
      </c>
      <c r="Q173" s="11">
        <v>215219.52</v>
      </c>
      <c r="R173" s="11">
        <v>17</v>
      </c>
      <c r="S173" s="11">
        <v>2</v>
      </c>
      <c r="T173" s="11">
        <v>19</v>
      </c>
      <c r="U173" s="11">
        <v>0</v>
      </c>
      <c r="V173" s="11">
        <v>67</v>
      </c>
      <c r="W173" s="11">
        <v>74</v>
      </c>
      <c r="X173" s="11">
        <v>81</v>
      </c>
      <c r="Y173" s="11">
        <v>3</v>
      </c>
      <c r="Z173" s="11">
        <v>11</v>
      </c>
      <c r="AA173" s="11">
        <v>0</v>
      </c>
      <c r="AB173" s="11">
        <v>0</v>
      </c>
      <c r="AC173" s="11">
        <v>6</v>
      </c>
      <c r="AD173" s="11">
        <v>8</v>
      </c>
      <c r="AE173" s="11">
        <v>97</v>
      </c>
      <c r="AF173" s="11">
        <v>190</v>
      </c>
      <c r="AG173" s="11">
        <v>25</v>
      </c>
      <c r="AH173" s="3">
        <f t="shared" si="0"/>
        <v>38281.81</v>
      </c>
      <c r="AI173" s="3">
        <f t="shared" si="1"/>
        <v>7.6</v>
      </c>
      <c r="AJ173" s="11">
        <v>1</v>
      </c>
      <c r="AK173" s="11">
        <v>0</v>
      </c>
      <c r="AL173" s="181">
        <f t="shared" si="2"/>
        <v>1.0448826740428418E-6</v>
      </c>
      <c r="AM173" s="11">
        <v>50371</v>
      </c>
      <c r="AN173" s="181">
        <f t="shared" si="3"/>
        <v>0.63803016666666668</v>
      </c>
      <c r="AO173" s="182">
        <v>0</v>
      </c>
      <c r="AP173" s="11">
        <v>22</v>
      </c>
      <c r="AQ173" s="11">
        <v>247</v>
      </c>
      <c r="AR173" s="11">
        <v>2835.28</v>
      </c>
      <c r="AS173" s="11">
        <v>2</v>
      </c>
      <c r="AT173" s="11">
        <v>55</v>
      </c>
      <c r="AV173" s="11" t="str">
        <f t="shared" si="4"/>
        <v>Active</v>
      </c>
    </row>
    <row r="174" spans="1:48">
      <c r="A174" s="11" t="s">
        <v>154</v>
      </c>
      <c r="B174" s="11" t="s">
        <v>367</v>
      </c>
      <c r="C174" s="11" t="s">
        <v>288</v>
      </c>
      <c r="D174" s="11" t="s">
        <v>577</v>
      </c>
      <c r="E174" s="11" t="s">
        <v>637</v>
      </c>
      <c r="F174" s="45">
        <v>45735</v>
      </c>
      <c r="G174" s="11">
        <v>0</v>
      </c>
      <c r="H174" s="11">
        <v>700000</v>
      </c>
      <c r="I174" s="11">
        <v>222271.1</v>
      </c>
      <c r="J174" s="11">
        <v>0</v>
      </c>
      <c r="K174" s="11">
        <v>61</v>
      </c>
      <c r="L174" s="11">
        <v>36</v>
      </c>
      <c r="M174" s="11">
        <v>5</v>
      </c>
      <c r="N174" s="11">
        <v>66</v>
      </c>
      <c r="O174" s="11">
        <v>30</v>
      </c>
      <c r="P174" s="11">
        <v>119633.60000000001</v>
      </c>
      <c r="Q174" s="11">
        <v>102637.5</v>
      </c>
      <c r="R174" s="11">
        <v>7</v>
      </c>
      <c r="S174" s="11">
        <v>5</v>
      </c>
      <c r="T174" s="11">
        <v>12</v>
      </c>
      <c r="U174" s="11">
        <v>0</v>
      </c>
      <c r="V174" s="11">
        <v>82</v>
      </c>
      <c r="W174" s="11">
        <v>115</v>
      </c>
      <c r="X174" s="11">
        <v>109</v>
      </c>
      <c r="Y174" s="11">
        <v>3</v>
      </c>
      <c r="Z174" s="11">
        <v>17</v>
      </c>
      <c r="AA174" s="11">
        <v>0</v>
      </c>
      <c r="AB174" s="11">
        <v>0</v>
      </c>
      <c r="AC174" s="11">
        <v>7</v>
      </c>
      <c r="AD174" s="11">
        <v>11</v>
      </c>
      <c r="AE174" s="11">
        <v>76</v>
      </c>
      <c r="AF174" s="11">
        <v>219</v>
      </c>
      <c r="AG174" s="11">
        <v>26</v>
      </c>
      <c r="AH174" s="3">
        <f t="shared" si="0"/>
        <v>8548.8884615384613</v>
      </c>
      <c r="AI174" s="3">
        <f t="shared" si="1"/>
        <v>8.4230769230769234</v>
      </c>
      <c r="AJ174" s="11">
        <v>0</v>
      </c>
      <c r="AK174" s="11">
        <v>0</v>
      </c>
      <c r="AL174" s="181">
        <f t="shared" si="2"/>
        <v>0</v>
      </c>
      <c r="AM174" s="11">
        <v>18523</v>
      </c>
      <c r="AN174" s="181">
        <f t="shared" si="3"/>
        <v>0.31753014285714287</v>
      </c>
      <c r="AO174" s="182">
        <v>0</v>
      </c>
      <c r="AP174" s="11">
        <v>16</v>
      </c>
      <c r="AQ174" s="11">
        <v>307</v>
      </c>
      <c r="AR174" s="11">
        <v>1970.11</v>
      </c>
      <c r="AS174" s="11">
        <v>5</v>
      </c>
      <c r="AT174" s="11">
        <v>55</v>
      </c>
      <c r="AV174" s="11" t="str">
        <f t="shared" si="4"/>
        <v>Active</v>
      </c>
    </row>
    <row r="175" spans="1:48">
      <c r="A175" s="11" t="s">
        <v>154</v>
      </c>
      <c r="B175" s="11" t="s">
        <v>367</v>
      </c>
      <c r="C175" s="11" t="s">
        <v>289</v>
      </c>
      <c r="D175" s="11" t="s">
        <v>577</v>
      </c>
      <c r="E175" s="11" t="s">
        <v>578</v>
      </c>
      <c r="F175" s="45">
        <v>45736</v>
      </c>
      <c r="G175" s="11">
        <v>0</v>
      </c>
      <c r="H175" s="11">
        <v>0</v>
      </c>
      <c r="I175" s="11">
        <v>0</v>
      </c>
      <c r="J175" s="11">
        <v>0</v>
      </c>
      <c r="K175" s="11">
        <v>34</v>
      </c>
      <c r="L175" s="11">
        <v>13</v>
      </c>
      <c r="M175" s="11">
        <v>1</v>
      </c>
      <c r="N175" s="11">
        <v>35</v>
      </c>
      <c r="O175" s="11">
        <v>22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46</v>
      </c>
      <c r="W175" s="11">
        <v>66</v>
      </c>
      <c r="X175" s="11">
        <v>68</v>
      </c>
      <c r="Y175" s="11">
        <v>3</v>
      </c>
      <c r="Z175" s="11">
        <v>10</v>
      </c>
      <c r="AA175" s="11">
        <v>0</v>
      </c>
      <c r="AB175" s="11">
        <v>0</v>
      </c>
      <c r="AC175" s="11">
        <v>6</v>
      </c>
      <c r="AD175" s="11">
        <v>8</v>
      </c>
      <c r="AE175" s="11">
        <v>17</v>
      </c>
      <c r="AF175" s="11">
        <v>101</v>
      </c>
      <c r="AG175" s="11">
        <v>27</v>
      </c>
      <c r="AH175" s="3">
        <f t="shared" si="0"/>
        <v>0</v>
      </c>
      <c r="AI175" s="3">
        <f t="shared" si="1"/>
        <v>3.7407407407407409</v>
      </c>
      <c r="AJ175" s="11">
        <v>0</v>
      </c>
      <c r="AK175" s="11">
        <v>0</v>
      </c>
      <c r="AL175" s="181" t="str">
        <f t="shared" si="2"/>
        <v/>
      </c>
      <c r="AM175" s="11">
        <v>0</v>
      </c>
      <c r="AN175" s="181" t="str">
        <f t="shared" si="3"/>
        <v/>
      </c>
      <c r="AO175" s="182">
        <v>0</v>
      </c>
      <c r="AP175" s="11">
        <v>0</v>
      </c>
      <c r="AQ175" s="11">
        <v>265</v>
      </c>
      <c r="AR175" s="11">
        <v>3740.73</v>
      </c>
      <c r="AS175" s="11">
        <v>0</v>
      </c>
      <c r="AT175" s="11">
        <v>288</v>
      </c>
      <c r="AV175" s="11" t="str">
        <f t="shared" si="4"/>
        <v>Active</v>
      </c>
    </row>
    <row r="176" spans="1:48">
      <c r="A176" s="11" t="s">
        <v>108</v>
      </c>
      <c r="B176" s="11" t="s">
        <v>465</v>
      </c>
      <c r="C176" s="11" t="s">
        <v>290</v>
      </c>
      <c r="D176" s="11" t="s">
        <v>506</v>
      </c>
      <c r="E176" s="11" t="s">
        <v>639</v>
      </c>
      <c r="F176" s="45">
        <v>45751</v>
      </c>
      <c r="G176" s="11">
        <v>0</v>
      </c>
      <c r="H176" s="11">
        <v>1241625</v>
      </c>
      <c r="I176" s="11">
        <v>489139.7</v>
      </c>
      <c r="J176" s="11">
        <v>0</v>
      </c>
      <c r="K176" s="11">
        <v>229</v>
      </c>
      <c r="L176" s="11">
        <v>55</v>
      </c>
      <c r="M176" s="11">
        <v>2</v>
      </c>
      <c r="N176" s="11">
        <v>231</v>
      </c>
      <c r="O176" s="11">
        <v>176</v>
      </c>
      <c r="P176" s="11">
        <v>427090.9</v>
      </c>
      <c r="Q176" s="11">
        <v>62048.800000000003</v>
      </c>
      <c r="R176" s="11">
        <v>20</v>
      </c>
      <c r="S176" s="11">
        <v>2</v>
      </c>
      <c r="T176" s="11">
        <v>22</v>
      </c>
      <c r="U176" s="11">
        <v>0</v>
      </c>
      <c r="V176" s="11">
        <v>35</v>
      </c>
      <c r="W176" s="11">
        <v>47</v>
      </c>
      <c r="X176" s="11">
        <v>38</v>
      </c>
      <c r="Y176" s="11">
        <v>2</v>
      </c>
      <c r="Z176" s="11">
        <v>16</v>
      </c>
      <c r="AA176" s="11">
        <v>0</v>
      </c>
      <c r="AB176" s="11">
        <v>0</v>
      </c>
      <c r="AC176" s="11">
        <v>0</v>
      </c>
      <c r="AD176" s="11">
        <v>0</v>
      </c>
      <c r="AE176" s="11">
        <v>113</v>
      </c>
      <c r="AF176" s="11">
        <v>176</v>
      </c>
      <c r="AG176" s="11">
        <v>24</v>
      </c>
      <c r="AH176" s="3">
        <f t="shared" si="0"/>
        <v>20380.820833333335</v>
      </c>
      <c r="AI176" s="3">
        <f t="shared" si="1"/>
        <v>7.333333333333333</v>
      </c>
      <c r="AJ176" s="11">
        <v>0</v>
      </c>
      <c r="AK176" s="11">
        <v>0</v>
      </c>
      <c r="AL176" s="181">
        <f t="shared" si="2"/>
        <v>0</v>
      </c>
      <c r="AM176" s="11">
        <v>22234</v>
      </c>
      <c r="AN176" s="181">
        <f t="shared" si="3"/>
        <v>0.39395123326286119</v>
      </c>
      <c r="AO176" s="182">
        <v>0</v>
      </c>
      <c r="AP176" s="11">
        <v>33</v>
      </c>
      <c r="AQ176" s="11">
        <v>229</v>
      </c>
      <c r="AR176" s="11">
        <v>1978.48</v>
      </c>
      <c r="AS176" s="11">
        <v>2</v>
      </c>
      <c r="AT176" s="11">
        <v>36</v>
      </c>
      <c r="AV176" s="11" t="str">
        <f t="shared" si="4"/>
        <v>Active</v>
      </c>
    </row>
    <row r="177" spans="1:48">
      <c r="A177" s="11" t="s">
        <v>154</v>
      </c>
      <c r="B177" s="11" t="s">
        <v>367</v>
      </c>
      <c r="C177" s="11" t="s">
        <v>292</v>
      </c>
      <c r="D177" s="11" t="s">
        <v>577</v>
      </c>
      <c r="E177" s="11" t="s">
        <v>377</v>
      </c>
      <c r="F177" s="45">
        <v>45761</v>
      </c>
      <c r="G177" s="11">
        <v>0</v>
      </c>
      <c r="H177" s="11">
        <v>0</v>
      </c>
      <c r="I177" s="11">
        <v>0</v>
      </c>
      <c r="J177" s="11">
        <v>0</v>
      </c>
      <c r="K177" s="11">
        <v>8</v>
      </c>
      <c r="L177" s="11">
        <v>0</v>
      </c>
      <c r="M177" s="11">
        <v>0</v>
      </c>
      <c r="N177" s="11">
        <v>8</v>
      </c>
      <c r="O177" s="11">
        <v>8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9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3" t="str">
        <f t="shared" si="0"/>
        <v/>
      </c>
      <c r="AI177" s="3" t="str">
        <f t="shared" si="1"/>
        <v/>
      </c>
      <c r="AJ177" s="11">
        <v>0</v>
      </c>
      <c r="AK177" s="11">
        <v>0</v>
      </c>
      <c r="AL177" s="181" t="str">
        <f t="shared" si="2"/>
        <v/>
      </c>
      <c r="AM177" s="11">
        <v>0</v>
      </c>
      <c r="AN177" s="181" t="str">
        <f t="shared" si="3"/>
        <v/>
      </c>
      <c r="AO177" s="182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84">
        <v>45771</v>
      </c>
      <c r="AV177" s="11" t="str">
        <f t="shared" si="4"/>
        <v>Left</v>
      </c>
    </row>
    <row r="178" spans="1:48">
      <c r="A178" s="11" t="s">
        <v>279</v>
      </c>
      <c r="B178" s="11" t="s">
        <v>458</v>
      </c>
      <c r="C178" s="11" t="s">
        <v>293</v>
      </c>
      <c r="D178" s="11" t="s">
        <v>581</v>
      </c>
      <c r="E178" s="11" t="s">
        <v>582</v>
      </c>
      <c r="F178" s="45">
        <v>45761</v>
      </c>
      <c r="G178" s="11">
        <v>0</v>
      </c>
      <c r="H178" s="11">
        <v>666667</v>
      </c>
      <c r="I178" s="11">
        <v>549291.81999999995</v>
      </c>
      <c r="J178" s="11">
        <v>0</v>
      </c>
      <c r="K178" s="11">
        <v>28</v>
      </c>
      <c r="L178" s="11">
        <v>30</v>
      </c>
      <c r="M178" s="11">
        <v>12</v>
      </c>
      <c r="N178" s="11">
        <v>40</v>
      </c>
      <c r="O178" s="11">
        <v>10</v>
      </c>
      <c r="P178" s="11">
        <v>288752.78999999998</v>
      </c>
      <c r="Q178" s="11">
        <v>260539.03</v>
      </c>
      <c r="R178" s="11">
        <v>10</v>
      </c>
      <c r="S178" s="11">
        <v>12</v>
      </c>
      <c r="T178" s="11">
        <v>22</v>
      </c>
      <c r="U178" s="11">
        <v>0</v>
      </c>
      <c r="V178" s="11">
        <v>98</v>
      </c>
      <c r="W178" s="11">
        <v>112</v>
      </c>
      <c r="X178" s="11">
        <v>122</v>
      </c>
      <c r="Y178" s="11">
        <v>1</v>
      </c>
      <c r="Z178" s="11">
        <v>14</v>
      </c>
      <c r="AA178" s="11">
        <v>0</v>
      </c>
      <c r="AB178" s="11">
        <v>0</v>
      </c>
      <c r="AC178" s="11">
        <v>5</v>
      </c>
      <c r="AD178" s="11">
        <v>5</v>
      </c>
      <c r="AE178" s="11">
        <v>38</v>
      </c>
      <c r="AF178" s="11">
        <v>169</v>
      </c>
      <c r="AG178" s="11">
        <v>25</v>
      </c>
      <c r="AH178" s="3">
        <f t="shared" si="0"/>
        <v>21971.672799999997</v>
      </c>
      <c r="AI178" s="3">
        <f t="shared" si="1"/>
        <v>6.76</v>
      </c>
      <c r="AJ178" s="43">
        <v>0</v>
      </c>
      <c r="AK178" s="11">
        <v>0</v>
      </c>
      <c r="AL178" s="181">
        <f t="shared" si="2"/>
        <v>0</v>
      </c>
      <c r="AM178" s="11">
        <v>24968</v>
      </c>
      <c r="AN178" s="181">
        <f t="shared" si="3"/>
        <v>0.82393731803134096</v>
      </c>
      <c r="AO178" s="182">
        <v>0</v>
      </c>
      <c r="AP178" s="11">
        <v>24</v>
      </c>
      <c r="AQ178" s="11">
        <v>254</v>
      </c>
      <c r="AR178" s="11">
        <v>997.58</v>
      </c>
      <c r="AS178" s="11">
        <v>12</v>
      </c>
      <c r="AT178" s="11">
        <v>33</v>
      </c>
      <c r="AV178" s="11" t="str">
        <f t="shared" si="4"/>
        <v>Active</v>
      </c>
    </row>
    <row r="179" spans="1:48">
      <c r="A179" s="11" t="s">
        <v>136</v>
      </c>
      <c r="B179" s="11" t="s">
        <v>653</v>
      </c>
      <c r="C179" s="11" t="s">
        <v>294</v>
      </c>
      <c r="D179" s="11" t="s">
        <v>421</v>
      </c>
      <c r="E179" s="11" t="s">
        <v>427</v>
      </c>
      <c r="F179" s="45">
        <v>45765</v>
      </c>
      <c r="G179" s="11">
        <v>166667</v>
      </c>
      <c r="H179" s="11">
        <v>1000000</v>
      </c>
      <c r="I179" s="11">
        <v>195470.25</v>
      </c>
      <c r="J179" s="11">
        <v>0</v>
      </c>
      <c r="K179" s="11">
        <v>11</v>
      </c>
      <c r="L179" s="11">
        <v>10</v>
      </c>
      <c r="M179" s="11">
        <v>4</v>
      </c>
      <c r="N179" s="11">
        <v>15</v>
      </c>
      <c r="O179" s="11">
        <v>5</v>
      </c>
      <c r="P179" s="11">
        <v>52525</v>
      </c>
      <c r="Q179" s="11">
        <v>142945.25</v>
      </c>
      <c r="R179" s="11">
        <v>3</v>
      </c>
      <c r="S179" s="11">
        <v>4</v>
      </c>
      <c r="T179" s="11">
        <v>7</v>
      </c>
      <c r="U179" s="11">
        <v>0</v>
      </c>
      <c r="V179" s="11">
        <v>54</v>
      </c>
      <c r="W179" s="11">
        <v>78</v>
      </c>
      <c r="X179" s="11">
        <v>50</v>
      </c>
      <c r="Y179" s="11">
        <v>3</v>
      </c>
      <c r="Z179" s="11">
        <v>23</v>
      </c>
      <c r="AA179" s="11">
        <v>1</v>
      </c>
      <c r="AB179" s="11">
        <v>4</v>
      </c>
      <c r="AC179" s="11">
        <v>0</v>
      </c>
      <c r="AD179" s="11">
        <v>0</v>
      </c>
      <c r="AE179" s="11">
        <v>19</v>
      </c>
      <c r="AF179" s="11">
        <v>124</v>
      </c>
      <c r="AG179" s="11">
        <v>27</v>
      </c>
      <c r="AH179" s="3">
        <f t="shared" si="0"/>
        <v>7239.6388888888887</v>
      </c>
      <c r="AI179" s="3">
        <f t="shared" si="1"/>
        <v>4.5925925925925926</v>
      </c>
      <c r="AJ179" s="43">
        <v>4</v>
      </c>
      <c r="AK179" s="11">
        <v>0</v>
      </c>
      <c r="AL179" s="181">
        <f t="shared" si="2"/>
        <v>2.0463472062884249E-5</v>
      </c>
      <c r="AM179" s="11">
        <v>27924</v>
      </c>
      <c r="AN179" s="181">
        <f t="shared" si="3"/>
        <v>0.16754588070117693</v>
      </c>
      <c r="AO179" s="182">
        <v>0</v>
      </c>
      <c r="AP179" s="11">
        <v>13</v>
      </c>
      <c r="AQ179" s="11">
        <v>235</v>
      </c>
      <c r="AR179" s="11">
        <v>1543.07</v>
      </c>
      <c r="AS179" s="11">
        <v>4</v>
      </c>
      <c r="AT179" s="11">
        <v>154</v>
      </c>
      <c r="AV179" s="11" t="str">
        <f t="shared" si="4"/>
        <v>Active</v>
      </c>
    </row>
    <row r="180" spans="1:48">
      <c r="A180" s="11" t="s">
        <v>118</v>
      </c>
      <c r="B180" s="11" t="s">
        <v>362</v>
      </c>
      <c r="C180" s="11" t="s">
        <v>295</v>
      </c>
      <c r="D180" s="11" t="s">
        <v>419</v>
      </c>
      <c r="E180" s="11" t="s">
        <v>643</v>
      </c>
      <c r="F180" s="45">
        <v>45784</v>
      </c>
      <c r="G180" s="11">
        <v>0</v>
      </c>
      <c r="H180" s="11">
        <v>2500000</v>
      </c>
      <c r="I180" s="11">
        <v>1994961.79</v>
      </c>
      <c r="J180" s="11">
        <v>0</v>
      </c>
      <c r="K180" s="11">
        <v>40</v>
      </c>
      <c r="L180" s="11">
        <v>39</v>
      </c>
      <c r="M180" s="11">
        <v>2</v>
      </c>
      <c r="N180" s="11">
        <v>42</v>
      </c>
      <c r="O180" s="11">
        <v>3</v>
      </c>
      <c r="P180" s="11">
        <v>1940527.23</v>
      </c>
      <c r="Q180" s="11">
        <v>54434.559999999998</v>
      </c>
      <c r="R180" s="11">
        <v>15</v>
      </c>
      <c r="S180" s="11">
        <v>2</v>
      </c>
      <c r="T180" s="11">
        <v>17</v>
      </c>
      <c r="U180" s="11">
        <v>0</v>
      </c>
      <c r="V180" s="11">
        <v>11</v>
      </c>
      <c r="W180" s="11">
        <v>21</v>
      </c>
      <c r="X180" s="11">
        <v>13</v>
      </c>
      <c r="Y180" s="11">
        <v>1</v>
      </c>
      <c r="Z180" s="11">
        <v>1</v>
      </c>
      <c r="AA180" s="11">
        <v>0</v>
      </c>
      <c r="AB180" s="11">
        <v>0</v>
      </c>
      <c r="AC180" s="11">
        <v>0</v>
      </c>
      <c r="AD180" s="11">
        <v>0</v>
      </c>
      <c r="AE180" s="11">
        <v>122</v>
      </c>
      <c r="AF180" s="11">
        <v>144</v>
      </c>
      <c r="AG180" s="11">
        <v>26</v>
      </c>
      <c r="AH180" s="3">
        <f t="shared" si="0"/>
        <v>76729.299615384618</v>
      </c>
      <c r="AI180" s="3">
        <f t="shared" si="1"/>
        <v>5.5384615384615383</v>
      </c>
      <c r="AJ180" s="11">
        <v>0</v>
      </c>
      <c r="AK180" s="11">
        <v>0</v>
      </c>
      <c r="AL180" s="181">
        <f t="shared" si="2"/>
        <v>0</v>
      </c>
      <c r="AM180" s="11">
        <v>117351</v>
      </c>
      <c r="AN180" s="181">
        <f t="shared" si="3"/>
        <v>0.79798471599999998</v>
      </c>
      <c r="AO180" s="182">
        <v>0</v>
      </c>
      <c r="AP180" s="11">
        <v>34</v>
      </c>
      <c r="AQ180" s="11">
        <v>266</v>
      </c>
      <c r="AR180" s="11">
        <v>2195.31</v>
      </c>
      <c r="AS180" s="11">
        <v>2</v>
      </c>
      <c r="AT180" s="11">
        <v>56</v>
      </c>
      <c r="AV180" s="11" t="str">
        <f t="shared" si="4"/>
        <v>Active</v>
      </c>
    </row>
    <row r="181" spans="1:48">
      <c r="A181" s="11" t="s">
        <v>177</v>
      </c>
      <c r="B181" s="11" t="s">
        <v>364</v>
      </c>
      <c r="C181" s="11" t="s">
        <v>296</v>
      </c>
      <c r="D181" s="11" t="s">
        <v>576</v>
      </c>
      <c r="E181" s="11" t="s">
        <v>641</v>
      </c>
      <c r="F181" s="45">
        <v>45782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1</v>
      </c>
      <c r="W181" s="11">
        <v>3</v>
      </c>
      <c r="X181" s="11">
        <v>9</v>
      </c>
      <c r="Y181" s="11">
        <v>2</v>
      </c>
      <c r="Z181" s="11">
        <v>8</v>
      </c>
      <c r="AA181" s="11">
        <v>0</v>
      </c>
      <c r="AB181" s="11">
        <v>0</v>
      </c>
      <c r="AC181" s="11">
        <v>61</v>
      </c>
      <c r="AD181" s="11">
        <v>124</v>
      </c>
      <c r="AE181" s="11">
        <v>0</v>
      </c>
      <c r="AF181" s="11">
        <v>135</v>
      </c>
      <c r="AG181" s="11">
        <v>23</v>
      </c>
      <c r="AH181" s="3">
        <f t="shared" si="0"/>
        <v>0</v>
      </c>
      <c r="AI181" s="3">
        <f t="shared" si="1"/>
        <v>5.8695652173913047</v>
      </c>
      <c r="AJ181" s="11">
        <v>0</v>
      </c>
      <c r="AK181" s="11">
        <v>0</v>
      </c>
      <c r="AL181" s="181" t="str">
        <f t="shared" si="2"/>
        <v/>
      </c>
      <c r="AM181" s="11">
        <v>0</v>
      </c>
      <c r="AN181" s="181" t="str">
        <f t="shared" si="3"/>
        <v/>
      </c>
      <c r="AO181" s="182">
        <v>0</v>
      </c>
      <c r="AP181" s="11">
        <v>0</v>
      </c>
      <c r="AQ181" s="11">
        <v>283</v>
      </c>
      <c r="AR181" s="11">
        <v>3611.27</v>
      </c>
      <c r="AS181" s="11">
        <v>0</v>
      </c>
      <c r="AT181" s="11">
        <v>0</v>
      </c>
      <c r="AV181" s="11" t="str">
        <f t="shared" si="4"/>
        <v>Active</v>
      </c>
    </row>
    <row r="182" spans="1:48">
      <c r="A182" s="11" t="s">
        <v>108</v>
      </c>
      <c r="B182" s="11" t="s">
        <v>465</v>
      </c>
      <c r="C182" s="11" t="s">
        <v>297</v>
      </c>
      <c r="D182" s="11" t="s">
        <v>506</v>
      </c>
      <c r="E182" s="11" t="s">
        <v>478</v>
      </c>
      <c r="F182" s="45">
        <v>45793</v>
      </c>
      <c r="G182" s="11">
        <v>0</v>
      </c>
      <c r="H182" s="11">
        <v>880000</v>
      </c>
      <c r="I182" s="11">
        <v>467010.6</v>
      </c>
      <c r="J182" s="11">
        <v>0</v>
      </c>
      <c r="K182" s="11">
        <v>52</v>
      </c>
      <c r="L182" s="11">
        <v>45</v>
      </c>
      <c r="M182" s="11">
        <v>9</v>
      </c>
      <c r="N182" s="11">
        <v>61</v>
      </c>
      <c r="O182" s="11">
        <v>16</v>
      </c>
      <c r="P182" s="11">
        <v>268705.8</v>
      </c>
      <c r="Q182" s="11">
        <v>198304.8</v>
      </c>
      <c r="R182" s="11">
        <v>18</v>
      </c>
      <c r="S182" s="11">
        <v>9</v>
      </c>
      <c r="T182" s="11">
        <v>27</v>
      </c>
      <c r="U182" s="11">
        <v>0</v>
      </c>
      <c r="V182" s="11">
        <v>3</v>
      </c>
      <c r="W182" s="11">
        <v>6</v>
      </c>
      <c r="X182" s="11">
        <v>0</v>
      </c>
      <c r="Y182" s="11">
        <v>1</v>
      </c>
      <c r="Z182" s="11">
        <v>1</v>
      </c>
      <c r="AA182" s="11">
        <v>0</v>
      </c>
      <c r="AB182" s="11">
        <v>0</v>
      </c>
      <c r="AC182" s="11">
        <v>0</v>
      </c>
      <c r="AD182" s="11">
        <v>0</v>
      </c>
      <c r="AE182" s="11">
        <v>120</v>
      </c>
      <c r="AF182" s="11">
        <v>127</v>
      </c>
      <c r="AG182" s="11">
        <v>24</v>
      </c>
      <c r="AH182" s="3">
        <f t="shared" si="0"/>
        <v>19458.774999999998</v>
      </c>
      <c r="AI182" s="3">
        <f t="shared" si="1"/>
        <v>5.291666666666667</v>
      </c>
      <c r="AJ182" s="11">
        <v>0</v>
      </c>
      <c r="AK182" s="11">
        <v>0</v>
      </c>
      <c r="AL182" s="181">
        <f t="shared" si="2"/>
        <v>0</v>
      </c>
      <c r="AM182" s="11">
        <v>17297</v>
      </c>
      <c r="AN182" s="181">
        <f t="shared" si="3"/>
        <v>0.53069386363636362</v>
      </c>
      <c r="AO182" s="182">
        <v>0</v>
      </c>
      <c r="AP182" s="11">
        <v>32</v>
      </c>
      <c r="AQ182" s="11">
        <v>234</v>
      </c>
      <c r="AR182" s="11">
        <v>1236.29</v>
      </c>
      <c r="AS182" s="11">
        <v>9</v>
      </c>
      <c r="AT182" s="11">
        <v>27</v>
      </c>
      <c r="AV182" s="11" t="str">
        <f t="shared" si="4"/>
        <v>Active</v>
      </c>
    </row>
    <row r="183" spans="1:48">
      <c r="A183" s="11" t="s">
        <v>118</v>
      </c>
      <c r="B183" s="11" t="s">
        <v>372</v>
      </c>
      <c r="C183" s="11" t="s">
        <v>216</v>
      </c>
      <c r="D183" s="11" t="s">
        <v>447</v>
      </c>
      <c r="E183" s="11" t="s">
        <v>514</v>
      </c>
      <c r="F183" s="45">
        <v>45797</v>
      </c>
      <c r="G183" s="11">
        <v>0</v>
      </c>
      <c r="H183" s="11">
        <v>0</v>
      </c>
      <c r="I183" s="11">
        <v>0</v>
      </c>
      <c r="J183" s="11">
        <v>0</v>
      </c>
      <c r="K183" s="11">
        <v>48</v>
      </c>
      <c r="L183" s="11">
        <v>47</v>
      </c>
      <c r="M183" s="11">
        <v>1</v>
      </c>
      <c r="N183" s="11">
        <v>49</v>
      </c>
      <c r="O183" s="11">
        <v>2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14</v>
      </c>
      <c r="W183" s="11">
        <v>22</v>
      </c>
      <c r="X183" s="11">
        <v>4</v>
      </c>
      <c r="Y183" s="11">
        <v>7</v>
      </c>
      <c r="Z183" s="11">
        <v>20</v>
      </c>
      <c r="AA183" s="11">
        <v>2</v>
      </c>
      <c r="AB183" s="11">
        <v>2</v>
      </c>
      <c r="AC183" s="11">
        <v>4</v>
      </c>
      <c r="AD183" s="11">
        <v>4</v>
      </c>
      <c r="AE183" s="11">
        <v>51</v>
      </c>
      <c r="AF183" s="11">
        <v>99</v>
      </c>
      <c r="AG183" s="11">
        <v>24</v>
      </c>
      <c r="AH183" s="3">
        <f t="shared" si="0"/>
        <v>0</v>
      </c>
      <c r="AI183" s="3">
        <f t="shared" si="1"/>
        <v>4.125</v>
      </c>
      <c r="AJ183" s="11" t="e">
        <v>#N/A</v>
      </c>
      <c r="AK183" s="11">
        <v>0</v>
      </c>
      <c r="AL183" s="181" t="str">
        <f t="shared" si="2"/>
        <v/>
      </c>
      <c r="AM183" s="11">
        <v>0</v>
      </c>
      <c r="AN183" s="181" t="str">
        <f t="shared" si="3"/>
        <v/>
      </c>
      <c r="AO183" s="182">
        <v>0</v>
      </c>
      <c r="AP183" s="11">
        <v>0</v>
      </c>
      <c r="AQ183" s="11">
        <v>222</v>
      </c>
      <c r="AR183" s="11">
        <v>1726.04</v>
      </c>
      <c r="AS183" s="11">
        <v>0</v>
      </c>
      <c r="AT183" s="11">
        <v>37</v>
      </c>
      <c r="AV183" s="11" t="str">
        <f t="shared" si="4"/>
        <v>Active</v>
      </c>
    </row>
    <row r="184" spans="1:48">
      <c r="A184" s="11" t="s">
        <v>118</v>
      </c>
      <c r="B184" s="11" t="s">
        <v>362</v>
      </c>
      <c r="C184" s="11" t="s">
        <v>299</v>
      </c>
      <c r="D184" s="11" t="s">
        <v>419</v>
      </c>
      <c r="E184" s="11" t="s">
        <v>645</v>
      </c>
      <c r="F184" s="45">
        <v>45796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3" t="str">
        <f t="shared" si="0"/>
        <v/>
      </c>
      <c r="AI184" s="3" t="str">
        <f t="shared" si="1"/>
        <v/>
      </c>
      <c r="AJ184" s="11">
        <v>0</v>
      </c>
      <c r="AK184" s="11">
        <v>0</v>
      </c>
      <c r="AL184" s="181" t="str">
        <f t="shared" si="2"/>
        <v/>
      </c>
      <c r="AM184" s="11">
        <v>0</v>
      </c>
      <c r="AN184" s="181" t="str">
        <f t="shared" si="3"/>
        <v/>
      </c>
      <c r="AO184" s="182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87">
        <v>45804</v>
      </c>
      <c r="AV184" s="11" t="str">
        <f t="shared" si="4"/>
        <v>Left</v>
      </c>
    </row>
    <row r="185" spans="1:48">
      <c r="A185" s="11" t="s">
        <v>201</v>
      </c>
      <c r="B185" s="11" t="s">
        <v>431</v>
      </c>
      <c r="C185" s="11" t="s">
        <v>300</v>
      </c>
      <c r="D185" s="11" t="s">
        <v>431</v>
      </c>
      <c r="E185" s="11" t="s">
        <v>646</v>
      </c>
      <c r="F185" s="45">
        <v>45797</v>
      </c>
      <c r="G185" s="11">
        <v>0</v>
      </c>
      <c r="H185" s="11">
        <v>1200000</v>
      </c>
      <c r="I185" s="11">
        <v>288908.5</v>
      </c>
      <c r="J185" s="11">
        <v>0</v>
      </c>
      <c r="K185" s="11">
        <v>26</v>
      </c>
      <c r="L185" s="11">
        <v>26</v>
      </c>
      <c r="M185" s="11">
        <v>6</v>
      </c>
      <c r="N185" s="11">
        <v>32</v>
      </c>
      <c r="O185" s="11">
        <v>6</v>
      </c>
      <c r="P185" s="11">
        <v>69401.350000000006</v>
      </c>
      <c r="Q185" s="11">
        <v>219507.15</v>
      </c>
      <c r="R185" s="11">
        <v>1</v>
      </c>
      <c r="S185" s="11">
        <v>6</v>
      </c>
      <c r="T185" s="11">
        <v>7</v>
      </c>
      <c r="U185" s="11">
        <v>0</v>
      </c>
      <c r="V185" s="11">
        <v>70</v>
      </c>
      <c r="W185" s="11">
        <v>107</v>
      </c>
      <c r="X185" s="11">
        <v>36</v>
      </c>
      <c r="Y185" s="11">
        <v>1</v>
      </c>
      <c r="Z185" s="11">
        <v>4</v>
      </c>
      <c r="AA185" s="11">
        <v>0</v>
      </c>
      <c r="AB185" s="11">
        <v>0</v>
      </c>
      <c r="AC185" s="11">
        <v>0</v>
      </c>
      <c r="AD185" s="11">
        <v>0</v>
      </c>
      <c r="AE185" s="11">
        <v>43</v>
      </c>
      <c r="AF185" s="11">
        <v>154</v>
      </c>
      <c r="AG185" s="11">
        <v>24</v>
      </c>
      <c r="AH185" s="3">
        <f t="shared" si="0"/>
        <v>12037.854166666666</v>
      </c>
      <c r="AI185" s="3">
        <f t="shared" si="1"/>
        <v>6.416666666666667</v>
      </c>
      <c r="AJ185" s="11">
        <v>0</v>
      </c>
      <c r="AK185" s="11">
        <v>0</v>
      </c>
      <c r="AL185" s="181">
        <f t="shared" si="2"/>
        <v>0</v>
      </c>
      <c r="AM185" s="11">
        <v>41273</v>
      </c>
      <c r="AN185" s="181">
        <f t="shared" si="3"/>
        <v>0.24075708333333334</v>
      </c>
      <c r="AO185" s="182">
        <v>0</v>
      </c>
      <c r="AP185" s="11">
        <v>9</v>
      </c>
      <c r="AQ185" s="11">
        <v>264</v>
      </c>
      <c r="AR185" s="11">
        <v>2024.51</v>
      </c>
      <c r="AS185" s="11">
        <v>6</v>
      </c>
      <c r="AT185" s="11">
        <v>78</v>
      </c>
      <c r="AV185" s="11" t="str">
        <f t="shared" si="4"/>
        <v>Active</v>
      </c>
    </row>
    <row r="186" spans="1:48">
      <c r="A186" s="11" t="s">
        <v>118</v>
      </c>
      <c r="B186" s="11" t="s">
        <v>436</v>
      </c>
      <c r="C186" s="11" t="s">
        <v>301</v>
      </c>
      <c r="D186" s="11" t="s">
        <v>499</v>
      </c>
      <c r="E186" s="11" t="s">
        <v>648</v>
      </c>
      <c r="F186" s="45">
        <v>45817</v>
      </c>
      <c r="G186" s="11">
        <v>0</v>
      </c>
      <c r="H186" s="11">
        <v>1500000</v>
      </c>
      <c r="I186" s="11">
        <v>66055</v>
      </c>
      <c r="J186" s="11">
        <v>0</v>
      </c>
      <c r="K186" s="11">
        <v>6</v>
      </c>
      <c r="L186" s="11">
        <v>7</v>
      </c>
      <c r="M186" s="11">
        <v>1</v>
      </c>
      <c r="N186" s="11">
        <v>7</v>
      </c>
      <c r="O186" s="11">
        <v>0</v>
      </c>
      <c r="P186" s="11">
        <v>23980</v>
      </c>
      <c r="Q186" s="11">
        <v>42075</v>
      </c>
      <c r="R186" s="11">
        <v>1</v>
      </c>
      <c r="S186" s="11">
        <v>1</v>
      </c>
      <c r="T186" s="11">
        <v>2</v>
      </c>
      <c r="U186" s="11">
        <v>0</v>
      </c>
      <c r="V186" s="11">
        <v>14</v>
      </c>
      <c r="W186" s="11">
        <v>44</v>
      </c>
      <c r="X186" s="11">
        <v>2</v>
      </c>
      <c r="Y186" s="11">
        <v>1</v>
      </c>
      <c r="Z186" s="11">
        <v>2</v>
      </c>
      <c r="AA186" s="11">
        <v>0</v>
      </c>
      <c r="AB186" s="11">
        <v>0</v>
      </c>
      <c r="AC186" s="11">
        <v>0</v>
      </c>
      <c r="AD186" s="11">
        <v>0</v>
      </c>
      <c r="AE186" s="11">
        <v>21</v>
      </c>
      <c r="AF186" s="11">
        <v>67</v>
      </c>
      <c r="AG186" s="11">
        <v>24</v>
      </c>
      <c r="AH186" s="3">
        <f t="shared" si="0"/>
        <v>2752.2916666666665</v>
      </c>
      <c r="AI186" s="3">
        <f t="shared" si="1"/>
        <v>2.7916666666666665</v>
      </c>
      <c r="AJ186" s="11">
        <v>0</v>
      </c>
      <c r="AK186" s="11">
        <v>0</v>
      </c>
      <c r="AL186" s="181">
        <f t="shared" si="2"/>
        <v>0</v>
      </c>
      <c r="AM186" s="11">
        <v>33028</v>
      </c>
      <c r="AN186" s="181">
        <f t="shared" si="3"/>
        <v>4.4036666666666668E-2</v>
      </c>
      <c r="AO186" s="182">
        <v>0</v>
      </c>
      <c r="AP186" s="11">
        <v>2</v>
      </c>
      <c r="AQ186" s="11">
        <v>265</v>
      </c>
      <c r="AR186" s="11">
        <v>1744.46</v>
      </c>
      <c r="AS186" s="11">
        <v>1</v>
      </c>
      <c r="AT186" s="11">
        <v>249</v>
      </c>
      <c r="AV186" s="11" t="str">
        <f t="shared" si="4"/>
        <v>Active</v>
      </c>
    </row>
    <row r="187" spans="1:48">
      <c r="A187" s="11" t="s">
        <v>154</v>
      </c>
      <c r="B187" s="11" t="s">
        <v>367</v>
      </c>
      <c r="C187" s="11" t="s">
        <v>302</v>
      </c>
      <c r="D187" s="11" t="s">
        <v>577</v>
      </c>
      <c r="E187" s="11" t="s">
        <v>377</v>
      </c>
      <c r="F187" s="45">
        <v>45812</v>
      </c>
      <c r="G187" s="11">
        <v>0</v>
      </c>
      <c r="H187" s="11">
        <v>0</v>
      </c>
      <c r="I187" s="11">
        <v>11039</v>
      </c>
      <c r="J187" s="11">
        <v>0</v>
      </c>
      <c r="K187" s="11">
        <v>12</v>
      </c>
      <c r="L187" s="11">
        <v>7</v>
      </c>
      <c r="M187" s="11">
        <v>0</v>
      </c>
      <c r="N187" s="11">
        <v>12</v>
      </c>
      <c r="O187" s="11">
        <v>5</v>
      </c>
      <c r="P187" s="11">
        <v>11039</v>
      </c>
      <c r="Q187" s="11">
        <v>0</v>
      </c>
      <c r="R187" s="11">
        <v>1</v>
      </c>
      <c r="S187" s="11">
        <v>0</v>
      </c>
      <c r="T187" s="11">
        <v>1</v>
      </c>
      <c r="U187" s="11">
        <v>0</v>
      </c>
      <c r="V187" s="11">
        <v>0</v>
      </c>
      <c r="W187" s="11">
        <v>0</v>
      </c>
      <c r="X187" s="11">
        <v>77</v>
      </c>
      <c r="Y187" s="11">
        <v>1</v>
      </c>
      <c r="Z187" s="11">
        <v>2</v>
      </c>
      <c r="AA187" s="11">
        <v>0</v>
      </c>
      <c r="AB187" s="11">
        <v>0</v>
      </c>
      <c r="AC187" s="11">
        <v>2</v>
      </c>
      <c r="AD187" s="11">
        <v>2</v>
      </c>
      <c r="AE187" s="11">
        <v>11</v>
      </c>
      <c r="AF187" s="11">
        <v>15</v>
      </c>
      <c r="AG187" s="11">
        <v>6</v>
      </c>
      <c r="AH187" s="3">
        <f t="shared" si="0"/>
        <v>1839.8333333333333</v>
      </c>
      <c r="AI187" s="3">
        <f t="shared" si="1"/>
        <v>2.5</v>
      </c>
      <c r="AJ187" s="11">
        <v>0</v>
      </c>
      <c r="AK187" s="11">
        <v>0</v>
      </c>
      <c r="AL187" s="181">
        <f t="shared" si="2"/>
        <v>0</v>
      </c>
      <c r="AM187" s="11">
        <v>11039</v>
      </c>
      <c r="AN187" s="181" t="str">
        <f t="shared" si="3"/>
        <v/>
      </c>
      <c r="AO187" s="182">
        <v>0</v>
      </c>
      <c r="AP187" s="11">
        <v>1</v>
      </c>
      <c r="AQ187" s="11">
        <v>61</v>
      </c>
      <c r="AR187" s="11">
        <v>377.39</v>
      </c>
      <c r="AS187" s="11">
        <v>0</v>
      </c>
      <c r="AT187" s="11">
        <v>54</v>
      </c>
      <c r="AU187" s="184">
        <v>45849</v>
      </c>
      <c r="AV187" s="11" t="str">
        <f t="shared" si="4"/>
        <v>Left</v>
      </c>
    </row>
    <row r="188" spans="1:48">
      <c r="A188" s="11" t="s">
        <v>117</v>
      </c>
      <c r="B188" s="11" t="s">
        <v>450</v>
      </c>
      <c r="C188" s="11" t="s">
        <v>303</v>
      </c>
      <c r="D188" s="11" t="s">
        <v>482</v>
      </c>
      <c r="E188" s="11" t="s">
        <v>647</v>
      </c>
      <c r="F188" s="45">
        <v>45810</v>
      </c>
      <c r="G188" s="11">
        <v>0</v>
      </c>
      <c r="H188" s="11">
        <v>800000</v>
      </c>
      <c r="I188" s="11">
        <v>219059.16</v>
      </c>
      <c r="J188" s="11">
        <v>0</v>
      </c>
      <c r="K188" s="11">
        <v>14</v>
      </c>
      <c r="L188" s="11">
        <v>17</v>
      </c>
      <c r="M188" s="11">
        <v>4</v>
      </c>
      <c r="N188" s="11">
        <v>18</v>
      </c>
      <c r="O188" s="11">
        <v>1</v>
      </c>
      <c r="P188" s="11">
        <v>138289.64000000001</v>
      </c>
      <c r="Q188" s="11">
        <v>80769.52</v>
      </c>
      <c r="R188" s="11">
        <v>6</v>
      </c>
      <c r="S188" s="11">
        <v>4</v>
      </c>
      <c r="T188" s="11">
        <v>10</v>
      </c>
      <c r="U188" s="11">
        <v>0</v>
      </c>
      <c r="V188" s="11">
        <v>74</v>
      </c>
      <c r="W188" s="11">
        <v>94</v>
      </c>
      <c r="X188" s="11">
        <v>25</v>
      </c>
      <c r="Y188" s="11">
        <v>1</v>
      </c>
      <c r="Z188" s="11">
        <v>4</v>
      </c>
      <c r="AA188" s="11">
        <v>0</v>
      </c>
      <c r="AB188" s="11">
        <v>0</v>
      </c>
      <c r="AC188" s="11">
        <v>1</v>
      </c>
      <c r="AD188" s="11">
        <v>1</v>
      </c>
      <c r="AE188" s="11">
        <v>29</v>
      </c>
      <c r="AF188" s="11">
        <v>128</v>
      </c>
      <c r="AG188" s="11">
        <v>24</v>
      </c>
      <c r="AH188" s="3">
        <f t="shared" si="0"/>
        <v>9127.4650000000001</v>
      </c>
      <c r="AI188" s="3">
        <f t="shared" si="1"/>
        <v>5.333333333333333</v>
      </c>
      <c r="AJ188" s="11">
        <v>0</v>
      </c>
      <c r="AK188" s="11">
        <v>0</v>
      </c>
      <c r="AL188" s="181">
        <f t="shared" si="2"/>
        <v>0</v>
      </c>
      <c r="AM188" s="11">
        <v>21906</v>
      </c>
      <c r="AN188" s="181">
        <f t="shared" si="3"/>
        <v>0.27382394999999998</v>
      </c>
      <c r="AO188" s="182">
        <v>0</v>
      </c>
      <c r="AP188" s="11">
        <v>19</v>
      </c>
      <c r="AQ188" s="11">
        <v>194</v>
      </c>
      <c r="AR188" s="11">
        <v>822.23</v>
      </c>
      <c r="AS188" s="11">
        <v>4</v>
      </c>
      <c r="AT188" s="11">
        <v>48</v>
      </c>
      <c r="AV188" s="11" t="str">
        <f t="shared" si="4"/>
        <v>Active</v>
      </c>
    </row>
    <row r="189" spans="1:48">
      <c r="A189" s="11" t="s">
        <v>118</v>
      </c>
      <c r="B189" s="11" t="s">
        <v>362</v>
      </c>
      <c r="C189" s="11" t="s">
        <v>304</v>
      </c>
      <c r="D189" s="11" t="s">
        <v>419</v>
      </c>
      <c r="E189" s="11" t="s">
        <v>539</v>
      </c>
      <c r="F189" s="45">
        <v>45817</v>
      </c>
      <c r="G189" s="11">
        <v>0</v>
      </c>
      <c r="H189" s="11">
        <v>1500000</v>
      </c>
      <c r="I189" s="11">
        <v>218573.89</v>
      </c>
      <c r="J189" s="11">
        <v>0</v>
      </c>
      <c r="K189" s="11">
        <v>39</v>
      </c>
      <c r="L189" s="11">
        <v>31</v>
      </c>
      <c r="M189" s="11">
        <v>6</v>
      </c>
      <c r="N189" s="11">
        <v>45</v>
      </c>
      <c r="O189" s="11">
        <v>14</v>
      </c>
      <c r="P189" s="11">
        <v>102569.2</v>
      </c>
      <c r="Q189" s="11">
        <v>116004.69</v>
      </c>
      <c r="R189" s="11">
        <v>4</v>
      </c>
      <c r="S189" s="11">
        <v>6</v>
      </c>
      <c r="T189" s="11">
        <v>10</v>
      </c>
      <c r="U189" s="11">
        <v>0</v>
      </c>
      <c r="V189" s="11">
        <v>80</v>
      </c>
      <c r="W189" s="11">
        <v>102</v>
      </c>
      <c r="X189" s="11">
        <v>74</v>
      </c>
      <c r="Y189" s="11">
        <v>2</v>
      </c>
      <c r="Z189" s="11">
        <v>3</v>
      </c>
      <c r="AA189" s="11">
        <v>0</v>
      </c>
      <c r="AB189" s="11">
        <v>0</v>
      </c>
      <c r="AC189" s="11">
        <v>0</v>
      </c>
      <c r="AD189" s="11">
        <v>0</v>
      </c>
      <c r="AE189" s="11">
        <v>48</v>
      </c>
      <c r="AF189" s="11">
        <v>153</v>
      </c>
      <c r="AG189" s="11">
        <v>25</v>
      </c>
      <c r="AH189" s="3">
        <f t="shared" si="0"/>
        <v>8742.9556000000011</v>
      </c>
      <c r="AI189" s="3">
        <f t="shared" si="1"/>
        <v>6.12</v>
      </c>
      <c r="AJ189" s="11">
        <v>0</v>
      </c>
      <c r="AK189" s="11">
        <v>0</v>
      </c>
      <c r="AL189" s="181">
        <f t="shared" si="2"/>
        <v>0</v>
      </c>
      <c r="AM189" s="11">
        <v>21857</v>
      </c>
      <c r="AN189" s="181">
        <f t="shared" si="3"/>
        <v>0.14571592666666669</v>
      </c>
      <c r="AO189" s="182">
        <v>0</v>
      </c>
      <c r="AP189" s="11">
        <v>13</v>
      </c>
      <c r="AQ189" s="11">
        <v>260</v>
      </c>
      <c r="AR189" s="11">
        <v>1403.39</v>
      </c>
      <c r="AS189" s="11">
        <v>6</v>
      </c>
      <c r="AT189" s="11">
        <v>45</v>
      </c>
      <c r="AV189" s="11" t="str">
        <f t="shared" si="4"/>
        <v>Active</v>
      </c>
    </row>
    <row r="190" spans="1:48">
      <c r="A190" s="11" t="s">
        <v>118</v>
      </c>
      <c r="B190" s="11" t="s">
        <v>362</v>
      </c>
      <c r="C190" s="11" t="s">
        <v>305</v>
      </c>
      <c r="D190" s="11" t="s">
        <v>419</v>
      </c>
      <c r="E190" s="11" t="s">
        <v>650</v>
      </c>
      <c r="F190" s="45">
        <v>45824</v>
      </c>
      <c r="G190" s="11">
        <v>0</v>
      </c>
      <c r="H190" s="11">
        <v>0</v>
      </c>
      <c r="I190" s="11">
        <v>13728</v>
      </c>
      <c r="J190" s="11">
        <v>0</v>
      </c>
      <c r="K190" s="11">
        <v>12</v>
      </c>
      <c r="L190" s="11">
        <v>2</v>
      </c>
      <c r="M190" s="11">
        <v>0</v>
      </c>
      <c r="N190" s="11">
        <v>12</v>
      </c>
      <c r="O190" s="11">
        <v>10</v>
      </c>
      <c r="P190" s="11">
        <v>13728</v>
      </c>
      <c r="Q190" s="11">
        <v>0</v>
      </c>
      <c r="R190" s="11">
        <v>1</v>
      </c>
      <c r="S190" s="11">
        <v>0</v>
      </c>
      <c r="T190" s="11">
        <v>1</v>
      </c>
      <c r="U190" s="11">
        <v>0</v>
      </c>
      <c r="V190" s="11">
        <v>0</v>
      </c>
      <c r="W190" s="11">
        <v>0</v>
      </c>
      <c r="X190" s="11">
        <v>2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2</v>
      </c>
      <c r="AF190" s="11">
        <v>2</v>
      </c>
      <c r="AG190" s="11">
        <v>4</v>
      </c>
      <c r="AH190" s="3">
        <f t="shared" si="0"/>
        <v>3432</v>
      </c>
      <c r="AI190" s="3">
        <f t="shared" si="1"/>
        <v>0.5</v>
      </c>
      <c r="AJ190" s="43">
        <v>0</v>
      </c>
      <c r="AK190" s="11">
        <v>0</v>
      </c>
      <c r="AL190" s="181">
        <f t="shared" si="2"/>
        <v>0</v>
      </c>
      <c r="AM190" s="11">
        <v>13728</v>
      </c>
      <c r="AN190" s="181" t="str">
        <f t="shared" si="3"/>
        <v/>
      </c>
      <c r="AO190" s="182">
        <v>0</v>
      </c>
      <c r="AP190" s="11">
        <v>1</v>
      </c>
      <c r="AQ190" s="11">
        <v>44</v>
      </c>
      <c r="AR190" s="11">
        <v>119.48</v>
      </c>
      <c r="AS190" s="11">
        <v>0</v>
      </c>
      <c r="AT190" s="11">
        <v>60</v>
      </c>
      <c r="AU190" s="184">
        <v>45852</v>
      </c>
      <c r="AV190" s="11" t="str">
        <f t="shared" si="4"/>
        <v>Left</v>
      </c>
    </row>
    <row r="191" spans="1:48">
      <c r="A191" s="11" t="s">
        <v>118</v>
      </c>
      <c r="B191" s="11" t="s">
        <v>436</v>
      </c>
      <c r="C191" s="11" t="s">
        <v>306</v>
      </c>
      <c r="D191" s="11" t="s">
        <v>499</v>
      </c>
      <c r="E191" s="11" t="s">
        <v>651</v>
      </c>
      <c r="F191" s="45">
        <v>45824</v>
      </c>
      <c r="G191" s="11">
        <v>0</v>
      </c>
      <c r="H191" s="11">
        <v>1500000</v>
      </c>
      <c r="I191" s="11">
        <v>0</v>
      </c>
      <c r="J191" s="11">
        <v>0</v>
      </c>
      <c r="K191" s="11">
        <v>10</v>
      </c>
      <c r="L191" s="11">
        <v>10</v>
      </c>
      <c r="M191" s="11">
        <v>0</v>
      </c>
      <c r="N191" s="11">
        <v>10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55</v>
      </c>
      <c r="W191" s="11">
        <v>69</v>
      </c>
      <c r="X191" s="11">
        <v>1</v>
      </c>
      <c r="Y191" s="11">
        <v>0</v>
      </c>
      <c r="Z191" s="11">
        <v>0</v>
      </c>
      <c r="AA191" s="11">
        <v>0</v>
      </c>
      <c r="AB191" s="11">
        <v>0</v>
      </c>
      <c r="AC191" s="11">
        <v>2</v>
      </c>
      <c r="AD191" s="11">
        <v>3</v>
      </c>
      <c r="AE191" s="11">
        <v>16</v>
      </c>
      <c r="AF191" s="11">
        <v>88</v>
      </c>
      <c r="AG191" s="11">
        <v>25</v>
      </c>
      <c r="AH191" s="3">
        <f t="shared" si="0"/>
        <v>0</v>
      </c>
      <c r="AI191" s="3">
        <f t="shared" si="1"/>
        <v>3.52</v>
      </c>
      <c r="AJ191" s="43">
        <v>0</v>
      </c>
      <c r="AK191" s="11">
        <v>0</v>
      </c>
      <c r="AL191" s="181" t="str">
        <f t="shared" si="2"/>
        <v/>
      </c>
      <c r="AM191" s="11">
        <v>0</v>
      </c>
      <c r="AN191" s="181">
        <f t="shared" si="3"/>
        <v>0</v>
      </c>
      <c r="AO191" s="182">
        <v>0</v>
      </c>
      <c r="AP191" s="11">
        <v>0</v>
      </c>
      <c r="AQ191" s="11">
        <v>213</v>
      </c>
      <c r="AR191" s="11">
        <v>907.2</v>
      </c>
      <c r="AS191" s="11">
        <v>0</v>
      </c>
      <c r="AT191" s="11">
        <v>91</v>
      </c>
      <c r="AV191" s="11" t="str">
        <f t="shared" si="4"/>
        <v>Active</v>
      </c>
    </row>
    <row r="192" spans="1:48">
      <c r="A192" s="11" t="s">
        <v>120</v>
      </c>
      <c r="B192" s="11" t="s">
        <v>631</v>
      </c>
      <c r="C192" s="11" t="s">
        <v>307</v>
      </c>
      <c r="D192" s="11" t="s">
        <v>631</v>
      </c>
      <c r="E192" s="11" t="s">
        <v>357</v>
      </c>
      <c r="F192" s="45">
        <v>45828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1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3" t="str">
        <f t="shared" si="0"/>
        <v/>
      </c>
      <c r="AI192" s="3" t="str">
        <f t="shared" si="1"/>
        <v/>
      </c>
      <c r="AJ192" s="11">
        <v>0</v>
      </c>
      <c r="AK192" s="11">
        <v>0</v>
      </c>
      <c r="AL192" s="181" t="str">
        <f t="shared" si="2"/>
        <v/>
      </c>
      <c r="AM192" s="11">
        <v>0</v>
      </c>
      <c r="AN192" s="181" t="str">
        <f t="shared" si="3"/>
        <v/>
      </c>
      <c r="AO192" s="182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84">
        <v>45831</v>
      </c>
      <c r="AV192" s="11" t="str">
        <f t="shared" si="4"/>
        <v>Left</v>
      </c>
    </row>
    <row r="193" spans="1:48">
      <c r="A193" s="11" t="s">
        <v>120</v>
      </c>
      <c r="B193" s="11" t="s">
        <v>163</v>
      </c>
      <c r="C193" s="11" t="s">
        <v>308</v>
      </c>
      <c r="D193" s="11" t="s">
        <v>534</v>
      </c>
      <c r="E193" s="11" t="s">
        <v>652</v>
      </c>
      <c r="F193" s="45">
        <v>45831</v>
      </c>
      <c r="G193" s="11">
        <v>0</v>
      </c>
      <c r="H193" s="11">
        <v>1000000</v>
      </c>
      <c r="I193" s="11">
        <v>40080.699999999997</v>
      </c>
      <c r="J193" s="11">
        <v>0</v>
      </c>
      <c r="K193" s="11">
        <v>12</v>
      </c>
      <c r="L193" s="11">
        <v>16</v>
      </c>
      <c r="M193" s="11">
        <v>5</v>
      </c>
      <c r="N193" s="11">
        <v>17</v>
      </c>
      <c r="O193" s="11">
        <v>1</v>
      </c>
      <c r="P193" s="11">
        <v>6968.5</v>
      </c>
      <c r="Q193" s="11">
        <v>33112.199999999997</v>
      </c>
      <c r="R193" s="11">
        <v>1</v>
      </c>
      <c r="S193" s="11">
        <v>5</v>
      </c>
      <c r="T193" s="11">
        <v>6</v>
      </c>
      <c r="U193" s="11">
        <v>0</v>
      </c>
      <c r="V193" s="11">
        <v>162</v>
      </c>
      <c r="W193" s="11">
        <v>188</v>
      </c>
      <c r="X193" s="11">
        <v>37</v>
      </c>
      <c r="Y193" s="11">
        <v>2</v>
      </c>
      <c r="Z193" s="11">
        <v>6</v>
      </c>
      <c r="AA193" s="11">
        <v>0</v>
      </c>
      <c r="AB193" s="11">
        <v>0</v>
      </c>
      <c r="AC193" s="11">
        <v>8</v>
      </c>
      <c r="AD193" s="11">
        <v>9</v>
      </c>
      <c r="AE193" s="11">
        <v>18</v>
      </c>
      <c r="AF193" s="11">
        <v>221</v>
      </c>
      <c r="AG193" s="11">
        <v>26</v>
      </c>
      <c r="AH193" s="3">
        <f t="shared" si="0"/>
        <v>1541.5653846153846</v>
      </c>
      <c r="AI193" s="3">
        <f t="shared" si="1"/>
        <v>8.5</v>
      </c>
      <c r="AJ193" s="43">
        <v>1</v>
      </c>
      <c r="AK193" s="11">
        <v>0</v>
      </c>
      <c r="AL193" s="181">
        <f t="shared" si="2"/>
        <v>2.4949664052773531E-5</v>
      </c>
      <c r="AM193" s="11">
        <v>6680</v>
      </c>
      <c r="AN193" s="181">
        <f t="shared" si="3"/>
        <v>4.0080699999999997E-2</v>
      </c>
      <c r="AO193" s="182">
        <v>0</v>
      </c>
      <c r="AP193" s="11">
        <v>6</v>
      </c>
      <c r="AQ193" s="11">
        <v>208</v>
      </c>
      <c r="AR193" s="11">
        <v>626.79</v>
      </c>
      <c r="AS193" s="11">
        <v>5</v>
      </c>
      <c r="AT193" s="11">
        <v>39</v>
      </c>
      <c r="AV193" s="11" t="str">
        <f t="shared" si="4"/>
        <v>Active</v>
      </c>
    </row>
    <row r="194" spans="1:48">
      <c r="A194" s="11" t="s">
        <v>118</v>
      </c>
      <c r="B194" s="11" t="s">
        <v>436</v>
      </c>
      <c r="C194" s="11" t="s">
        <v>309</v>
      </c>
      <c r="D194" s="11" t="s">
        <v>499</v>
      </c>
      <c r="E194" s="11" t="s">
        <v>437</v>
      </c>
      <c r="F194" s="45">
        <v>45831</v>
      </c>
      <c r="G194" s="11">
        <v>0</v>
      </c>
      <c r="H194" s="11">
        <v>1500000</v>
      </c>
      <c r="I194" s="11">
        <v>39501</v>
      </c>
      <c r="J194" s="11">
        <v>0</v>
      </c>
      <c r="K194" s="11">
        <v>35</v>
      </c>
      <c r="L194" s="11">
        <v>36</v>
      </c>
      <c r="M194" s="11">
        <v>5</v>
      </c>
      <c r="N194" s="11">
        <v>40</v>
      </c>
      <c r="O194" s="11">
        <v>4</v>
      </c>
      <c r="P194" s="11">
        <v>2365</v>
      </c>
      <c r="Q194" s="11">
        <v>37136</v>
      </c>
      <c r="R194" s="11">
        <v>1</v>
      </c>
      <c r="S194" s="11">
        <v>4</v>
      </c>
      <c r="T194" s="11">
        <v>5</v>
      </c>
      <c r="U194" s="11">
        <v>0</v>
      </c>
      <c r="V194" s="11">
        <v>72</v>
      </c>
      <c r="W194" s="11">
        <v>127</v>
      </c>
      <c r="X194" s="11">
        <v>16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62</v>
      </c>
      <c r="AF194" s="11">
        <v>189</v>
      </c>
      <c r="AG194" s="11">
        <v>26</v>
      </c>
      <c r="AH194" s="3">
        <f t="shared" si="0"/>
        <v>1519.2692307692307</v>
      </c>
      <c r="AI194" s="3">
        <f t="shared" si="1"/>
        <v>7.2692307692307692</v>
      </c>
      <c r="AJ194" s="43">
        <v>0</v>
      </c>
      <c r="AK194" s="11">
        <v>0</v>
      </c>
      <c r="AL194" s="181">
        <f t="shared" si="2"/>
        <v>0</v>
      </c>
      <c r="AM194" s="11">
        <v>7900</v>
      </c>
      <c r="AN194" s="181">
        <f t="shared" si="3"/>
        <v>2.6334E-2</v>
      </c>
      <c r="AO194" s="182">
        <v>0</v>
      </c>
      <c r="AP194" s="11">
        <v>18</v>
      </c>
      <c r="AQ194" s="11">
        <v>276</v>
      </c>
      <c r="AR194" s="11">
        <v>2862.95</v>
      </c>
      <c r="AS194" s="11">
        <v>4</v>
      </c>
      <c r="AT194" s="11">
        <v>80</v>
      </c>
      <c r="AV194" s="11" t="str">
        <f t="shared" si="4"/>
        <v>Active</v>
      </c>
    </row>
    <row r="195" spans="1:48">
      <c r="A195" s="11" t="s">
        <v>201</v>
      </c>
      <c r="B195" s="11" t="s">
        <v>431</v>
      </c>
      <c r="C195" s="11" t="s">
        <v>310</v>
      </c>
      <c r="D195" s="11" t="s">
        <v>431</v>
      </c>
      <c r="E195" s="11" t="s">
        <v>531</v>
      </c>
      <c r="F195" s="45">
        <v>45839</v>
      </c>
      <c r="G195" s="11">
        <v>1500000</v>
      </c>
      <c r="H195" s="11">
        <v>2000000</v>
      </c>
      <c r="I195" s="11">
        <v>0</v>
      </c>
      <c r="J195" s="11">
        <v>0</v>
      </c>
      <c r="K195" s="11">
        <v>45</v>
      </c>
      <c r="L195" s="11">
        <v>45</v>
      </c>
      <c r="M195" s="11">
        <v>1</v>
      </c>
      <c r="N195" s="11">
        <v>46</v>
      </c>
      <c r="O195" s="11">
        <v>1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13</v>
      </c>
      <c r="W195" s="11">
        <v>15</v>
      </c>
      <c r="X195" s="11">
        <v>1</v>
      </c>
      <c r="Y195" s="11">
        <v>3</v>
      </c>
      <c r="Z195" s="11">
        <v>16</v>
      </c>
      <c r="AA195" s="11">
        <v>0</v>
      </c>
      <c r="AB195" s="11">
        <v>0</v>
      </c>
      <c r="AC195" s="11">
        <v>0</v>
      </c>
      <c r="AD195" s="11">
        <v>0</v>
      </c>
      <c r="AE195" s="11">
        <v>53</v>
      </c>
      <c r="AF195" s="11">
        <v>84</v>
      </c>
      <c r="AG195" s="11">
        <v>23</v>
      </c>
      <c r="AH195" s="3">
        <f t="shared" si="0"/>
        <v>0</v>
      </c>
      <c r="AI195" s="3">
        <f t="shared" si="1"/>
        <v>3.652173913043478</v>
      </c>
      <c r="AJ195" s="11">
        <v>0</v>
      </c>
      <c r="AK195" s="11">
        <v>0</v>
      </c>
      <c r="AL195" s="181" t="str">
        <f t="shared" si="2"/>
        <v/>
      </c>
      <c r="AM195" s="11">
        <v>0</v>
      </c>
      <c r="AN195" s="181">
        <f t="shared" si="3"/>
        <v>0</v>
      </c>
      <c r="AO195" s="182">
        <v>0</v>
      </c>
      <c r="AP195" s="11">
        <v>0</v>
      </c>
      <c r="AQ195" s="11">
        <v>212</v>
      </c>
      <c r="AR195" s="11">
        <v>1291.8499999999999</v>
      </c>
      <c r="AS195" s="11">
        <v>0</v>
      </c>
      <c r="AT195" s="11">
        <v>29</v>
      </c>
      <c r="AV195" s="11" t="str">
        <f t="shared" si="4"/>
        <v>Active</v>
      </c>
    </row>
    <row r="196" spans="1:48">
      <c r="A196" s="11" t="s">
        <v>201</v>
      </c>
      <c r="B196" s="11" t="s">
        <v>438</v>
      </c>
      <c r="C196" s="11" t="s">
        <v>311</v>
      </c>
      <c r="D196" s="11" t="s">
        <v>504</v>
      </c>
      <c r="E196" s="11" t="s">
        <v>505</v>
      </c>
      <c r="F196" s="45">
        <v>45839</v>
      </c>
      <c r="G196" s="11">
        <v>0</v>
      </c>
      <c r="H196" s="11">
        <v>1650000</v>
      </c>
      <c r="I196" s="11">
        <v>180806.36</v>
      </c>
      <c r="J196" s="11">
        <v>0</v>
      </c>
      <c r="K196" s="11">
        <v>43</v>
      </c>
      <c r="L196" s="11">
        <v>41</v>
      </c>
      <c r="M196" s="11">
        <v>0</v>
      </c>
      <c r="N196" s="11">
        <v>43</v>
      </c>
      <c r="O196" s="11">
        <v>2</v>
      </c>
      <c r="P196" s="11">
        <v>180806.36</v>
      </c>
      <c r="Q196" s="11">
        <v>0</v>
      </c>
      <c r="R196" s="11">
        <v>11</v>
      </c>
      <c r="S196" s="11">
        <v>0</v>
      </c>
      <c r="T196" s="11">
        <v>11</v>
      </c>
      <c r="U196" s="11">
        <v>0</v>
      </c>
      <c r="V196" s="11">
        <v>6</v>
      </c>
      <c r="W196" s="11">
        <v>9</v>
      </c>
      <c r="X196" s="11">
        <v>1</v>
      </c>
      <c r="Y196" s="11">
        <v>1</v>
      </c>
      <c r="Z196" s="11">
        <v>2</v>
      </c>
      <c r="AA196" s="11">
        <v>0</v>
      </c>
      <c r="AB196" s="11">
        <v>0</v>
      </c>
      <c r="AC196" s="11">
        <v>0</v>
      </c>
      <c r="AD196" s="11">
        <v>0</v>
      </c>
      <c r="AE196" s="11">
        <v>50</v>
      </c>
      <c r="AF196" s="11">
        <v>61</v>
      </c>
      <c r="AG196" s="11">
        <v>16</v>
      </c>
      <c r="AH196" s="3">
        <f t="shared" si="0"/>
        <v>11300.397499999999</v>
      </c>
      <c r="AI196" s="3">
        <f t="shared" si="1"/>
        <v>3.8125</v>
      </c>
      <c r="AJ196" s="43">
        <v>0</v>
      </c>
      <c r="AK196" s="11">
        <v>0</v>
      </c>
      <c r="AL196" s="181">
        <f t="shared" si="2"/>
        <v>0</v>
      </c>
      <c r="AM196" s="11">
        <v>16437</v>
      </c>
      <c r="AN196" s="181">
        <f t="shared" si="3"/>
        <v>0.10957961212121212</v>
      </c>
      <c r="AO196" s="182">
        <v>0</v>
      </c>
      <c r="AP196" s="11">
        <v>13</v>
      </c>
      <c r="AQ196" s="11">
        <v>151</v>
      </c>
      <c r="AR196" s="11">
        <v>780.2</v>
      </c>
      <c r="AS196" s="11">
        <v>0</v>
      </c>
      <c r="AT196" s="11">
        <v>19</v>
      </c>
      <c r="AV196" s="11" t="str">
        <f t="shared" si="4"/>
        <v>Active</v>
      </c>
    </row>
    <row r="197" spans="1:48">
      <c r="A197" s="11" t="s">
        <v>108</v>
      </c>
      <c r="B197" s="11" t="s">
        <v>465</v>
      </c>
      <c r="C197" s="11" t="s">
        <v>312</v>
      </c>
      <c r="D197" s="11" t="s">
        <v>506</v>
      </c>
      <c r="E197" s="11" t="s">
        <v>654</v>
      </c>
      <c r="F197" s="45">
        <v>45842</v>
      </c>
      <c r="G197" s="11">
        <v>0</v>
      </c>
      <c r="H197" s="11">
        <v>715000</v>
      </c>
      <c r="I197" s="11">
        <v>0</v>
      </c>
      <c r="J197" s="11">
        <v>0</v>
      </c>
      <c r="K197" s="11">
        <v>15</v>
      </c>
      <c r="L197" s="11">
        <v>15</v>
      </c>
      <c r="M197" s="11">
        <v>0</v>
      </c>
      <c r="N197" s="11">
        <v>15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5</v>
      </c>
      <c r="W197" s="11">
        <v>14</v>
      </c>
      <c r="X197" s="11">
        <v>0</v>
      </c>
      <c r="Y197" s="11">
        <v>1</v>
      </c>
      <c r="Z197" s="11">
        <v>1</v>
      </c>
      <c r="AA197" s="11">
        <v>0</v>
      </c>
      <c r="AB197" s="11">
        <v>0</v>
      </c>
      <c r="AC197" s="11">
        <v>0</v>
      </c>
      <c r="AD197" s="11">
        <v>0</v>
      </c>
      <c r="AE197" s="11">
        <v>33</v>
      </c>
      <c r="AF197" s="11">
        <v>48</v>
      </c>
      <c r="AG197" s="11">
        <v>17</v>
      </c>
      <c r="AH197" s="3">
        <f t="shared" si="0"/>
        <v>0</v>
      </c>
      <c r="AI197" s="3">
        <f t="shared" si="1"/>
        <v>2.8235294117647061</v>
      </c>
      <c r="AJ197" s="43">
        <v>0</v>
      </c>
      <c r="AK197" s="11">
        <v>0</v>
      </c>
      <c r="AL197" s="181" t="str">
        <f t="shared" si="2"/>
        <v/>
      </c>
      <c r="AM197" s="11">
        <v>0</v>
      </c>
      <c r="AN197" s="181">
        <f t="shared" si="3"/>
        <v>0</v>
      </c>
      <c r="AO197" s="182">
        <v>0</v>
      </c>
      <c r="AP197" s="11">
        <v>0</v>
      </c>
      <c r="AQ197" s="11">
        <v>128</v>
      </c>
      <c r="AR197" s="11">
        <v>885.15</v>
      </c>
      <c r="AS197" s="11">
        <v>0</v>
      </c>
      <c r="AT197" s="11">
        <v>59</v>
      </c>
      <c r="AV197" s="11" t="str">
        <f t="shared" si="4"/>
        <v>Active</v>
      </c>
    </row>
    <row r="198" spans="1:48">
      <c r="A198" s="11" t="s">
        <v>108</v>
      </c>
      <c r="B198" s="11" t="s">
        <v>465</v>
      </c>
      <c r="C198" s="11" t="s">
        <v>313</v>
      </c>
      <c r="D198" s="11" t="s">
        <v>506</v>
      </c>
      <c r="E198" s="11" t="s">
        <v>475</v>
      </c>
      <c r="F198" s="45">
        <v>45842</v>
      </c>
      <c r="G198" s="11">
        <v>0</v>
      </c>
      <c r="H198" s="11">
        <v>1100000</v>
      </c>
      <c r="I198" s="11">
        <v>688270</v>
      </c>
      <c r="J198" s="11">
        <v>0</v>
      </c>
      <c r="K198" s="11">
        <v>25</v>
      </c>
      <c r="L198" s="11">
        <v>23</v>
      </c>
      <c r="M198" s="11">
        <v>0</v>
      </c>
      <c r="N198" s="11">
        <v>25</v>
      </c>
      <c r="O198" s="11">
        <v>2</v>
      </c>
      <c r="P198" s="11">
        <v>688270</v>
      </c>
      <c r="Q198" s="11">
        <v>0</v>
      </c>
      <c r="R198" s="11">
        <v>3</v>
      </c>
      <c r="S198" s="11">
        <v>0</v>
      </c>
      <c r="T198" s="11">
        <v>3</v>
      </c>
      <c r="U198" s="11">
        <v>0</v>
      </c>
      <c r="V198" s="11">
        <v>36</v>
      </c>
      <c r="W198" s="11">
        <v>54</v>
      </c>
      <c r="X198" s="11">
        <v>3</v>
      </c>
      <c r="Y198" s="11">
        <v>3</v>
      </c>
      <c r="Z198" s="11">
        <v>8</v>
      </c>
      <c r="AA198" s="11">
        <v>0</v>
      </c>
      <c r="AB198" s="11">
        <v>0</v>
      </c>
      <c r="AC198" s="11">
        <v>0</v>
      </c>
      <c r="AD198" s="11">
        <v>0</v>
      </c>
      <c r="AE198" s="11">
        <v>47</v>
      </c>
      <c r="AF198" s="11">
        <v>109</v>
      </c>
      <c r="AG198" s="11">
        <v>18</v>
      </c>
      <c r="AH198" s="3">
        <f t="shared" si="0"/>
        <v>38237.222222222219</v>
      </c>
      <c r="AI198" s="3">
        <f t="shared" si="1"/>
        <v>6.0555555555555554</v>
      </c>
      <c r="AJ198" s="11">
        <v>0</v>
      </c>
      <c r="AK198" s="11">
        <v>0</v>
      </c>
      <c r="AL198" s="181">
        <f t="shared" si="2"/>
        <v>0</v>
      </c>
      <c r="AM198" s="11">
        <v>229423</v>
      </c>
      <c r="AN198" s="181">
        <f t="shared" si="3"/>
        <v>0.62570000000000003</v>
      </c>
      <c r="AO198" s="182">
        <v>0</v>
      </c>
      <c r="AP198" s="11">
        <v>22</v>
      </c>
      <c r="AQ198" s="11">
        <v>169</v>
      </c>
      <c r="AR198" s="11">
        <v>1480.74</v>
      </c>
      <c r="AS198" s="11">
        <v>0</v>
      </c>
      <c r="AT198" s="11">
        <v>64</v>
      </c>
      <c r="AV198" s="11" t="str">
        <f t="shared" si="4"/>
        <v>Active</v>
      </c>
    </row>
    <row r="199" spans="1:48">
      <c r="A199" s="11" t="s">
        <v>154</v>
      </c>
      <c r="B199" s="11" t="s">
        <v>370</v>
      </c>
      <c r="C199" s="11" t="s">
        <v>314</v>
      </c>
      <c r="D199" s="11" t="s">
        <v>542</v>
      </c>
      <c r="E199" s="11" t="s">
        <v>655</v>
      </c>
      <c r="F199" s="45">
        <v>45845</v>
      </c>
      <c r="G199" s="11">
        <v>0</v>
      </c>
      <c r="H199" s="11">
        <v>0</v>
      </c>
      <c r="I199" s="11">
        <v>0</v>
      </c>
      <c r="J199" s="11">
        <v>0</v>
      </c>
      <c r="K199" s="11">
        <v>4</v>
      </c>
      <c r="L199" s="11">
        <v>4</v>
      </c>
      <c r="M199" s="11">
        <v>0</v>
      </c>
      <c r="N199" s="11">
        <v>4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29</v>
      </c>
      <c r="W199" s="11">
        <v>85</v>
      </c>
      <c r="X199" s="11">
        <v>0</v>
      </c>
      <c r="Y199" s="11">
        <v>1</v>
      </c>
      <c r="Z199" s="11">
        <v>1</v>
      </c>
      <c r="AA199" s="11">
        <v>0</v>
      </c>
      <c r="AB199" s="11">
        <v>0</v>
      </c>
      <c r="AC199" s="11">
        <v>5</v>
      </c>
      <c r="AD199" s="11">
        <v>8</v>
      </c>
      <c r="AE199" s="11">
        <v>14</v>
      </c>
      <c r="AF199" s="11">
        <v>108</v>
      </c>
      <c r="AG199" s="11">
        <v>20</v>
      </c>
      <c r="AH199" s="3">
        <f t="shared" si="0"/>
        <v>0</v>
      </c>
      <c r="AI199" s="3">
        <f t="shared" si="1"/>
        <v>5.4</v>
      </c>
      <c r="AJ199" s="11">
        <v>0</v>
      </c>
      <c r="AK199" s="11">
        <v>0</v>
      </c>
      <c r="AL199" s="181" t="str">
        <f t="shared" si="2"/>
        <v/>
      </c>
      <c r="AM199" s="11">
        <v>0</v>
      </c>
      <c r="AN199" s="181" t="str">
        <f t="shared" si="3"/>
        <v/>
      </c>
      <c r="AO199" s="182">
        <v>0</v>
      </c>
      <c r="AP199" s="11">
        <v>0</v>
      </c>
      <c r="AQ199" s="11">
        <v>170</v>
      </c>
      <c r="AR199" s="11">
        <v>1535.72</v>
      </c>
      <c r="AS199" s="11">
        <v>0</v>
      </c>
      <c r="AT199" s="11">
        <v>384</v>
      </c>
      <c r="AU199" s="184">
        <v>45869</v>
      </c>
      <c r="AV199" s="11" t="str">
        <f t="shared" si="4"/>
        <v>Left</v>
      </c>
    </row>
    <row r="200" spans="1:48">
      <c r="A200" s="11" t="s">
        <v>67</v>
      </c>
      <c r="B200" s="11" t="s">
        <v>362</v>
      </c>
      <c r="C200" s="11" t="s">
        <v>315</v>
      </c>
      <c r="D200" s="11" t="s">
        <v>419</v>
      </c>
      <c r="E200" s="11" t="s">
        <v>656</v>
      </c>
      <c r="F200" s="45">
        <v>45845</v>
      </c>
      <c r="G200" s="11">
        <v>0</v>
      </c>
      <c r="H200" s="11">
        <v>0</v>
      </c>
      <c r="I200" s="11">
        <v>261110.42</v>
      </c>
      <c r="J200" s="11">
        <v>0</v>
      </c>
      <c r="K200" s="11">
        <v>22</v>
      </c>
      <c r="L200" s="11">
        <v>25</v>
      </c>
      <c r="M200" s="11">
        <v>3</v>
      </c>
      <c r="N200" s="11">
        <v>25</v>
      </c>
      <c r="O200" s="11">
        <v>0</v>
      </c>
      <c r="P200" s="11">
        <v>155492</v>
      </c>
      <c r="Q200" s="11">
        <v>105618.42</v>
      </c>
      <c r="R200" s="11">
        <v>3</v>
      </c>
      <c r="S200" s="11">
        <v>3</v>
      </c>
      <c r="T200" s="11">
        <v>6</v>
      </c>
      <c r="U200" s="11">
        <v>0</v>
      </c>
      <c r="V200" s="11">
        <v>36</v>
      </c>
      <c r="W200" s="11">
        <v>54</v>
      </c>
      <c r="X200" s="11">
        <v>1</v>
      </c>
      <c r="Y200" s="11">
        <v>1</v>
      </c>
      <c r="Z200" s="11">
        <v>1</v>
      </c>
      <c r="AA200" s="11">
        <v>0</v>
      </c>
      <c r="AB200" s="11">
        <v>0</v>
      </c>
      <c r="AC200" s="11">
        <v>0</v>
      </c>
      <c r="AD200" s="11">
        <v>0</v>
      </c>
      <c r="AE200" s="11">
        <v>44</v>
      </c>
      <c r="AF200" s="11">
        <v>99</v>
      </c>
      <c r="AG200" s="11">
        <v>19</v>
      </c>
      <c r="AH200" s="3">
        <f t="shared" si="0"/>
        <v>13742.653684210527</v>
      </c>
      <c r="AI200" s="3">
        <f t="shared" si="1"/>
        <v>5.2105263157894735</v>
      </c>
      <c r="AJ200" s="11">
        <v>0</v>
      </c>
      <c r="AK200" s="11">
        <v>0</v>
      </c>
      <c r="AL200" s="181">
        <f t="shared" si="2"/>
        <v>0</v>
      </c>
      <c r="AM200" s="11">
        <v>43518</v>
      </c>
      <c r="AN200" s="181" t="str">
        <f t="shared" si="3"/>
        <v/>
      </c>
      <c r="AO200" s="182">
        <v>0</v>
      </c>
      <c r="AP200" s="11">
        <v>6</v>
      </c>
      <c r="AQ200" s="11">
        <v>215</v>
      </c>
      <c r="AR200" s="11">
        <v>1628.17</v>
      </c>
      <c r="AS200" s="11">
        <v>3</v>
      </c>
      <c r="AT200" s="11">
        <v>65</v>
      </c>
      <c r="AV200" s="11" t="str">
        <f t="shared" si="4"/>
        <v>Active</v>
      </c>
    </row>
    <row r="201" spans="1:48">
      <c r="A201" s="11" t="s">
        <v>201</v>
      </c>
      <c r="B201" s="11" t="s">
        <v>431</v>
      </c>
      <c r="C201" s="11" t="s">
        <v>316</v>
      </c>
      <c r="D201" s="11" t="s">
        <v>431</v>
      </c>
      <c r="E201" s="11" t="s">
        <v>513</v>
      </c>
      <c r="F201" s="45">
        <v>45843</v>
      </c>
      <c r="G201" s="11">
        <v>0</v>
      </c>
      <c r="H201" s="11">
        <v>2000000</v>
      </c>
      <c r="I201" s="11">
        <v>50008</v>
      </c>
      <c r="J201" s="11">
        <v>0</v>
      </c>
      <c r="K201" s="11">
        <v>20</v>
      </c>
      <c r="L201" s="11">
        <v>21</v>
      </c>
      <c r="M201" s="11">
        <v>2</v>
      </c>
      <c r="N201" s="11">
        <v>22</v>
      </c>
      <c r="O201" s="11">
        <v>1</v>
      </c>
      <c r="P201" s="11">
        <v>0</v>
      </c>
      <c r="Q201" s="11">
        <v>50008</v>
      </c>
      <c r="R201" s="11">
        <v>0</v>
      </c>
      <c r="S201" s="11">
        <v>1</v>
      </c>
      <c r="T201" s="11">
        <v>1</v>
      </c>
      <c r="U201" s="11">
        <v>0</v>
      </c>
      <c r="V201" s="11">
        <v>0</v>
      </c>
      <c r="W201" s="11">
        <v>0</v>
      </c>
      <c r="X201" s="11">
        <v>1</v>
      </c>
      <c r="Y201" s="11">
        <v>2</v>
      </c>
      <c r="Z201" s="11">
        <v>5</v>
      </c>
      <c r="AA201" s="11">
        <v>0</v>
      </c>
      <c r="AB201" s="11">
        <v>0</v>
      </c>
      <c r="AC201" s="11">
        <v>0</v>
      </c>
      <c r="AD201" s="11">
        <v>0</v>
      </c>
      <c r="AE201" s="11">
        <v>32</v>
      </c>
      <c r="AF201" s="11">
        <v>37</v>
      </c>
      <c r="AG201" s="11">
        <v>16</v>
      </c>
      <c r="AH201" s="3">
        <f t="shared" si="0"/>
        <v>3125.5</v>
      </c>
      <c r="AI201" s="3">
        <f t="shared" si="1"/>
        <v>2.3125</v>
      </c>
      <c r="AJ201" s="11">
        <v>0</v>
      </c>
      <c r="AK201" s="11">
        <v>0</v>
      </c>
      <c r="AL201" s="181">
        <f t="shared" si="2"/>
        <v>0</v>
      </c>
      <c r="AM201" s="11">
        <v>50008</v>
      </c>
      <c r="AN201" s="181">
        <f t="shared" si="3"/>
        <v>2.5003999999999998E-2</v>
      </c>
      <c r="AO201" s="182">
        <v>0</v>
      </c>
      <c r="AP201" s="11">
        <v>2</v>
      </c>
      <c r="AQ201" s="11">
        <v>155</v>
      </c>
      <c r="AR201" s="11">
        <v>1290.18</v>
      </c>
      <c r="AS201" s="11">
        <v>1</v>
      </c>
      <c r="AT201" s="11">
        <v>61</v>
      </c>
      <c r="AV201" s="11" t="str">
        <f t="shared" si="4"/>
        <v>Active</v>
      </c>
    </row>
    <row r="202" spans="1:48">
      <c r="A202" s="11" t="s">
        <v>108</v>
      </c>
      <c r="B202" s="11" t="s">
        <v>465</v>
      </c>
      <c r="C202" s="11" t="s">
        <v>317</v>
      </c>
      <c r="D202" s="11" t="s">
        <v>506</v>
      </c>
      <c r="E202" s="11" t="s">
        <v>507</v>
      </c>
      <c r="F202" s="45">
        <v>45859</v>
      </c>
      <c r="G202" s="11">
        <v>0</v>
      </c>
      <c r="H202" s="11">
        <v>0</v>
      </c>
      <c r="I202" s="11">
        <v>0</v>
      </c>
      <c r="J202" s="11">
        <v>0</v>
      </c>
      <c r="K202" s="11">
        <v>39</v>
      </c>
      <c r="L202" s="11">
        <v>37</v>
      </c>
      <c r="M202" s="11">
        <v>1</v>
      </c>
      <c r="N202" s="11">
        <v>40</v>
      </c>
      <c r="O202" s="11">
        <v>3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2</v>
      </c>
      <c r="W202" s="11">
        <v>2</v>
      </c>
      <c r="X202" s="11">
        <v>0</v>
      </c>
      <c r="Y202" s="11">
        <v>1</v>
      </c>
      <c r="Z202" s="11">
        <v>1</v>
      </c>
      <c r="AA202" s="11">
        <v>0</v>
      </c>
      <c r="AB202" s="11">
        <v>0</v>
      </c>
      <c r="AC202" s="11">
        <v>0</v>
      </c>
      <c r="AD202" s="11">
        <v>0</v>
      </c>
      <c r="AE202" s="11">
        <v>41</v>
      </c>
      <c r="AF202" s="11">
        <v>44</v>
      </c>
      <c r="AG202" s="11">
        <v>10</v>
      </c>
      <c r="AH202" s="3">
        <f t="shared" si="0"/>
        <v>0</v>
      </c>
      <c r="AI202" s="3">
        <f t="shared" si="1"/>
        <v>4.4000000000000004</v>
      </c>
      <c r="AJ202" s="11">
        <v>0</v>
      </c>
      <c r="AK202" s="11">
        <v>0</v>
      </c>
      <c r="AL202" s="181" t="str">
        <f t="shared" si="2"/>
        <v/>
      </c>
      <c r="AM202" s="11">
        <v>0</v>
      </c>
      <c r="AN202" s="181" t="str">
        <f t="shared" si="3"/>
        <v/>
      </c>
      <c r="AO202" s="182">
        <v>0</v>
      </c>
      <c r="AP202" s="11">
        <v>0</v>
      </c>
      <c r="AQ202" s="11">
        <v>107</v>
      </c>
      <c r="AR202" s="11">
        <v>1090.71</v>
      </c>
      <c r="AS202" s="11">
        <v>0</v>
      </c>
      <c r="AT202" s="11">
        <v>29</v>
      </c>
      <c r="AV202" s="11" t="str">
        <f t="shared" si="4"/>
        <v>Active</v>
      </c>
    </row>
    <row r="203" spans="1:48">
      <c r="A203" s="11" t="s">
        <v>124</v>
      </c>
      <c r="B203" s="11" t="s">
        <v>443</v>
      </c>
      <c r="C203" s="11" t="s">
        <v>318</v>
      </c>
      <c r="D203" s="11" t="s">
        <v>517</v>
      </c>
      <c r="E203" s="11" t="s">
        <v>657</v>
      </c>
      <c r="F203" s="45">
        <v>45862</v>
      </c>
      <c r="G203" s="11">
        <v>0</v>
      </c>
      <c r="H203" s="11">
        <v>0</v>
      </c>
      <c r="I203" s="11">
        <v>0</v>
      </c>
      <c r="J203" s="11">
        <v>0</v>
      </c>
      <c r="K203" s="11">
        <v>13</v>
      </c>
      <c r="L203" s="11">
        <v>12</v>
      </c>
      <c r="M203" s="11">
        <v>0</v>
      </c>
      <c r="N203" s="11">
        <v>13</v>
      </c>
      <c r="O203" s="11">
        <v>1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12</v>
      </c>
      <c r="W203" s="11">
        <v>12</v>
      </c>
      <c r="X203" s="11">
        <v>4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12</v>
      </c>
      <c r="AF203" s="11">
        <v>24</v>
      </c>
      <c r="AG203" s="11">
        <v>6</v>
      </c>
      <c r="AH203" s="3">
        <f t="shared" si="0"/>
        <v>0</v>
      </c>
      <c r="AI203" s="3">
        <f t="shared" si="1"/>
        <v>4</v>
      </c>
      <c r="AJ203" s="11">
        <v>0</v>
      </c>
      <c r="AK203" s="11">
        <v>0</v>
      </c>
      <c r="AL203" s="181" t="str">
        <f t="shared" si="2"/>
        <v/>
      </c>
      <c r="AM203" s="11">
        <v>0</v>
      </c>
      <c r="AN203" s="181" t="str">
        <f t="shared" si="3"/>
        <v/>
      </c>
      <c r="AO203" s="182">
        <v>0</v>
      </c>
      <c r="AP203" s="11">
        <v>0</v>
      </c>
      <c r="AQ203" s="11">
        <v>52</v>
      </c>
      <c r="AR203" s="11">
        <v>271.29000000000002</v>
      </c>
      <c r="AS203" s="11">
        <v>0</v>
      </c>
      <c r="AT203" s="11">
        <v>23</v>
      </c>
      <c r="AV203" s="11" t="str">
        <f t="shared" si="4"/>
        <v>Active</v>
      </c>
    </row>
    <row r="204" spans="1:48">
      <c r="A204" s="11" t="s">
        <v>154</v>
      </c>
      <c r="B204" s="11" t="s">
        <v>367</v>
      </c>
      <c r="C204" s="11" t="s">
        <v>319</v>
      </c>
      <c r="D204" s="11" t="s">
        <v>577</v>
      </c>
      <c r="E204" s="11" t="s">
        <v>658</v>
      </c>
      <c r="F204" s="45">
        <v>45862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16</v>
      </c>
      <c r="W204" s="11">
        <v>20</v>
      </c>
      <c r="X204" s="11">
        <v>3</v>
      </c>
      <c r="Y204" s="11">
        <v>0</v>
      </c>
      <c r="Z204" s="11">
        <v>0</v>
      </c>
      <c r="AA204" s="11">
        <v>0</v>
      </c>
      <c r="AB204" s="11">
        <v>0</v>
      </c>
      <c r="AC204" s="11">
        <v>2</v>
      </c>
      <c r="AD204" s="11">
        <v>3</v>
      </c>
      <c r="AE204" s="11">
        <v>0</v>
      </c>
      <c r="AF204" s="11">
        <v>23</v>
      </c>
      <c r="AG204" s="11">
        <v>6</v>
      </c>
      <c r="AH204" s="3">
        <f t="shared" si="0"/>
        <v>0</v>
      </c>
      <c r="AI204" s="3">
        <f t="shared" si="1"/>
        <v>3.8333333333333335</v>
      </c>
      <c r="AJ204" s="11">
        <v>0</v>
      </c>
      <c r="AK204" s="11">
        <v>0</v>
      </c>
      <c r="AL204" s="181" t="str">
        <f t="shared" si="2"/>
        <v/>
      </c>
      <c r="AM204" s="11">
        <v>0</v>
      </c>
      <c r="AN204" s="181" t="str">
        <f t="shared" si="3"/>
        <v/>
      </c>
      <c r="AO204" s="182">
        <v>0</v>
      </c>
      <c r="AP204" s="11">
        <v>0</v>
      </c>
      <c r="AQ204" s="11">
        <v>53</v>
      </c>
      <c r="AR204" s="11">
        <v>153.44</v>
      </c>
      <c r="AS204" s="11">
        <v>0</v>
      </c>
      <c r="AT204" s="11">
        <v>0</v>
      </c>
      <c r="AV204" s="11" t="str">
        <f t="shared" si="4"/>
        <v>Active</v>
      </c>
    </row>
    <row r="205" spans="1:48">
      <c r="A205" s="11" t="s">
        <v>154</v>
      </c>
      <c r="B205" s="11" t="s">
        <v>367</v>
      </c>
      <c r="C205" s="11" t="s">
        <v>320</v>
      </c>
      <c r="D205" s="11" t="s">
        <v>577</v>
      </c>
      <c r="E205" s="11" t="s">
        <v>373</v>
      </c>
      <c r="F205" s="45">
        <v>45861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27</v>
      </c>
      <c r="W205" s="11">
        <v>27</v>
      </c>
      <c r="X205" s="11">
        <v>6</v>
      </c>
      <c r="Y205" s="11">
        <v>2</v>
      </c>
      <c r="Z205" s="11">
        <v>2</v>
      </c>
      <c r="AA205" s="11">
        <v>0</v>
      </c>
      <c r="AB205" s="11">
        <v>0</v>
      </c>
      <c r="AC205" s="11">
        <v>2</v>
      </c>
      <c r="AD205" s="11">
        <v>2</v>
      </c>
      <c r="AE205" s="11">
        <v>0</v>
      </c>
      <c r="AF205" s="11">
        <v>31</v>
      </c>
      <c r="AG205" s="11">
        <v>5</v>
      </c>
      <c r="AH205" s="3">
        <f t="shared" si="0"/>
        <v>0</v>
      </c>
      <c r="AI205" s="3">
        <f t="shared" si="1"/>
        <v>6.2</v>
      </c>
      <c r="AJ205" s="11">
        <v>0</v>
      </c>
      <c r="AK205" s="11">
        <v>0</v>
      </c>
      <c r="AL205" s="181" t="str">
        <f t="shared" si="2"/>
        <v/>
      </c>
      <c r="AM205" s="11">
        <v>0</v>
      </c>
      <c r="AN205" s="181" t="str">
        <f t="shared" si="3"/>
        <v/>
      </c>
      <c r="AO205" s="182">
        <v>0</v>
      </c>
      <c r="AP205" s="11">
        <v>0</v>
      </c>
      <c r="AQ205" s="11">
        <v>44</v>
      </c>
      <c r="AR205" s="11">
        <v>232.37</v>
      </c>
      <c r="AS205" s="11">
        <v>0</v>
      </c>
      <c r="AT205" s="11">
        <v>0</v>
      </c>
      <c r="AV205" s="11" t="str">
        <f t="shared" si="4"/>
        <v>Active</v>
      </c>
    </row>
    <row r="206" spans="1:48">
      <c r="F206" s="45"/>
      <c r="AL206" s="6"/>
      <c r="AN206" s="6"/>
    </row>
    <row r="207" spans="1:48">
      <c r="F207" s="45"/>
      <c r="AL207" s="6"/>
      <c r="AN207" s="6"/>
    </row>
    <row r="208" spans="1:48">
      <c r="F208" s="45"/>
      <c r="AL208" s="6"/>
      <c r="AN208" s="6"/>
    </row>
    <row r="209" spans="6:40">
      <c r="F209" s="45"/>
      <c r="AL209" s="6"/>
      <c r="AN209" s="6"/>
    </row>
    <row r="210" spans="6:40">
      <c r="F210" s="45"/>
      <c r="AL210" s="6"/>
      <c r="AN210" s="6"/>
    </row>
    <row r="211" spans="6:40">
      <c r="F211" s="45"/>
      <c r="AL211" s="6"/>
      <c r="AN211" s="6"/>
    </row>
    <row r="212" spans="6:40">
      <c r="F212" s="45"/>
      <c r="AL212" s="6"/>
      <c r="AN212" s="6"/>
    </row>
    <row r="213" spans="6:40">
      <c r="F213" s="45"/>
      <c r="AL213" s="6"/>
      <c r="AN213" s="6"/>
    </row>
    <row r="214" spans="6:40">
      <c r="F214" s="45"/>
      <c r="AL214" s="6"/>
      <c r="AN214" s="6"/>
    </row>
    <row r="215" spans="6:40">
      <c r="F215" s="45"/>
      <c r="AL215" s="6"/>
      <c r="AN215" s="6"/>
    </row>
    <row r="216" spans="6:40">
      <c r="F216" s="45"/>
      <c r="AL216" s="6"/>
      <c r="AN216" s="6"/>
    </row>
    <row r="217" spans="6:40">
      <c r="F217" s="45"/>
      <c r="AL217" s="6"/>
      <c r="AN217" s="6"/>
    </row>
    <row r="218" spans="6:40">
      <c r="F218" s="45"/>
      <c r="AL218" s="6"/>
      <c r="AN218" s="6"/>
    </row>
    <row r="219" spans="6:40">
      <c r="F219" s="45"/>
      <c r="AL219" s="6"/>
      <c r="AN219" s="6"/>
    </row>
    <row r="220" spans="6:40">
      <c r="F220" s="45"/>
      <c r="AL220" s="6"/>
      <c r="AN220" s="6"/>
    </row>
    <row r="221" spans="6:40">
      <c r="F221" s="45"/>
      <c r="AL221" s="6"/>
      <c r="AN221" s="6"/>
    </row>
    <row r="222" spans="6:40">
      <c r="F222" s="45"/>
      <c r="AL222" s="6"/>
      <c r="AN222" s="6"/>
    </row>
    <row r="223" spans="6:40">
      <c r="F223" s="45"/>
      <c r="AL223" s="6"/>
      <c r="AN223" s="6"/>
    </row>
    <row r="224" spans="6:40">
      <c r="F224" s="45"/>
      <c r="AL224" s="6"/>
      <c r="AN224" s="6"/>
    </row>
    <row r="225" spans="6:40">
      <c r="F225" s="45"/>
      <c r="AL225" s="6"/>
      <c r="AN225" s="6"/>
    </row>
    <row r="226" spans="6:40">
      <c r="F226" s="45"/>
      <c r="AL226" s="6"/>
      <c r="AN226" s="6"/>
    </row>
    <row r="227" spans="6:40">
      <c r="F227" s="45"/>
      <c r="AL227" s="6"/>
      <c r="AN227" s="6"/>
    </row>
    <row r="228" spans="6:40">
      <c r="F228" s="45"/>
      <c r="AL228" s="6"/>
      <c r="AN228" s="6"/>
    </row>
    <row r="229" spans="6:40">
      <c r="F229" s="45"/>
      <c r="AL229" s="6"/>
      <c r="AN229" s="6"/>
    </row>
    <row r="230" spans="6:40">
      <c r="F230" s="45"/>
      <c r="AL230" s="6"/>
      <c r="AN230" s="6"/>
    </row>
    <row r="231" spans="6:40">
      <c r="F231" s="45"/>
      <c r="AL231" s="6"/>
      <c r="AN231" s="6"/>
    </row>
    <row r="232" spans="6:40">
      <c r="F232" s="45"/>
      <c r="AL232" s="6"/>
      <c r="AN232" s="6"/>
    </row>
    <row r="233" spans="6:40">
      <c r="F233" s="45"/>
      <c r="AL233" s="6"/>
      <c r="AN233" s="6"/>
    </row>
    <row r="234" spans="6:40">
      <c r="F234" s="45"/>
      <c r="AL234" s="6"/>
      <c r="AN234" s="6"/>
    </row>
    <row r="235" spans="6:40">
      <c r="F235" s="45"/>
      <c r="AL235" s="6"/>
      <c r="AN235" s="6"/>
    </row>
    <row r="236" spans="6:40">
      <c r="F236" s="45"/>
      <c r="AL236" s="6"/>
      <c r="AN236" s="6"/>
    </row>
    <row r="237" spans="6:40">
      <c r="F237" s="45"/>
      <c r="AL237" s="6"/>
      <c r="AN237" s="6"/>
    </row>
    <row r="238" spans="6:40">
      <c r="F238" s="45"/>
      <c r="AL238" s="6"/>
      <c r="AN238" s="6"/>
    </row>
    <row r="239" spans="6:40">
      <c r="F239" s="45"/>
      <c r="AL239" s="6"/>
      <c r="AN239" s="6"/>
    </row>
    <row r="240" spans="6:40">
      <c r="F240" s="45"/>
      <c r="AL240" s="6"/>
      <c r="AN240" s="6"/>
    </row>
    <row r="241" spans="6:40">
      <c r="F241" s="45"/>
      <c r="AL241" s="6"/>
      <c r="AN241" s="6"/>
    </row>
    <row r="242" spans="6:40">
      <c r="F242" s="45"/>
      <c r="AL242" s="6"/>
      <c r="AN242" s="6"/>
    </row>
    <row r="243" spans="6:40">
      <c r="F243" s="45"/>
      <c r="AL243" s="6"/>
      <c r="AN243" s="6"/>
    </row>
    <row r="244" spans="6:40">
      <c r="F244" s="45"/>
      <c r="AL244" s="6"/>
      <c r="AN244" s="6"/>
    </row>
    <row r="245" spans="6:40">
      <c r="F245" s="45"/>
      <c r="AL245" s="6"/>
      <c r="AN245" s="6"/>
    </row>
    <row r="246" spans="6:40">
      <c r="F246" s="45"/>
      <c r="AL246" s="6"/>
      <c r="AN246" s="6"/>
    </row>
    <row r="247" spans="6:40">
      <c r="F247" s="45"/>
      <c r="AL247" s="6"/>
      <c r="AN247" s="6"/>
    </row>
    <row r="248" spans="6:40">
      <c r="F248" s="45"/>
      <c r="AL248" s="6"/>
      <c r="AN248" s="6"/>
    </row>
    <row r="249" spans="6:40">
      <c r="F249" s="45"/>
      <c r="AL249" s="6"/>
      <c r="AN249" s="6"/>
    </row>
    <row r="250" spans="6:40">
      <c r="F250" s="45"/>
      <c r="AL250" s="6"/>
      <c r="AN250" s="6"/>
    </row>
    <row r="251" spans="6:40">
      <c r="F251" s="45"/>
      <c r="AL251" s="6"/>
      <c r="AN251" s="6"/>
    </row>
    <row r="252" spans="6:40">
      <c r="F252" s="45"/>
      <c r="AL252" s="6"/>
      <c r="AN252" s="6"/>
    </row>
    <row r="253" spans="6:40">
      <c r="F253" s="45"/>
      <c r="AL253" s="6"/>
      <c r="AN253" s="6"/>
    </row>
    <row r="254" spans="6:40">
      <c r="F254" s="45"/>
      <c r="AL254" s="6"/>
      <c r="AN254" s="6"/>
    </row>
    <row r="255" spans="6:40">
      <c r="F255" s="45"/>
      <c r="AL255" s="6"/>
      <c r="AN255" s="6"/>
    </row>
    <row r="256" spans="6:40">
      <c r="F256" s="45"/>
      <c r="AL256" s="6"/>
      <c r="AN256" s="6"/>
    </row>
    <row r="257" spans="6:40">
      <c r="F257" s="45"/>
      <c r="AL257" s="6"/>
      <c r="AN257" s="6"/>
    </row>
    <row r="258" spans="6:40">
      <c r="F258" s="45"/>
      <c r="AL258" s="6"/>
      <c r="AN258" s="6"/>
    </row>
    <row r="259" spans="6:40">
      <c r="F259" s="45"/>
      <c r="AL259" s="6"/>
      <c r="AN259" s="6"/>
    </row>
    <row r="260" spans="6:40">
      <c r="F260" s="45"/>
      <c r="AL260" s="6"/>
      <c r="AN260" s="6"/>
    </row>
    <row r="261" spans="6:40">
      <c r="F261" s="45"/>
      <c r="AL261" s="6"/>
      <c r="AN261" s="6"/>
    </row>
    <row r="262" spans="6:40">
      <c r="F262" s="45"/>
      <c r="AL262" s="6"/>
      <c r="AN262" s="6"/>
    </row>
    <row r="263" spans="6:40">
      <c r="F263" s="45"/>
      <c r="AL263" s="6"/>
      <c r="AN263" s="6"/>
    </row>
    <row r="264" spans="6:40">
      <c r="F264" s="45"/>
      <c r="AL264" s="6"/>
      <c r="AN264" s="6"/>
    </row>
    <row r="265" spans="6:40">
      <c r="F265" s="45"/>
      <c r="AL265" s="6"/>
      <c r="AN265" s="6"/>
    </row>
    <row r="266" spans="6:40">
      <c r="F266" s="45"/>
      <c r="AL266" s="6"/>
      <c r="AN266" s="6"/>
    </row>
    <row r="267" spans="6:40">
      <c r="F267" s="45"/>
      <c r="AL267" s="6"/>
      <c r="AN267" s="6"/>
    </row>
    <row r="268" spans="6:40">
      <c r="F268" s="45"/>
      <c r="AL268" s="6"/>
      <c r="AN268" s="6"/>
    </row>
    <row r="269" spans="6:40">
      <c r="F269" s="45"/>
      <c r="AL269" s="6"/>
      <c r="AN269" s="6"/>
    </row>
    <row r="270" spans="6:40">
      <c r="F270" s="45"/>
      <c r="AL270" s="6"/>
      <c r="AN270" s="6"/>
    </row>
    <row r="271" spans="6:40">
      <c r="F271" s="45"/>
      <c r="AL271" s="6"/>
      <c r="AN271" s="6"/>
    </row>
    <row r="272" spans="6:40">
      <c r="F272" s="45"/>
      <c r="AL272" s="6"/>
      <c r="AN272" s="6"/>
    </row>
    <row r="273" spans="6:40">
      <c r="F273" s="45"/>
      <c r="AL273" s="6"/>
      <c r="AN273" s="6"/>
    </row>
    <row r="274" spans="6:40">
      <c r="F274" s="45"/>
      <c r="AL274" s="6"/>
      <c r="AN274" s="6"/>
    </row>
    <row r="275" spans="6:40">
      <c r="F275" s="45"/>
      <c r="AL275" s="6"/>
      <c r="AN275" s="6"/>
    </row>
    <row r="276" spans="6:40">
      <c r="F276" s="45"/>
      <c r="AL276" s="6"/>
      <c r="AN276" s="6"/>
    </row>
    <row r="277" spans="6:40">
      <c r="F277" s="45"/>
      <c r="AL277" s="6"/>
      <c r="AN277" s="6"/>
    </row>
    <row r="278" spans="6:40">
      <c r="F278" s="45"/>
      <c r="AL278" s="6"/>
      <c r="AN278" s="6"/>
    </row>
    <row r="279" spans="6:40">
      <c r="F279" s="45"/>
      <c r="AL279" s="6"/>
      <c r="AN279" s="6"/>
    </row>
    <row r="280" spans="6:40">
      <c r="F280" s="45"/>
      <c r="AL280" s="6"/>
      <c r="AN280" s="6"/>
    </row>
    <row r="281" spans="6:40">
      <c r="F281" s="45"/>
      <c r="AL281" s="6"/>
      <c r="AN281" s="6"/>
    </row>
    <row r="282" spans="6:40">
      <c r="F282" s="45"/>
      <c r="AL282" s="6"/>
      <c r="AN282" s="6"/>
    </row>
    <row r="283" spans="6:40">
      <c r="F283" s="45"/>
      <c r="AL283" s="6"/>
      <c r="AN283" s="6"/>
    </row>
    <row r="284" spans="6:40">
      <c r="F284" s="45"/>
      <c r="AL284" s="6"/>
      <c r="AN284" s="6"/>
    </row>
    <row r="285" spans="6:40">
      <c r="F285" s="45"/>
      <c r="AL285" s="6"/>
      <c r="AN285" s="6"/>
    </row>
    <row r="286" spans="6:40">
      <c r="F286" s="45"/>
      <c r="AL286" s="6"/>
      <c r="AN286" s="6"/>
    </row>
    <row r="287" spans="6:40">
      <c r="F287" s="45"/>
      <c r="AL287" s="6"/>
      <c r="AN287" s="6"/>
    </row>
    <row r="288" spans="6:40">
      <c r="F288" s="45"/>
      <c r="AL288" s="6"/>
      <c r="AN288" s="6"/>
    </row>
    <row r="289" spans="6:40">
      <c r="F289" s="45"/>
      <c r="AL289" s="6"/>
      <c r="AN289" s="6"/>
    </row>
    <row r="290" spans="6:40">
      <c r="F290" s="45"/>
      <c r="AL290" s="6"/>
      <c r="AN290" s="6"/>
    </row>
    <row r="291" spans="6:40">
      <c r="F291" s="45"/>
      <c r="AL291" s="6"/>
      <c r="AN291" s="6"/>
    </row>
    <row r="292" spans="6:40">
      <c r="F292" s="45"/>
      <c r="AL292" s="6"/>
      <c r="AN292" s="6"/>
    </row>
    <row r="293" spans="6:40">
      <c r="F293" s="45"/>
      <c r="AL293" s="6"/>
      <c r="AN293" s="6"/>
    </row>
    <row r="294" spans="6:40">
      <c r="F294" s="45"/>
      <c r="AL294" s="6"/>
      <c r="AN294" s="6"/>
    </row>
    <row r="295" spans="6:40">
      <c r="F295" s="45"/>
      <c r="AL295" s="6"/>
      <c r="AN295" s="6"/>
    </row>
    <row r="296" spans="6:40">
      <c r="F296" s="45"/>
      <c r="AL296" s="6"/>
      <c r="AN296" s="6"/>
    </row>
    <row r="297" spans="6:40">
      <c r="F297" s="45"/>
      <c r="AL297" s="6"/>
      <c r="AN297" s="6"/>
    </row>
    <row r="298" spans="6:40">
      <c r="F298" s="45"/>
      <c r="AL298" s="6"/>
      <c r="AN298" s="6"/>
    </row>
    <row r="299" spans="6:40">
      <c r="F299" s="45"/>
      <c r="AL299" s="6"/>
      <c r="AN299" s="6"/>
    </row>
    <row r="300" spans="6:40">
      <c r="F300" s="45"/>
      <c r="AL300" s="6"/>
      <c r="AN300" s="6"/>
    </row>
    <row r="301" spans="6:40">
      <c r="F301" s="45"/>
      <c r="AL301" s="6"/>
      <c r="AN301" s="6"/>
    </row>
    <row r="302" spans="6:40">
      <c r="F302" s="45"/>
      <c r="AL302" s="6"/>
      <c r="AN302" s="6"/>
    </row>
    <row r="303" spans="6:40">
      <c r="F303" s="45"/>
      <c r="AL303" s="6"/>
      <c r="AN303" s="6"/>
    </row>
    <row r="304" spans="6:40">
      <c r="F304" s="45"/>
      <c r="AL304" s="6"/>
      <c r="AN304" s="6"/>
    </row>
    <row r="305" spans="6:40">
      <c r="F305" s="45"/>
      <c r="AL305" s="6"/>
      <c r="AN305" s="6"/>
    </row>
    <row r="306" spans="6:40">
      <c r="F306" s="45"/>
      <c r="AL306" s="6"/>
      <c r="AN306" s="6"/>
    </row>
    <row r="307" spans="6:40">
      <c r="F307" s="45"/>
      <c r="AL307" s="6"/>
      <c r="AN307" s="6"/>
    </row>
    <row r="308" spans="6:40">
      <c r="F308" s="45"/>
      <c r="AL308" s="6"/>
      <c r="AN308" s="6"/>
    </row>
    <row r="309" spans="6:40">
      <c r="F309" s="45"/>
      <c r="AL309" s="6"/>
      <c r="AN309" s="6"/>
    </row>
    <row r="310" spans="6:40">
      <c r="F310" s="45"/>
      <c r="AL310" s="6"/>
      <c r="AN310" s="6"/>
    </row>
    <row r="311" spans="6:40">
      <c r="F311" s="45"/>
      <c r="AL311" s="6"/>
      <c r="AN311" s="6"/>
    </row>
    <row r="312" spans="6:40">
      <c r="F312" s="45"/>
      <c r="AL312" s="6"/>
      <c r="AN312" s="6"/>
    </row>
    <row r="313" spans="6:40">
      <c r="F313" s="45"/>
      <c r="AL313" s="6"/>
      <c r="AN313" s="6"/>
    </row>
    <row r="314" spans="6:40">
      <c r="F314" s="45"/>
      <c r="AL314" s="6"/>
      <c r="AN314" s="6"/>
    </row>
    <row r="315" spans="6:40">
      <c r="F315" s="45"/>
      <c r="AL315" s="6"/>
      <c r="AN315" s="6"/>
    </row>
    <row r="316" spans="6:40">
      <c r="F316" s="45"/>
      <c r="AL316" s="6"/>
      <c r="AN316" s="6"/>
    </row>
    <row r="317" spans="6:40">
      <c r="F317" s="45"/>
      <c r="AL317" s="6"/>
      <c r="AN317" s="6"/>
    </row>
    <row r="318" spans="6:40">
      <c r="F318" s="45"/>
      <c r="AL318" s="6"/>
      <c r="AN318" s="6"/>
    </row>
    <row r="319" spans="6:40">
      <c r="F319" s="45"/>
      <c r="AL319" s="6"/>
      <c r="AN319" s="6"/>
    </row>
    <row r="320" spans="6:40">
      <c r="F320" s="45"/>
      <c r="AL320" s="6"/>
      <c r="AN320" s="6"/>
    </row>
    <row r="321" spans="6:40">
      <c r="F321" s="45"/>
      <c r="AL321" s="6"/>
      <c r="AN321" s="6"/>
    </row>
    <row r="322" spans="6:40">
      <c r="F322" s="45"/>
      <c r="AL322" s="6"/>
      <c r="AN322" s="6"/>
    </row>
    <row r="323" spans="6:40">
      <c r="F323" s="45"/>
      <c r="AL323" s="6"/>
      <c r="AN323" s="6"/>
    </row>
    <row r="324" spans="6:40">
      <c r="F324" s="45"/>
      <c r="AL324" s="6"/>
      <c r="AN324" s="6"/>
    </row>
    <row r="325" spans="6:40">
      <c r="F325" s="45"/>
      <c r="AL325" s="6"/>
      <c r="AN325" s="6"/>
    </row>
    <row r="326" spans="6:40">
      <c r="F326" s="45"/>
      <c r="AL326" s="6"/>
      <c r="AN326" s="6"/>
    </row>
    <row r="327" spans="6:40">
      <c r="F327" s="45"/>
      <c r="AL327" s="6"/>
      <c r="AN327" s="6"/>
    </row>
    <row r="328" spans="6:40">
      <c r="F328" s="45"/>
      <c r="AL328" s="6"/>
      <c r="AN328" s="6"/>
    </row>
    <row r="329" spans="6:40">
      <c r="F329" s="45"/>
      <c r="AL329" s="6"/>
      <c r="AN329" s="6"/>
    </row>
    <row r="330" spans="6:40">
      <c r="F330" s="45"/>
      <c r="AL330" s="6"/>
      <c r="AN330" s="6"/>
    </row>
    <row r="331" spans="6:40">
      <c r="F331" s="45"/>
      <c r="AL331" s="6"/>
      <c r="AN331" s="6"/>
    </row>
    <row r="332" spans="6:40">
      <c r="F332" s="45"/>
      <c r="AL332" s="6"/>
      <c r="AN332" s="6"/>
    </row>
    <row r="333" spans="6:40">
      <c r="F333" s="45"/>
      <c r="AL333" s="6"/>
      <c r="AN333" s="6"/>
    </row>
    <row r="334" spans="6:40">
      <c r="F334" s="45"/>
      <c r="AL334" s="6"/>
      <c r="AN334" s="6"/>
    </row>
    <row r="335" spans="6:40">
      <c r="F335" s="45"/>
      <c r="AL335" s="6"/>
      <c r="AN335" s="6"/>
    </row>
    <row r="336" spans="6:40">
      <c r="F336" s="45"/>
      <c r="AL336" s="6"/>
      <c r="AN336" s="6"/>
    </row>
    <row r="337" spans="6:40">
      <c r="F337" s="45"/>
      <c r="AL337" s="6"/>
      <c r="AN337" s="6"/>
    </row>
    <row r="338" spans="6:40">
      <c r="F338" s="45"/>
      <c r="AL338" s="6"/>
      <c r="AN338" s="6"/>
    </row>
    <row r="339" spans="6:40">
      <c r="F339" s="45"/>
      <c r="AL339" s="6"/>
      <c r="AN339" s="6"/>
    </row>
    <row r="340" spans="6:40">
      <c r="F340" s="45"/>
      <c r="AL340" s="6"/>
      <c r="AN340" s="6"/>
    </row>
    <row r="341" spans="6:40">
      <c r="F341" s="45"/>
      <c r="AL341" s="6"/>
      <c r="AN341" s="6"/>
    </row>
    <row r="342" spans="6:40">
      <c r="F342" s="45"/>
      <c r="AL342" s="6"/>
      <c r="AN342" s="6"/>
    </row>
    <row r="343" spans="6:40">
      <c r="F343" s="45"/>
      <c r="AL343" s="6"/>
      <c r="AN343" s="6"/>
    </row>
    <row r="344" spans="6:40">
      <c r="F344" s="45"/>
      <c r="AL344" s="6"/>
      <c r="AN344" s="6"/>
    </row>
    <row r="345" spans="6:40">
      <c r="F345" s="45"/>
      <c r="AL345" s="6"/>
      <c r="AN345" s="6"/>
    </row>
    <row r="346" spans="6:40">
      <c r="F346" s="45"/>
      <c r="AL346" s="6"/>
      <c r="AN346" s="6"/>
    </row>
    <row r="347" spans="6:40">
      <c r="F347" s="45"/>
      <c r="AL347" s="6"/>
      <c r="AN347" s="6"/>
    </row>
    <row r="348" spans="6:40">
      <c r="F348" s="45"/>
      <c r="AL348" s="6"/>
      <c r="AN348" s="6"/>
    </row>
    <row r="349" spans="6:40">
      <c r="F349" s="45"/>
      <c r="AL349" s="6"/>
      <c r="AN349" s="6"/>
    </row>
    <row r="350" spans="6:40">
      <c r="F350" s="45"/>
      <c r="AL350" s="6"/>
      <c r="AN350" s="6"/>
    </row>
    <row r="351" spans="6:40">
      <c r="F351" s="45"/>
      <c r="AL351" s="6"/>
      <c r="AN351" s="6"/>
    </row>
    <row r="352" spans="6:40">
      <c r="F352" s="45"/>
      <c r="AL352" s="6"/>
      <c r="AN352" s="6"/>
    </row>
    <row r="353" spans="6:40">
      <c r="F353" s="45"/>
      <c r="AL353" s="6"/>
      <c r="AN353" s="6"/>
    </row>
    <row r="354" spans="6:40">
      <c r="F354" s="45"/>
      <c r="AL354" s="6"/>
      <c r="AN354" s="6"/>
    </row>
    <row r="355" spans="6:40">
      <c r="F355" s="45"/>
      <c r="AL355" s="6"/>
      <c r="AN355" s="6"/>
    </row>
    <row r="356" spans="6:40">
      <c r="F356" s="45"/>
      <c r="AL356" s="6"/>
      <c r="AN356" s="6"/>
    </row>
    <row r="357" spans="6:40">
      <c r="F357" s="45"/>
      <c r="AL357" s="6"/>
      <c r="AN357" s="6"/>
    </row>
    <row r="358" spans="6:40">
      <c r="F358" s="45"/>
      <c r="AL358" s="6"/>
      <c r="AN358" s="6"/>
    </row>
    <row r="359" spans="6:40">
      <c r="F359" s="45"/>
      <c r="AL359" s="6"/>
      <c r="AN359" s="6"/>
    </row>
    <row r="360" spans="6:40">
      <c r="F360" s="45"/>
      <c r="AL360" s="6"/>
      <c r="AN360" s="6"/>
    </row>
    <row r="361" spans="6:40">
      <c r="F361" s="45"/>
      <c r="AL361" s="6"/>
      <c r="AN361" s="6"/>
    </row>
    <row r="362" spans="6:40">
      <c r="F362" s="45"/>
      <c r="AL362" s="6"/>
      <c r="AN362" s="6"/>
    </row>
    <row r="363" spans="6:40">
      <c r="F363" s="45"/>
      <c r="AL363" s="6"/>
      <c r="AN363" s="6"/>
    </row>
    <row r="364" spans="6:40">
      <c r="F364" s="45"/>
      <c r="AL364" s="6"/>
      <c r="AN364" s="6"/>
    </row>
    <row r="365" spans="6:40">
      <c r="F365" s="45"/>
      <c r="AL365" s="6"/>
      <c r="AN365" s="6"/>
    </row>
    <row r="366" spans="6:40">
      <c r="F366" s="45"/>
      <c r="AL366" s="6"/>
      <c r="AN366" s="6"/>
    </row>
    <row r="367" spans="6:40">
      <c r="F367" s="45"/>
      <c r="AL367" s="6"/>
      <c r="AN367" s="6"/>
    </row>
    <row r="368" spans="6:40">
      <c r="F368" s="45"/>
      <c r="AL368" s="6"/>
      <c r="AN368" s="6"/>
    </row>
    <row r="369" spans="6:40">
      <c r="F369" s="45"/>
      <c r="AL369" s="6"/>
      <c r="AN369" s="6"/>
    </row>
    <row r="370" spans="6:40">
      <c r="F370" s="45"/>
      <c r="AL370" s="6"/>
      <c r="AN370" s="6"/>
    </row>
    <row r="371" spans="6:40">
      <c r="F371" s="45"/>
      <c r="AL371" s="6"/>
      <c r="AN371" s="6"/>
    </row>
    <row r="372" spans="6:40">
      <c r="F372" s="45"/>
      <c r="AL372" s="6"/>
      <c r="AN372" s="6"/>
    </row>
    <row r="373" spans="6:40">
      <c r="F373" s="45"/>
      <c r="AL373" s="6"/>
      <c r="AN373" s="6"/>
    </row>
    <row r="374" spans="6:40">
      <c r="F374" s="45"/>
      <c r="AL374" s="6"/>
      <c r="AN374" s="6"/>
    </row>
    <row r="375" spans="6:40">
      <c r="F375" s="45"/>
      <c r="AL375" s="6"/>
      <c r="AN375" s="6"/>
    </row>
    <row r="376" spans="6:40">
      <c r="F376" s="45"/>
      <c r="AL376" s="6"/>
      <c r="AN376" s="6"/>
    </row>
    <row r="377" spans="6:40">
      <c r="F377" s="45"/>
      <c r="AL377" s="6"/>
      <c r="AN377" s="6"/>
    </row>
    <row r="378" spans="6:40">
      <c r="F378" s="45"/>
      <c r="AL378" s="6"/>
      <c r="AN378" s="6"/>
    </row>
    <row r="379" spans="6:40">
      <c r="F379" s="45"/>
      <c r="AL379" s="6"/>
      <c r="AN379" s="6"/>
    </row>
    <row r="380" spans="6:40">
      <c r="F380" s="45"/>
      <c r="AL380" s="6"/>
      <c r="AN380" s="6"/>
    </row>
    <row r="381" spans="6:40">
      <c r="F381" s="45"/>
      <c r="AL381" s="6"/>
      <c r="AN381" s="6"/>
    </row>
    <row r="382" spans="6:40">
      <c r="F382" s="45"/>
      <c r="AL382" s="6"/>
      <c r="AN382" s="6"/>
    </row>
    <row r="383" spans="6:40">
      <c r="F383" s="45"/>
      <c r="AL383" s="6"/>
      <c r="AN383" s="6"/>
    </row>
    <row r="384" spans="6:40">
      <c r="F384" s="45"/>
      <c r="AL384" s="6"/>
      <c r="AN384" s="6"/>
    </row>
    <row r="385" spans="6:40">
      <c r="F385" s="45"/>
      <c r="AL385" s="6"/>
      <c r="AN385" s="6"/>
    </row>
    <row r="386" spans="6:40">
      <c r="F386" s="45"/>
      <c r="AL386" s="6"/>
      <c r="AN386" s="6"/>
    </row>
    <row r="387" spans="6:40">
      <c r="F387" s="45"/>
      <c r="AL387" s="6"/>
      <c r="AN387" s="6"/>
    </row>
    <row r="388" spans="6:40">
      <c r="F388" s="45"/>
      <c r="AL388" s="6"/>
      <c r="AN388" s="6"/>
    </row>
    <row r="389" spans="6:40">
      <c r="F389" s="45"/>
      <c r="AL389" s="6"/>
      <c r="AN389" s="6"/>
    </row>
    <row r="390" spans="6:40">
      <c r="F390" s="45"/>
      <c r="AL390" s="6"/>
      <c r="AN390" s="6"/>
    </row>
    <row r="391" spans="6:40">
      <c r="F391" s="45"/>
      <c r="AL391" s="6"/>
      <c r="AN391" s="6"/>
    </row>
    <row r="392" spans="6:40">
      <c r="F392" s="45"/>
      <c r="AL392" s="6"/>
      <c r="AN392" s="6"/>
    </row>
    <row r="393" spans="6:40">
      <c r="F393" s="45"/>
      <c r="AL393" s="6"/>
      <c r="AN393" s="6"/>
    </row>
    <row r="394" spans="6:40">
      <c r="F394" s="45"/>
      <c r="AL394" s="6"/>
      <c r="AN394" s="6"/>
    </row>
    <row r="395" spans="6:40">
      <c r="F395" s="45"/>
      <c r="AL395" s="6"/>
      <c r="AN395" s="6"/>
    </row>
    <row r="396" spans="6:40">
      <c r="F396" s="45"/>
      <c r="AL396" s="6"/>
      <c r="AN396" s="6"/>
    </row>
    <row r="397" spans="6:40">
      <c r="F397" s="45"/>
      <c r="AL397" s="6"/>
      <c r="AN397" s="6"/>
    </row>
    <row r="398" spans="6:40">
      <c r="F398" s="45"/>
      <c r="AL398" s="6"/>
      <c r="AN398" s="6"/>
    </row>
    <row r="399" spans="6:40">
      <c r="F399" s="45"/>
      <c r="AL399" s="6"/>
      <c r="AN399" s="6"/>
    </row>
    <row r="400" spans="6:40">
      <c r="F400" s="45"/>
      <c r="AL400" s="6"/>
      <c r="AN400" s="6"/>
    </row>
    <row r="401" spans="6:40">
      <c r="F401" s="45"/>
      <c r="AL401" s="6"/>
      <c r="AN401" s="6"/>
    </row>
    <row r="402" spans="6:40">
      <c r="F402" s="45"/>
      <c r="AL402" s="6"/>
      <c r="AN402" s="6"/>
    </row>
    <row r="403" spans="6:40">
      <c r="F403" s="45"/>
      <c r="AL403" s="6"/>
      <c r="AN403" s="6"/>
    </row>
    <row r="404" spans="6:40">
      <c r="F404" s="45"/>
      <c r="AL404" s="6"/>
      <c r="AN404" s="6"/>
    </row>
    <row r="405" spans="6:40">
      <c r="F405" s="45"/>
      <c r="AL405" s="6"/>
      <c r="AN405" s="6"/>
    </row>
    <row r="406" spans="6:40">
      <c r="F406" s="45"/>
      <c r="AL406" s="6"/>
      <c r="AN406" s="6"/>
    </row>
    <row r="407" spans="6:40">
      <c r="F407" s="45"/>
      <c r="AL407" s="6"/>
      <c r="AN407" s="6"/>
    </row>
    <row r="408" spans="6:40">
      <c r="F408" s="45"/>
      <c r="AL408" s="6"/>
      <c r="AN408" s="6"/>
    </row>
    <row r="409" spans="6:40">
      <c r="F409" s="45"/>
      <c r="AL409" s="6"/>
      <c r="AN409" s="6"/>
    </row>
    <row r="410" spans="6:40">
      <c r="F410" s="45"/>
      <c r="AL410" s="6"/>
      <c r="AN410" s="6"/>
    </row>
    <row r="411" spans="6:40">
      <c r="F411" s="45"/>
      <c r="AL411" s="6"/>
      <c r="AN411" s="6"/>
    </row>
    <row r="412" spans="6:40">
      <c r="F412" s="45"/>
      <c r="AL412" s="6"/>
      <c r="AN412" s="6"/>
    </row>
    <row r="413" spans="6:40">
      <c r="F413" s="45"/>
      <c r="AL413" s="6"/>
      <c r="AN413" s="6"/>
    </row>
    <row r="414" spans="6:40">
      <c r="F414" s="45"/>
      <c r="AL414" s="6"/>
      <c r="AN414" s="6"/>
    </row>
    <row r="415" spans="6:40">
      <c r="F415" s="45"/>
      <c r="AL415" s="6"/>
      <c r="AN415" s="6"/>
    </row>
    <row r="416" spans="6:40">
      <c r="F416" s="45"/>
      <c r="AL416" s="6"/>
      <c r="AN416" s="6"/>
    </row>
    <row r="417" spans="6:40">
      <c r="F417" s="45"/>
      <c r="AL417" s="6"/>
      <c r="AN417" s="6"/>
    </row>
    <row r="418" spans="6:40">
      <c r="F418" s="45"/>
      <c r="AL418" s="6"/>
      <c r="AN418" s="6"/>
    </row>
    <row r="419" spans="6:40">
      <c r="F419" s="45"/>
      <c r="AL419" s="6"/>
      <c r="AN419" s="6"/>
    </row>
    <row r="420" spans="6:40">
      <c r="F420" s="45"/>
      <c r="AL420" s="6"/>
      <c r="AN420" s="6"/>
    </row>
    <row r="421" spans="6:40">
      <c r="F421" s="45"/>
      <c r="AL421" s="6"/>
      <c r="AN421" s="6"/>
    </row>
    <row r="422" spans="6:40">
      <c r="F422" s="45"/>
      <c r="AL422" s="6"/>
      <c r="AN422" s="6"/>
    </row>
    <row r="423" spans="6:40">
      <c r="F423" s="45"/>
      <c r="AL423" s="6"/>
      <c r="AN423" s="6"/>
    </row>
    <row r="424" spans="6:40">
      <c r="F424" s="45"/>
      <c r="AL424" s="6"/>
      <c r="AN424" s="6"/>
    </row>
    <row r="425" spans="6:40">
      <c r="F425" s="45"/>
      <c r="AL425" s="6"/>
      <c r="AN425" s="6"/>
    </row>
    <row r="426" spans="6:40">
      <c r="F426" s="45"/>
      <c r="AL426" s="6"/>
      <c r="AN426" s="6"/>
    </row>
    <row r="427" spans="6:40">
      <c r="F427" s="45"/>
      <c r="AL427" s="6"/>
      <c r="AN427" s="6"/>
    </row>
    <row r="428" spans="6:40">
      <c r="F428" s="45"/>
      <c r="AL428" s="6"/>
      <c r="AN428" s="6"/>
    </row>
    <row r="429" spans="6:40">
      <c r="F429" s="45"/>
      <c r="AL429" s="6"/>
      <c r="AN429" s="6"/>
    </row>
    <row r="430" spans="6:40">
      <c r="F430" s="45"/>
      <c r="AL430" s="6"/>
      <c r="AN430" s="6"/>
    </row>
    <row r="431" spans="6:40">
      <c r="F431" s="45"/>
      <c r="AL431" s="6"/>
      <c r="AN431" s="6"/>
    </row>
    <row r="432" spans="6:40">
      <c r="F432" s="45"/>
      <c r="AL432" s="6"/>
      <c r="AN432" s="6"/>
    </row>
    <row r="433" spans="6:40">
      <c r="F433" s="45"/>
      <c r="AL433" s="6"/>
      <c r="AN433" s="6"/>
    </row>
    <row r="434" spans="6:40">
      <c r="F434" s="45"/>
      <c r="AL434" s="6"/>
      <c r="AN434" s="6"/>
    </row>
    <row r="435" spans="6:40">
      <c r="F435" s="45"/>
      <c r="AL435" s="6"/>
      <c r="AN435" s="6"/>
    </row>
    <row r="436" spans="6:40">
      <c r="F436" s="45"/>
      <c r="AL436" s="6"/>
      <c r="AN436" s="6"/>
    </row>
    <row r="437" spans="6:40">
      <c r="F437" s="45"/>
      <c r="AL437" s="6"/>
      <c r="AN437" s="6"/>
    </row>
    <row r="438" spans="6:40">
      <c r="F438" s="45"/>
      <c r="AL438" s="6"/>
      <c r="AN438" s="6"/>
    </row>
    <row r="439" spans="6:40">
      <c r="F439" s="45"/>
      <c r="AL439" s="6"/>
      <c r="AN439" s="6"/>
    </row>
    <row r="440" spans="6:40">
      <c r="F440" s="45"/>
      <c r="AL440" s="6"/>
      <c r="AN440" s="6"/>
    </row>
    <row r="441" spans="6:40">
      <c r="F441" s="45"/>
      <c r="AL441" s="6"/>
      <c r="AN441" s="6"/>
    </row>
    <row r="442" spans="6:40">
      <c r="F442" s="45"/>
      <c r="AL442" s="6"/>
      <c r="AN442" s="6"/>
    </row>
    <row r="443" spans="6:40">
      <c r="F443" s="45"/>
      <c r="AL443" s="6"/>
      <c r="AN443" s="6"/>
    </row>
    <row r="444" spans="6:40">
      <c r="F444" s="45"/>
      <c r="AL444" s="6"/>
      <c r="AN444" s="6"/>
    </row>
    <row r="445" spans="6:40">
      <c r="F445" s="45"/>
      <c r="AL445" s="6"/>
      <c r="AN445" s="6"/>
    </row>
    <row r="446" spans="6:40">
      <c r="F446" s="45"/>
      <c r="AL446" s="6"/>
      <c r="AN446" s="6"/>
    </row>
    <row r="447" spans="6:40">
      <c r="F447" s="45"/>
      <c r="AL447" s="6"/>
      <c r="AN447" s="6"/>
    </row>
    <row r="448" spans="6:40">
      <c r="F448" s="45"/>
      <c r="AL448" s="6"/>
      <c r="AN448" s="6"/>
    </row>
    <row r="449" spans="6:40">
      <c r="F449" s="45"/>
      <c r="AL449" s="6"/>
      <c r="AN449" s="6"/>
    </row>
    <row r="450" spans="6:40">
      <c r="F450" s="45"/>
      <c r="AL450" s="6"/>
      <c r="AN450" s="6"/>
    </row>
    <row r="451" spans="6:40">
      <c r="F451" s="45"/>
      <c r="AL451" s="6"/>
      <c r="AN451" s="6"/>
    </row>
    <row r="452" spans="6:40">
      <c r="F452" s="45"/>
      <c r="AL452" s="6"/>
      <c r="AN452" s="6"/>
    </row>
    <row r="453" spans="6:40">
      <c r="F453" s="45"/>
      <c r="AL453" s="6"/>
      <c r="AN453" s="6"/>
    </row>
    <row r="454" spans="6:40">
      <c r="F454" s="45"/>
      <c r="AL454" s="6"/>
      <c r="AN454" s="6"/>
    </row>
    <row r="455" spans="6:40">
      <c r="F455" s="45"/>
      <c r="AL455" s="6"/>
      <c r="AN455" s="6"/>
    </row>
    <row r="456" spans="6:40">
      <c r="F456" s="45"/>
      <c r="AL456" s="6"/>
      <c r="AN456" s="6"/>
    </row>
    <row r="457" spans="6:40">
      <c r="F457" s="45"/>
      <c r="AL457" s="6"/>
      <c r="AN457" s="6"/>
    </row>
    <row r="458" spans="6:40">
      <c r="F458" s="45"/>
      <c r="AL458" s="6"/>
      <c r="AN458" s="6"/>
    </row>
    <row r="459" spans="6:40">
      <c r="F459" s="45"/>
      <c r="AL459" s="6"/>
      <c r="AN459" s="6"/>
    </row>
    <row r="460" spans="6:40">
      <c r="F460" s="45"/>
      <c r="AL460" s="6"/>
      <c r="AN460" s="6"/>
    </row>
    <row r="461" spans="6:40">
      <c r="F461" s="45"/>
      <c r="AL461" s="6"/>
      <c r="AN461" s="6"/>
    </row>
    <row r="462" spans="6:40">
      <c r="F462" s="45"/>
      <c r="AL462" s="6"/>
      <c r="AN462" s="6"/>
    </row>
    <row r="463" spans="6:40">
      <c r="F463" s="45"/>
      <c r="AL463" s="6"/>
      <c r="AN463" s="6"/>
    </row>
    <row r="464" spans="6:40">
      <c r="F464" s="45"/>
      <c r="AL464" s="6"/>
      <c r="AN464" s="6"/>
    </row>
    <row r="465" spans="6:40">
      <c r="F465" s="45"/>
      <c r="AL465" s="6"/>
      <c r="AN465" s="6"/>
    </row>
    <row r="466" spans="6:40">
      <c r="F466" s="45"/>
      <c r="AL466" s="6"/>
      <c r="AN466" s="6"/>
    </row>
    <row r="467" spans="6:40">
      <c r="F467" s="45"/>
      <c r="AL467" s="6"/>
      <c r="AN467" s="6"/>
    </row>
    <row r="468" spans="6:40">
      <c r="F468" s="45"/>
      <c r="AL468" s="6"/>
      <c r="AN468" s="6"/>
    </row>
    <row r="469" spans="6:40">
      <c r="F469" s="45"/>
      <c r="AL469" s="6"/>
      <c r="AN469" s="6"/>
    </row>
    <row r="470" spans="6:40">
      <c r="F470" s="45"/>
      <c r="AL470" s="6"/>
      <c r="AN470" s="6"/>
    </row>
    <row r="471" spans="6:40">
      <c r="F471" s="45"/>
      <c r="AL471" s="6"/>
      <c r="AN471" s="6"/>
    </row>
    <row r="472" spans="6:40">
      <c r="F472" s="45"/>
      <c r="AL472" s="6"/>
      <c r="AN472" s="6"/>
    </row>
    <row r="473" spans="6:40">
      <c r="F473" s="45"/>
      <c r="AL473" s="6"/>
      <c r="AN473" s="6"/>
    </row>
    <row r="474" spans="6:40">
      <c r="F474" s="45"/>
      <c r="AL474" s="6"/>
      <c r="AN474" s="6"/>
    </row>
    <row r="475" spans="6:40">
      <c r="F475" s="45"/>
      <c r="AL475" s="6"/>
      <c r="AN475" s="6"/>
    </row>
    <row r="476" spans="6:40">
      <c r="F476" s="45"/>
      <c r="AL476" s="6"/>
      <c r="AN476" s="6"/>
    </row>
    <row r="477" spans="6:40">
      <c r="F477" s="45"/>
      <c r="AL477" s="6"/>
      <c r="AN477" s="6"/>
    </row>
    <row r="478" spans="6:40">
      <c r="F478" s="45"/>
      <c r="AL478" s="6"/>
      <c r="AN478" s="6"/>
    </row>
    <row r="479" spans="6:40">
      <c r="F479" s="45"/>
      <c r="AL479" s="6"/>
      <c r="AN479" s="6"/>
    </row>
    <row r="480" spans="6:40">
      <c r="F480" s="45"/>
      <c r="AL480" s="6"/>
      <c r="AN480" s="6"/>
    </row>
    <row r="481" spans="6:40">
      <c r="F481" s="45"/>
      <c r="AL481" s="6"/>
      <c r="AN481" s="6"/>
    </row>
    <row r="482" spans="6:40">
      <c r="F482" s="45"/>
      <c r="AL482" s="6"/>
      <c r="AN482" s="6"/>
    </row>
    <row r="483" spans="6:40">
      <c r="F483" s="45"/>
      <c r="AL483" s="6"/>
      <c r="AN483" s="6"/>
    </row>
    <row r="484" spans="6:40">
      <c r="F484" s="45"/>
      <c r="AL484" s="6"/>
      <c r="AN484" s="6"/>
    </row>
    <row r="485" spans="6:40">
      <c r="F485" s="45"/>
      <c r="AL485" s="6"/>
      <c r="AN485" s="6"/>
    </row>
    <row r="486" spans="6:40">
      <c r="F486" s="45"/>
      <c r="AL486" s="6"/>
      <c r="AN486" s="6"/>
    </row>
    <row r="487" spans="6:40">
      <c r="F487" s="45"/>
      <c r="AL487" s="6"/>
      <c r="AN487" s="6"/>
    </row>
    <row r="488" spans="6:40">
      <c r="F488" s="45"/>
      <c r="AL488" s="6"/>
      <c r="AN488" s="6"/>
    </row>
    <row r="489" spans="6:40">
      <c r="F489" s="45"/>
      <c r="AL489" s="6"/>
      <c r="AN489" s="6"/>
    </row>
    <row r="490" spans="6:40">
      <c r="F490" s="45"/>
      <c r="AL490" s="6"/>
      <c r="AN490" s="6"/>
    </row>
    <row r="491" spans="6:40">
      <c r="F491" s="45"/>
      <c r="AL491" s="6"/>
      <c r="AN491" s="6"/>
    </row>
    <row r="492" spans="6:40">
      <c r="F492" s="45"/>
      <c r="AL492" s="6"/>
      <c r="AN492" s="6"/>
    </row>
    <row r="493" spans="6:40">
      <c r="F493" s="45"/>
      <c r="AL493" s="6"/>
      <c r="AN493" s="6"/>
    </row>
    <row r="494" spans="6:40">
      <c r="F494" s="45"/>
      <c r="AL494" s="6"/>
      <c r="AN494" s="6"/>
    </row>
    <row r="495" spans="6:40">
      <c r="F495" s="45"/>
      <c r="AL495" s="6"/>
      <c r="AN495" s="6"/>
    </row>
    <row r="496" spans="6:40">
      <c r="F496" s="45"/>
      <c r="AL496" s="6"/>
      <c r="AN496" s="6"/>
    </row>
    <row r="497" spans="6:40">
      <c r="F497" s="45"/>
      <c r="AL497" s="6"/>
      <c r="AN497" s="6"/>
    </row>
    <row r="498" spans="6:40">
      <c r="F498" s="45"/>
      <c r="AL498" s="6"/>
      <c r="AN498" s="6"/>
    </row>
    <row r="499" spans="6:40">
      <c r="F499" s="45"/>
      <c r="AL499" s="6"/>
      <c r="AN499" s="6"/>
    </row>
    <row r="500" spans="6:40">
      <c r="F500" s="45"/>
      <c r="AL500" s="6"/>
      <c r="AN500" s="6"/>
    </row>
    <row r="501" spans="6:40">
      <c r="F501" s="45"/>
      <c r="AL501" s="6"/>
      <c r="AN501" s="6"/>
    </row>
    <row r="502" spans="6:40">
      <c r="F502" s="45"/>
      <c r="AL502" s="6"/>
      <c r="AN502" s="6"/>
    </row>
    <row r="503" spans="6:40">
      <c r="F503" s="45"/>
      <c r="AL503" s="6"/>
      <c r="AN503" s="6"/>
    </row>
    <row r="504" spans="6:40">
      <c r="F504" s="45"/>
      <c r="AL504" s="6"/>
      <c r="AN504" s="6"/>
    </row>
    <row r="505" spans="6:40">
      <c r="F505" s="45"/>
      <c r="AL505" s="6"/>
      <c r="AN505" s="6"/>
    </row>
    <row r="506" spans="6:40">
      <c r="F506" s="45"/>
      <c r="AL506" s="6"/>
      <c r="AN506" s="6"/>
    </row>
    <row r="507" spans="6:40">
      <c r="F507" s="45"/>
      <c r="AL507" s="6"/>
      <c r="AN507" s="6"/>
    </row>
    <row r="508" spans="6:40">
      <c r="F508" s="45"/>
      <c r="AL508" s="6"/>
      <c r="AN508" s="6"/>
    </row>
    <row r="509" spans="6:40">
      <c r="F509" s="45"/>
      <c r="AL509" s="6"/>
      <c r="AN509" s="6"/>
    </row>
    <row r="510" spans="6:40">
      <c r="F510" s="45"/>
      <c r="AL510" s="6"/>
      <c r="AN510" s="6"/>
    </row>
    <row r="511" spans="6:40">
      <c r="F511" s="45"/>
      <c r="AL511" s="6"/>
      <c r="AN511" s="6"/>
    </row>
    <row r="512" spans="6:40">
      <c r="F512" s="45"/>
      <c r="AL512" s="6"/>
      <c r="AN512" s="6"/>
    </row>
    <row r="513" spans="6:40">
      <c r="F513" s="45"/>
      <c r="AL513" s="6"/>
      <c r="AN513" s="6"/>
    </row>
    <row r="514" spans="6:40">
      <c r="F514" s="45"/>
      <c r="AL514" s="6"/>
      <c r="AN514" s="6"/>
    </row>
    <row r="515" spans="6:40">
      <c r="F515" s="45"/>
      <c r="AL515" s="6"/>
      <c r="AN515" s="6"/>
    </row>
    <row r="516" spans="6:40">
      <c r="F516" s="45"/>
      <c r="AL516" s="6"/>
      <c r="AN516" s="6"/>
    </row>
    <row r="517" spans="6:40">
      <c r="F517" s="45"/>
      <c r="AL517" s="6"/>
      <c r="AN517" s="6"/>
    </row>
    <row r="518" spans="6:40">
      <c r="F518" s="45"/>
      <c r="AL518" s="6"/>
      <c r="AN518" s="6"/>
    </row>
    <row r="519" spans="6:40">
      <c r="F519" s="45"/>
      <c r="AL519" s="6"/>
      <c r="AN519" s="6"/>
    </row>
    <row r="520" spans="6:40">
      <c r="F520" s="45"/>
      <c r="AL520" s="6"/>
      <c r="AN520" s="6"/>
    </row>
    <row r="521" spans="6:40">
      <c r="F521" s="45"/>
      <c r="AL521" s="6"/>
      <c r="AN521" s="6"/>
    </row>
    <row r="522" spans="6:40">
      <c r="F522" s="45"/>
      <c r="AL522" s="6"/>
      <c r="AN522" s="6"/>
    </row>
    <row r="523" spans="6:40">
      <c r="F523" s="45"/>
      <c r="AL523" s="6"/>
      <c r="AN523" s="6"/>
    </row>
    <row r="524" spans="6:40">
      <c r="F524" s="45"/>
      <c r="AL524" s="6"/>
      <c r="AN524" s="6"/>
    </row>
    <row r="525" spans="6:40">
      <c r="F525" s="45"/>
      <c r="AL525" s="6"/>
      <c r="AN525" s="6"/>
    </row>
    <row r="526" spans="6:40">
      <c r="F526" s="45"/>
      <c r="AL526" s="6"/>
      <c r="AN526" s="6"/>
    </row>
    <row r="527" spans="6:40">
      <c r="F527" s="45"/>
      <c r="AL527" s="6"/>
      <c r="AN527" s="6"/>
    </row>
    <row r="528" spans="6:40">
      <c r="F528" s="45"/>
      <c r="AL528" s="6"/>
      <c r="AN528" s="6"/>
    </row>
    <row r="529" spans="6:40">
      <c r="F529" s="45"/>
      <c r="AL529" s="6"/>
      <c r="AN529" s="6"/>
    </row>
    <row r="530" spans="6:40">
      <c r="F530" s="45"/>
      <c r="AL530" s="6"/>
      <c r="AN530" s="6"/>
    </row>
    <row r="531" spans="6:40">
      <c r="F531" s="45"/>
      <c r="AL531" s="6"/>
      <c r="AN531" s="6"/>
    </row>
    <row r="532" spans="6:40">
      <c r="F532" s="45"/>
      <c r="AL532" s="6"/>
      <c r="AN532" s="6"/>
    </row>
    <row r="533" spans="6:40">
      <c r="F533" s="45"/>
      <c r="AL533" s="6"/>
      <c r="AN533" s="6"/>
    </row>
    <row r="534" spans="6:40">
      <c r="F534" s="45"/>
      <c r="AL534" s="6"/>
      <c r="AN534" s="6"/>
    </row>
    <row r="535" spans="6:40">
      <c r="F535" s="45"/>
      <c r="AL535" s="6"/>
      <c r="AN535" s="6"/>
    </row>
    <row r="536" spans="6:40">
      <c r="F536" s="45"/>
      <c r="AL536" s="6"/>
      <c r="AN536" s="6"/>
    </row>
    <row r="537" spans="6:40">
      <c r="F537" s="45"/>
      <c r="AL537" s="6"/>
      <c r="AN537" s="6"/>
    </row>
    <row r="538" spans="6:40">
      <c r="F538" s="45"/>
      <c r="AL538" s="6"/>
      <c r="AN538" s="6"/>
    </row>
    <row r="539" spans="6:40">
      <c r="F539" s="45"/>
      <c r="AL539" s="6"/>
      <c r="AN539" s="6"/>
    </row>
    <row r="540" spans="6:40">
      <c r="F540" s="45"/>
      <c r="AL540" s="6"/>
      <c r="AN540" s="6"/>
    </row>
    <row r="541" spans="6:40">
      <c r="F541" s="45"/>
      <c r="AL541" s="6"/>
      <c r="AN541" s="6"/>
    </row>
    <row r="542" spans="6:40">
      <c r="F542" s="45"/>
      <c r="AL542" s="6"/>
      <c r="AN542" s="6"/>
    </row>
    <row r="543" spans="6:40">
      <c r="F543" s="45"/>
      <c r="AL543" s="6"/>
      <c r="AN543" s="6"/>
    </row>
    <row r="544" spans="6:40">
      <c r="F544" s="45"/>
      <c r="AL544" s="6"/>
      <c r="AN544" s="6"/>
    </row>
    <row r="545" spans="6:40">
      <c r="F545" s="45"/>
      <c r="AL545" s="6"/>
      <c r="AN545" s="6"/>
    </row>
    <row r="546" spans="6:40">
      <c r="F546" s="45"/>
      <c r="AL546" s="6"/>
      <c r="AN546" s="6"/>
    </row>
    <row r="547" spans="6:40">
      <c r="F547" s="45"/>
      <c r="AL547" s="6"/>
      <c r="AN547" s="6"/>
    </row>
    <row r="548" spans="6:40">
      <c r="F548" s="45"/>
      <c r="AL548" s="6"/>
      <c r="AN548" s="6"/>
    </row>
    <row r="549" spans="6:40">
      <c r="F549" s="45"/>
      <c r="AL549" s="6"/>
      <c r="AN549" s="6"/>
    </row>
    <row r="550" spans="6:40">
      <c r="F550" s="45"/>
      <c r="AL550" s="6"/>
      <c r="AN550" s="6"/>
    </row>
    <row r="551" spans="6:40">
      <c r="F551" s="45"/>
      <c r="AL551" s="6"/>
      <c r="AN551" s="6"/>
    </row>
    <row r="552" spans="6:40">
      <c r="F552" s="45"/>
      <c r="AL552" s="6"/>
      <c r="AN552" s="6"/>
    </row>
    <row r="553" spans="6:40">
      <c r="F553" s="45"/>
      <c r="AL553" s="6"/>
      <c r="AN553" s="6"/>
    </row>
    <row r="554" spans="6:40">
      <c r="F554" s="45"/>
      <c r="AL554" s="6"/>
      <c r="AN554" s="6"/>
    </row>
    <row r="555" spans="6:40">
      <c r="F555" s="45"/>
      <c r="AL555" s="6"/>
      <c r="AN555" s="6"/>
    </row>
    <row r="556" spans="6:40">
      <c r="F556" s="45"/>
      <c r="AL556" s="6"/>
      <c r="AN556" s="6"/>
    </row>
    <row r="557" spans="6:40">
      <c r="F557" s="45"/>
      <c r="AL557" s="6"/>
      <c r="AN557" s="6"/>
    </row>
    <row r="558" spans="6:40">
      <c r="F558" s="45"/>
      <c r="AL558" s="6"/>
      <c r="AN558" s="6"/>
    </row>
    <row r="559" spans="6:40">
      <c r="F559" s="45"/>
      <c r="AL559" s="6"/>
      <c r="AN559" s="6"/>
    </row>
    <row r="560" spans="6:40">
      <c r="F560" s="45"/>
      <c r="AL560" s="6"/>
      <c r="AN560" s="6"/>
    </row>
    <row r="561" spans="6:40">
      <c r="F561" s="45"/>
      <c r="AL561" s="6"/>
      <c r="AN561" s="6"/>
    </row>
    <row r="562" spans="6:40">
      <c r="F562" s="45"/>
      <c r="AL562" s="6"/>
      <c r="AN562" s="6"/>
    </row>
    <row r="563" spans="6:40">
      <c r="F563" s="45"/>
      <c r="AL563" s="6"/>
      <c r="AN563" s="6"/>
    </row>
    <row r="564" spans="6:40">
      <c r="F564" s="45"/>
      <c r="AL564" s="6"/>
      <c r="AN564" s="6"/>
    </row>
    <row r="565" spans="6:40">
      <c r="F565" s="45"/>
      <c r="AL565" s="6"/>
      <c r="AN565" s="6"/>
    </row>
    <row r="566" spans="6:40">
      <c r="F566" s="45"/>
      <c r="AL566" s="6"/>
      <c r="AN566" s="6"/>
    </row>
    <row r="567" spans="6:40">
      <c r="F567" s="45"/>
      <c r="AL567" s="6"/>
      <c r="AN567" s="6"/>
    </row>
    <row r="568" spans="6:40">
      <c r="F568" s="45"/>
      <c r="AL568" s="6"/>
      <c r="AN568" s="6"/>
    </row>
    <row r="569" spans="6:40">
      <c r="F569" s="45"/>
      <c r="AL569" s="6"/>
      <c r="AN569" s="6"/>
    </row>
    <row r="570" spans="6:40">
      <c r="F570" s="45"/>
      <c r="AL570" s="6"/>
      <c r="AN570" s="6"/>
    </row>
    <row r="571" spans="6:40">
      <c r="F571" s="45"/>
      <c r="AL571" s="6"/>
      <c r="AN571" s="6"/>
    </row>
    <row r="572" spans="6:40">
      <c r="F572" s="45"/>
      <c r="AL572" s="6"/>
      <c r="AN572" s="6"/>
    </row>
    <row r="573" spans="6:40">
      <c r="F573" s="45"/>
      <c r="AL573" s="6"/>
      <c r="AN573" s="6"/>
    </row>
    <row r="574" spans="6:40">
      <c r="F574" s="45"/>
      <c r="AL574" s="6"/>
      <c r="AN574" s="6"/>
    </row>
    <row r="575" spans="6:40">
      <c r="F575" s="45"/>
      <c r="AL575" s="6"/>
      <c r="AN575" s="6"/>
    </row>
    <row r="576" spans="6:40">
      <c r="F576" s="45"/>
      <c r="AL576" s="6"/>
      <c r="AN576" s="6"/>
    </row>
    <row r="577" spans="6:40">
      <c r="F577" s="45"/>
      <c r="AL577" s="6"/>
      <c r="AN577" s="6"/>
    </row>
    <row r="578" spans="6:40">
      <c r="F578" s="45"/>
      <c r="AL578" s="6"/>
      <c r="AN578" s="6"/>
    </row>
    <row r="579" spans="6:40">
      <c r="F579" s="45"/>
      <c r="AL579" s="6"/>
      <c r="AN579" s="6"/>
    </row>
    <row r="580" spans="6:40">
      <c r="F580" s="45"/>
      <c r="AL580" s="6"/>
      <c r="AN580" s="6"/>
    </row>
    <row r="581" spans="6:40">
      <c r="F581" s="45"/>
      <c r="AL581" s="6"/>
      <c r="AN581" s="6"/>
    </row>
    <row r="582" spans="6:40">
      <c r="F582" s="45"/>
      <c r="AL582" s="6"/>
      <c r="AN582" s="6"/>
    </row>
    <row r="583" spans="6:40">
      <c r="F583" s="45"/>
      <c r="AL583" s="6"/>
      <c r="AN583" s="6"/>
    </row>
    <row r="584" spans="6:40">
      <c r="F584" s="45"/>
      <c r="AL584" s="6"/>
      <c r="AN584" s="6"/>
    </row>
    <row r="585" spans="6:40">
      <c r="F585" s="45"/>
      <c r="AL585" s="6"/>
      <c r="AN585" s="6"/>
    </row>
    <row r="586" spans="6:40">
      <c r="F586" s="45"/>
      <c r="AL586" s="6"/>
      <c r="AN586" s="6"/>
    </row>
    <row r="587" spans="6:40">
      <c r="F587" s="45"/>
      <c r="AL587" s="6"/>
      <c r="AN587" s="6"/>
    </row>
    <row r="588" spans="6:40">
      <c r="F588" s="45"/>
      <c r="AL588" s="6"/>
      <c r="AN588" s="6"/>
    </row>
    <row r="589" spans="6:40">
      <c r="F589" s="45"/>
      <c r="AL589" s="6"/>
      <c r="AN589" s="6"/>
    </row>
    <row r="590" spans="6:40">
      <c r="F590" s="45"/>
      <c r="AL590" s="6"/>
      <c r="AN590" s="6"/>
    </row>
    <row r="591" spans="6:40">
      <c r="F591" s="45"/>
      <c r="AL591" s="6"/>
      <c r="AN591" s="6"/>
    </row>
    <row r="592" spans="6:40">
      <c r="F592" s="45"/>
      <c r="AL592" s="6"/>
      <c r="AN592" s="6"/>
    </row>
    <row r="593" spans="6:40">
      <c r="F593" s="45"/>
      <c r="AL593" s="6"/>
      <c r="AN593" s="6"/>
    </row>
    <row r="594" spans="6:40">
      <c r="F594" s="45"/>
      <c r="AL594" s="6"/>
      <c r="AN594" s="6"/>
    </row>
    <row r="595" spans="6:40">
      <c r="F595" s="45"/>
      <c r="AL595" s="6"/>
      <c r="AN595" s="6"/>
    </row>
    <row r="596" spans="6:40">
      <c r="F596" s="45"/>
      <c r="AL596" s="6"/>
      <c r="AN596" s="6"/>
    </row>
    <row r="597" spans="6:40">
      <c r="F597" s="45"/>
      <c r="AL597" s="6"/>
      <c r="AN597" s="6"/>
    </row>
    <row r="598" spans="6:40">
      <c r="F598" s="45"/>
      <c r="AL598" s="6"/>
      <c r="AN598" s="6"/>
    </row>
    <row r="599" spans="6:40">
      <c r="F599" s="45"/>
      <c r="AL599" s="6"/>
      <c r="AN599" s="6"/>
    </row>
    <row r="600" spans="6:40">
      <c r="F600" s="45"/>
      <c r="AL600" s="6"/>
      <c r="AN600" s="6"/>
    </row>
    <row r="601" spans="6:40">
      <c r="F601" s="45"/>
      <c r="AL601" s="6"/>
      <c r="AN601" s="6"/>
    </row>
    <row r="602" spans="6:40">
      <c r="F602" s="45"/>
      <c r="AL602" s="6"/>
      <c r="AN602" s="6"/>
    </row>
    <row r="603" spans="6:40">
      <c r="F603" s="45"/>
      <c r="AL603" s="6"/>
      <c r="AN603" s="6"/>
    </row>
    <row r="604" spans="6:40">
      <c r="F604" s="45"/>
      <c r="AL604" s="6"/>
      <c r="AN604" s="6"/>
    </row>
    <row r="605" spans="6:40">
      <c r="F605" s="45"/>
      <c r="AL605" s="6"/>
      <c r="AN605" s="6"/>
    </row>
    <row r="606" spans="6:40">
      <c r="F606" s="45"/>
      <c r="AL606" s="6"/>
      <c r="AN606" s="6"/>
    </row>
    <row r="607" spans="6:40">
      <c r="F607" s="45"/>
      <c r="AL607" s="6"/>
      <c r="AN607" s="6"/>
    </row>
    <row r="608" spans="6:40">
      <c r="F608" s="45"/>
      <c r="AL608" s="6"/>
      <c r="AN608" s="6"/>
    </row>
    <row r="609" spans="6:40">
      <c r="F609" s="45"/>
      <c r="AL609" s="6"/>
      <c r="AN609" s="6"/>
    </row>
    <row r="610" spans="6:40">
      <c r="F610" s="45"/>
      <c r="AL610" s="6"/>
      <c r="AN610" s="6"/>
    </row>
    <row r="611" spans="6:40">
      <c r="F611" s="45"/>
      <c r="AL611" s="6"/>
      <c r="AN611" s="6"/>
    </row>
    <row r="612" spans="6:40">
      <c r="F612" s="45"/>
      <c r="AL612" s="6"/>
      <c r="AN612" s="6"/>
    </row>
    <row r="613" spans="6:40">
      <c r="F613" s="45"/>
      <c r="AL613" s="6"/>
      <c r="AN613" s="6"/>
    </row>
    <row r="614" spans="6:40">
      <c r="F614" s="45"/>
      <c r="AL614" s="6"/>
      <c r="AN614" s="6"/>
    </row>
    <row r="615" spans="6:40">
      <c r="F615" s="45"/>
      <c r="AL615" s="6"/>
      <c r="AN615" s="6"/>
    </row>
    <row r="616" spans="6:40">
      <c r="F616" s="45"/>
      <c r="AL616" s="6"/>
      <c r="AN616" s="6"/>
    </row>
    <row r="617" spans="6:40">
      <c r="F617" s="45"/>
      <c r="AL617" s="6"/>
      <c r="AN617" s="6"/>
    </row>
    <row r="618" spans="6:40">
      <c r="F618" s="45"/>
      <c r="AL618" s="6"/>
      <c r="AN618" s="6"/>
    </row>
    <row r="619" spans="6:40">
      <c r="F619" s="45"/>
      <c r="AL619" s="6"/>
      <c r="AN619" s="6"/>
    </row>
    <row r="620" spans="6:40">
      <c r="F620" s="45"/>
      <c r="AL620" s="6"/>
      <c r="AN620" s="6"/>
    </row>
    <row r="621" spans="6:40">
      <c r="F621" s="45"/>
      <c r="AL621" s="6"/>
      <c r="AN621" s="6"/>
    </row>
    <row r="622" spans="6:40">
      <c r="F622" s="45"/>
      <c r="AL622" s="6"/>
      <c r="AN622" s="6"/>
    </row>
    <row r="623" spans="6:40">
      <c r="F623" s="45"/>
      <c r="AL623" s="6"/>
      <c r="AN623" s="6"/>
    </row>
    <row r="624" spans="6:40">
      <c r="F624" s="45"/>
      <c r="AL624" s="6"/>
      <c r="AN624" s="6"/>
    </row>
    <row r="625" spans="6:40">
      <c r="F625" s="45"/>
      <c r="AL625" s="6"/>
      <c r="AN625" s="6"/>
    </row>
    <row r="626" spans="6:40">
      <c r="F626" s="45"/>
      <c r="AL626" s="6"/>
      <c r="AN626" s="6"/>
    </row>
    <row r="627" spans="6:40">
      <c r="F627" s="45"/>
      <c r="AL627" s="6"/>
      <c r="AN627" s="6"/>
    </row>
    <row r="628" spans="6:40">
      <c r="F628" s="45"/>
      <c r="AL628" s="6"/>
      <c r="AN628" s="6"/>
    </row>
    <row r="629" spans="6:40">
      <c r="F629" s="45"/>
      <c r="AL629" s="6"/>
      <c r="AN629" s="6"/>
    </row>
    <row r="630" spans="6:40">
      <c r="F630" s="45"/>
      <c r="AL630" s="6"/>
      <c r="AN630" s="6"/>
    </row>
    <row r="631" spans="6:40">
      <c r="F631" s="45"/>
      <c r="AL631" s="6"/>
      <c r="AN631" s="6"/>
    </row>
    <row r="632" spans="6:40">
      <c r="F632" s="45"/>
      <c r="AL632" s="6"/>
      <c r="AN632" s="6"/>
    </row>
    <row r="633" spans="6:40">
      <c r="F633" s="45"/>
      <c r="AL633" s="6"/>
      <c r="AN633" s="6"/>
    </row>
    <row r="634" spans="6:40">
      <c r="F634" s="45"/>
      <c r="AL634" s="6"/>
      <c r="AN634" s="6"/>
    </row>
    <row r="635" spans="6:40">
      <c r="F635" s="45"/>
      <c r="AL635" s="6"/>
      <c r="AN635" s="6"/>
    </row>
    <row r="636" spans="6:40">
      <c r="F636" s="45"/>
      <c r="AL636" s="6"/>
      <c r="AN636" s="6"/>
    </row>
    <row r="637" spans="6:40">
      <c r="F637" s="45"/>
      <c r="AL637" s="6"/>
      <c r="AN637" s="6"/>
    </row>
    <row r="638" spans="6:40">
      <c r="F638" s="45"/>
      <c r="AL638" s="6"/>
      <c r="AN638" s="6"/>
    </row>
    <row r="639" spans="6:40">
      <c r="F639" s="45"/>
      <c r="AL639" s="6"/>
      <c r="AN639" s="6"/>
    </row>
    <row r="640" spans="6:40">
      <c r="F640" s="45"/>
      <c r="AL640" s="6"/>
      <c r="AN640" s="6"/>
    </row>
    <row r="641" spans="6:40">
      <c r="F641" s="45"/>
      <c r="AL641" s="6"/>
      <c r="AN641" s="6"/>
    </row>
    <row r="642" spans="6:40">
      <c r="F642" s="45"/>
      <c r="AL642" s="6"/>
      <c r="AN642" s="6"/>
    </row>
  </sheetData>
  <conditionalFormatting sqref="B1:C642">
    <cfRule type="expression" dxfId="4" priority="1">
      <formula>COUNTIF(B:B,B1)&gt;1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I1001"/>
  <sheetViews>
    <sheetView workbookViewId="0">
      <pane ySplit="5" topLeftCell="A6" activePane="bottomLeft" state="frozen"/>
      <selection pane="bottomLeft" activeCell="B7" sqref="B7"/>
    </sheetView>
  </sheetViews>
  <sheetFormatPr defaultColWidth="12.6640625" defaultRowHeight="15.75" customHeight="1"/>
  <cols>
    <col min="1" max="1" width="10.109375" customWidth="1"/>
    <col min="2" max="2" width="26.77734375" customWidth="1"/>
    <col min="3" max="3" width="17.109375" customWidth="1"/>
    <col min="4" max="4" width="9" customWidth="1"/>
    <col min="5" max="33" width="9.88671875" customWidth="1"/>
    <col min="34" max="34" width="15.109375" hidden="1" customWidth="1"/>
    <col min="35" max="35" width="13" hidden="1" customWidth="1"/>
    <col min="36" max="90" width="31.6640625" customWidth="1"/>
  </cols>
  <sheetData>
    <row r="1" spans="1:35">
      <c r="B1" s="98" t="s">
        <v>30</v>
      </c>
      <c r="C1" s="98" t="s">
        <v>31</v>
      </c>
      <c r="D1" s="98" t="s">
        <v>845</v>
      </c>
      <c r="E1" s="188"/>
      <c r="F1" s="189"/>
      <c r="G1" s="189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</row>
    <row r="2" spans="1:35">
      <c r="B2" s="11" t="s">
        <v>136</v>
      </c>
      <c r="C2" s="11"/>
      <c r="D2" s="11" t="s">
        <v>363</v>
      </c>
      <c r="F2" s="189"/>
      <c r="G2" s="189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</row>
    <row r="3" spans="1:35">
      <c r="E3" s="188"/>
      <c r="F3" s="189"/>
      <c r="G3" s="189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</row>
    <row r="4" spans="1:35">
      <c r="D4" s="127" t="s">
        <v>94</v>
      </c>
      <c r="E4" s="128">
        <f t="shared" ref="E4:H4" ca="1" si="0">SUM(E6:E1001)</f>
        <v>791667</v>
      </c>
      <c r="F4" s="123">
        <f t="shared" ca="1" si="0"/>
        <v>6000000</v>
      </c>
      <c r="G4" s="123">
        <f t="shared" ca="1" si="0"/>
        <v>2169675.7400000002</v>
      </c>
      <c r="H4" s="123">
        <f t="shared" ca="1" si="0"/>
        <v>593098.26</v>
      </c>
      <c r="I4" s="190">
        <f ca="1">SUM(G4:H4)/SUM(E4:F4)</f>
        <v>0.40678878985085692</v>
      </c>
      <c r="J4" s="123">
        <f t="shared" ref="J4:Y4" ca="1" si="1">SUM(J6:J1001)</f>
        <v>111</v>
      </c>
      <c r="K4" s="123">
        <f t="shared" ca="1" si="1"/>
        <v>84</v>
      </c>
      <c r="L4" s="123">
        <f t="shared" ca="1" si="1"/>
        <v>4</v>
      </c>
      <c r="M4" s="123">
        <f t="shared" ca="1" si="1"/>
        <v>115</v>
      </c>
      <c r="N4" s="123">
        <f t="shared" ca="1" si="1"/>
        <v>31</v>
      </c>
      <c r="O4" s="123">
        <f t="shared" ca="1" si="1"/>
        <v>142945.25</v>
      </c>
      <c r="P4" s="123">
        <f t="shared" ca="1" si="1"/>
        <v>35</v>
      </c>
      <c r="Q4" s="123">
        <f t="shared" ca="1" si="1"/>
        <v>3</v>
      </c>
      <c r="R4" s="123">
        <f t="shared" ca="1" si="1"/>
        <v>65</v>
      </c>
      <c r="S4" s="123">
        <f t="shared" ca="1" si="1"/>
        <v>92</v>
      </c>
      <c r="T4" s="123">
        <f t="shared" ca="1" si="1"/>
        <v>50</v>
      </c>
      <c r="U4" s="123">
        <f t="shared" ca="1" si="1"/>
        <v>28</v>
      </c>
      <c r="V4" s="123">
        <f t="shared" ca="1" si="1"/>
        <v>2</v>
      </c>
      <c r="W4" s="123">
        <f t="shared" ca="1" si="1"/>
        <v>245</v>
      </c>
      <c r="X4" s="123">
        <f t="shared" ca="1" si="1"/>
        <v>417</v>
      </c>
      <c r="Y4" s="123">
        <f t="shared" ca="1" si="1"/>
        <v>103</v>
      </c>
      <c r="Z4" s="123">
        <f ca="1">SUM(G4:H4)/Y4</f>
        <v>26823.048543689321</v>
      </c>
      <c r="AA4" s="123">
        <f ca="1">X4/Y4</f>
        <v>4.0485436893203888</v>
      </c>
      <c r="AB4" s="123">
        <f t="shared" ref="AB4:AC4" ca="1" si="2">SUM(AB6:AB1001)</f>
        <v>24</v>
      </c>
      <c r="AC4" s="123">
        <f t="shared" ca="1" si="2"/>
        <v>0</v>
      </c>
      <c r="AD4" s="190">
        <f ca="1">SUM(AB4:AC4)/SUM(G4:H4)</f>
        <v>8.6869211886314258E-6</v>
      </c>
      <c r="AE4" s="183">
        <f ca="1">G4/P4</f>
        <v>61990.735428571432</v>
      </c>
      <c r="AF4" s="191"/>
      <c r="AG4" s="188"/>
    </row>
    <row r="5" spans="1:35">
      <c r="A5" s="127" t="s">
        <v>31</v>
      </c>
      <c r="B5" s="127" t="s">
        <v>6</v>
      </c>
      <c r="C5" s="127" t="s">
        <v>32</v>
      </c>
      <c r="D5" s="192" t="s">
        <v>34</v>
      </c>
      <c r="E5" s="128" t="s">
        <v>37</v>
      </c>
      <c r="F5" s="123" t="s">
        <v>131</v>
      </c>
      <c r="G5" s="123" t="s">
        <v>115</v>
      </c>
      <c r="H5" s="128" t="s">
        <v>384</v>
      </c>
      <c r="I5" s="128" t="s">
        <v>43</v>
      </c>
      <c r="J5" s="128" t="s">
        <v>47</v>
      </c>
      <c r="K5" s="128" t="s">
        <v>385</v>
      </c>
      <c r="L5" s="128" t="s">
        <v>49</v>
      </c>
      <c r="M5" s="128" t="s">
        <v>52</v>
      </c>
      <c r="N5" s="128" t="s">
        <v>53</v>
      </c>
      <c r="O5" s="128" t="s">
        <v>55</v>
      </c>
      <c r="P5" s="128" t="s">
        <v>58</v>
      </c>
      <c r="Q5" s="128" t="s">
        <v>59</v>
      </c>
      <c r="R5" s="128" t="s">
        <v>60</v>
      </c>
      <c r="S5" s="128" t="s">
        <v>61</v>
      </c>
      <c r="T5" s="128" t="s">
        <v>64</v>
      </c>
      <c r="U5" s="128" t="s">
        <v>66</v>
      </c>
      <c r="V5" s="128" t="s">
        <v>69</v>
      </c>
      <c r="W5" s="128" t="s">
        <v>70</v>
      </c>
      <c r="X5" s="128" t="s">
        <v>71</v>
      </c>
      <c r="Y5" s="128" t="s">
        <v>72</v>
      </c>
      <c r="Z5" s="128" t="s">
        <v>388</v>
      </c>
      <c r="AA5" s="128" t="s">
        <v>74</v>
      </c>
      <c r="AB5" s="128" t="s">
        <v>75</v>
      </c>
      <c r="AC5" s="128" t="s">
        <v>76</v>
      </c>
      <c r="AD5" s="128" t="s">
        <v>77</v>
      </c>
      <c r="AE5" s="128" t="s">
        <v>78</v>
      </c>
      <c r="AF5" s="128" t="s">
        <v>88</v>
      </c>
      <c r="AH5" s="11" t="str">
        <f ca="1">IFERROR(__xludf.DUMMYFUNCTION("UNIQUE(QUERY('Jul Month'!A2:AV1001,""SELECT A,B WHERE A= '""&amp;B2&amp;""'""))"),"Nasir Hussain Khan")</f>
        <v>Nasir Hussain Khan</v>
      </c>
      <c r="AI5" s="11" t="str">
        <f ca="1">IFERROR(__xludf.DUMMYFUNCTION("""COMPUTED_VALUE"""),"Jammu &amp; kashmir")</f>
        <v>Jammu &amp; kashmir</v>
      </c>
    </row>
    <row r="6" spans="1:35">
      <c r="A6" s="21" t="str">
        <f ca="1">IFERROR(__xludf.DUMMYFUNCTION("Sort(QUERY('Jul Month'!A2:AV1001,""SELECT B,C,E,F,G,H,I,J,AN,K,L,M,N,O,Q,T,U,V,W,Z,AB,AD,AE,AF,AG,AH,AI,AJ,AK,AL,AM,AU WHERE A CONTAINS '""&amp;B2&amp;""' AND B CONTAINS '""&amp;C2&amp;""' AND AV CONTAINS '""&amp;D2&amp;""'""),4,1)"),"Jammu &amp; kashmir")</f>
        <v>Jammu &amp; kashmir</v>
      </c>
      <c r="B6" s="21" t="str">
        <f ca="1">IFERROR(__xludf.DUMMYFUNCTION("""COMPUTED_VALUE"""),"PAWAN KUMAR")</f>
        <v>PAWAN KUMAR</v>
      </c>
      <c r="C6" s="21" t="str">
        <f ca="1">IFERROR(__xludf.DUMMYFUNCTION("""COMPUTED_VALUE"""),"JAMMU")</f>
        <v>JAMMU</v>
      </c>
      <c r="D6" s="29">
        <f ca="1">IFERROR(__xludf.DUMMYFUNCTION("""COMPUTED_VALUE"""),44684)</f>
        <v>44684</v>
      </c>
      <c r="E6" s="191">
        <f ca="1">IFERROR(__xludf.DUMMYFUNCTION("""COMPUTED_VALUE"""),333333)</f>
        <v>333333</v>
      </c>
      <c r="F6" s="183">
        <f ca="1">IFERROR(__xludf.DUMMYFUNCTION("""COMPUTED_VALUE"""),2000000)</f>
        <v>2000000</v>
      </c>
      <c r="G6" s="183">
        <f ca="1">IFERROR(__xludf.DUMMYFUNCTION("""COMPUTED_VALUE"""),1403156.58)</f>
        <v>1403156.58</v>
      </c>
      <c r="H6" s="191">
        <f ca="1">IFERROR(__xludf.DUMMYFUNCTION("""COMPUTED_VALUE"""),0)</f>
        <v>0</v>
      </c>
      <c r="I6" s="193">
        <f ca="1">IFERROR(__xludf.DUMMYFUNCTION("""COMPUTED_VALUE"""),0.601352905907558)</f>
        <v>0.60135290590755797</v>
      </c>
      <c r="J6" s="191">
        <f ca="1">IFERROR(__xludf.DUMMYFUNCTION("""COMPUTED_VALUE"""),31)</f>
        <v>31</v>
      </c>
      <c r="K6" s="191">
        <f ca="1">IFERROR(__xludf.DUMMYFUNCTION("""COMPUTED_VALUE"""),28)</f>
        <v>28</v>
      </c>
      <c r="L6" s="191">
        <f ca="1">IFERROR(__xludf.DUMMYFUNCTION("""COMPUTED_VALUE"""),0)</f>
        <v>0</v>
      </c>
      <c r="M6" s="191">
        <f ca="1">IFERROR(__xludf.DUMMYFUNCTION("""COMPUTED_VALUE"""),31)</f>
        <v>31</v>
      </c>
      <c r="N6" s="191">
        <f ca="1">IFERROR(__xludf.DUMMYFUNCTION("""COMPUTED_VALUE"""),3)</f>
        <v>3</v>
      </c>
      <c r="O6" s="191">
        <f ca="1">IFERROR(__xludf.DUMMYFUNCTION("""COMPUTED_VALUE"""),0)</f>
        <v>0</v>
      </c>
      <c r="P6" s="191">
        <f ca="1">IFERROR(__xludf.DUMMYFUNCTION("""COMPUTED_VALUE"""),10)</f>
        <v>10</v>
      </c>
      <c r="Q6" s="191">
        <f ca="1">IFERROR(__xludf.DUMMYFUNCTION("""COMPUTED_VALUE"""),0)</f>
        <v>0</v>
      </c>
      <c r="R6" s="191">
        <f ca="1">IFERROR(__xludf.DUMMYFUNCTION("""COMPUTED_VALUE"""),1)</f>
        <v>1</v>
      </c>
      <c r="S6" s="191">
        <f ca="1">IFERROR(__xludf.DUMMYFUNCTION("""COMPUTED_VALUE"""),1)</f>
        <v>1</v>
      </c>
      <c r="T6" s="191">
        <f ca="1">IFERROR(__xludf.DUMMYFUNCTION("""COMPUTED_VALUE"""),15)</f>
        <v>15</v>
      </c>
      <c r="U6" s="191">
        <f ca="1">IFERROR(__xludf.DUMMYFUNCTION("""COMPUTED_VALUE"""),0)</f>
        <v>0</v>
      </c>
      <c r="V6" s="191">
        <f ca="1">IFERROR(__xludf.DUMMYFUNCTION("""COMPUTED_VALUE"""),0)</f>
        <v>0</v>
      </c>
      <c r="W6" s="191">
        <f ca="1">IFERROR(__xludf.DUMMYFUNCTION("""COMPUTED_VALUE"""),107)</f>
        <v>107</v>
      </c>
      <c r="X6" s="191">
        <f ca="1">IFERROR(__xludf.DUMMYFUNCTION("""COMPUTED_VALUE"""),123)</f>
        <v>123</v>
      </c>
      <c r="Y6" s="191">
        <f ca="1">IFERROR(__xludf.DUMMYFUNCTION("""COMPUTED_VALUE"""),25)</f>
        <v>25</v>
      </c>
      <c r="Z6" s="183">
        <f ca="1">IFERROR(__xludf.DUMMYFUNCTION("""COMPUTED_VALUE"""),56126.2632)</f>
        <v>56126.263200000001</v>
      </c>
      <c r="AA6" s="183">
        <f ca="1">IFERROR(__xludf.DUMMYFUNCTION("""COMPUTED_VALUE"""),4.92)</f>
        <v>4.92</v>
      </c>
      <c r="AB6" s="194">
        <f ca="1">IFERROR(__xludf.DUMMYFUNCTION("""COMPUTED_VALUE"""),1)</f>
        <v>1</v>
      </c>
      <c r="AC6" s="191">
        <f ca="1">IFERROR(__xludf.DUMMYFUNCTION("""COMPUTED_VALUE"""),0)</f>
        <v>0</v>
      </c>
      <c r="AD6" s="193">
        <f ca="1">IFERROR(__xludf.DUMMYFUNCTION("""COMPUTED_VALUE"""),7.12678837311228E-07)</f>
        <v>7.1267883731122803E-7</v>
      </c>
      <c r="AE6" s="183">
        <f ca="1">IFERROR(__xludf.DUMMYFUNCTION("""COMPUTED_VALUE"""),140316)</f>
        <v>140316</v>
      </c>
      <c r="AF6" s="195"/>
      <c r="AG6" s="189"/>
    </row>
    <row r="7" spans="1:35">
      <c r="A7" s="21" t="str">
        <f ca="1">IFERROR(__xludf.DUMMYFUNCTION("""COMPUTED_VALUE"""),"Jammu &amp; kashmir")</f>
        <v>Jammu &amp; kashmir</v>
      </c>
      <c r="B7" s="21" t="str">
        <f ca="1">IFERROR(__xludf.DUMMYFUNCTION("""COMPUTED_VALUE"""),"Tafazul Nazir")</f>
        <v>Tafazul Nazir</v>
      </c>
      <c r="C7" s="21" t="str">
        <f ca="1">IFERROR(__xludf.DUMMYFUNCTION("""COMPUTED_VALUE"""),"Srinagar")</f>
        <v>Srinagar</v>
      </c>
      <c r="D7" s="29">
        <f ca="1">IFERROR(__xludf.DUMMYFUNCTION("""COMPUTED_VALUE"""),45068)</f>
        <v>45068</v>
      </c>
      <c r="E7" s="191">
        <f ca="1">IFERROR(__xludf.DUMMYFUNCTION("""COMPUTED_VALUE"""),125000)</f>
        <v>125000</v>
      </c>
      <c r="F7" s="183">
        <f ca="1">IFERROR(__xludf.DUMMYFUNCTION("""COMPUTED_VALUE"""),2000000)</f>
        <v>2000000</v>
      </c>
      <c r="G7" s="183">
        <f ca="1">IFERROR(__xludf.DUMMYFUNCTION("""COMPUTED_VALUE"""),444761.35)</f>
        <v>444761.35</v>
      </c>
      <c r="H7" s="191">
        <f ca="1">IFERROR(__xludf.DUMMYFUNCTION("""COMPUTED_VALUE"""),593098.26)</f>
        <v>593098.26</v>
      </c>
      <c r="I7" s="193">
        <f ca="1">IFERROR(__xludf.DUMMYFUNCTION("""COMPUTED_VALUE"""),0.488404522352941)</f>
        <v>0.48840452235294102</v>
      </c>
      <c r="J7" s="191">
        <f ca="1">IFERROR(__xludf.DUMMYFUNCTION("""COMPUTED_VALUE"""),48)</f>
        <v>48</v>
      </c>
      <c r="K7" s="191">
        <f ca="1">IFERROR(__xludf.DUMMYFUNCTION("""COMPUTED_VALUE"""),27)</f>
        <v>27</v>
      </c>
      <c r="L7" s="191">
        <f ca="1">IFERROR(__xludf.DUMMYFUNCTION("""COMPUTED_VALUE"""),0)</f>
        <v>0</v>
      </c>
      <c r="M7" s="191">
        <f ca="1">IFERROR(__xludf.DUMMYFUNCTION("""COMPUTED_VALUE"""),48)</f>
        <v>48</v>
      </c>
      <c r="N7" s="191">
        <f ca="1">IFERROR(__xludf.DUMMYFUNCTION("""COMPUTED_VALUE"""),21)</f>
        <v>21</v>
      </c>
      <c r="O7" s="191">
        <f ca="1">IFERROR(__xludf.DUMMYFUNCTION("""COMPUTED_VALUE"""),0)</f>
        <v>0</v>
      </c>
      <c r="P7" s="191">
        <f ca="1">IFERROR(__xludf.DUMMYFUNCTION("""COMPUTED_VALUE"""),11)</f>
        <v>11</v>
      </c>
      <c r="Q7" s="191">
        <f ca="1">IFERROR(__xludf.DUMMYFUNCTION("""COMPUTED_VALUE"""),3)</f>
        <v>3</v>
      </c>
      <c r="R7" s="191">
        <f ca="1">IFERROR(__xludf.DUMMYFUNCTION("""COMPUTED_VALUE"""),8)</f>
        <v>8</v>
      </c>
      <c r="S7" s="191">
        <f ca="1">IFERROR(__xludf.DUMMYFUNCTION("""COMPUTED_VALUE"""),11)</f>
        <v>11</v>
      </c>
      <c r="T7" s="191">
        <f ca="1">IFERROR(__xludf.DUMMYFUNCTION("""COMPUTED_VALUE"""),9)</f>
        <v>9</v>
      </c>
      <c r="U7" s="191">
        <f ca="1">IFERROR(__xludf.DUMMYFUNCTION("""COMPUTED_VALUE"""),20)</f>
        <v>20</v>
      </c>
      <c r="V7" s="191">
        <f ca="1">IFERROR(__xludf.DUMMYFUNCTION("""COMPUTED_VALUE"""),2)</f>
        <v>2</v>
      </c>
      <c r="W7" s="191">
        <f ca="1">IFERROR(__xludf.DUMMYFUNCTION("""COMPUTED_VALUE"""),46)</f>
        <v>46</v>
      </c>
      <c r="X7" s="191">
        <f ca="1">IFERROR(__xludf.DUMMYFUNCTION("""COMPUTED_VALUE"""),88)</f>
        <v>88</v>
      </c>
      <c r="Y7" s="191">
        <f ca="1">IFERROR(__xludf.DUMMYFUNCTION("""COMPUTED_VALUE"""),27)</f>
        <v>27</v>
      </c>
      <c r="Z7" s="183">
        <f ca="1">IFERROR(__xludf.DUMMYFUNCTION("""COMPUTED_VALUE"""),38439.2448148148)</f>
        <v>38439.244814814803</v>
      </c>
      <c r="AA7" s="183">
        <f ca="1">IFERROR(__xludf.DUMMYFUNCTION("""COMPUTED_VALUE"""),3.25925925925925)</f>
        <v>3.2592592592592502</v>
      </c>
      <c r="AB7" s="194">
        <f ca="1">IFERROR(__xludf.DUMMYFUNCTION("""COMPUTED_VALUE"""),17)</f>
        <v>17</v>
      </c>
      <c r="AC7" s="191">
        <f ca="1">IFERROR(__xludf.DUMMYFUNCTION("""COMPUTED_VALUE"""),0)</f>
        <v>0</v>
      </c>
      <c r="AD7" s="193">
        <f ca="1">IFERROR(__xludf.DUMMYFUNCTION("""COMPUTED_VALUE"""),0.0000163798647102183)</f>
        <v>1.6379864710218299E-5</v>
      </c>
      <c r="AE7" s="183">
        <f ca="1">IFERROR(__xludf.DUMMYFUNCTION("""COMPUTED_VALUE"""),40433)</f>
        <v>40433</v>
      </c>
      <c r="AF7" s="195"/>
      <c r="AG7" s="188"/>
    </row>
    <row r="8" spans="1:35">
      <c r="A8" s="21" t="str">
        <f ca="1">IFERROR(__xludf.DUMMYFUNCTION("""COMPUTED_VALUE"""),"Jammu &amp; kashmir")</f>
        <v>Jammu &amp; kashmir</v>
      </c>
      <c r="B8" s="21" t="str">
        <f ca="1">IFERROR(__xludf.DUMMYFUNCTION("""COMPUTED_VALUE"""),"Vishant Bandhral")</f>
        <v>Vishant Bandhral</v>
      </c>
      <c r="C8" s="21" t="str">
        <f ca="1">IFERROR(__xludf.DUMMYFUNCTION("""COMPUTED_VALUE"""),"Udhampur")</f>
        <v>Udhampur</v>
      </c>
      <c r="D8" s="29">
        <f ca="1">IFERROR(__xludf.DUMMYFUNCTION("""COMPUTED_VALUE"""),45208)</f>
        <v>45208</v>
      </c>
      <c r="E8" s="191">
        <f ca="1">IFERROR(__xludf.DUMMYFUNCTION("""COMPUTED_VALUE"""),166667)</f>
        <v>166667</v>
      </c>
      <c r="F8" s="183">
        <f ca="1">IFERROR(__xludf.DUMMYFUNCTION("""COMPUTED_VALUE"""),1000000)</f>
        <v>1000000</v>
      </c>
      <c r="G8" s="183">
        <f ca="1">IFERROR(__xludf.DUMMYFUNCTION("""COMPUTED_VALUE"""),126287.56)</f>
        <v>126287.56</v>
      </c>
      <c r="H8" s="191">
        <f ca="1">IFERROR(__xludf.DUMMYFUNCTION("""COMPUTED_VALUE"""),0)</f>
        <v>0</v>
      </c>
      <c r="I8" s="193">
        <f ca="1">IFERROR(__xludf.DUMMYFUNCTION("""COMPUTED_VALUE"""),0.108246449072443)</f>
        <v>0.108246449072443</v>
      </c>
      <c r="J8" s="191">
        <f ca="1">IFERROR(__xludf.DUMMYFUNCTION("""COMPUTED_VALUE"""),21)</f>
        <v>21</v>
      </c>
      <c r="K8" s="191">
        <f ca="1">IFERROR(__xludf.DUMMYFUNCTION("""COMPUTED_VALUE"""),19)</f>
        <v>19</v>
      </c>
      <c r="L8" s="191">
        <f ca="1">IFERROR(__xludf.DUMMYFUNCTION("""COMPUTED_VALUE"""),0)</f>
        <v>0</v>
      </c>
      <c r="M8" s="191">
        <f ca="1">IFERROR(__xludf.DUMMYFUNCTION("""COMPUTED_VALUE"""),21)</f>
        <v>21</v>
      </c>
      <c r="N8" s="191">
        <f ca="1">IFERROR(__xludf.DUMMYFUNCTION("""COMPUTED_VALUE"""),2)</f>
        <v>2</v>
      </c>
      <c r="O8" s="191">
        <f ca="1">IFERROR(__xludf.DUMMYFUNCTION("""COMPUTED_VALUE"""),0)</f>
        <v>0</v>
      </c>
      <c r="P8" s="191">
        <f ca="1">IFERROR(__xludf.DUMMYFUNCTION("""COMPUTED_VALUE"""),7)</f>
        <v>7</v>
      </c>
      <c r="Q8" s="191">
        <f ca="1">IFERROR(__xludf.DUMMYFUNCTION("""COMPUTED_VALUE"""),0)</f>
        <v>0</v>
      </c>
      <c r="R8" s="191">
        <f ca="1">IFERROR(__xludf.DUMMYFUNCTION("""COMPUTED_VALUE"""),2)</f>
        <v>2</v>
      </c>
      <c r="S8" s="191">
        <f ca="1">IFERROR(__xludf.DUMMYFUNCTION("""COMPUTED_VALUE"""),2)</f>
        <v>2</v>
      </c>
      <c r="T8" s="191">
        <f ca="1">IFERROR(__xludf.DUMMYFUNCTION("""COMPUTED_VALUE"""),3)</f>
        <v>3</v>
      </c>
      <c r="U8" s="191">
        <f ca="1">IFERROR(__xludf.DUMMYFUNCTION("""COMPUTED_VALUE"""),4)</f>
        <v>4</v>
      </c>
      <c r="V8" s="191">
        <f ca="1">IFERROR(__xludf.DUMMYFUNCTION("""COMPUTED_VALUE"""),0)</f>
        <v>0</v>
      </c>
      <c r="W8" s="191">
        <f ca="1">IFERROR(__xludf.DUMMYFUNCTION("""COMPUTED_VALUE"""),73)</f>
        <v>73</v>
      </c>
      <c r="X8" s="191">
        <f ca="1">IFERROR(__xludf.DUMMYFUNCTION("""COMPUTED_VALUE"""),82)</f>
        <v>82</v>
      </c>
      <c r="Y8" s="191">
        <f ca="1">IFERROR(__xludf.DUMMYFUNCTION("""COMPUTED_VALUE"""),24)</f>
        <v>24</v>
      </c>
      <c r="Z8" s="183">
        <f ca="1">IFERROR(__xludf.DUMMYFUNCTION("""COMPUTED_VALUE"""),5261.98166666666)</f>
        <v>5261.9816666666602</v>
      </c>
      <c r="AA8" s="183">
        <f ca="1">IFERROR(__xludf.DUMMYFUNCTION("""COMPUTED_VALUE"""),3.41666666666666)</f>
        <v>3.4166666666666599</v>
      </c>
      <c r="AB8" s="194">
        <f ca="1">IFERROR(__xludf.DUMMYFUNCTION("""COMPUTED_VALUE"""),2)</f>
        <v>2</v>
      </c>
      <c r="AC8" s="191">
        <f ca="1">IFERROR(__xludf.DUMMYFUNCTION("""COMPUTED_VALUE"""),0)</f>
        <v>0</v>
      </c>
      <c r="AD8" s="193">
        <f ca="1">IFERROR(__xludf.DUMMYFUNCTION("""COMPUTED_VALUE"""),0.0000158368726104138)</f>
        <v>1.58368726104138E-5</v>
      </c>
      <c r="AE8" s="183">
        <f ca="1">IFERROR(__xludf.DUMMYFUNCTION("""COMPUTED_VALUE"""),18041)</f>
        <v>18041</v>
      </c>
      <c r="AF8" s="195"/>
      <c r="AG8" s="188"/>
    </row>
    <row r="9" spans="1:35">
      <c r="A9" s="21" t="str">
        <f ca="1">IFERROR(__xludf.DUMMYFUNCTION("""COMPUTED_VALUE"""),"Jammu &amp; kashmir")</f>
        <v>Jammu &amp; kashmir</v>
      </c>
      <c r="B9" s="21" t="str">
        <f ca="1">IFERROR(__xludf.DUMMYFUNCTION("""COMPUTED_VALUE"""),"Irfan Ahmad Wani")</f>
        <v>Irfan Ahmad Wani</v>
      </c>
      <c r="C9" s="21" t="str">
        <f ca="1">IFERROR(__xludf.DUMMYFUNCTION("""COMPUTED_VALUE"""),"Anantnag")</f>
        <v>Anantnag</v>
      </c>
      <c r="D9" s="29">
        <f ca="1">IFERROR(__xludf.DUMMYFUNCTION("""COMPUTED_VALUE"""),45765)</f>
        <v>45765</v>
      </c>
      <c r="E9" s="191">
        <f ca="1">IFERROR(__xludf.DUMMYFUNCTION("""COMPUTED_VALUE"""),166667)</f>
        <v>166667</v>
      </c>
      <c r="F9" s="183">
        <f ca="1">IFERROR(__xludf.DUMMYFUNCTION("""COMPUTED_VALUE"""),1000000)</f>
        <v>1000000</v>
      </c>
      <c r="G9" s="183">
        <f ca="1">IFERROR(__xludf.DUMMYFUNCTION("""COMPUTED_VALUE"""),195470.25)</f>
        <v>195470.25</v>
      </c>
      <c r="H9" s="191">
        <f ca="1">IFERROR(__xludf.DUMMYFUNCTION("""COMPUTED_VALUE"""),0)</f>
        <v>0</v>
      </c>
      <c r="I9" s="193">
        <f ca="1">IFERROR(__xludf.DUMMYFUNCTION("""COMPUTED_VALUE"""),0.167545880701176)</f>
        <v>0.16754588070117599</v>
      </c>
      <c r="J9" s="191">
        <f ca="1">IFERROR(__xludf.DUMMYFUNCTION("""COMPUTED_VALUE"""),11)</f>
        <v>11</v>
      </c>
      <c r="K9" s="191">
        <f ca="1">IFERROR(__xludf.DUMMYFUNCTION("""COMPUTED_VALUE"""),10)</f>
        <v>10</v>
      </c>
      <c r="L9" s="191">
        <f ca="1">IFERROR(__xludf.DUMMYFUNCTION("""COMPUTED_VALUE"""),4)</f>
        <v>4</v>
      </c>
      <c r="M9" s="191">
        <f ca="1">IFERROR(__xludf.DUMMYFUNCTION("""COMPUTED_VALUE"""),15)</f>
        <v>15</v>
      </c>
      <c r="N9" s="191">
        <f ca="1">IFERROR(__xludf.DUMMYFUNCTION("""COMPUTED_VALUE"""),5)</f>
        <v>5</v>
      </c>
      <c r="O9" s="191">
        <f ca="1">IFERROR(__xludf.DUMMYFUNCTION("""COMPUTED_VALUE"""),142945.25)</f>
        <v>142945.25</v>
      </c>
      <c r="P9" s="191">
        <f ca="1">IFERROR(__xludf.DUMMYFUNCTION("""COMPUTED_VALUE"""),7)</f>
        <v>7</v>
      </c>
      <c r="Q9" s="191">
        <f ca="1">IFERROR(__xludf.DUMMYFUNCTION("""COMPUTED_VALUE"""),0)</f>
        <v>0</v>
      </c>
      <c r="R9" s="191">
        <f ca="1">IFERROR(__xludf.DUMMYFUNCTION("""COMPUTED_VALUE"""),54)</f>
        <v>54</v>
      </c>
      <c r="S9" s="191">
        <f ca="1">IFERROR(__xludf.DUMMYFUNCTION("""COMPUTED_VALUE"""),78)</f>
        <v>78</v>
      </c>
      <c r="T9" s="191">
        <f ca="1">IFERROR(__xludf.DUMMYFUNCTION("""COMPUTED_VALUE"""),23)</f>
        <v>23</v>
      </c>
      <c r="U9" s="191">
        <f ca="1">IFERROR(__xludf.DUMMYFUNCTION("""COMPUTED_VALUE"""),4)</f>
        <v>4</v>
      </c>
      <c r="V9" s="191">
        <f ca="1">IFERROR(__xludf.DUMMYFUNCTION("""COMPUTED_VALUE"""),0)</f>
        <v>0</v>
      </c>
      <c r="W9" s="191">
        <f ca="1">IFERROR(__xludf.DUMMYFUNCTION("""COMPUTED_VALUE"""),19)</f>
        <v>19</v>
      </c>
      <c r="X9" s="191">
        <f ca="1">IFERROR(__xludf.DUMMYFUNCTION("""COMPUTED_VALUE"""),124)</f>
        <v>124</v>
      </c>
      <c r="Y9" s="191">
        <f ca="1">IFERROR(__xludf.DUMMYFUNCTION("""COMPUTED_VALUE"""),27)</f>
        <v>27</v>
      </c>
      <c r="Z9" s="183">
        <f ca="1">IFERROR(__xludf.DUMMYFUNCTION("""COMPUTED_VALUE"""),7239.63888888888)</f>
        <v>7239.6388888888796</v>
      </c>
      <c r="AA9" s="183">
        <f ca="1">IFERROR(__xludf.DUMMYFUNCTION("""COMPUTED_VALUE"""),4.59259259259259)</f>
        <v>4.5925925925925899</v>
      </c>
      <c r="AB9" s="194">
        <f ca="1">IFERROR(__xludf.DUMMYFUNCTION("""COMPUTED_VALUE"""),4)</f>
        <v>4</v>
      </c>
      <c r="AC9" s="191">
        <f ca="1">IFERROR(__xludf.DUMMYFUNCTION("""COMPUTED_VALUE"""),0)</f>
        <v>0</v>
      </c>
      <c r="AD9" s="193">
        <f ca="1">IFERROR(__xludf.DUMMYFUNCTION("""COMPUTED_VALUE"""),0.0000204634720628842)</f>
        <v>2.0463472062884199E-5</v>
      </c>
      <c r="AE9" s="183">
        <f ca="1">IFERROR(__xludf.DUMMYFUNCTION("""COMPUTED_VALUE"""),27924)</f>
        <v>27924</v>
      </c>
      <c r="AF9" s="195"/>
      <c r="AG9" s="188"/>
    </row>
    <row r="10" spans="1:35">
      <c r="A10" s="21"/>
      <c r="B10" s="21"/>
      <c r="C10" s="21"/>
      <c r="D10" s="21"/>
      <c r="E10" s="191"/>
      <c r="F10" s="183"/>
      <c r="G10" s="183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88"/>
    </row>
    <row r="11" spans="1:35">
      <c r="A11" s="21"/>
      <c r="B11" s="21"/>
      <c r="C11" s="21"/>
      <c r="D11" s="21"/>
      <c r="E11" s="191"/>
      <c r="F11" s="183"/>
      <c r="G11" s="183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88"/>
    </row>
    <row r="12" spans="1:35">
      <c r="A12" s="21"/>
      <c r="B12" s="21"/>
      <c r="C12" s="21"/>
      <c r="D12" s="21"/>
      <c r="E12" s="191"/>
      <c r="F12" s="183"/>
      <c r="G12" s="183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88"/>
    </row>
    <row r="13" spans="1:35">
      <c r="A13" s="21"/>
      <c r="B13" s="21"/>
      <c r="C13" s="21"/>
      <c r="D13" s="21"/>
      <c r="E13" s="191"/>
      <c r="F13" s="183"/>
      <c r="G13" s="183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88"/>
    </row>
    <row r="14" spans="1:35">
      <c r="A14" s="21"/>
      <c r="B14" s="21"/>
      <c r="C14" s="21"/>
      <c r="D14" s="21"/>
      <c r="E14" s="191"/>
      <c r="F14" s="183"/>
      <c r="G14" s="183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88"/>
    </row>
    <row r="15" spans="1:35">
      <c r="A15" s="21"/>
      <c r="B15" s="21"/>
      <c r="C15" s="21"/>
      <c r="D15" s="21"/>
      <c r="E15" s="191"/>
      <c r="F15" s="183"/>
      <c r="G15" s="183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88"/>
    </row>
    <row r="16" spans="1:35">
      <c r="A16" s="21"/>
      <c r="B16" s="21"/>
      <c r="C16" s="21"/>
      <c r="D16" s="21"/>
      <c r="E16" s="191"/>
      <c r="F16" s="183"/>
      <c r="G16" s="183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88"/>
    </row>
    <row r="17" spans="1:33">
      <c r="A17" s="21"/>
      <c r="B17" s="21"/>
      <c r="C17" s="21"/>
      <c r="D17" s="21"/>
      <c r="E17" s="191"/>
      <c r="F17" s="183"/>
      <c r="G17" s="183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88"/>
    </row>
    <row r="18" spans="1:33">
      <c r="A18" s="21"/>
      <c r="B18" s="21"/>
      <c r="C18" s="21"/>
      <c r="D18" s="21"/>
      <c r="E18" s="191"/>
      <c r="F18" s="183"/>
      <c r="G18" s="183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88"/>
    </row>
    <row r="19" spans="1:33">
      <c r="A19" s="21"/>
      <c r="B19" s="21"/>
      <c r="C19" s="21"/>
      <c r="D19" s="21"/>
      <c r="E19" s="191"/>
      <c r="F19" s="183"/>
      <c r="G19" s="183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88"/>
    </row>
    <row r="20" spans="1:33">
      <c r="A20" s="21"/>
      <c r="B20" s="21"/>
      <c r="C20" s="21"/>
      <c r="D20" s="21"/>
      <c r="E20" s="191"/>
      <c r="F20" s="183"/>
      <c r="G20" s="183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88"/>
    </row>
    <row r="21" spans="1:33">
      <c r="A21" s="21"/>
      <c r="B21" s="21"/>
      <c r="C21" s="21"/>
      <c r="D21" s="21"/>
      <c r="E21" s="191"/>
      <c r="F21" s="183"/>
      <c r="G21" s="183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88"/>
    </row>
    <row r="22" spans="1:33">
      <c r="A22" s="21"/>
      <c r="B22" s="21"/>
      <c r="C22" s="21"/>
      <c r="D22" s="21"/>
      <c r="E22" s="191"/>
      <c r="F22" s="183"/>
      <c r="G22" s="183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88"/>
    </row>
    <row r="23" spans="1:33">
      <c r="A23" s="21"/>
      <c r="B23" s="21"/>
      <c r="C23" s="21"/>
      <c r="D23" s="21"/>
      <c r="E23" s="191"/>
      <c r="F23" s="183"/>
      <c r="G23" s="183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88"/>
    </row>
    <row r="24" spans="1:33">
      <c r="A24" s="21"/>
      <c r="B24" s="21"/>
      <c r="C24" s="21"/>
      <c r="D24" s="21"/>
      <c r="E24" s="191"/>
      <c r="F24" s="183"/>
      <c r="G24" s="183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88"/>
    </row>
    <row r="25" spans="1:33">
      <c r="A25" s="21"/>
      <c r="B25" s="21"/>
      <c r="C25" s="21"/>
      <c r="D25" s="21"/>
      <c r="E25" s="191"/>
      <c r="F25" s="183"/>
      <c r="G25" s="183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88"/>
    </row>
    <row r="26" spans="1:33">
      <c r="A26" s="21"/>
      <c r="B26" s="21"/>
      <c r="C26" s="21"/>
      <c r="D26" s="21"/>
      <c r="E26" s="191"/>
      <c r="F26" s="183"/>
      <c r="G26" s="183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88"/>
    </row>
    <row r="27" spans="1:33">
      <c r="A27" s="21"/>
      <c r="B27" s="21"/>
      <c r="C27" s="21"/>
      <c r="D27" s="21"/>
      <c r="E27" s="191"/>
      <c r="F27" s="183"/>
      <c r="G27" s="183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88"/>
    </row>
    <row r="28" spans="1:33">
      <c r="A28" s="21"/>
      <c r="B28" s="21"/>
      <c r="C28" s="21"/>
      <c r="D28" s="21"/>
      <c r="E28" s="191"/>
      <c r="F28" s="183"/>
      <c r="G28" s="183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88"/>
    </row>
    <row r="29" spans="1:33">
      <c r="A29" s="21"/>
      <c r="B29" s="21"/>
      <c r="C29" s="21"/>
      <c r="D29" s="21"/>
      <c r="E29" s="191"/>
      <c r="F29" s="183"/>
      <c r="G29" s="183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88"/>
    </row>
    <row r="30" spans="1:33">
      <c r="A30" s="21"/>
      <c r="B30" s="21"/>
      <c r="C30" s="21"/>
      <c r="D30" s="21"/>
      <c r="E30" s="191"/>
      <c r="F30" s="183"/>
      <c r="G30" s="183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88"/>
    </row>
    <row r="31" spans="1:33">
      <c r="A31" s="21"/>
      <c r="B31" s="21"/>
      <c r="C31" s="21"/>
      <c r="D31" s="21"/>
      <c r="E31" s="191"/>
      <c r="F31" s="183"/>
      <c r="G31" s="183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88"/>
    </row>
    <row r="32" spans="1:33">
      <c r="A32" s="21"/>
      <c r="B32" s="21"/>
      <c r="C32" s="21"/>
      <c r="D32" s="21"/>
      <c r="E32" s="191"/>
      <c r="F32" s="183"/>
      <c r="G32" s="183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88"/>
    </row>
    <row r="33" spans="1:33">
      <c r="A33" s="21"/>
      <c r="B33" s="21"/>
      <c r="C33" s="21"/>
      <c r="D33" s="21"/>
      <c r="E33" s="191"/>
      <c r="F33" s="183"/>
      <c r="G33" s="183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88"/>
    </row>
    <row r="34" spans="1:33">
      <c r="A34" s="21"/>
      <c r="B34" s="21"/>
      <c r="C34" s="21"/>
      <c r="D34" s="21"/>
      <c r="E34" s="191"/>
      <c r="F34" s="183"/>
      <c r="G34" s="183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6"/>
      <c r="AG34" s="188"/>
    </row>
    <row r="35" spans="1:33">
      <c r="A35" s="21"/>
      <c r="B35" s="21"/>
      <c r="C35" s="21"/>
      <c r="D35" s="21"/>
      <c r="E35" s="191"/>
      <c r="F35" s="183"/>
      <c r="G35" s="183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6"/>
      <c r="AG35" s="188"/>
    </row>
    <row r="36" spans="1:33">
      <c r="A36" s="21"/>
      <c r="B36" s="21"/>
      <c r="C36" s="21"/>
      <c r="D36" s="21"/>
      <c r="E36" s="191"/>
      <c r="F36" s="183"/>
      <c r="G36" s="183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6"/>
      <c r="AG36" s="188"/>
    </row>
    <row r="37" spans="1:33">
      <c r="A37" s="21"/>
      <c r="B37" s="21"/>
      <c r="C37" s="21"/>
      <c r="D37" s="21"/>
      <c r="E37" s="191"/>
      <c r="F37" s="183"/>
      <c r="G37" s="183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6"/>
      <c r="AG37" s="188"/>
    </row>
    <row r="38" spans="1:33">
      <c r="A38" s="21"/>
      <c r="B38" s="21"/>
      <c r="C38" s="21"/>
      <c r="D38" s="21"/>
      <c r="E38" s="191"/>
      <c r="F38" s="183"/>
      <c r="G38" s="183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6"/>
      <c r="AG38" s="188"/>
    </row>
    <row r="39" spans="1:33">
      <c r="A39" s="21"/>
      <c r="B39" s="21"/>
      <c r="C39" s="21"/>
      <c r="D39" s="21"/>
      <c r="E39" s="191"/>
      <c r="F39" s="183"/>
      <c r="G39" s="183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6"/>
      <c r="AG39" s="188"/>
    </row>
    <row r="40" spans="1:33">
      <c r="A40" s="21"/>
      <c r="B40" s="21"/>
      <c r="C40" s="21"/>
      <c r="D40" s="21"/>
      <c r="E40" s="191"/>
      <c r="F40" s="183"/>
      <c r="G40" s="183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6"/>
      <c r="AG40" s="188"/>
    </row>
    <row r="41" spans="1:33">
      <c r="A41" s="21"/>
      <c r="B41" s="21"/>
      <c r="C41" s="21"/>
      <c r="D41" s="21"/>
      <c r="E41" s="191"/>
      <c r="F41" s="183"/>
      <c r="G41" s="183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6"/>
      <c r="AG41" s="188"/>
    </row>
    <row r="42" spans="1:33">
      <c r="A42" s="21"/>
      <c r="B42" s="21"/>
      <c r="C42" s="21"/>
      <c r="D42" s="21"/>
      <c r="E42" s="191"/>
      <c r="F42" s="183"/>
      <c r="G42" s="183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6"/>
      <c r="AG42" s="188"/>
    </row>
    <row r="43" spans="1:33">
      <c r="A43" s="21"/>
      <c r="B43" s="21"/>
      <c r="C43" s="21"/>
      <c r="D43" s="21"/>
      <c r="E43" s="191"/>
      <c r="F43" s="183"/>
      <c r="G43" s="183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6"/>
      <c r="AG43" s="188"/>
    </row>
    <row r="44" spans="1:33">
      <c r="A44" s="21"/>
      <c r="B44" s="21"/>
      <c r="C44" s="21"/>
      <c r="D44" s="21"/>
      <c r="E44" s="191"/>
      <c r="F44" s="183"/>
      <c r="G44" s="183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6"/>
      <c r="AG44" s="188"/>
    </row>
    <row r="45" spans="1:33">
      <c r="A45" s="21"/>
      <c r="B45" s="21"/>
      <c r="C45" s="21"/>
      <c r="D45" s="21"/>
      <c r="E45" s="191"/>
      <c r="F45" s="183"/>
      <c r="G45" s="183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6"/>
      <c r="AG45" s="188"/>
    </row>
    <row r="46" spans="1:33">
      <c r="A46" s="21"/>
      <c r="B46" s="21"/>
      <c r="C46" s="21"/>
      <c r="D46" s="21"/>
      <c r="E46" s="191"/>
      <c r="F46" s="183"/>
      <c r="G46" s="183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6"/>
      <c r="AG46" s="188"/>
    </row>
    <row r="47" spans="1:33">
      <c r="A47" s="21"/>
      <c r="B47" s="21"/>
      <c r="C47" s="21"/>
      <c r="D47" s="21"/>
      <c r="E47" s="191"/>
      <c r="F47" s="183"/>
      <c r="G47" s="183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6"/>
      <c r="AG47" s="188"/>
    </row>
    <row r="48" spans="1:33">
      <c r="A48" s="21"/>
      <c r="B48" s="21"/>
      <c r="C48" s="21"/>
      <c r="D48" s="21"/>
      <c r="E48" s="191"/>
      <c r="F48" s="183"/>
      <c r="G48" s="183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6"/>
      <c r="AG48" s="188"/>
    </row>
    <row r="49" spans="1:33">
      <c r="A49" s="21"/>
      <c r="B49" s="21"/>
      <c r="C49" s="21"/>
      <c r="D49" s="21"/>
      <c r="E49" s="191"/>
      <c r="F49" s="183"/>
      <c r="G49" s="183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6"/>
      <c r="AG49" s="188"/>
    </row>
    <row r="50" spans="1:33">
      <c r="A50" s="21"/>
      <c r="B50" s="21"/>
      <c r="C50" s="21"/>
      <c r="D50" s="21"/>
      <c r="E50" s="191"/>
      <c r="F50" s="183"/>
      <c r="G50" s="183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6"/>
      <c r="AG50" s="188"/>
    </row>
    <row r="51" spans="1:33">
      <c r="A51" s="21"/>
      <c r="B51" s="21"/>
      <c r="C51" s="21"/>
      <c r="D51" s="21"/>
      <c r="E51" s="191"/>
      <c r="F51" s="183"/>
      <c r="G51" s="183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6"/>
      <c r="AG51" s="188"/>
    </row>
    <row r="52" spans="1:33">
      <c r="A52" s="21"/>
      <c r="B52" s="21"/>
      <c r="C52" s="21"/>
      <c r="D52" s="21"/>
      <c r="E52" s="191"/>
      <c r="F52" s="183"/>
      <c r="G52" s="183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6"/>
      <c r="AG52" s="188"/>
    </row>
    <row r="53" spans="1:33">
      <c r="A53" s="21"/>
      <c r="B53" s="21"/>
      <c r="C53" s="21"/>
      <c r="D53" s="21"/>
      <c r="E53" s="191"/>
      <c r="F53" s="183"/>
      <c r="G53" s="183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6"/>
      <c r="AG53" s="188"/>
    </row>
    <row r="54" spans="1:33">
      <c r="A54" s="21"/>
      <c r="B54" s="21"/>
      <c r="C54" s="21"/>
      <c r="D54" s="21"/>
      <c r="E54" s="191"/>
      <c r="F54" s="183"/>
      <c r="G54" s="183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6"/>
      <c r="AG54" s="188"/>
    </row>
    <row r="55" spans="1:33">
      <c r="A55" s="21"/>
      <c r="B55" s="21"/>
      <c r="C55" s="21"/>
      <c r="D55" s="21"/>
      <c r="E55" s="191"/>
      <c r="F55" s="183"/>
      <c r="G55" s="183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6"/>
      <c r="AG55" s="188"/>
    </row>
    <row r="56" spans="1:33">
      <c r="A56" s="21"/>
      <c r="B56" s="21"/>
      <c r="C56" s="21"/>
      <c r="D56" s="21"/>
      <c r="E56" s="191"/>
      <c r="F56" s="183"/>
      <c r="G56" s="183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6"/>
      <c r="AG56" s="188"/>
    </row>
    <row r="57" spans="1:33">
      <c r="A57" s="21"/>
      <c r="B57" s="21"/>
      <c r="C57" s="21"/>
      <c r="D57" s="21"/>
      <c r="E57" s="191"/>
      <c r="F57" s="183"/>
      <c r="G57" s="183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6"/>
      <c r="AG57" s="188"/>
    </row>
    <row r="58" spans="1:33">
      <c r="A58" s="21"/>
      <c r="B58" s="21"/>
      <c r="C58" s="21"/>
      <c r="D58" s="21"/>
      <c r="E58" s="191"/>
      <c r="F58" s="183"/>
      <c r="G58" s="183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6"/>
      <c r="AG58" s="188"/>
    </row>
    <row r="59" spans="1:33">
      <c r="A59" s="21"/>
      <c r="B59" s="21"/>
      <c r="C59" s="21"/>
      <c r="D59" s="21"/>
      <c r="E59" s="191"/>
      <c r="F59" s="183"/>
      <c r="G59" s="183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6"/>
      <c r="AG59" s="188"/>
    </row>
    <row r="60" spans="1:33">
      <c r="A60" s="21"/>
      <c r="B60" s="21"/>
      <c r="C60" s="21"/>
      <c r="D60" s="21"/>
      <c r="E60" s="191"/>
      <c r="F60" s="183"/>
      <c r="G60" s="183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6"/>
      <c r="AG60" s="188"/>
    </row>
    <row r="61" spans="1:33">
      <c r="A61" s="21"/>
      <c r="B61" s="21"/>
      <c r="C61" s="21"/>
      <c r="D61" s="21"/>
      <c r="E61" s="191"/>
      <c r="F61" s="183"/>
      <c r="G61" s="183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6"/>
      <c r="AG61" s="188"/>
    </row>
    <row r="62" spans="1:33">
      <c r="A62" s="21"/>
      <c r="B62" s="21"/>
      <c r="C62" s="21"/>
      <c r="D62" s="21"/>
      <c r="E62" s="191"/>
      <c r="F62" s="183"/>
      <c r="G62" s="183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6"/>
      <c r="AG62" s="188"/>
    </row>
    <row r="63" spans="1:33">
      <c r="A63" s="21"/>
      <c r="B63" s="21"/>
      <c r="C63" s="21"/>
      <c r="D63" s="21"/>
      <c r="E63" s="191"/>
      <c r="F63" s="183"/>
      <c r="G63" s="183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6"/>
      <c r="AG63" s="188"/>
    </row>
    <row r="64" spans="1:33">
      <c r="A64" s="21"/>
      <c r="B64" s="21"/>
      <c r="C64" s="21"/>
      <c r="D64" s="21"/>
      <c r="E64" s="191"/>
      <c r="F64" s="183"/>
      <c r="G64" s="183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6"/>
      <c r="AG64" s="188"/>
    </row>
    <row r="65" spans="1:33">
      <c r="A65" s="21"/>
      <c r="B65" s="21"/>
      <c r="C65" s="21"/>
      <c r="D65" s="21"/>
      <c r="E65" s="191"/>
      <c r="F65" s="183"/>
      <c r="G65" s="183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6"/>
      <c r="AG65" s="188"/>
    </row>
    <row r="66" spans="1:33">
      <c r="A66" s="21"/>
      <c r="B66" s="21"/>
      <c r="C66" s="21"/>
      <c r="D66" s="21"/>
      <c r="E66" s="191"/>
      <c r="F66" s="183"/>
      <c r="G66" s="183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6"/>
      <c r="AG66" s="188"/>
    </row>
    <row r="67" spans="1:33">
      <c r="A67" s="21"/>
      <c r="B67" s="21"/>
      <c r="C67" s="21"/>
      <c r="D67" s="21"/>
      <c r="E67" s="191"/>
      <c r="F67" s="183"/>
      <c r="G67" s="183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6"/>
      <c r="AG67" s="188"/>
    </row>
    <row r="68" spans="1:33">
      <c r="A68" s="21"/>
      <c r="B68" s="21"/>
      <c r="C68" s="21"/>
      <c r="D68" s="21"/>
      <c r="E68" s="191"/>
      <c r="F68" s="183"/>
      <c r="G68" s="183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6"/>
      <c r="AG68" s="188"/>
    </row>
    <row r="69" spans="1:33">
      <c r="A69" s="21"/>
      <c r="B69" s="21"/>
      <c r="C69" s="21"/>
      <c r="D69" s="21"/>
      <c r="E69" s="191"/>
      <c r="F69" s="183"/>
      <c r="G69" s="183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6"/>
      <c r="AG69" s="188"/>
    </row>
    <row r="70" spans="1:33">
      <c r="A70" s="21"/>
      <c r="B70" s="21"/>
      <c r="C70" s="21"/>
      <c r="D70" s="21"/>
      <c r="E70" s="191"/>
      <c r="F70" s="183"/>
      <c r="G70" s="183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6"/>
      <c r="AG70" s="188"/>
    </row>
    <row r="71" spans="1:33">
      <c r="A71" s="21"/>
      <c r="B71" s="21"/>
      <c r="C71" s="21"/>
      <c r="D71" s="21"/>
      <c r="E71" s="191"/>
      <c r="F71" s="183"/>
      <c r="G71" s="183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6"/>
      <c r="AG71" s="188"/>
    </row>
    <row r="72" spans="1:33">
      <c r="A72" s="21"/>
      <c r="B72" s="21"/>
      <c r="C72" s="21"/>
      <c r="D72" s="21"/>
      <c r="E72" s="191"/>
      <c r="F72" s="183"/>
      <c r="G72" s="183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6"/>
      <c r="AG72" s="188"/>
    </row>
    <row r="73" spans="1:33">
      <c r="A73" s="21"/>
      <c r="B73" s="21"/>
      <c r="C73" s="21"/>
      <c r="D73" s="21"/>
      <c r="E73" s="191"/>
      <c r="F73" s="183"/>
      <c r="G73" s="183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6"/>
      <c r="AG73" s="188"/>
    </row>
    <row r="74" spans="1:33">
      <c r="A74" s="21"/>
      <c r="B74" s="21"/>
      <c r="C74" s="21"/>
      <c r="D74" s="21"/>
      <c r="E74" s="191"/>
      <c r="F74" s="183"/>
      <c r="G74" s="183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6"/>
      <c r="AG74" s="188"/>
    </row>
    <row r="75" spans="1:33">
      <c r="A75" s="21"/>
      <c r="B75" s="21"/>
      <c r="C75" s="21"/>
      <c r="D75" s="21"/>
      <c r="E75" s="191"/>
      <c r="F75" s="183"/>
      <c r="G75" s="183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6"/>
      <c r="AG75" s="188"/>
    </row>
    <row r="76" spans="1:33">
      <c r="A76" s="21"/>
      <c r="B76" s="21"/>
      <c r="C76" s="21"/>
      <c r="D76" s="21"/>
      <c r="E76" s="191"/>
      <c r="F76" s="183"/>
      <c r="G76" s="183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6"/>
      <c r="AG76" s="188"/>
    </row>
    <row r="77" spans="1:33">
      <c r="A77" s="21"/>
      <c r="B77" s="21"/>
      <c r="C77" s="21"/>
      <c r="D77" s="21"/>
      <c r="E77" s="191"/>
      <c r="F77" s="183"/>
      <c r="G77" s="183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6"/>
      <c r="AG77" s="188"/>
    </row>
    <row r="78" spans="1:33">
      <c r="A78" s="21"/>
      <c r="B78" s="21"/>
      <c r="C78" s="21"/>
      <c r="D78" s="21"/>
      <c r="E78" s="191"/>
      <c r="F78" s="183"/>
      <c r="G78" s="183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6"/>
      <c r="AG78" s="188"/>
    </row>
    <row r="79" spans="1:33">
      <c r="A79" s="21"/>
      <c r="B79" s="21"/>
      <c r="C79" s="21"/>
      <c r="D79" s="21"/>
      <c r="E79" s="191"/>
      <c r="F79" s="183"/>
      <c r="G79" s="183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6"/>
      <c r="AG79" s="188"/>
    </row>
    <row r="80" spans="1:33">
      <c r="A80" s="21"/>
      <c r="B80" s="21"/>
      <c r="C80" s="21"/>
      <c r="D80" s="21"/>
      <c r="E80" s="191"/>
      <c r="F80" s="183"/>
      <c r="G80" s="183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6"/>
      <c r="AG80" s="188"/>
    </row>
    <row r="81" spans="1:33">
      <c r="A81" s="21"/>
      <c r="B81" s="21"/>
      <c r="C81" s="21"/>
      <c r="D81" s="21"/>
      <c r="E81" s="191"/>
      <c r="F81" s="183"/>
      <c r="G81" s="183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6"/>
      <c r="AG81" s="188"/>
    </row>
    <row r="82" spans="1:33">
      <c r="A82" s="21"/>
      <c r="B82" s="21"/>
      <c r="C82" s="21"/>
      <c r="D82" s="21"/>
      <c r="E82" s="191"/>
      <c r="F82" s="183"/>
      <c r="G82" s="183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6"/>
      <c r="AG82" s="188"/>
    </row>
    <row r="83" spans="1:33">
      <c r="A83" s="21"/>
      <c r="B83" s="21"/>
      <c r="C83" s="21"/>
      <c r="D83" s="21"/>
      <c r="E83" s="191"/>
      <c r="F83" s="183"/>
      <c r="G83" s="183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6"/>
      <c r="AG83" s="188"/>
    </row>
    <row r="84" spans="1:33">
      <c r="A84" s="21"/>
      <c r="B84" s="21"/>
      <c r="C84" s="21"/>
      <c r="D84" s="21"/>
      <c r="E84" s="191"/>
      <c r="F84" s="183"/>
      <c r="G84" s="183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6"/>
      <c r="AG84" s="188"/>
    </row>
    <row r="85" spans="1:33">
      <c r="A85" s="21"/>
      <c r="B85" s="21"/>
      <c r="C85" s="21"/>
      <c r="D85" s="21"/>
      <c r="E85" s="191"/>
      <c r="F85" s="183"/>
      <c r="G85" s="183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6"/>
      <c r="AG85" s="188"/>
    </row>
    <row r="86" spans="1:33">
      <c r="A86" s="21"/>
      <c r="B86" s="21"/>
      <c r="C86" s="21"/>
      <c r="D86" s="21"/>
      <c r="E86" s="191"/>
      <c r="F86" s="183"/>
      <c r="G86" s="183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6"/>
      <c r="AG86" s="188"/>
    </row>
    <row r="87" spans="1:33">
      <c r="A87" s="21"/>
      <c r="B87" s="21"/>
      <c r="C87" s="21"/>
      <c r="D87" s="21"/>
      <c r="E87" s="191"/>
      <c r="F87" s="183"/>
      <c r="G87" s="183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6"/>
      <c r="AG87" s="188"/>
    </row>
    <row r="88" spans="1:33">
      <c r="A88" s="21"/>
      <c r="B88" s="21"/>
      <c r="C88" s="21"/>
      <c r="D88" s="21"/>
      <c r="E88" s="191"/>
      <c r="F88" s="183"/>
      <c r="G88" s="183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6"/>
      <c r="AG88" s="188"/>
    </row>
    <row r="89" spans="1:33">
      <c r="A89" s="21"/>
      <c r="B89" s="21"/>
      <c r="C89" s="21"/>
      <c r="D89" s="21"/>
      <c r="E89" s="191"/>
      <c r="F89" s="183"/>
      <c r="G89" s="183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6"/>
      <c r="AG89" s="188"/>
    </row>
    <row r="90" spans="1:33">
      <c r="A90" s="21"/>
      <c r="B90" s="21"/>
      <c r="C90" s="21"/>
      <c r="D90" s="21"/>
      <c r="E90" s="191"/>
      <c r="F90" s="183"/>
      <c r="G90" s="183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6"/>
      <c r="AG90" s="188"/>
    </row>
    <row r="91" spans="1:33">
      <c r="A91" s="21"/>
      <c r="B91" s="21"/>
      <c r="C91" s="21"/>
      <c r="D91" s="21"/>
      <c r="E91" s="191"/>
      <c r="F91" s="183"/>
      <c r="G91" s="183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6"/>
      <c r="AG91" s="188"/>
    </row>
    <row r="92" spans="1:33">
      <c r="A92" s="21"/>
      <c r="B92" s="21"/>
      <c r="C92" s="21"/>
      <c r="D92" s="21"/>
      <c r="E92" s="191"/>
      <c r="F92" s="183"/>
      <c r="G92" s="183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6"/>
      <c r="AG92" s="188"/>
    </row>
    <row r="93" spans="1:33">
      <c r="A93" s="21"/>
      <c r="B93" s="21"/>
      <c r="C93" s="21"/>
      <c r="D93" s="21"/>
      <c r="E93" s="191"/>
      <c r="F93" s="183"/>
      <c r="G93" s="183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6"/>
      <c r="AG93" s="188"/>
    </row>
    <row r="94" spans="1:33">
      <c r="A94" s="21"/>
      <c r="B94" s="21"/>
      <c r="C94" s="21"/>
      <c r="D94" s="21"/>
      <c r="E94" s="191"/>
      <c r="F94" s="183"/>
      <c r="G94" s="183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6"/>
      <c r="AG94" s="188"/>
    </row>
    <row r="95" spans="1:33">
      <c r="A95" s="21"/>
      <c r="B95" s="21"/>
      <c r="C95" s="21"/>
      <c r="D95" s="21"/>
      <c r="E95" s="191"/>
      <c r="F95" s="183"/>
      <c r="G95" s="183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6"/>
      <c r="AG95" s="188"/>
    </row>
    <row r="96" spans="1:33">
      <c r="A96" s="21"/>
      <c r="B96" s="21"/>
      <c r="C96" s="21"/>
      <c r="D96" s="21"/>
      <c r="E96" s="191"/>
      <c r="F96" s="183"/>
      <c r="G96" s="183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6"/>
      <c r="AG96" s="188"/>
    </row>
    <row r="97" spans="1:33">
      <c r="A97" s="21"/>
      <c r="B97" s="21"/>
      <c r="C97" s="21"/>
      <c r="D97" s="21"/>
      <c r="E97" s="191"/>
      <c r="F97" s="183"/>
      <c r="G97" s="183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6"/>
      <c r="AG97" s="188"/>
    </row>
    <row r="98" spans="1:33">
      <c r="A98" s="21"/>
      <c r="B98" s="21"/>
      <c r="C98" s="21"/>
      <c r="D98" s="21"/>
      <c r="E98" s="191"/>
      <c r="F98" s="183"/>
      <c r="G98" s="183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6"/>
      <c r="AG98" s="188"/>
    </row>
    <row r="99" spans="1:33">
      <c r="A99" s="21"/>
      <c r="B99" s="21"/>
      <c r="C99" s="21"/>
      <c r="D99" s="21"/>
      <c r="E99" s="191"/>
      <c r="F99" s="183"/>
      <c r="G99" s="183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6"/>
      <c r="AG99" s="188"/>
    </row>
    <row r="100" spans="1:33">
      <c r="A100" s="21"/>
      <c r="B100" s="21"/>
      <c r="C100" s="21"/>
      <c r="D100" s="21"/>
      <c r="E100" s="191"/>
      <c r="F100" s="183"/>
      <c r="G100" s="183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6"/>
      <c r="AG100" s="188"/>
    </row>
    <row r="101" spans="1:33">
      <c r="A101" s="21"/>
      <c r="B101" s="21"/>
      <c r="C101" s="21"/>
      <c r="D101" s="21"/>
      <c r="E101" s="191"/>
      <c r="F101" s="183"/>
      <c r="G101" s="183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6"/>
      <c r="AG101" s="188"/>
    </row>
    <row r="102" spans="1:33">
      <c r="A102" s="21"/>
      <c r="B102" s="21"/>
      <c r="C102" s="21"/>
      <c r="D102" s="21"/>
      <c r="E102" s="191"/>
      <c r="F102" s="183"/>
      <c r="G102" s="183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6"/>
      <c r="AG102" s="188"/>
    </row>
    <row r="103" spans="1:33">
      <c r="A103" s="21"/>
      <c r="B103" s="21"/>
      <c r="C103" s="21"/>
      <c r="D103" s="21"/>
      <c r="E103" s="191"/>
      <c r="F103" s="183"/>
      <c r="G103" s="183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6"/>
      <c r="AG103" s="188"/>
    </row>
    <row r="104" spans="1:33">
      <c r="A104" s="21"/>
      <c r="B104" s="21"/>
      <c r="C104" s="21"/>
      <c r="D104" s="21"/>
      <c r="E104" s="191"/>
      <c r="F104" s="183"/>
      <c r="G104" s="183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6"/>
      <c r="AG104" s="188"/>
    </row>
    <row r="105" spans="1:33">
      <c r="A105" s="21"/>
      <c r="B105" s="21"/>
      <c r="C105" s="21"/>
      <c r="D105" s="21"/>
      <c r="E105" s="191"/>
      <c r="F105" s="183"/>
      <c r="G105" s="183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6"/>
      <c r="AG105" s="188"/>
    </row>
    <row r="106" spans="1:33">
      <c r="A106" s="21"/>
      <c r="B106" s="21"/>
      <c r="C106" s="21"/>
      <c r="D106" s="21"/>
      <c r="E106" s="191"/>
      <c r="F106" s="183"/>
      <c r="G106" s="183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6"/>
      <c r="AG106" s="188"/>
    </row>
    <row r="107" spans="1:33">
      <c r="A107" s="21"/>
      <c r="B107" s="21"/>
      <c r="C107" s="21"/>
      <c r="D107" s="21"/>
      <c r="E107" s="191"/>
      <c r="F107" s="183"/>
      <c r="G107" s="183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6"/>
      <c r="AG107" s="188"/>
    </row>
    <row r="108" spans="1:33">
      <c r="A108" s="21"/>
      <c r="B108" s="21"/>
      <c r="C108" s="21"/>
      <c r="D108" s="21"/>
      <c r="E108" s="191"/>
      <c r="F108" s="183"/>
      <c r="G108" s="183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6"/>
      <c r="AG108" s="188"/>
    </row>
    <row r="109" spans="1:33">
      <c r="A109" s="21"/>
      <c r="B109" s="21"/>
      <c r="C109" s="21"/>
      <c r="D109" s="21"/>
      <c r="E109" s="191"/>
      <c r="F109" s="183"/>
      <c r="G109" s="183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6"/>
      <c r="AG109" s="188"/>
    </row>
    <row r="110" spans="1:33">
      <c r="A110" s="21"/>
      <c r="B110" s="21"/>
      <c r="C110" s="21"/>
      <c r="D110" s="21"/>
      <c r="E110" s="191"/>
      <c r="F110" s="183"/>
      <c r="G110" s="183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6"/>
      <c r="AG110" s="188"/>
    </row>
    <row r="111" spans="1:33">
      <c r="A111" s="21"/>
      <c r="B111" s="21"/>
      <c r="C111" s="21"/>
      <c r="D111" s="21"/>
      <c r="E111" s="191"/>
      <c r="F111" s="183"/>
      <c r="G111" s="183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6"/>
      <c r="AG111" s="188"/>
    </row>
    <row r="112" spans="1:33">
      <c r="A112" s="21"/>
      <c r="B112" s="21"/>
      <c r="C112" s="21"/>
      <c r="D112" s="21"/>
      <c r="E112" s="191"/>
      <c r="F112" s="183"/>
      <c r="G112" s="183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6"/>
      <c r="AG112" s="188"/>
    </row>
    <row r="113" spans="1:33">
      <c r="A113" s="21"/>
      <c r="B113" s="21"/>
      <c r="C113" s="21"/>
      <c r="D113" s="21"/>
      <c r="E113" s="191"/>
      <c r="F113" s="183"/>
      <c r="G113" s="183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6"/>
      <c r="AG113" s="188"/>
    </row>
    <row r="114" spans="1:33">
      <c r="A114" s="21"/>
      <c r="B114" s="21"/>
      <c r="C114" s="21"/>
      <c r="D114" s="21"/>
      <c r="E114" s="191"/>
      <c r="F114" s="183"/>
      <c r="G114" s="183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6"/>
      <c r="AG114" s="188"/>
    </row>
    <row r="115" spans="1:33">
      <c r="A115" s="21"/>
      <c r="B115" s="21"/>
      <c r="C115" s="21"/>
      <c r="D115" s="21"/>
      <c r="E115" s="191"/>
      <c r="F115" s="183"/>
      <c r="G115" s="183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6"/>
      <c r="AG115" s="188"/>
    </row>
    <row r="116" spans="1:33">
      <c r="A116" s="21"/>
      <c r="B116" s="21"/>
      <c r="C116" s="21"/>
      <c r="D116" s="21"/>
      <c r="E116" s="191"/>
      <c r="F116" s="183"/>
      <c r="G116" s="183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6"/>
      <c r="AG116" s="188"/>
    </row>
    <row r="117" spans="1:33">
      <c r="A117" s="21"/>
      <c r="B117" s="21"/>
      <c r="C117" s="21"/>
      <c r="D117" s="21"/>
      <c r="E117" s="191"/>
      <c r="F117" s="183"/>
      <c r="G117" s="183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6"/>
      <c r="AG117" s="188"/>
    </row>
    <row r="118" spans="1:33">
      <c r="A118" s="21"/>
      <c r="B118" s="21"/>
      <c r="C118" s="21"/>
      <c r="D118" s="21"/>
      <c r="E118" s="191"/>
      <c r="F118" s="183"/>
      <c r="G118" s="183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6"/>
      <c r="AG118" s="188"/>
    </row>
    <row r="119" spans="1:33">
      <c r="A119" s="21"/>
      <c r="B119" s="21"/>
      <c r="C119" s="21"/>
      <c r="D119" s="21"/>
      <c r="E119" s="191"/>
      <c r="F119" s="183"/>
      <c r="G119" s="183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6"/>
      <c r="AG119" s="188"/>
    </row>
    <row r="120" spans="1:33">
      <c r="A120" s="21"/>
      <c r="B120" s="21"/>
      <c r="C120" s="21"/>
      <c r="D120" s="21"/>
      <c r="E120" s="191"/>
      <c r="F120" s="183"/>
      <c r="G120" s="183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6"/>
      <c r="AG120" s="188"/>
    </row>
    <row r="121" spans="1:33">
      <c r="A121" s="21"/>
      <c r="B121" s="21"/>
      <c r="C121" s="21"/>
      <c r="D121" s="21"/>
      <c r="E121" s="191"/>
      <c r="F121" s="183"/>
      <c r="G121" s="183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6"/>
      <c r="AG121" s="188"/>
    </row>
    <row r="122" spans="1:33">
      <c r="A122" s="21"/>
      <c r="B122" s="21"/>
      <c r="C122" s="21"/>
      <c r="D122" s="21"/>
      <c r="E122" s="191"/>
      <c r="F122" s="183"/>
      <c r="G122" s="183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6"/>
      <c r="AG122" s="188"/>
    </row>
    <row r="123" spans="1:33">
      <c r="A123" s="21"/>
      <c r="B123" s="21"/>
      <c r="C123" s="21"/>
      <c r="D123" s="21"/>
      <c r="E123" s="191"/>
      <c r="F123" s="183"/>
      <c r="G123" s="183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6"/>
      <c r="AG123" s="188"/>
    </row>
    <row r="124" spans="1:33">
      <c r="A124" s="21"/>
      <c r="B124" s="21"/>
      <c r="C124" s="21"/>
      <c r="D124" s="21"/>
      <c r="E124" s="191"/>
      <c r="F124" s="183"/>
      <c r="G124" s="183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6"/>
      <c r="AG124" s="188"/>
    </row>
    <row r="125" spans="1:33">
      <c r="A125" s="21"/>
      <c r="B125" s="21"/>
      <c r="C125" s="21"/>
      <c r="D125" s="21"/>
      <c r="E125" s="191"/>
      <c r="F125" s="183"/>
      <c r="G125" s="183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6"/>
      <c r="AG125" s="188"/>
    </row>
    <row r="126" spans="1:33">
      <c r="A126" s="21"/>
      <c r="B126" s="21"/>
      <c r="C126" s="21"/>
      <c r="D126" s="21"/>
      <c r="E126" s="191"/>
      <c r="F126" s="183"/>
      <c r="G126" s="183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6"/>
      <c r="AG126" s="188"/>
    </row>
    <row r="127" spans="1:33">
      <c r="A127" s="21"/>
      <c r="B127" s="21"/>
      <c r="C127" s="21"/>
      <c r="D127" s="21"/>
      <c r="E127" s="191"/>
      <c r="F127" s="183"/>
      <c r="G127" s="183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6"/>
      <c r="AG127" s="188"/>
    </row>
    <row r="128" spans="1:33">
      <c r="A128" s="21"/>
      <c r="B128" s="21"/>
      <c r="C128" s="21"/>
      <c r="D128" s="21"/>
      <c r="E128" s="191"/>
      <c r="F128" s="183"/>
      <c r="G128" s="183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6"/>
      <c r="AG128" s="188"/>
    </row>
    <row r="129" spans="1:33">
      <c r="A129" s="21"/>
      <c r="B129" s="21"/>
      <c r="C129" s="21"/>
      <c r="D129" s="21"/>
      <c r="E129" s="191"/>
      <c r="F129" s="183"/>
      <c r="G129" s="183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6"/>
      <c r="AG129" s="188"/>
    </row>
    <row r="130" spans="1:33">
      <c r="A130" s="21"/>
      <c r="B130" s="21"/>
      <c r="C130" s="21"/>
      <c r="D130" s="21"/>
      <c r="E130" s="191"/>
      <c r="F130" s="183"/>
      <c r="G130" s="183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6"/>
      <c r="AG130" s="188"/>
    </row>
    <row r="131" spans="1:33">
      <c r="A131" s="21"/>
      <c r="B131" s="21"/>
      <c r="C131" s="21"/>
      <c r="D131" s="21"/>
      <c r="E131" s="191"/>
      <c r="F131" s="183"/>
      <c r="G131" s="183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6"/>
      <c r="AG131" s="188"/>
    </row>
    <row r="132" spans="1:33">
      <c r="A132" s="21"/>
      <c r="B132" s="21"/>
      <c r="C132" s="21"/>
      <c r="D132" s="21"/>
      <c r="E132" s="191"/>
      <c r="F132" s="183"/>
      <c r="G132" s="183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6"/>
      <c r="AG132" s="188"/>
    </row>
    <row r="133" spans="1:33">
      <c r="A133" s="21"/>
      <c r="B133" s="21"/>
      <c r="C133" s="21"/>
      <c r="D133" s="21"/>
      <c r="E133" s="191"/>
      <c r="F133" s="183"/>
      <c r="G133" s="183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6"/>
      <c r="AG133" s="188"/>
    </row>
    <row r="134" spans="1:33">
      <c r="A134" s="21"/>
      <c r="B134" s="21"/>
      <c r="C134" s="21"/>
      <c r="D134" s="21"/>
      <c r="E134" s="191"/>
      <c r="F134" s="183"/>
      <c r="G134" s="183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6"/>
      <c r="AG134" s="188"/>
    </row>
    <row r="135" spans="1:33">
      <c r="A135" s="21"/>
      <c r="B135" s="21"/>
      <c r="C135" s="21"/>
      <c r="D135" s="21"/>
      <c r="E135" s="191"/>
      <c r="F135" s="183"/>
      <c r="G135" s="183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6"/>
      <c r="AG135" s="188"/>
    </row>
    <row r="136" spans="1:33">
      <c r="A136" s="21"/>
      <c r="B136" s="21"/>
      <c r="C136" s="21"/>
      <c r="D136" s="21"/>
      <c r="E136" s="191"/>
      <c r="F136" s="183"/>
      <c r="G136" s="183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6"/>
      <c r="AG136" s="188"/>
    </row>
    <row r="137" spans="1:33">
      <c r="A137" s="21"/>
      <c r="B137" s="21"/>
      <c r="C137" s="21"/>
      <c r="D137" s="21"/>
      <c r="E137" s="191"/>
      <c r="F137" s="183"/>
      <c r="G137" s="183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6"/>
      <c r="AG137" s="188"/>
    </row>
    <row r="138" spans="1:33">
      <c r="A138" s="21"/>
      <c r="B138" s="21"/>
      <c r="C138" s="21"/>
      <c r="D138" s="21"/>
      <c r="E138" s="191"/>
      <c r="F138" s="183"/>
      <c r="G138" s="183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6"/>
      <c r="AG138" s="188"/>
    </row>
    <row r="139" spans="1:33">
      <c r="A139" s="21"/>
      <c r="B139" s="21"/>
      <c r="C139" s="21"/>
      <c r="D139" s="21"/>
      <c r="E139" s="191"/>
      <c r="F139" s="183"/>
      <c r="G139" s="183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6"/>
      <c r="AG139" s="188"/>
    </row>
    <row r="140" spans="1:33">
      <c r="A140" s="21"/>
      <c r="B140" s="21"/>
      <c r="C140" s="21"/>
      <c r="D140" s="21"/>
      <c r="E140" s="191"/>
      <c r="F140" s="183"/>
      <c r="G140" s="183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6"/>
      <c r="AG140" s="188"/>
    </row>
    <row r="141" spans="1:33">
      <c r="A141" s="21"/>
      <c r="B141" s="21"/>
      <c r="C141" s="21"/>
      <c r="D141" s="21"/>
      <c r="E141" s="191"/>
      <c r="F141" s="183"/>
      <c r="G141" s="183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6"/>
      <c r="AG141" s="188"/>
    </row>
    <row r="142" spans="1:33">
      <c r="A142" s="21"/>
      <c r="B142" s="21"/>
      <c r="C142" s="21"/>
      <c r="D142" s="21"/>
      <c r="E142" s="191"/>
      <c r="F142" s="183"/>
      <c r="G142" s="183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6"/>
      <c r="AG142" s="188"/>
    </row>
    <row r="143" spans="1:33">
      <c r="A143" s="21"/>
      <c r="B143" s="21"/>
      <c r="C143" s="21"/>
      <c r="D143" s="21"/>
      <c r="E143" s="191"/>
      <c r="F143" s="183"/>
      <c r="G143" s="183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6"/>
      <c r="AG143" s="188"/>
    </row>
    <row r="144" spans="1:33">
      <c r="A144" s="21"/>
      <c r="B144" s="21"/>
      <c r="C144" s="21"/>
      <c r="D144" s="21"/>
      <c r="E144" s="191"/>
      <c r="F144" s="183"/>
      <c r="G144" s="183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6"/>
      <c r="AG144" s="188"/>
    </row>
    <row r="145" spans="1:33">
      <c r="A145" s="21"/>
      <c r="B145" s="21"/>
      <c r="C145" s="21"/>
      <c r="D145" s="21"/>
      <c r="E145" s="191"/>
      <c r="F145" s="183"/>
      <c r="G145" s="183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6"/>
      <c r="AG145" s="188"/>
    </row>
    <row r="146" spans="1:33">
      <c r="A146" s="21"/>
      <c r="B146" s="21"/>
      <c r="C146" s="21"/>
      <c r="D146" s="21"/>
      <c r="E146" s="191"/>
      <c r="F146" s="183"/>
      <c r="G146" s="183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6"/>
      <c r="AG146" s="188"/>
    </row>
    <row r="147" spans="1:33">
      <c r="A147" s="21"/>
      <c r="B147" s="21"/>
      <c r="C147" s="21"/>
      <c r="D147" s="21"/>
      <c r="E147" s="191"/>
      <c r="F147" s="183"/>
      <c r="G147" s="183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6"/>
      <c r="AG147" s="188"/>
    </row>
    <row r="148" spans="1:33">
      <c r="A148" s="21"/>
      <c r="B148" s="21"/>
      <c r="C148" s="21"/>
      <c r="D148" s="21"/>
      <c r="E148" s="191"/>
      <c r="F148" s="183"/>
      <c r="G148" s="183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6"/>
      <c r="AG148" s="188"/>
    </row>
    <row r="149" spans="1:33">
      <c r="A149" s="21"/>
      <c r="B149" s="21"/>
      <c r="C149" s="21"/>
      <c r="D149" s="21"/>
      <c r="E149" s="191"/>
      <c r="F149" s="183"/>
      <c r="G149" s="183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6"/>
      <c r="AG149" s="188"/>
    </row>
    <row r="150" spans="1:33">
      <c r="A150" s="21"/>
      <c r="B150" s="21"/>
      <c r="C150" s="21"/>
      <c r="D150" s="21"/>
      <c r="E150" s="191"/>
      <c r="F150" s="183"/>
      <c r="G150" s="183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6"/>
      <c r="AG150" s="188"/>
    </row>
    <row r="151" spans="1:33">
      <c r="A151" s="21"/>
      <c r="B151" s="21"/>
      <c r="C151" s="21"/>
      <c r="D151" s="21"/>
      <c r="E151" s="191"/>
      <c r="F151" s="183"/>
      <c r="G151" s="183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6"/>
      <c r="AG151" s="188"/>
    </row>
    <row r="152" spans="1:33">
      <c r="A152" s="21"/>
      <c r="B152" s="21"/>
      <c r="C152" s="21"/>
      <c r="D152" s="21"/>
      <c r="E152" s="191"/>
      <c r="F152" s="183"/>
      <c r="G152" s="183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6"/>
      <c r="AG152" s="188"/>
    </row>
    <row r="153" spans="1:33">
      <c r="A153" s="21"/>
      <c r="B153" s="21"/>
      <c r="C153" s="21"/>
      <c r="D153" s="21"/>
      <c r="E153" s="191"/>
      <c r="F153" s="183"/>
      <c r="G153" s="183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6"/>
      <c r="AG153" s="188"/>
    </row>
    <row r="154" spans="1:33">
      <c r="A154" s="21"/>
      <c r="B154" s="21"/>
      <c r="C154" s="21"/>
      <c r="D154" s="21"/>
      <c r="E154" s="191"/>
      <c r="F154" s="183"/>
      <c r="G154" s="183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6"/>
      <c r="AG154" s="188"/>
    </row>
    <row r="155" spans="1:33">
      <c r="A155" s="21"/>
      <c r="B155" s="21"/>
      <c r="C155" s="21"/>
      <c r="D155" s="21"/>
      <c r="E155" s="191"/>
      <c r="F155" s="183"/>
      <c r="G155" s="183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6"/>
      <c r="AG155" s="188"/>
    </row>
    <row r="156" spans="1:33">
      <c r="A156" s="21"/>
      <c r="B156" s="21"/>
      <c r="C156" s="21"/>
      <c r="D156" s="21"/>
      <c r="E156" s="191"/>
      <c r="F156" s="183"/>
      <c r="G156" s="183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6"/>
      <c r="AG156" s="188"/>
    </row>
    <row r="157" spans="1:33">
      <c r="A157" s="21"/>
      <c r="B157" s="21"/>
      <c r="C157" s="21"/>
      <c r="D157" s="21"/>
      <c r="E157" s="191"/>
      <c r="F157" s="183"/>
      <c r="G157" s="183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6"/>
      <c r="AG157" s="188"/>
    </row>
    <row r="158" spans="1:33">
      <c r="A158" s="21"/>
      <c r="B158" s="21"/>
      <c r="C158" s="21"/>
      <c r="D158" s="21"/>
      <c r="E158" s="191"/>
      <c r="F158" s="183"/>
      <c r="G158" s="183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6"/>
      <c r="AG158" s="188"/>
    </row>
    <row r="159" spans="1:33">
      <c r="A159" s="21"/>
      <c r="B159" s="21"/>
      <c r="C159" s="21"/>
      <c r="D159" s="21"/>
      <c r="E159" s="191"/>
      <c r="F159" s="183"/>
      <c r="G159" s="183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6"/>
      <c r="AG159" s="188"/>
    </row>
    <row r="160" spans="1:33">
      <c r="A160" s="21"/>
      <c r="B160" s="21"/>
      <c r="C160" s="21"/>
      <c r="D160" s="21"/>
      <c r="E160" s="191"/>
      <c r="F160" s="183"/>
      <c r="G160" s="183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6"/>
      <c r="AG160" s="188"/>
    </row>
    <row r="161" spans="1:33">
      <c r="A161" s="21"/>
      <c r="B161" s="21"/>
      <c r="C161" s="21"/>
      <c r="D161" s="21"/>
      <c r="E161" s="191"/>
      <c r="F161" s="183"/>
      <c r="G161" s="183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6"/>
      <c r="AG161" s="188"/>
    </row>
    <row r="162" spans="1:33">
      <c r="A162" s="21"/>
      <c r="B162" s="21"/>
      <c r="C162" s="21"/>
      <c r="D162" s="21"/>
      <c r="E162" s="191"/>
      <c r="F162" s="183"/>
      <c r="G162" s="183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6"/>
      <c r="AG162" s="188"/>
    </row>
    <row r="163" spans="1:33">
      <c r="A163" s="21"/>
      <c r="B163" s="21"/>
      <c r="C163" s="21"/>
      <c r="D163" s="21"/>
      <c r="E163" s="191"/>
      <c r="F163" s="183"/>
      <c r="G163" s="183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6"/>
      <c r="AG163" s="188"/>
    </row>
    <row r="164" spans="1:33">
      <c r="A164" s="21"/>
      <c r="B164" s="21"/>
      <c r="C164" s="21"/>
      <c r="D164" s="21"/>
      <c r="E164" s="191"/>
      <c r="F164" s="183"/>
      <c r="G164" s="183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6"/>
      <c r="AG164" s="188"/>
    </row>
    <row r="165" spans="1:33">
      <c r="A165" s="21"/>
      <c r="B165" s="21"/>
      <c r="C165" s="21"/>
      <c r="D165" s="21"/>
      <c r="E165" s="191"/>
      <c r="F165" s="183"/>
      <c r="G165" s="183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6"/>
      <c r="AG165" s="188"/>
    </row>
    <row r="166" spans="1:33">
      <c r="A166" s="21"/>
      <c r="B166" s="21"/>
      <c r="C166" s="21"/>
      <c r="D166" s="21"/>
      <c r="E166" s="191"/>
      <c r="F166" s="183"/>
      <c r="G166" s="183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6"/>
      <c r="AG166" s="188"/>
    </row>
    <row r="167" spans="1:33">
      <c r="A167" s="21"/>
      <c r="B167" s="21"/>
      <c r="C167" s="21"/>
      <c r="D167" s="21"/>
      <c r="E167" s="191"/>
      <c r="F167" s="183"/>
      <c r="G167" s="183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6"/>
      <c r="AG167" s="188"/>
    </row>
    <row r="168" spans="1:33">
      <c r="A168" s="21"/>
      <c r="B168" s="21"/>
      <c r="C168" s="21"/>
      <c r="D168" s="21"/>
      <c r="E168" s="191"/>
      <c r="F168" s="183"/>
      <c r="G168" s="183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6"/>
      <c r="AG168" s="188"/>
    </row>
    <row r="169" spans="1:33">
      <c r="A169" s="21"/>
      <c r="B169" s="21"/>
      <c r="C169" s="21"/>
      <c r="D169" s="21"/>
      <c r="E169" s="191"/>
      <c r="F169" s="183"/>
      <c r="G169" s="183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6"/>
      <c r="AG169" s="188"/>
    </row>
    <row r="170" spans="1:33">
      <c r="A170" s="21"/>
      <c r="B170" s="21"/>
      <c r="C170" s="21"/>
      <c r="D170" s="21"/>
      <c r="E170" s="191"/>
      <c r="F170" s="183"/>
      <c r="G170" s="183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6"/>
      <c r="AG170" s="188"/>
    </row>
    <row r="171" spans="1:33">
      <c r="A171" s="21"/>
      <c r="B171" s="21"/>
      <c r="C171" s="21"/>
      <c r="D171" s="21"/>
      <c r="E171" s="191"/>
      <c r="F171" s="183"/>
      <c r="G171" s="183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6"/>
      <c r="AG171" s="188"/>
    </row>
    <row r="172" spans="1:33">
      <c r="A172" s="21"/>
      <c r="B172" s="21"/>
      <c r="C172" s="21"/>
      <c r="D172" s="21"/>
      <c r="E172" s="191"/>
      <c r="F172" s="183"/>
      <c r="G172" s="183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6"/>
      <c r="AG172" s="188"/>
    </row>
    <row r="173" spans="1:33">
      <c r="A173" s="21"/>
      <c r="B173" s="21"/>
      <c r="C173" s="21"/>
      <c r="D173" s="21"/>
      <c r="E173" s="191"/>
      <c r="F173" s="183"/>
      <c r="G173" s="183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6"/>
      <c r="AG173" s="188"/>
    </row>
    <row r="174" spans="1:33">
      <c r="A174" s="21"/>
      <c r="B174" s="21"/>
      <c r="C174" s="21"/>
      <c r="D174" s="21"/>
      <c r="E174" s="191"/>
      <c r="F174" s="183"/>
      <c r="G174" s="183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6"/>
      <c r="AG174" s="188"/>
    </row>
    <row r="175" spans="1:33">
      <c r="A175" s="21"/>
      <c r="B175" s="21"/>
      <c r="C175" s="21"/>
      <c r="D175" s="21"/>
      <c r="E175" s="191"/>
      <c r="F175" s="183"/>
      <c r="G175" s="183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6"/>
      <c r="AG175" s="188"/>
    </row>
    <row r="176" spans="1:33">
      <c r="A176" s="21"/>
      <c r="B176" s="21"/>
      <c r="C176" s="21"/>
      <c r="D176" s="21"/>
      <c r="E176" s="191"/>
      <c r="F176" s="183"/>
      <c r="G176" s="183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6"/>
      <c r="AG176" s="188"/>
    </row>
    <row r="177" spans="1:33">
      <c r="A177" s="21"/>
      <c r="B177" s="21"/>
      <c r="C177" s="21"/>
      <c r="D177" s="21"/>
      <c r="E177" s="191"/>
      <c r="F177" s="183"/>
      <c r="G177" s="183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6"/>
      <c r="AG177" s="188"/>
    </row>
    <row r="178" spans="1:33">
      <c r="A178" s="21"/>
      <c r="B178" s="21"/>
      <c r="C178" s="21"/>
      <c r="D178" s="21"/>
      <c r="E178" s="191"/>
      <c r="F178" s="183"/>
      <c r="G178" s="183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6"/>
      <c r="AG178" s="188"/>
    </row>
    <row r="179" spans="1:33">
      <c r="A179" s="21"/>
      <c r="B179" s="21"/>
      <c r="C179" s="21"/>
      <c r="D179" s="21"/>
      <c r="E179" s="191"/>
      <c r="F179" s="183"/>
      <c r="G179" s="183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6"/>
      <c r="AG179" s="188"/>
    </row>
    <row r="180" spans="1:33">
      <c r="A180" s="21"/>
      <c r="B180" s="21"/>
      <c r="C180" s="21"/>
      <c r="D180" s="21"/>
      <c r="E180" s="191"/>
      <c r="F180" s="183"/>
      <c r="G180" s="183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6"/>
      <c r="AG180" s="188"/>
    </row>
    <row r="181" spans="1:33">
      <c r="A181" s="21"/>
      <c r="B181" s="21"/>
      <c r="C181" s="21"/>
      <c r="D181" s="21"/>
      <c r="E181" s="191"/>
      <c r="F181" s="183"/>
      <c r="G181" s="183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6"/>
      <c r="AG181" s="188"/>
    </row>
    <row r="182" spans="1:33">
      <c r="A182" s="21"/>
      <c r="B182" s="21"/>
      <c r="C182" s="21"/>
      <c r="D182" s="21"/>
      <c r="E182" s="191"/>
      <c r="F182" s="183"/>
      <c r="G182" s="183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6"/>
      <c r="AG182" s="188"/>
    </row>
    <row r="183" spans="1:33">
      <c r="A183" s="21"/>
      <c r="B183" s="21"/>
      <c r="C183" s="21"/>
      <c r="D183" s="21"/>
      <c r="E183" s="191"/>
      <c r="F183" s="183"/>
      <c r="G183" s="183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6"/>
      <c r="AG183" s="188"/>
    </row>
    <row r="184" spans="1:33">
      <c r="A184" s="21"/>
      <c r="B184" s="21"/>
      <c r="C184" s="21"/>
      <c r="D184" s="21"/>
      <c r="E184" s="191"/>
      <c r="F184" s="183"/>
      <c r="G184" s="183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6"/>
      <c r="AG184" s="188"/>
    </row>
    <row r="185" spans="1:33">
      <c r="A185" s="21"/>
      <c r="B185" s="21"/>
      <c r="C185" s="21"/>
      <c r="D185" s="21"/>
      <c r="E185" s="191"/>
      <c r="F185" s="183"/>
      <c r="G185" s="183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6"/>
      <c r="AG185" s="188"/>
    </row>
    <row r="186" spans="1:33">
      <c r="A186" s="21"/>
      <c r="B186" s="21"/>
      <c r="C186" s="21"/>
      <c r="D186" s="21"/>
      <c r="E186" s="191"/>
      <c r="F186" s="183"/>
      <c r="G186" s="183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6"/>
      <c r="AG186" s="188"/>
    </row>
    <row r="187" spans="1:33">
      <c r="A187" s="21"/>
      <c r="B187" s="21"/>
      <c r="C187" s="21"/>
      <c r="D187" s="21"/>
      <c r="E187" s="191"/>
      <c r="F187" s="183"/>
      <c r="G187" s="183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6"/>
      <c r="AG187" s="188"/>
    </row>
    <row r="188" spans="1:33">
      <c r="A188" s="21"/>
      <c r="B188" s="21"/>
      <c r="C188" s="21"/>
      <c r="D188" s="21"/>
      <c r="E188" s="191"/>
      <c r="F188" s="183"/>
      <c r="G188" s="183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6"/>
      <c r="AG188" s="188"/>
    </row>
    <row r="189" spans="1:33">
      <c r="A189" s="21"/>
      <c r="B189" s="21"/>
      <c r="C189" s="21"/>
      <c r="D189" s="21"/>
      <c r="E189" s="191"/>
      <c r="F189" s="183"/>
      <c r="G189" s="183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6"/>
      <c r="AG189" s="188"/>
    </row>
    <row r="190" spans="1:33">
      <c r="A190" s="21"/>
      <c r="B190" s="21"/>
      <c r="C190" s="21"/>
      <c r="D190" s="21"/>
      <c r="E190" s="191"/>
      <c r="F190" s="183"/>
      <c r="G190" s="183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6"/>
      <c r="AG190" s="188"/>
    </row>
    <row r="191" spans="1:33">
      <c r="A191" s="21"/>
      <c r="B191" s="21"/>
      <c r="C191" s="21"/>
      <c r="D191" s="21"/>
      <c r="E191" s="191"/>
      <c r="F191" s="183"/>
      <c r="G191" s="183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6"/>
      <c r="AG191" s="188"/>
    </row>
    <row r="192" spans="1:33">
      <c r="A192" s="21"/>
      <c r="B192" s="21"/>
      <c r="C192" s="21"/>
      <c r="D192" s="21"/>
      <c r="E192" s="191"/>
      <c r="F192" s="183"/>
      <c r="G192" s="183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6"/>
      <c r="AG192" s="188"/>
    </row>
    <row r="193" spans="1:33">
      <c r="A193" s="21"/>
      <c r="B193" s="21"/>
      <c r="C193" s="21"/>
      <c r="D193" s="21"/>
      <c r="E193" s="191"/>
      <c r="F193" s="183"/>
      <c r="G193" s="183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6"/>
      <c r="AG193" s="188"/>
    </row>
    <row r="194" spans="1:33">
      <c r="A194" s="21"/>
      <c r="B194" s="21"/>
      <c r="C194" s="21"/>
      <c r="D194" s="21"/>
      <c r="E194" s="191"/>
      <c r="F194" s="183"/>
      <c r="G194" s="183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6"/>
      <c r="AG194" s="188"/>
    </row>
    <row r="195" spans="1:33">
      <c r="A195" s="21"/>
      <c r="B195" s="21"/>
      <c r="C195" s="21"/>
      <c r="D195" s="21"/>
      <c r="E195" s="191"/>
      <c r="F195" s="183"/>
      <c r="G195" s="183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6"/>
      <c r="AG195" s="188"/>
    </row>
    <row r="196" spans="1:33">
      <c r="A196" s="21"/>
      <c r="B196" s="21"/>
      <c r="C196" s="21"/>
      <c r="D196" s="21"/>
      <c r="E196" s="191"/>
      <c r="F196" s="183"/>
      <c r="G196" s="183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6"/>
      <c r="AG196" s="188"/>
    </row>
    <row r="197" spans="1:33">
      <c r="A197" s="21"/>
      <c r="B197" s="21"/>
      <c r="C197" s="21"/>
      <c r="D197" s="21"/>
      <c r="E197" s="191"/>
      <c r="F197" s="183"/>
      <c r="G197" s="183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6"/>
      <c r="AG197" s="188"/>
    </row>
    <row r="198" spans="1:33">
      <c r="A198" s="21"/>
      <c r="B198" s="21"/>
      <c r="C198" s="21"/>
      <c r="D198" s="21"/>
      <c r="E198" s="191"/>
      <c r="F198" s="183"/>
      <c r="G198" s="183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6"/>
      <c r="AG198" s="188"/>
    </row>
    <row r="199" spans="1:33">
      <c r="A199" s="21"/>
      <c r="B199" s="21"/>
      <c r="C199" s="21"/>
      <c r="D199" s="21"/>
      <c r="E199" s="191"/>
      <c r="F199" s="183"/>
      <c r="G199" s="183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6"/>
      <c r="AG199" s="188"/>
    </row>
    <row r="200" spans="1:33">
      <c r="A200" s="21"/>
      <c r="B200" s="21"/>
      <c r="C200" s="21"/>
      <c r="D200" s="21"/>
      <c r="E200" s="191"/>
      <c r="F200" s="183"/>
      <c r="G200" s="183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6"/>
      <c r="AG200" s="188"/>
    </row>
    <row r="201" spans="1:33">
      <c r="A201" s="21"/>
      <c r="B201" s="21"/>
      <c r="C201" s="21"/>
      <c r="D201" s="21"/>
      <c r="E201" s="191"/>
      <c r="F201" s="183"/>
      <c r="G201" s="183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6"/>
      <c r="AG201" s="188"/>
    </row>
    <row r="202" spans="1:33">
      <c r="A202" s="21"/>
      <c r="B202" s="21"/>
      <c r="C202" s="21"/>
      <c r="D202" s="21"/>
      <c r="E202" s="191"/>
      <c r="F202" s="183"/>
      <c r="G202" s="183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6"/>
      <c r="AG202" s="188"/>
    </row>
    <row r="203" spans="1:33">
      <c r="A203" s="21"/>
      <c r="B203" s="21"/>
      <c r="C203" s="21"/>
      <c r="D203" s="21"/>
      <c r="E203" s="191"/>
      <c r="F203" s="183"/>
      <c r="G203" s="183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6"/>
      <c r="AG203" s="188"/>
    </row>
    <row r="204" spans="1:33">
      <c r="A204" s="21"/>
      <c r="B204" s="21"/>
      <c r="C204" s="21"/>
      <c r="D204" s="21"/>
      <c r="E204" s="191"/>
      <c r="F204" s="183"/>
      <c r="G204" s="183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6"/>
      <c r="AG204" s="188"/>
    </row>
    <row r="205" spans="1:33">
      <c r="A205" s="21"/>
      <c r="B205" s="21"/>
      <c r="C205" s="21"/>
      <c r="D205" s="21"/>
      <c r="E205" s="191"/>
      <c r="F205" s="183"/>
      <c r="G205" s="183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6"/>
      <c r="AG205" s="188"/>
    </row>
    <row r="206" spans="1:33">
      <c r="A206" s="21"/>
      <c r="B206" s="21"/>
      <c r="C206" s="21"/>
      <c r="D206" s="21"/>
      <c r="E206" s="191"/>
      <c r="F206" s="183"/>
      <c r="G206" s="183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6"/>
      <c r="AG206" s="188"/>
    </row>
    <row r="207" spans="1:33">
      <c r="A207" s="21"/>
      <c r="B207" s="21"/>
      <c r="C207" s="21"/>
      <c r="D207" s="21"/>
      <c r="E207" s="191"/>
      <c r="F207" s="183"/>
      <c r="G207" s="183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6"/>
      <c r="AG207" s="188"/>
    </row>
    <row r="208" spans="1:33">
      <c r="A208" s="21"/>
      <c r="B208" s="21"/>
      <c r="C208" s="21"/>
      <c r="D208" s="21"/>
      <c r="E208" s="191"/>
      <c r="F208" s="183"/>
      <c r="G208" s="183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6"/>
      <c r="AG208" s="188"/>
    </row>
    <row r="209" spans="1:33">
      <c r="A209" s="21"/>
      <c r="B209" s="21"/>
      <c r="C209" s="21"/>
      <c r="D209" s="21"/>
      <c r="E209" s="191"/>
      <c r="F209" s="183"/>
      <c r="G209" s="183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6"/>
      <c r="AG209" s="188"/>
    </row>
    <row r="210" spans="1:33">
      <c r="E210" s="188"/>
      <c r="F210" s="189"/>
      <c r="G210" s="189"/>
      <c r="H210" s="188"/>
      <c r="I210" s="188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</row>
    <row r="211" spans="1:33">
      <c r="E211" s="188"/>
      <c r="F211" s="189"/>
      <c r="G211" s="189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</row>
    <row r="212" spans="1:33">
      <c r="E212" s="188"/>
      <c r="F212" s="189"/>
      <c r="G212" s="189"/>
      <c r="H212" s="188"/>
      <c r="I212" s="188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</row>
    <row r="213" spans="1:33">
      <c r="E213" s="188"/>
      <c r="F213" s="189"/>
      <c r="G213" s="189"/>
      <c r="H213" s="188"/>
      <c r="I213" s="188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</row>
    <row r="214" spans="1:33">
      <c r="E214" s="188"/>
      <c r="F214" s="189"/>
      <c r="G214" s="189"/>
      <c r="H214" s="188"/>
      <c r="I214" s="188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</row>
    <row r="215" spans="1:33">
      <c r="E215" s="188"/>
      <c r="F215" s="189"/>
      <c r="G215" s="189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</row>
    <row r="216" spans="1:33">
      <c r="E216" s="188"/>
      <c r="F216" s="189"/>
      <c r="G216" s="189"/>
      <c r="H216" s="188"/>
      <c r="I216" s="188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</row>
    <row r="217" spans="1:33">
      <c r="E217" s="188"/>
      <c r="F217" s="189"/>
      <c r="G217" s="189"/>
      <c r="H217" s="188"/>
      <c r="I217" s="188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</row>
    <row r="218" spans="1:33">
      <c r="E218" s="188"/>
      <c r="F218" s="189"/>
      <c r="G218" s="189"/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</row>
    <row r="219" spans="1:33">
      <c r="E219" s="188"/>
      <c r="F219" s="189"/>
      <c r="G219" s="189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</row>
    <row r="220" spans="1:33">
      <c r="E220" s="188"/>
      <c r="F220" s="189"/>
      <c r="G220" s="189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</row>
    <row r="221" spans="1:33">
      <c r="E221" s="188"/>
      <c r="F221" s="189"/>
      <c r="G221" s="189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</row>
    <row r="222" spans="1:33">
      <c r="E222" s="188"/>
      <c r="F222" s="189"/>
      <c r="G222" s="189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</row>
    <row r="223" spans="1:33">
      <c r="E223" s="188"/>
      <c r="F223" s="189"/>
      <c r="G223" s="189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</row>
    <row r="224" spans="1:33">
      <c r="E224" s="188"/>
      <c r="F224" s="189"/>
      <c r="G224" s="189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</row>
    <row r="225" spans="5:33">
      <c r="E225" s="188"/>
      <c r="F225" s="189"/>
      <c r="G225" s="189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</row>
    <row r="226" spans="5:33">
      <c r="E226" s="188"/>
      <c r="F226" s="189"/>
      <c r="G226" s="189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</row>
    <row r="227" spans="5:33">
      <c r="E227" s="188"/>
      <c r="F227" s="189"/>
      <c r="G227" s="189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</row>
    <row r="228" spans="5:33">
      <c r="E228" s="188"/>
      <c r="F228" s="189"/>
      <c r="G228" s="189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</row>
    <row r="229" spans="5:33">
      <c r="E229" s="188"/>
      <c r="F229" s="189"/>
      <c r="G229" s="189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</row>
    <row r="230" spans="5:33">
      <c r="E230" s="188"/>
      <c r="F230" s="189"/>
      <c r="G230" s="189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</row>
    <row r="231" spans="5:33">
      <c r="E231" s="188"/>
      <c r="F231" s="189"/>
      <c r="G231" s="189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</row>
    <row r="232" spans="5:33">
      <c r="E232" s="188"/>
      <c r="F232" s="189"/>
      <c r="G232" s="189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</row>
    <row r="233" spans="5:33">
      <c r="E233" s="188"/>
      <c r="F233" s="189"/>
      <c r="G233" s="189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</row>
    <row r="234" spans="5:33">
      <c r="E234" s="188"/>
      <c r="F234" s="189"/>
      <c r="G234" s="189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</row>
    <row r="235" spans="5:33">
      <c r="E235" s="188"/>
      <c r="F235" s="189"/>
      <c r="G235" s="189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</row>
    <row r="236" spans="5:33">
      <c r="E236" s="188"/>
      <c r="F236" s="189"/>
      <c r="G236" s="189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</row>
    <row r="237" spans="5:33">
      <c r="E237" s="188"/>
      <c r="F237" s="189"/>
      <c r="G237" s="189"/>
      <c r="H237" s="188"/>
      <c r="I237" s="188"/>
      <c r="J237" s="188"/>
      <c r="K237" s="188"/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</row>
    <row r="238" spans="5:33">
      <c r="E238" s="188"/>
      <c r="F238" s="189"/>
      <c r="G238" s="189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</row>
    <row r="239" spans="5:33">
      <c r="E239" s="188"/>
      <c r="F239" s="189"/>
      <c r="G239" s="189"/>
      <c r="H239" s="188"/>
      <c r="I239" s="188"/>
      <c r="J239" s="188"/>
      <c r="K239" s="188"/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</row>
    <row r="240" spans="5:33">
      <c r="E240" s="188"/>
      <c r="F240" s="189"/>
      <c r="G240" s="189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</row>
    <row r="241" spans="5:33">
      <c r="E241" s="188"/>
      <c r="F241" s="189"/>
      <c r="G241" s="189"/>
      <c r="H241" s="188"/>
      <c r="I241" s="188"/>
      <c r="J241" s="188"/>
      <c r="K241" s="188"/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</row>
    <row r="242" spans="5:33">
      <c r="E242" s="188"/>
      <c r="F242" s="189"/>
      <c r="G242" s="189"/>
      <c r="H242" s="188"/>
      <c r="I242" s="188"/>
      <c r="J242" s="188"/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</row>
    <row r="243" spans="5:33">
      <c r="E243" s="188"/>
      <c r="F243" s="189"/>
      <c r="G243" s="189"/>
      <c r="H243" s="188"/>
      <c r="I243" s="188"/>
      <c r="J243" s="188"/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</row>
    <row r="244" spans="5:33">
      <c r="E244" s="188"/>
      <c r="F244" s="189"/>
      <c r="G244" s="189"/>
      <c r="H244" s="188"/>
      <c r="I244" s="188"/>
      <c r="J244" s="188"/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</row>
    <row r="245" spans="5:33">
      <c r="E245" s="188"/>
      <c r="F245" s="189"/>
      <c r="G245" s="189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</row>
    <row r="246" spans="5:33">
      <c r="E246" s="188"/>
      <c r="F246" s="189"/>
      <c r="G246" s="189"/>
      <c r="H246" s="188"/>
      <c r="I246" s="188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</row>
    <row r="247" spans="5:33">
      <c r="E247" s="188"/>
      <c r="F247" s="189"/>
      <c r="G247" s="189"/>
      <c r="H247" s="188"/>
      <c r="I247" s="188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</row>
    <row r="248" spans="5:33">
      <c r="E248" s="188"/>
      <c r="F248" s="189"/>
      <c r="G248" s="189"/>
      <c r="H248" s="188"/>
      <c r="I248" s="188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</row>
    <row r="249" spans="5:33">
      <c r="E249" s="188"/>
      <c r="F249" s="189"/>
      <c r="G249" s="189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</row>
    <row r="250" spans="5:33">
      <c r="E250" s="188"/>
      <c r="F250" s="189"/>
      <c r="G250" s="189"/>
      <c r="H250" s="188"/>
      <c r="I250" s="188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</row>
    <row r="251" spans="5:33">
      <c r="E251" s="188"/>
      <c r="F251" s="189"/>
      <c r="G251" s="189"/>
      <c r="H251" s="188"/>
      <c r="I251" s="18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</row>
    <row r="252" spans="5:33">
      <c r="E252" s="188"/>
      <c r="F252" s="189"/>
      <c r="G252" s="189"/>
      <c r="H252" s="188"/>
      <c r="I252" s="18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</row>
    <row r="253" spans="5:33">
      <c r="E253" s="188"/>
      <c r="F253" s="189"/>
      <c r="G253" s="189"/>
      <c r="H253" s="188"/>
      <c r="I253" s="18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</row>
    <row r="254" spans="5:33">
      <c r="E254" s="188"/>
      <c r="F254" s="189"/>
      <c r="G254" s="189"/>
      <c r="H254" s="188"/>
      <c r="I254" s="18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</row>
    <row r="255" spans="5:33">
      <c r="E255" s="188"/>
      <c r="F255" s="189"/>
      <c r="G255" s="189"/>
      <c r="H255" s="188"/>
      <c r="I255" s="188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</row>
    <row r="256" spans="5:33">
      <c r="E256" s="188"/>
      <c r="F256" s="189"/>
      <c r="G256" s="189"/>
      <c r="H256" s="188"/>
      <c r="I256" s="188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</row>
    <row r="257" spans="5:33">
      <c r="E257" s="188"/>
      <c r="F257" s="189"/>
      <c r="G257" s="189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</row>
    <row r="258" spans="5:33">
      <c r="E258" s="188"/>
      <c r="F258" s="189"/>
      <c r="G258" s="189"/>
      <c r="H258" s="188"/>
      <c r="I258" s="188"/>
      <c r="J258" s="188"/>
      <c r="K258" s="188"/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</row>
    <row r="259" spans="5:33">
      <c r="E259" s="188"/>
      <c r="F259" s="189"/>
      <c r="G259" s="189"/>
      <c r="H259" s="188"/>
      <c r="I259" s="188"/>
      <c r="J259" s="188"/>
      <c r="K259" s="188"/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</row>
    <row r="260" spans="5:33">
      <c r="E260" s="188"/>
      <c r="F260" s="189"/>
      <c r="G260" s="189"/>
      <c r="H260" s="188"/>
      <c r="I260" s="18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</row>
    <row r="261" spans="5:33">
      <c r="E261" s="188"/>
      <c r="F261" s="189"/>
      <c r="G261" s="189"/>
      <c r="H261" s="188"/>
      <c r="I261" s="18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</row>
    <row r="262" spans="5:33">
      <c r="E262" s="188"/>
      <c r="F262" s="189"/>
      <c r="G262" s="189"/>
      <c r="H262" s="188"/>
      <c r="I262" s="18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</row>
    <row r="263" spans="5:33">
      <c r="E263" s="188"/>
      <c r="F263" s="189"/>
      <c r="G263" s="189"/>
      <c r="H263" s="188"/>
      <c r="I263" s="18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</row>
    <row r="264" spans="5:33">
      <c r="E264" s="188"/>
      <c r="F264" s="189"/>
      <c r="G264" s="189"/>
      <c r="H264" s="188"/>
      <c r="I264" s="18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</row>
    <row r="265" spans="5:33">
      <c r="E265" s="188"/>
      <c r="F265" s="189"/>
      <c r="G265" s="189"/>
      <c r="H265" s="188"/>
      <c r="I265" s="18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</row>
    <row r="266" spans="5:33">
      <c r="E266" s="188"/>
      <c r="F266" s="189"/>
      <c r="G266" s="189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</row>
    <row r="267" spans="5:33">
      <c r="E267" s="188"/>
      <c r="F267" s="189"/>
      <c r="G267" s="189"/>
      <c r="H267" s="188"/>
      <c r="I267" s="18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</row>
    <row r="268" spans="5:33">
      <c r="E268" s="188"/>
      <c r="F268" s="189"/>
      <c r="G268" s="189"/>
      <c r="H268" s="188"/>
      <c r="I268" s="18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</row>
    <row r="269" spans="5:33">
      <c r="E269" s="188"/>
      <c r="F269" s="189"/>
      <c r="G269" s="189"/>
      <c r="H269" s="188"/>
      <c r="I269" s="18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</row>
    <row r="270" spans="5:33">
      <c r="E270" s="188"/>
      <c r="F270" s="189"/>
      <c r="G270" s="189"/>
      <c r="H270" s="188"/>
      <c r="I270" s="18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</row>
    <row r="271" spans="5:33">
      <c r="E271" s="188"/>
      <c r="F271" s="189"/>
      <c r="G271" s="189"/>
      <c r="H271" s="188"/>
      <c r="I271" s="188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</row>
    <row r="272" spans="5:33">
      <c r="E272" s="188"/>
      <c r="F272" s="189"/>
      <c r="G272" s="189"/>
      <c r="H272" s="188"/>
      <c r="I272" s="188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</row>
    <row r="273" spans="5:33">
      <c r="E273" s="188"/>
      <c r="F273" s="189"/>
      <c r="G273" s="189"/>
      <c r="H273" s="188"/>
      <c r="I273" s="188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</row>
    <row r="274" spans="5:33">
      <c r="E274" s="188"/>
      <c r="F274" s="189"/>
      <c r="G274" s="189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</row>
    <row r="275" spans="5:33">
      <c r="E275" s="188"/>
      <c r="F275" s="189"/>
      <c r="G275" s="189"/>
      <c r="H275" s="188"/>
      <c r="I275" s="188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</row>
    <row r="276" spans="5:33">
      <c r="E276" s="188"/>
      <c r="F276" s="189"/>
      <c r="G276" s="189"/>
      <c r="H276" s="188"/>
      <c r="I276" s="188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</row>
    <row r="277" spans="5:33">
      <c r="E277" s="188"/>
      <c r="F277" s="189"/>
      <c r="G277" s="189"/>
      <c r="H277" s="188"/>
      <c r="I277" s="188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</row>
    <row r="278" spans="5:33">
      <c r="E278" s="188"/>
      <c r="F278" s="189"/>
      <c r="G278" s="189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</row>
    <row r="279" spans="5:33">
      <c r="E279" s="188"/>
      <c r="F279" s="189"/>
      <c r="G279" s="189"/>
      <c r="H279" s="188"/>
      <c r="I279" s="188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</row>
    <row r="280" spans="5:33">
      <c r="E280" s="188"/>
      <c r="F280" s="189"/>
      <c r="G280" s="189"/>
      <c r="H280" s="188"/>
      <c r="I280" s="188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</row>
    <row r="281" spans="5:33">
      <c r="E281" s="188"/>
      <c r="F281" s="189"/>
      <c r="G281" s="189"/>
      <c r="H281" s="188"/>
      <c r="I281" s="188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</row>
    <row r="282" spans="5:33">
      <c r="E282" s="188"/>
      <c r="F282" s="189"/>
      <c r="G282" s="189"/>
      <c r="H282" s="188"/>
      <c r="I282" s="188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</row>
    <row r="283" spans="5:33">
      <c r="E283" s="188"/>
      <c r="F283" s="189"/>
      <c r="G283" s="189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</row>
    <row r="284" spans="5:33">
      <c r="E284" s="188"/>
      <c r="F284" s="189"/>
      <c r="G284" s="189"/>
      <c r="H284" s="188"/>
      <c r="I284" s="188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</row>
    <row r="285" spans="5:33">
      <c r="E285" s="188"/>
      <c r="F285" s="189"/>
      <c r="G285" s="189"/>
      <c r="H285" s="188"/>
      <c r="I285" s="188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</row>
    <row r="286" spans="5:33">
      <c r="E286" s="188"/>
      <c r="F286" s="189"/>
      <c r="G286" s="189"/>
      <c r="H286" s="188"/>
      <c r="I286" s="188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</row>
    <row r="287" spans="5:33">
      <c r="E287" s="188"/>
      <c r="F287" s="189"/>
      <c r="G287" s="189"/>
      <c r="H287" s="188"/>
      <c r="I287" s="18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</row>
    <row r="288" spans="5:33">
      <c r="E288" s="188"/>
      <c r="F288" s="189"/>
      <c r="G288" s="189"/>
      <c r="H288" s="188"/>
      <c r="I288" s="18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</row>
    <row r="289" spans="5:33">
      <c r="E289" s="188"/>
      <c r="F289" s="189"/>
      <c r="G289" s="189"/>
      <c r="H289" s="188"/>
      <c r="I289" s="18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</row>
    <row r="290" spans="5:33">
      <c r="E290" s="188"/>
      <c r="F290" s="189"/>
      <c r="G290" s="189"/>
      <c r="H290" s="188"/>
      <c r="I290" s="18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</row>
    <row r="291" spans="5:33">
      <c r="E291" s="188"/>
      <c r="F291" s="189"/>
      <c r="G291" s="189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</row>
    <row r="292" spans="5:33">
      <c r="E292" s="188"/>
      <c r="F292" s="189"/>
      <c r="G292" s="189"/>
      <c r="H292" s="188"/>
      <c r="I292" s="18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</row>
    <row r="293" spans="5:33">
      <c r="E293" s="188"/>
      <c r="F293" s="189"/>
      <c r="G293" s="189"/>
      <c r="H293" s="188"/>
      <c r="I293" s="18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</row>
    <row r="294" spans="5:33">
      <c r="E294" s="188"/>
      <c r="F294" s="189"/>
      <c r="G294" s="189"/>
      <c r="H294" s="188"/>
      <c r="I294" s="18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</row>
    <row r="295" spans="5:33">
      <c r="E295" s="188"/>
      <c r="F295" s="189"/>
      <c r="G295" s="189"/>
      <c r="H295" s="188"/>
      <c r="I295" s="18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</row>
    <row r="296" spans="5:33">
      <c r="E296" s="188"/>
      <c r="F296" s="189"/>
      <c r="G296" s="189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</row>
    <row r="297" spans="5:33">
      <c r="E297" s="188"/>
      <c r="F297" s="189"/>
      <c r="G297" s="189"/>
      <c r="H297" s="188"/>
      <c r="I297" s="18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</row>
    <row r="298" spans="5:33">
      <c r="E298" s="188"/>
      <c r="F298" s="189"/>
      <c r="G298" s="189"/>
      <c r="H298" s="188"/>
      <c r="I298" s="18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</row>
    <row r="299" spans="5:33">
      <c r="E299" s="188"/>
      <c r="F299" s="189"/>
      <c r="G299" s="189"/>
      <c r="H299" s="188"/>
      <c r="I299" s="18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</row>
    <row r="300" spans="5:33">
      <c r="E300" s="188"/>
      <c r="F300" s="189"/>
      <c r="G300" s="189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</row>
    <row r="301" spans="5:33">
      <c r="E301" s="188"/>
      <c r="F301" s="189"/>
      <c r="G301" s="189"/>
      <c r="H301" s="188"/>
      <c r="I301" s="18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</row>
    <row r="302" spans="5:33">
      <c r="E302" s="188"/>
      <c r="F302" s="189"/>
      <c r="G302" s="189"/>
      <c r="H302" s="188"/>
      <c r="I302" s="188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</row>
    <row r="303" spans="5:33">
      <c r="E303" s="188"/>
      <c r="F303" s="189"/>
      <c r="G303" s="189"/>
      <c r="H303" s="188"/>
      <c r="I303" s="188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</row>
    <row r="304" spans="5:33">
      <c r="E304" s="188"/>
      <c r="F304" s="189"/>
      <c r="G304" s="189"/>
      <c r="H304" s="188"/>
      <c r="I304" s="188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</row>
    <row r="305" spans="5:33">
      <c r="E305" s="188"/>
      <c r="F305" s="189"/>
      <c r="G305" s="189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</row>
    <row r="306" spans="5:33">
      <c r="E306" s="188"/>
      <c r="F306" s="189"/>
      <c r="G306" s="189"/>
      <c r="H306" s="188"/>
      <c r="I306" s="188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</row>
    <row r="307" spans="5:33">
      <c r="E307" s="188"/>
      <c r="F307" s="189"/>
      <c r="G307" s="189"/>
      <c r="H307" s="188"/>
      <c r="I307" s="188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</row>
    <row r="308" spans="5:33">
      <c r="E308" s="188"/>
      <c r="F308" s="189"/>
      <c r="G308" s="189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</row>
    <row r="309" spans="5:33">
      <c r="E309" s="188"/>
      <c r="F309" s="189"/>
      <c r="G309" s="189"/>
      <c r="H309" s="188"/>
      <c r="I309" s="188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</row>
    <row r="310" spans="5:33">
      <c r="E310" s="188"/>
      <c r="F310" s="189"/>
      <c r="G310" s="189"/>
      <c r="H310" s="188"/>
      <c r="I310" s="188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</row>
    <row r="311" spans="5:33">
      <c r="E311" s="188"/>
      <c r="F311" s="189"/>
      <c r="G311" s="189"/>
      <c r="H311" s="188"/>
      <c r="I311" s="188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</row>
    <row r="312" spans="5:33">
      <c r="E312" s="188"/>
      <c r="F312" s="189"/>
      <c r="G312" s="189"/>
      <c r="H312" s="188"/>
      <c r="I312" s="188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</row>
    <row r="313" spans="5:33">
      <c r="E313" s="188"/>
      <c r="F313" s="189"/>
      <c r="G313" s="189"/>
      <c r="H313" s="188"/>
      <c r="I313" s="188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</row>
    <row r="314" spans="5:33">
      <c r="E314" s="188"/>
      <c r="F314" s="189"/>
      <c r="G314" s="189"/>
      <c r="H314" s="188"/>
      <c r="I314" s="188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</row>
    <row r="315" spans="5:33">
      <c r="E315" s="188"/>
      <c r="F315" s="189"/>
      <c r="G315" s="189"/>
      <c r="H315" s="188"/>
      <c r="I315" s="188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</row>
    <row r="316" spans="5:33">
      <c r="E316" s="188"/>
      <c r="F316" s="189"/>
      <c r="G316" s="189"/>
      <c r="H316" s="188"/>
      <c r="I316" s="188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</row>
    <row r="317" spans="5:33">
      <c r="E317" s="188"/>
      <c r="F317" s="189"/>
      <c r="G317" s="189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</row>
    <row r="318" spans="5:33">
      <c r="E318" s="188"/>
      <c r="F318" s="189"/>
      <c r="G318" s="189"/>
      <c r="H318" s="188"/>
      <c r="I318" s="188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</row>
    <row r="319" spans="5:33">
      <c r="E319" s="188"/>
      <c r="F319" s="189"/>
      <c r="G319" s="189"/>
      <c r="H319" s="188"/>
      <c r="I319" s="188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</row>
    <row r="320" spans="5:33">
      <c r="E320" s="188"/>
      <c r="F320" s="189"/>
      <c r="G320" s="189"/>
      <c r="H320" s="188"/>
      <c r="I320" s="188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</row>
    <row r="321" spans="5:33">
      <c r="E321" s="188"/>
      <c r="F321" s="189"/>
      <c r="G321" s="189"/>
      <c r="H321" s="188"/>
      <c r="I321" s="188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</row>
    <row r="322" spans="5:33">
      <c r="E322" s="188"/>
      <c r="F322" s="189"/>
      <c r="G322" s="189"/>
      <c r="H322" s="188"/>
      <c r="I322" s="188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</row>
    <row r="323" spans="5:33">
      <c r="E323" s="188"/>
      <c r="F323" s="189"/>
      <c r="G323" s="189"/>
      <c r="H323" s="188"/>
      <c r="I323" s="188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</row>
    <row r="324" spans="5:33">
      <c r="E324" s="188"/>
      <c r="F324" s="189"/>
      <c r="G324" s="189"/>
      <c r="H324" s="188"/>
      <c r="I324" s="188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</row>
    <row r="325" spans="5:33">
      <c r="E325" s="188"/>
      <c r="F325" s="189"/>
      <c r="G325" s="189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</row>
    <row r="326" spans="5:33">
      <c r="E326" s="188"/>
      <c r="F326" s="189"/>
      <c r="G326" s="189"/>
      <c r="H326" s="188"/>
      <c r="I326" s="188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</row>
    <row r="327" spans="5:33">
      <c r="E327" s="188"/>
      <c r="F327" s="189"/>
      <c r="G327" s="189"/>
      <c r="H327" s="188"/>
      <c r="I327" s="188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</row>
    <row r="328" spans="5:33">
      <c r="E328" s="188"/>
      <c r="F328" s="189"/>
      <c r="G328" s="189"/>
      <c r="H328" s="188"/>
      <c r="I328" s="188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  <c r="AF328" s="188"/>
      <c r="AG328" s="188"/>
    </row>
    <row r="329" spans="5:33">
      <c r="E329" s="188"/>
      <c r="F329" s="189"/>
      <c r="G329" s="189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</row>
    <row r="330" spans="5:33">
      <c r="E330" s="188"/>
      <c r="F330" s="189"/>
      <c r="G330" s="189"/>
      <c r="H330" s="188"/>
      <c r="I330" s="188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</row>
    <row r="331" spans="5:33">
      <c r="E331" s="188"/>
      <c r="F331" s="189"/>
      <c r="G331" s="189"/>
      <c r="H331" s="188"/>
      <c r="I331" s="188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</row>
    <row r="332" spans="5:33">
      <c r="E332" s="188"/>
      <c r="F332" s="189"/>
      <c r="G332" s="189"/>
      <c r="H332" s="188"/>
      <c r="I332" s="188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</row>
    <row r="333" spans="5:33">
      <c r="E333" s="188"/>
      <c r="F333" s="189"/>
      <c r="G333" s="189"/>
      <c r="H333" s="188"/>
      <c r="I333" s="188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</row>
    <row r="334" spans="5:33">
      <c r="E334" s="188"/>
      <c r="F334" s="189"/>
      <c r="G334" s="189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</row>
    <row r="335" spans="5:33">
      <c r="E335" s="188"/>
      <c r="F335" s="189"/>
      <c r="G335" s="189"/>
      <c r="H335" s="188"/>
      <c r="I335" s="188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</row>
    <row r="336" spans="5:33">
      <c r="E336" s="188"/>
      <c r="F336" s="189"/>
      <c r="G336" s="189"/>
      <c r="H336" s="188"/>
      <c r="I336" s="188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</row>
    <row r="337" spans="5:33">
      <c r="E337" s="188"/>
      <c r="F337" s="189"/>
      <c r="G337" s="189"/>
      <c r="H337" s="188"/>
      <c r="I337" s="188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</row>
    <row r="338" spans="5:33">
      <c r="E338" s="188"/>
      <c r="F338" s="189"/>
      <c r="G338" s="189"/>
      <c r="H338" s="188"/>
      <c r="I338" s="188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</row>
    <row r="339" spans="5:33">
      <c r="E339" s="188"/>
      <c r="F339" s="189"/>
      <c r="G339" s="189"/>
      <c r="H339" s="188"/>
      <c r="I339" s="188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</row>
    <row r="340" spans="5:33">
      <c r="E340" s="188"/>
      <c r="F340" s="189"/>
      <c r="G340" s="189"/>
      <c r="H340" s="188"/>
      <c r="I340" s="188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</row>
    <row r="341" spans="5:33">
      <c r="E341" s="188"/>
      <c r="F341" s="189"/>
      <c r="G341" s="189"/>
      <c r="H341" s="188"/>
      <c r="I341" s="188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</row>
    <row r="342" spans="5:33">
      <c r="E342" s="188"/>
      <c r="F342" s="189"/>
      <c r="G342" s="189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</row>
    <row r="343" spans="5:33">
      <c r="E343" s="188"/>
      <c r="F343" s="189"/>
      <c r="G343" s="189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</row>
    <row r="344" spans="5:33">
      <c r="E344" s="188"/>
      <c r="F344" s="189"/>
      <c r="G344" s="189"/>
      <c r="H344" s="188"/>
      <c r="I344" s="188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</row>
    <row r="345" spans="5:33">
      <c r="E345" s="188"/>
      <c r="F345" s="189"/>
      <c r="G345" s="189"/>
      <c r="H345" s="188"/>
      <c r="I345" s="18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</row>
    <row r="346" spans="5:33">
      <c r="E346" s="188"/>
      <c r="F346" s="189"/>
      <c r="G346" s="189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</row>
    <row r="347" spans="5:33">
      <c r="E347" s="188"/>
      <c r="F347" s="189"/>
      <c r="G347" s="189"/>
      <c r="H347" s="188"/>
      <c r="I347" s="18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</row>
    <row r="348" spans="5:33">
      <c r="E348" s="188"/>
      <c r="F348" s="189"/>
      <c r="G348" s="189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</row>
    <row r="349" spans="5:33">
      <c r="E349" s="188"/>
      <c r="F349" s="189"/>
      <c r="G349" s="189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</row>
    <row r="350" spans="5:33">
      <c r="E350" s="188"/>
      <c r="F350" s="189"/>
      <c r="G350" s="189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  <c r="AG350" s="188"/>
    </row>
    <row r="351" spans="5:33">
      <c r="E351" s="188"/>
      <c r="F351" s="189"/>
      <c r="G351" s="189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</row>
    <row r="352" spans="5:33">
      <c r="E352" s="188"/>
      <c r="F352" s="189"/>
      <c r="G352" s="189"/>
      <c r="H352" s="18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</row>
    <row r="353" spans="5:33">
      <c r="E353" s="188"/>
      <c r="F353" s="189"/>
      <c r="G353" s="189"/>
      <c r="H353" s="18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</row>
    <row r="354" spans="5:33">
      <c r="E354" s="188"/>
      <c r="F354" s="189"/>
      <c r="G354" s="189"/>
      <c r="H354" s="18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</row>
    <row r="355" spans="5:33">
      <c r="E355" s="188"/>
      <c r="F355" s="189"/>
      <c r="G355" s="189"/>
      <c r="H355" s="18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</row>
    <row r="356" spans="5:33">
      <c r="E356" s="188"/>
      <c r="F356" s="189"/>
      <c r="G356" s="189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</row>
    <row r="357" spans="5:33">
      <c r="E357" s="188"/>
      <c r="F357" s="189"/>
      <c r="G357" s="189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</row>
    <row r="358" spans="5:33">
      <c r="E358" s="188"/>
      <c r="F358" s="189"/>
      <c r="G358" s="189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</row>
    <row r="359" spans="5:33">
      <c r="E359" s="188"/>
      <c r="F359" s="189"/>
      <c r="G359" s="189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</row>
    <row r="360" spans="5:33">
      <c r="E360" s="188"/>
      <c r="F360" s="189"/>
      <c r="G360" s="189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</row>
    <row r="361" spans="5:33">
      <c r="E361" s="188"/>
      <c r="F361" s="189"/>
      <c r="G361" s="189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  <c r="AG361" s="188"/>
    </row>
    <row r="362" spans="5:33">
      <c r="E362" s="188"/>
      <c r="F362" s="189"/>
      <c r="G362" s="189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</row>
    <row r="363" spans="5:33">
      <c r="E363" s="188"/>
      <c r="F363" s="189"/>
      <c r="G363" s="189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</row>
    <row r="364" spans="5:33">
      <c r="E364" s="188"/>
      <c r="F364" s="189"/>
      <c r="G364" s="189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</row>
    <row r="365" spans="5:33">
      <c r="E365" s="188"/>
      <c r="F365" s="189"/>
      <c r="G365" s="189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</row>
    <row r="366" spans="5:33">
      <c r="E366" s="188"/>
      <c r="F366" s="189"/>
      <c r="G366" s="189"/>
      <c r="H366" s="188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</row>
    <row r="367" spans="5:33">
      <c r="E367" s="188"/>
      <c r="F367" s="189"/>
      <c r="G367" s="189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</row>
    <row r="368" spans="5:33">
      <c r="E368" s="188"/>
      <c r="F368" s="189"/>
      <c r="G368" s="189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</row>
    <row r="369" spans="5:33">
      <c r="E369" s="188"/>
      <c r="F369" s="189"/>
      <c r="G369" s="189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</row>
    <row r="370" spans="5:33">
      <c r="E370" s="188"/>
      <c r="F370" s="189"/>
      <c r="G370" s="189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</row>
    <row r="371" spans="5:33">
      <c r="E371" s="188"/>
      <c r="F371" s="189"/>
      <c r="G371" s="189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  <c r="AB371" s="188"/>
      <c r="AC371" s="188"/>
      <c r="AD371" s="188"/>
      <c r="AE371" s="188"/>
      <c r="AF371" s="188"/>
      <c r="AG371" s="188"/>
    </row>
    <row r="372" spans="5:33">
      <c r="E372" s="188"/>
      <c r="F372" s="189"/>
      <c r="G372" s="189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</row>
    <row r="373" spans="5:33">
      <c r="E373" s="188"/>
      <c r="F373" s="189"/>
      <c r="G373" s="189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</row>
    <row r="374" spans="5:33">
      <c r="E374" s="188"/>
      <c r="F374" s="189"/>
      <c r="G374" s="189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</row>
    <row r="375" spans="5:33">
      <c r="E375" s="188"/>
      <c r="F375" s="189"/>
      <c r="G375" s="189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  <c r="AG375" s="188"/>
    </row>
    <row r="376" spans="5:33">
      <c r="E376" s="188"/>
      <c r="F376" s="189"/>
      <c r="G376" s="189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</row>
    <row r="377" spans="5:33">
      <c r="E377" s="188"/>
      <c r="F377" s="189"/>
      <c r="G377" s="189"/>
      <c r="H377" s="188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  <c r="AG377" s="188"/>
    </row>
    <row r="378" spans="5:33">
      <c r="E378" s="188"/>
      <c r="F378" s="189"/>
      <c r="G378" s="189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</row>
    <row r="379" spans="5:33">
      <c r="E379" s="188"/>
      <c r="F379" s="189"/>
      <c r="G379" s="189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</row>
    <row r="380" spans="5:33">
      <c r="E380" s="188"/>
      <c r="F380" s="189"/>
      <c r="G380" s="189"/>
      <c r="H380" s="188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</row>
    <row r="381" spans="5:33">
      <c r="E381" s="188"/>
      <c r="F381" s="189"/>
      <c r="G381" s="189"/>
      <c r="H381" s="188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</row>
    <row r="382" spans="5:33">
      <c r="E382" s="188"/>
      <c r="F382" s="189"/>
      <c r="G382" s="189"/>
      <c r="H382" s="188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</row>
    <row r="383" spans="5:33">
      <c r="E383" s="188"/>
      <c r="F383" s="189"/>
      <c r="G383" s="189"/>
      <c r="H383" s="188"/>
      <c r="I383" s="188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  <c r="AB383" s="188"/>
      <c r="AC383" s="188"/>
      <c r="AD383" s="188"/>
      <c r="AE383" s="188"/>
      <c r="AF383" s="188"/>
      <c r="AG383" s="188"/>
    </row>
    <row r="384" spans="5:33">
      <c r="E384" s="188"/>
      <c r="F384" s="189"/>
      <c r="G384" s="189"/>
      <c r="H384" s="188"/>
      <c r="I384" s="188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  <c r="AB384" s="188"/>
      <c r="AC384" s="188"/>
      <c r="AD384" s="188"/>
      <c r="AE384" s="188"/>
      <c r="AF384" s="188"/>
      <c r="AG384" s="188"/>
    </row>
    <row r="385" spans="5:33">
      <c r="E385" s="188"/>
      <c r="F385" s="189"/>
      <c r="G385" s="189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</row>
    <row r="386" spans="5:33">
      <c r="E386" s="188"/>
      <c r="F386" s="189"/>
      <c r="G386" s="189"/>
      <c r="H386" s="188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</row>
    <row r="387" spans="5:33">
      <c r="E387" s="188"/>
      <c r="F387" s="189"/>
      <c r="G387" s="189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  <c r="AG387" s="188"/>
    </row>
    <row r="388" spans="5:33">
      <c r="E388" s="188"/>
      <c r="F388" s="189"/>
      <c r="G388" s="189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  <c r="AB388" s="188"/>
      <c r="AC388" s="188"/>
      <c r="AD388" s="188"/>
      <c r="AE388" s="188"/>
      <c r="AF388" s="188"/>
      <c r="AG388" s="188"/>
    </row>
    <row r="389" spans="5:33">
      <c r="E389" s="188"/>
      <c r="F389" s="189"/>
      <c r="G389" s="189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</row>
    <row r="390" spans="5:33">
      <c r="E390" s="188"/>
      <c r="F390" s="189"/>
      <c r="G390" s="189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  <c r="AG390" s="188"/>
    </row>
    <row r="391" spans="5:33">
      <c r="E391" s="188"/>
      <c r="F391" s="189"/>
      <c r="G391" s="189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</row>
    <row r="392" spans="5:33">
      <c r="E392" s="188"/>
      <c r="F392" s="189"/>
      <c r="G392" s="189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</row>
    <row r="393" spans="5:33">
      <c r="E393" s="188"/>
      <c r="F393" s="189"/>
      <c r="G393" s="189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</row>
    <row r="394" spans="5:33">
      <c r="E394" s="188"/>
      <c r="F394" s="189"/>
      <c r="G394" s="189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</row>
    <row r="395" spans="5:33">
      <c r="E395" s="188"/>
      <c r="F395" s="189"/>
      <c r="G395" s="189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</row>
    <row r="396" spans="5:33">
      <c r="E396" s="188"/>
      <c r="F396" s="189"/>
      <c r="G396" s="189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</row>
    <row r="397" spans="5:33">
      <c r="E397" s="188"/>
      <c r="F397" s="189"/>
      <c r="G397" s="189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</row>
    <row r="398" spans="5:33">
      <c r="E398" s="188"/>
      <c r="F398" s="189"/>
      <c r="G398" s="189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</row>
    <row r="399" spans="5:33">
      <c r="E399" s="188"/>
      <c r="F399" s="189"/>
      <c r="G399" s="189"/>
      <c r="H399" s="188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</row>
    <row r="400" spans="5:33">
      <c r="E400" s="188"/>
      <c r="F400" s="189"/>
      <c r="G400" s="189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  <c r="AG400" s="188"/>
    </row>
    <row r="401" spans="5:33">
      <c r="E401" s="188"/>
      <c r="F401" s="189"/>
      <c r="G401" s="189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  <c r="AG401" s="188"/>
    </row>
    <row r="402" spans="5:33">
      <c r="E402" s="188"/>
      <c r="F402" s="189"/>
      <c r="G402" s="189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</row>
    <row r="403" spans="5:33">
      <c r="E403" s="188"/>
      <c r="F403" s="189"/>
      <c r="G403" s="189"/>
      <c r="H403" s="188"/>
      <c r="I403" s="18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</row>
    <row r="404" spans="5:33">
      <c r="E404" s="188"/>
      <c r="F404" s="189"/>
      <c r="G404" s="189"/>
      <c r="H404" s="188"/>
      <c r="I404" s="188"/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  <c r="AB404" s="188"/>
      <c r="AC404" s="188"/>
      <c r="AD404" s="188"/>
      <c r="AE404" s="188"/>
      <c r="AF404" s="188"/>
      <c r="AG404" s="188"/>
    </row>
    <row r="405" spans="5:33">
      <c r="E405" s="188"/>
      <c r="F405" s="189"/>
      <c r="G405" s="189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  <c r="AB405" s="188"/>
      <c r="AC405" s="188"/>
      <c r="AD405" s="188"/>
      <c r="AE405" s="188"/>
      <c r="AF405" s="188"/>
      <c r="AG405" s="188"/>
    </row>
    <row r="406" spans="5:33">
      <c r="E406" s="188"/>
      <c r="F406" s="189"/>
      <c r="G406" s="189"/>
      <c r="H406" s="188"/>
      <c r="I406" s="18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</row>
    <row r="407" spans="5:33">
      <c r="E407" s="188"/>
      <c r="F407" s="189"/>
      <c r="G407" s="189"/>
      <c r="H407" s="188"/>
      <c r="I407" s="18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</row>
    <row r="408" spans="5:33">
      <c r="E408" s="188"/>
      <c r="F408" s="189"/>
      <c r="G408" s="189"/>
      <c r="H408" s="188"/>
      <c r="I408" s="188"/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  <c r="AG408" s="188"/>
    </row>
    <row r="409" spans="5:33">
      <c r="E409" s="188"/>
      <c r="F409" s="189"/>
      <c r="G409" s="189"/>
      <c r="H409" s="188"/>
      <c r="I409" s="18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</row>
    <row r="410" spans="5:33">
      <c r="E410" s="188"/>
      <c r="F410" s="189"/>
      <c r="G410" s="189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</row>
    <row r="411" spans="5:33">
      <c r="E411" s="188"/>
      <c r="F411" s="189"/>
      <c r="G411" s="189"/>
      <c r="H411" s="188"/>
      <c r="I411" s="188"/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  <c r="AG411" s="188"/>
    </row>
    <row r="412" spans="5:33">
      <c r="E412" s="188"/>
      <c r="F412" s="189"/>
      <c r="G412" s="189"/>
      <c r="H412" s="188"/>
      <c r="I412" s="188"/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  <c r="AB412" s="188"/>
      <c r="AC412" s="188"/>
      <c r="AD412" s="188"/>
      <c r="AE412" s="188"/>
      <c r="AF412" s="188"/>
      <c r="AG412" s="188"/>
    </row>
    <row r="413" spans="5:33">
      <c r="E413" s="188"/>
      <c r="F413" s="189"/>
      <c r="G413" s="189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</row>
    <row r="414" spans="5:33">
      <c r="E414" s="188"/>
      <c r="F414" s="189"/>
      <c r="G414" s="189"/>
      <c r="H414" s="188"/>
      <c r="I414" s="18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</row>
    <row r="415" spans="5:33">
      <c r="E415" s="188"/>
      <c r="F415" s="189"/>
      <c r="G415" s="189"/>
      <c r="H415" s="188"/>
      <c r="I415" s="188"/>
      <c r="J415" s="188"/>
      <c r="K415" s="188"/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  <c r="AB415" s="188"/>
      <c r="AC415" s="188"/>
      <c r="AD415" s="188"/>
      <c r="AE415" s="188"/>
      <c r="AF415" s="188"/>
      <c r="AG415" s="188"/>
    </row>
    <row r="416" spans="5:33">
      <c r="E416" s="188"/>
      <c r="F416" s="189"/>
      <c r="G416" s="189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</row>
    <row r="417" spans="5:33">
      <c r="E417" s="188"/>
      <c r="F417" s="189"/>
      <c r="G417" s="189"/>
      <c r="H417" s="188"/>
      <c r="I417" s="188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</row>
    <row r="418" spans="5:33">
      <c r="E418" s="188"/>
      <c r="F418" s="189"/>
      <c r="G418" s="189"/>
      <c r="H418" s="188"/>
      <c r="I418" s="188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</row>
    <row r="419" spans="5:33">
      <c r="E419" s="188"/>
      <c r="F419" s="189"/>
      <c r="G419" s="189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</row>
    <row r="420" spans="5:33">
      <c r="E420" s="188"/>
      <c r="F420" s="189"/>
      <c r="G420" s="189"/>
      <c r="H420" s="188"/>
      <c r="I420" s="188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</row>
    <row r="421" spans="5:33">
      <c r="E421" s="188"/>
      <c r="F421" s="189"/>
      <c r="G421" s="189"/>
      <c r="H421" s="188"/>
      <c r="I421" s="188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</row>
    <row r="422" spans="5:33">
      <c r="E422" s="188"/>
      <c r="F422" s="189"/>
      <c r="G422" s="189"/>
      <c r="H422" s="188"/>
      <c r="I422" s="188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</row>
    <row r="423" spans="5:33">
      <c r="E423" s="188"/>
      <c r="F423" s="189"/>
      <c r="G423" s="189"/>
      <c r="H423" s="188"/>
      <c r="I423" s="188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</row>
    <row r="424" spans="5:33">
      <c r="E424" s="188"/>
      <c r="F424" s="189"/>
      <c r="G424" s="189"/>
      <c r="H424" s="188"/>
      <c r="I424" s="188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</row>
    <row r="425" spans="5:33">
      <c r="E425" s="188"/>
      <c r="F425" s="189"/>
      <c r="G425" s="189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</row>
    <row r="426" spans="5:33">
      <c r="E426" s="188"/>
      <c r="F426" s="189"/>
      <c r="G426" s="189"/>
      <c r="H426" s="188"/>
      <c r="I426" s="188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</row>
    <row r="427" spans="5:33">
      <c r="E427" s="188"/>
      <c r="F427" s="189"/>
      <c r="G427" s="189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</row>
    <row r="428" spans="5:33">
      <c r="E428" s="188"/>
      <c r="F428" s="189"/>
      <c r="G428" s="189"/>
      <c r="H428" s="188"/>
      <c r="I428" s="188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</row>
    <row r="429" spans="5:33">
      <c r="E429" s="188"/>
      <c r="F429" s="189"/>
      <c r="G429" s="189"/>
      <c r="H429" s="188"/>
      <c r="I429" s="188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</row>
    <row r="430" spans="5:33">
      <c r="E430" s="188"/>
      <c r="F430" s="189"/>
      <c r="G430" s="189"/>
      <c r="H430" s="188"/>
      <c r="I430" s="188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</row>
    <row r="431" spans="5:33">
      <c r="E431" s="188"/>
      <c r="F431" s="189"/>
      <c r="G431" s="189"/>
      <c r="H431" s="188"/>
      <c r="I431" s="188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</row>
    <row r="432" spans="5:33">
      <c r="E432" s="188"/>
      <c r="F432" s="189"/>
      <c r="G432" s="189"/>
      <c r="H432" s="188"/>
      <c r="I432" s="188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</row>
    <row r="433" spans="5:33">
      <c r="E433" s="188"/>
      <c r="F433" s="189"/>
      <c r="G433" s="189"/>
      <c r="H433" s="188"/>
      <c r="I433" s="188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</row>
    <row r="434" spans="5:33">
      <c r="E434" s="188"/>
      <c r="F434" s="189"/>
      <c r="G434" s="189"/>
      <c r="H434" s="188"/>
      <c r="I434" s="188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</row>
    <row r="435" spans="5:33">
      <c r="E435" s="188"/>
      <c r="F435" s="189"/>
      <c r="G435" s="189"/>
      <c r="H435" s="188"/>
      <c r="I435" s="188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</row>
    <row r="436" spans="5:33">
      <c r="E436" s="188"/>
      <c r="F436" s="189"/>
      <c r="G436" s="189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</row>
    <row r="437" spans="5:33">
      <c r="E437" s="188"/>
      <c r="F437" s="189"/>
      <c r="G437" s="189"/>
      <c r="H437" s="188"/>
      <c r="I437" s="188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</row>
    <row r="438" spans="5:33">
      <c r="E438" s="188"/>
      <c r="F438" s="189"/>
      <c r="G438" s="189"/>
      <c r="H438" s="188"/>
      <c r="I438" s="188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</row>
    <row r="439" spans="5:33">
      <c r="E439" s="188"/>
      <c r="F439" s="189"/>
      <c r="G439" s="189"/>
      <c r="H439" s="188"/>
      <c r="I439" s="188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</row>
    <row r="440" spans="5:33">
      <c r="E440" s="188"/>
      <c r="F440" s="189"/>
      <c r="G440" s="189"/>
      <c r="H440" s="188"/>
      <c r="I440" s="188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</row>
    <row r="441" spans="5:33">
      <c r="E441" s="188"/>
      <c r="F441" s="189"/>
      <c r="G441" s="189"/>
      <c r="H441" s="188"/>
      <c r="I441" s="18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</row>
    <row r="442" spans="5:33">
      <c r="E442" s="188"/>
      <c r="F442" s="189"/>
      <c r="G442" s="189"/>
      <c r="H442" s="188"/>
      <c r="I442" s="18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</row>
    <row r="443" spans="5:33">
      <c r="E443" s="188"/>
      <c r="F443" s="189"/>
      <c r="G443" s="189"/>
      <c r="H443" s="188"/>
      <c r="I443" s="18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</row>
    <row r="444" spans="5:33">
      <c r="E444" s="188"/>
      <c r="F444" s="189"/>
      <c r="G444" s="189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</row>
    <row r="445" spans="5:33">
      <c r="E445" s="188"/>
      <c r="F445" s="189"/>
      <c r="G445" s="189"/>
      <c r="H445" s="188"/>
      <c r="I445" s="18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</row>
    <row r="446" spans="5:33">
      <c r="E446" s="188"/>
      <c r="F446" s="189"/>
      <c r="G446" s="189"/>
      <c r="H446" s="188"/>
      <c r="I446" s="18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</row>
    <row r="447" spans="5:33">
      <c r="E447" s="188"/>
      <c r="F447" s="189"/>
      <c r="G447" s="189"/>
      <c r="H447" s="188"/>
      <c r="I447" s="18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</row>
    <row r="448" spans="5:33">
      <c r="E448" s="188"/>
      <c r="F448" s="189"/>
      <c r="G448" s="189"/>
      <c r="H448" s="188"/>
      <c r="I448" s="18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</row>
    <row r="449" spans="5:33">
      <c r="E449" s="188"/>
      <c r="F449" s="189"/>
      <c r="G449" s="189"/>
      <c r="H449" s="188"/>
      <c r="I449" s="18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</row>
    <row r="450" spans="5:33">
      <c r="E450" s="188"/>
      <c r="F450" s="189"/>
      <c r="G450" s="189"/>
      <c r="H450" s="188"/>
      <c r="I450" s="18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</row>
    <row r="451" spans="5:33">
      <c r="E451" s="188"/>
      <c r="F451" s="189"/>
      <c r="G451" s="189"/>
      <c r="H451" s="188"/>
      <c r="I451" s="18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</row>
    <row r="452" spans="5:33">
      <c r="E452" s="188"/>
      <c r="F452" s="189"/>
      <c r="G452" s="189"/>
      <c r="H452" s="188"/>
      <c r="I452" s="18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</row>
    <row r="453" spans="5:33">
      <c r="E453" s="188"/>
      <c r="F453" s="189"/>
      <c r="G453" s="189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</row>
    <row r="454" spans="5:33">
      <c r="E454" s="188"/>
      <c r="F454" s="189"/>
      <c r="G454" s="189"/>
      <c r="H454" s="188"/>
      <c r="I454" s="18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</row>
    <row r="455" spans="5:33">
      <c r="E455" s="188"/>
      <c r="F455" s="189"/>
      <c r="G455" s="189"/>
      <c r="H455" s="188"/>
      <c r="I455" s="18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</row>
    <row r="456" spans="5:33">
      <c r="E456" s="188"/>
      <c r="F456" s="189"/>
      <c r="G456" s="189"/>
      <c r="H456" s="188"/>
      <c r="I456" s="18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</row>
    <row r="457" spans="5:33">
      <c r="E457" s="188"/>
      <c r="F457" s="189"/>
      <c r="G457" s="189"/>
      <c r="H457" s="188"/>
      <c r="I457" s="18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</row>
    <row r="458" spans="5:33">
      <c r="E458" s="188"/>
      <c r="F458" s="189"/>
      <c r="G458" s="189"/>
      <c r="H458" s="188"/>
      <c r="I458" s="18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</row>
    <row r="459" spans="5:33">
      <c r="E459" s="188"/>
      <c r="F459" s="189"/>
      <c r="G459" s="189"/>
      <c r="H459" s="188"/>
      <c r="I459" s="18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</row>
    <row r="460" spans="5:33">
      <c r="E460" s="188"/>
      <c r="F460" s="189"/>
      <c r="G460" s="189"/>
      <c r="H460" s="188"/>
      <c r="I460" s="18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</row>
    <row r="461" spans="5:33">
      <c r="E461" s="188"/>
      <c r="F461" s="189"/>
      <c r="G461" s="189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</row>
    <row r="462" spans="5:33">
      <c r="E462" s="188"/>
      <c r="F462" s="189"/>
      <c r="G462" s="189"/>
      <c r="H462" s="188"/>
      <c r="I462" s="18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</row>
    <row r="463" spans="5:33">
      <c r="E463" s="188"/>
      <c r="F463" s="189"/>
      <c r="G463" s="189"/>
      <c r="H463" s="188"/>
      <c r="I463" s="18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</row>
    <row r="464" spans="5:33">
      <c r="E464" s="188"/>
      <c r="F464" s="189"/>
      <c r="G464" s="189"/>
      <c r="H464" s="188"/>
      <c r="I464" s="18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</row>
    <row r="465" spans="5:33">
      <c r="E465" s="188"/>
      <c r="F465" s="189"/>
      <c r="G465" s="189"/>
      <c r="H465" s="188"/>
      <c r="I465" s="18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</row>
    <row r="466" spans="5:33">
      <c r="E466" s="188"/>
      <c r="F466" s="189"/>
      <c r="G466" s="189"/>
      <c r="H466" s="188"/>
      <c r="I466" s="188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</row>
    <row r="467" spans="5:33">
      <c r="E467" s="188"/>
      <c r="F467" s="189"/>
      <c r="G467" s="189"/>
      <c r="H467" s="188"/>
      <c r="I467" s="188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</row>
    <row r="468" spans="5:33">
      <c r="E468" s="188"/>
      <c r="F468" s="189"/>
      <c r="G468" s="189"/>
      <c r="H468" s="188"/>
      <c r="I468" s="188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</row>
    <row r="469" spans="5:33">
      <c r="E469" s="188"/>
      <c r="F469" s="189"/>
      <c r="G469" s="189"/>
      <c r="H469" s="188"/>
      <c r="I469" s="188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</row>
    <row r="470" spans="5:33">
      <c r="E470" s="188"/>
      <c r="F470" s="189"/>
      <c r="G470" s="189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</row>
    <row r="471" spans="5:33">
      <c r="E471" s="188"/>
      <c r="F471" s="189"/>
      <c r="G471" s="189"/>
      <c r="H471" s="188"/>
      <c r="I471" s="188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</row>
    <row r="472" spans="5:33">
      <c r="E472" s="188"/>
      <c r="F472" s="189"/>
      <c r="G472" s="189"/>
      <c r="H472" s="188"/>
      <c r="I472" s="188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</row>
    <row r="473" spans="5:33">
      <c r="E473" s="188"/>
      <c r="F473" s="189"/>
      <c r="G473" s="189"/>
      <c r="H473" s="188"/>
      <c r="I473" s="188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</row>
    <row r="474" spans="5:33">
      <c r="E474" s="188"/>
      <c r="F474" s="189"/>
      <c r="G474" s="189"/>
      <c r="H474" s="188"/>
      <c r="I474" s="188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</row>
    <row r="475" spans="5:33">
      <c r="E475" s="188"/>
      <c r="F475" s="189"/>
      <c r="G475" s="189"/>
      <c r="H475" s="188"/>
      <c r="I475" s="188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</row>
    <row r="476" spans="5:33">
      <c r="E476" s="188"/>
      <c r="F476" s="189"/>
      <c r="G476" s="189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</row>
    <row r="477" spans="5:33">
      <c r="E477" s="188"/>
      <c r="F477" s="189"/>
      <c r="G477" s="189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</row>
    <row r="478" spans="5:33">
      <c r="E478" s="188"/>
      <c r="F478" s="189"/>
      <c r="G478" s="189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</row>
    <row r="479" spans="5:33">
      <c r="E479" s="188"/>
      <c r="F479" s="189"/>
      <c r="G479" s="189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</row>
    <row r="480" spans="5:33">
      <c r="E480" s="188"/>
      <c r="F480" s="189"/>
      <c r="G480" s="189"/>
      <c r="H480" s="188"/>
      <c r="I480" s="188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</row>
    <row r="481" spans="5:33">
      <c r="E481" s="188"/>
      <c r="F481" s="189"/>
      <c r="G481" s="189"/>
      <c r="H481" s="188"/>
      <c r="I481" s="188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</row>
    <row r="482" spans="5:33">
      <c r="E482" s="188"/>
      <c r="F482" s="189"/>
      <c r="G482" s="189"/>
      <c r="H482" s="188"/>
      <c r="I482" s="188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</row>
    <row r="483" spans="5:33">
      <c r="E483" s="188"/>
      <c r="F483" s="189"/>
      <c r="G483" s="189"/>
      <c r="H483" s="188"/>
      <c r="I483" s="188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</row>
    <row r="484" spans="5:33">
      <c r="E484" s="188"/>
      <c r="F484" s="189"/>
      <c r="G484" s="189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</row>
    <row r="485" spans="5:33">
      <c r="E485" s="188"/>
      <c r="F485" s="189"/>
      <c r="G485" s="189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</row>
    <row r="486" spans="5:33">
      <c r="E486" s="188"/>
      <c r="F486" s="189"/>
      <c r="G486" s="189"/>
      <c r="H486" s="188"/>
      <c r="I486" s="188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</row>
    <row r="487" spans="5:33">
      <c r="E487" s="188"/>
      <c r="F487" s="189"/>
      <c r="G487" s="189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</row>
    <row r="488" spans="5:33">
      <c r="E488" s="188"/>
      <c r="F488" s="189"/>
      <c r="G488" s="189"/>
      <c r="H488" s="188"/>
      <c r="I488" s="188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</row>
    <row r="489" spans="5:33">
      <c r="E489" s="188"/>
      <c r="F489" s="189"/>
      <c r="G489" s="189"/>
      <c r="H489" s="188"/>
      <c r="I489" s="188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</row>
    <row r="490" spans="5:33">
      <c r="E490" s="188"/>
      <c r="F490" s="189"/>
      <c r="G490" s="189"/>
      <c r="H490" s="188"/>
      <c r="I490" s="188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</row>
    <row r="491" spans="5:33">
      <c r="E491" s="188"/>
      <c r="F491" s="189"/>
      <c r="G491" s="189"/>
      <c r="H491" s="188"/>
      <c r="I491" s="188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</row>
    <row r="492" spans="5:33">
      <c r="E492" s="188"/>
      <c r="F492" s="189"/>
      <c r="G492" s="189"/>
      <c r="H492" s="188"/>
      <c r="I492" s="188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</row>
    <row r="493" spans="5:33">
      <c r="E493" s="188"/>
      <c r="F493" s="189"/>
      <c r="G493" s="189"/>
      <c r="H493" s="188"/>
      <c r="I493" s="188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</row>
    <row r="494" spans="5:33">
      <c r="E494" s="188"/>
      <c r="F494" s="189"/>
      <c r="G494" s="189"/>
      <c r="H494" s="188"/>
      <c r="I494" s="18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</row>
    <row r="495" spans="5:33">
      <c r="E495" s="188"/>
      <c r="F495" s="189"/>
      <c r="G495" s="189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</row>
    <row r="496" spans="5:33">
      <c r="E496" s="188"/>
      <c r="F496" s="189"/>
      <c r="G496" s="189"/>
      <c r="H496" s="188"/>
      <c r="I496" s="18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</row>
    <row r="497" spans="5:33">
      <c r="E497" s="188"/>
      <c r="F497" s="189"/>
      <c r="G497" s="189"/>
      <c r="H497" s="188"/>
      <c r="I497" s="18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</row>
    <row r="498" spans="5:33">
      <c r="E498" s="188"/>
      <c r="F498" s="189"/>
      <c r="G498" s="189"/>
      <c r="H498" s="188"/>
      <c r="I498" s="18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</row>
    <row r="499" spans="5:33">
      <c r="E499" s="188"/>
      <c r="F499" s="189"/>
      <c r="G499" s="189"/>
      <c r="H499" s="188"/>
      <c r="I499" s="18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</row>
    <row r="500" spans="5:33">
      <c r="E500" s="188"/>
      <c r="F500" s="189"/>
      <c r="G500" s="189"/>
      <c r="H500" s="188"/>
      <c r="I500" s="18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</row>
    <row r="501" spans="5:33">
      <c r="E501" s="188"/>
      <c r="F501" s="189"/>
      <c r="G501" s="189"/>
      <c r="H501" s="188"/>
      <c r="I501" s="18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</row>
    <row r="502" spans="5:33">
      <c r="E502" s="188"/>
      <c r="F502" s="189"/>
      <c r="G502" s="189"/>
      <c r="H502" s="188"/>
      <c r="I502" s="18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</row>
    <row r="503" spans="5:33">
      <c r="E503" s="188"/>
      <c r="F503" s="189"/>
      <c r="G503" s="189"/>
      <c r="H503" s="188"/>
      <c r="I503" s="18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</row>
    <row r="504" spans="5:33">
      <c r="E504" s="188"/>
      <c r="F504" s="189"/>
      <c r="G504" s="189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</row>
    <row r="505" spans="5:33">
      <c r="E505" s="188"/>
      <c r="F505" s="189"/>
      <c r="G505" s="189"/>
      <c r="H505" s="188"/>
      <c r="I505" s="18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</row>
    <row r="506" spans="5:33">
      <c r="E506" s="188"/>
      <c r="F506" s="189"/>
      <c r="G506" s="189"/>
      <c r="H506" s="188"/>
      <c r="I506" s="18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</row>
    <row r="507" spans="5:33">
      <c r="E507" s="188"/>
      <c r="F507" s="189"/>
      <c r="G507" s="189"/>
      <c r="H507" s="188"/>
      <c r="I507" s="18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</row>
    <row r="508" spans="5:33">
      <c r="E508" s="188"/>
      <c r="F508" s="189"/>
      <c r="G508" s="189"/>
      <c r="H508" s="188"/>
      <c r="I508" s="18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</row>
    <row r="509" spans="5:33">
      <c r="E509" s="188"/>
      <c r="F509" s="189"/>
      <c r="G509" s="189"/>
      <c r="H509" s="188"/>
      <c r="I509" s="18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</row>
    <row r="510" spans="5:33">
      <c r="E510" s="188"/>
      <c r="F510" s="189"/>
      <c r="G510" s="189"/>
      <c r="H510" s="188"/>
      <c r="I510" s="18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</row>
    <row r="511" spans="5:33">
      <c r="E511" s="188"/>
      <c r="F511" s="189"/>
      <c r="G511" s="189"/>
      <c r="H511" s="188"/>
      <c r="I511" s="18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</row>
    <row r="512" spans="5:33">
      <c r="E512" s="188"/>
      <c r="F512" s="189"/>
      <c r="G512" s="189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</row>
    <row r="513" spans="5:33">
      <c r="E513" s="188"/>
      <c r="F513" s="189"/>
      <c r="G513" s="189"/>
      <c r="H513" s="188"/>
      <c r="I513" s="18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</row>
    <row r="514" spans="5:33">
      <c r="E514" s="188"/>
      <c r="F514" s="189"/>
      <c r="G514" s="189"/>
      <c r="H514" s="188"/>
      <c r="I514" s="18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</row>
    <row r="515" spans="5:33">
      <c r="E515" s="188"/>
      <c r="F515" s="189"/>
      <c r="G515" s="189"/>
      <c r="H515" s="188"/>
      <c r="I515" s="18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</row>
    <row r="516" spans="5:33">
      <c r="E516" s="188"/>
      <c r="F516" s="189"/>
      <c r="G516" s="189"/>
      <c r="H516" s="188"/>
      <c r="I516" s="18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</row>
    <row r="517" spans="5:33">
      <c r="E517" s="188"/>
      <c r="F517" s="189"/>
      <c r="G517" s="189"/>
      <c r="H517" s="188"/>
      <c r="I517" s="18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</row>
    <row r="518" spans="5:33">
      <c r="E518" s="188"/>
      <c r="F518" s="189"/>
      <c r="G518" s="189"/>
      <c r="H518" s="188"/>
      <c r="I518" s="18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</row>
    <row r="519" spans="5:33">
      <c r="E519" s="188"/>
      <c r="F519" s="189"/>
      <c r="G519" s="189"/>
      <c r="H519" s="188"/>
      <c r="I519" s="18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</row>
    <row r="520" spans="5:33">
      <c r="E520" s="188"/>
      <c r="F520" s="189"/>
      <c r="G520" s="189"/>
      <c r="H520" s="188"/>
      <c r="I520" s="188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</row>
    <row r="521" spans="5:33">
      <c r="E521" s="188"/>
      <c r="F521" s="189"/>
      <c r="G521" s="189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</row>
    <row r="522" spans="5:33">
      <c r="E522" s="188"/>
      <c r="F522" s="189"/>
      <c r="G522" s="189"/>
      <c r="H522" s="188"/>
      <c r="I522" s="188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</row>
    <row r="523" spans="5:33">
      <c r="E523" s="188"/>
      <c r="F523" s="189"/>
      <c r="G523" s="189"/>
      <c r="H523" s="188"/>
      <c r="I523" s="188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</row>
    <row r="524" spans="5:33">
      <c r="E524" s="188"/>
      <c r="F524" s="189"/>
      <c r="G524" s="189"/>
      <c r="H524" s="188"/>
      <c r="I524" s="188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</row>
    <row r="525" spans="5:33">
      <c r="E525" s="188"/>
      <c r="F525" s="189"/>
      <c r="G525" s="189"/>
      <c r="H525" s="188"/>
      <c r="I525" s="188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</row>
    <row r="526" spans="5:33">
      <c r="E526" s="188"/>
      <c r="F526" s="189"/>
      <c r="G526" s="189"/>
      <c r="H526" s="188"/>
      <c r="I526" s="188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</row>
    <row r="527" spans="5:33">
      <c r="E527" s="188"/>
      <c r="F527" s="189"/>
      <c r="G527" s="189"/>
      <c r="H527" s="188"/>
      <c r="I527" s="188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</row>
    <row r="528" spans="5:33">
      <c r="E528" s="188"/>
      <c r="F528" s="189"/>
      <c r="G528" s="189"/>
      <c r="H528" s="188"/>
      <c r="I528" s="188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</row>
    <row r="529" spans="5:33">
      <c r="E529" s="188"/>
      <c r="F529" s="189"/>
      <c r="G529" s="189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</row>
    <row r="530" spans="5:33">
      <c r="E530" s="188"/>
      <c r="F530" s="189"/>
      <c r="G530" s="189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</row>
    <row r="531" spans="5:33">
      <c r="E531" s="188"/>
      <c r="F531" s="189"/>
      <c r="G531" s="189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</row>
    <row r="532" spans="5:33">
      <c r="E532" s="188"/>
      <c r="F532" s="189"/>
      <c r="G532" s="189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</row>
    <row r="533" spans="5:33">
      <c r="E533" s="188"/>
      <c r="F533" s="189"/>
      <c r="G533" s="189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</row>
    <row r="534" spans="5:33">
      <c r="E534" s="188"/>
      <c r="F534" s="189"/>
      <c r="G534" s="189"/>
      <c r="H534" s="188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</row>
    <row r="535" spans="5:33">
      <c r="E535" s="188"/>
      <c r="F535" s="189"/>
      <c r="G535" s="189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</row>
    <row r="536" spans="5:33">
      <c r="E536" s="188"/>
      <c r="F536" s="189"/>
      <c r="G536" s="189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</row>
    <row r="537" spans="5:33">
      <c r="E537" s="188"/>
      <c r="F537" s="189"/>
      <c r="G537" s="189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</row>
    <row r="538" spans="5:33">
      <c r="E538" s="188"/>
      <c r="F538" s="189"/>
      <c r="G538" s="189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</row>
    <row r="539" spans="5:33">
      <c r="E539" s="188"/>
      <c r="F539" s="189"/>
      <c r="G539" s="189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</row>
    <row r="540" spans="5:33">
      <c r="E540" s="188"/>
      <c r="F540" s="189"/>
      <c r="G540" s="189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</row>
    <row r="541" spans="5:33">
      <c r="E541" s="188"/>
      <c r="F541" s="189"/>
      <c r="G541" s="189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</row>
    <row r="542" spans="5:33">
      <c r="E542" s="188"/>
      <c r="F542" s="189"/>
      <c r="G542" s="189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</row>
    <row r="543" spans="5:33">
      <c r="E543" s="188"/>
      <c r="F543" s="189"/>
      <c r="G543" s="189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</row>
    <row r="544" spans="5:33">
      <c r="E544" s="188"/>
      <c r="F544" s="189"/>
      <c r="G544" s="189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</row>
    <row r="545" spans="5:33">
      <c r="E545" s="188"/>
      <c r="F545" s="189"/>
      <c r="G545" s="189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</row>
    <row r="546" spans="5:33">
      <c r="E546" s="188"/>
      <c r="F546" s="189"/>
      <c r="G546" s="189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</row>
    <row r="547" spans="5:33">
      <c r="E547" s="188"/>
      <c r="F547" s="189"/>
      <c r="G547" s="189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</row>
    <row r="548" spans="5:33">
      <c r="E548" s="188"/>
      <c r="F548" s="189"/>
      <c r="G548" s="189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</row>
    <row r="549" spans="5:33">
      <c r="E549" s="188"/>
      <c r="F549" s="189"/>
      <c r="G549" s="189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</row>
    <row r="550" spans="5:33">
      <c r="E550" s="188"/>
      <c r="F550" s="189"/>
      <c r="G550" s="189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</row>
    <row r="551" spans="5:33">
      <c r="E551" s="188"/>
      <c r="F551" s="189"/>
      <c r="G551" s="189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</row>
    <row r="552" spans="5:33">
      <c r="E552" s="188"/>
      <c r="F552" s="189"/>
      <c r="G552" s="189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</row>
    <row r="553" spans="5:33">
      <c r="E553" s="188"/>
      <c r="F553" s="189"/>
      <c r="G553" s="189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</row>
    <row r="554" spans="5:33">
      <c r="E554" s="188"/>
      <c r="F554" s="189"/>
      <c r="G554" s="189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</row>
    <row r="555" spans="5:33">
      <c r="E555" s="188"/>
      <c r="F555" s="189"/>
      <c r="G555" s="189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</row>
    <row r="556" spans="5:33">
      <c r="E556" s="188"/>
      <c r="F556" s="189"/>
      <c r="G556" s="189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</row>
    <row r="557" spans="5:33">
      <c r="E557" s="188"/>
      <c r="F557" s="189"/>
      <c r="G557" s="189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</row>
    <row r="558" spans="5:33">
      <c r="E558" s="188"/>
      <c r="F558" s="189"/>
      <c r="G558" s="189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</row>
    <row r="559" spans="5:33">
      <c r="E559" s="188"/>
      <c r="F559" s="189"/>
      <c r="G559" s="189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</row>
    <row r="560" spans="5:33">
      <c r="E560" s="188"/>
      <c r="F560" s="189"/>
      <c r="G560" s="189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</row>
    <row r="561" spans="5:33">
      <c r="E561" s="188"/>
      <c r="F561" s="189"/>
      <c r="G561" s="189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</row>
    <row r="562" spans="5:33">
      <c r="E562" s="188"/>
      <c r="F562" s="189"/>
      <c r="G562" s="189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</row>
    <row r="563" spans="5:33">
      <c r="E563" s="188"/>
      <c r="F563" s="189"/>
      <c r="G563" s="189"/>
      <c r="H563" s="188"/>
      <c r="I563" s="188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</row>
    <row r="564" spans="5:33">
      <c r="E564" s="188"/>
      <c r="F564" s="189"/>
      <c r="G564" s="189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</row>
    <row r="565" spans="5:33">
      <c r="E565" s="188"/>
      <c r="F565" s="189"/>
      <c r="G565" s="189"/>
      <c r="H565" s="188"/>
      <c r="I565" s="188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</row>
    <row r="566" spans="5:33">
      <c r="E566" s="188"/>
      <c r="F566" s="189"/>
      <c r="G566" s="189"/>
      <c r="H566" s="188"/>
      <c r="I566" s="188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</row>
    <row r="567" spans="5:33">
      <c r="E567" s="188"/>
      <c r="F567" s="189"/>
      <c r="G567" s="189"/>
      <c r="H567" s="188"/>
      <c r="I567" s="188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</row>
    <row r="568" spans="5:33">
      <c r="E568" s="188"/>
      <c r="F568" s="189"/>
      <c r="G568" s="189"/>
      <c r="H568" s="188"/>
      <c r="I568" s="188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</row>
    <row r="569" spans="5:33">
      <c r="E569" s="188"/>
      <c r="F569" s="189"/>
      <c r="G569" s="189"/>
      <c r="H569" s="188"/>
      <c r="I569" s="188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</row>
    <row r="570" spans="5:33">
      <c r="E570" s="188"/>
      <c r="F570" s="189"/>
      <c r="G570" s="189"/>
      <c r="H570" s="188"/>
      <c r="I570" s="188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</row>
    <row r="571" spans="5:33">
      <c r="E571" s="188"/>
      <c r="F571" s="189"/>
      <c r="G571" s="189"/>
      <c r="H571" s="188"/>
      <c r="I571" s="188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</row>
    <row r="572" spans="5:33">
      <c r="E572" s="188"/>
      <c r="F572" s="189"/>
      <c r="G572" s="189"/>
      <c r="H572" s="188"/>
      <c r="I572" s="188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</row>
    <row r="573" spans="5:33">
      <c r="E573" s="188"/>
      <c r="F573" s="189"/>
      <c r="G573" s="189"/>
      <c r="H573" s="188"/>
      <c r="I573" s="188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</row>
    <row r="574" spans="5:33">
      <c r="E574" s="188"/>
      <c r="F574" s="189"/>
      <c r="G574" s="189"/>
      <c r="H574" s="188"/>
      <c r="I574" s="188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</row>
    <row r="575" spans="5:33">
      <c r="E575" s="188"/>
      <c r="F575" s="189"/>
      <c r="G575" s="189"/>
      <c r="H575" s="188"/>
      <c r="I575" s="188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</row>
    <row r="576" spans="5:33">
      <c r="E576" s="188"/>
      <c r="F576" s="189"/>
      <c r="G576" s="189"/>
      <c r="H576" s="188"/>
      <c r="I576" s="188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</row>
    <row r="577" spans="5:33">
      <c r="E577" s="188"/>
      <c r="F577" s="189"/>
      <c r="G577" s="189"/>
      <c r="H577" s="188"/>
      <c r="I577" s="188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</row>
    <row r="578" spans="5:33">
      <c r="E578" s="188"/>
      <c r="F578" s="189"/>
      <c r="G578" s="189"/>
      <c r="H578" s="188"/>
      <c r="I578" s="188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</row>
    <row r="579" spans="5:33">
      <c r="E579" s="188"/>
      <c r="F579" s="189"/>
      <c r="G579" s="189"/>
      <c r="H579" s="188"/>
      <c r="I579" s="188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</row>
    <row r="580" spans="5:33">
      <c r="E580" s="188"/>
      <c r="F580" s="189"/>
      <c r="G580" s="189"/>
      <c r="H580" s="188"/>
      <c r="I580" s="18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</row>
    <row r="581" spans="5:33">
      <c r="E581" s="188"/>
      <c r="F581" s="189"/>
      <c r="G581" s="189"/>
      <c r="H581" s="188"/>
      <c r="I581" s="18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</row>
    <row r="582" spans="5:33">
      <c r="E582" s="188"/>
      <c r="F582" s="189"/>
      <c r="G582" s="189"/>
      <c r="H582" s="188"/>
      <c r="I582" s="18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</row>
    <row r="583" spans="5:33">
      <c r="E583" s="188"/>
      <c r="F583" s="189"/>
      <c r="G583" s="189"/>
      <c r="H583" s="188"/>
      <c r="I583" s="18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</row>
    <row r="584" spans="5:33">
      <c r="E584" s="188"/>
      <c r="F584" s="189"/>
      <c r="G584" s="189"/>
      <c r="H584" s="188"/>
      <c r="I584" s="18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</row>
    <row r="585" spans="5:33">
      <c r="E585" s="188"/>
      <c r="F585" s="189"/>
      <c r="G585" s="189"/>
      <c r="H585" s="188"/>
      <c r="I585" s="18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</row>
    <row r="586" spans="5:33">
      <c r="E586" s="188"/>
      <c r="F586" s="189"/>
      <c r="G586" s="189"/>
      <c r="H586" s="188"/>
      <c r="I586" s="18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</row>
    <row r="587" spans="5:33">
      <c r="E587" s="188"/>
      <c r="F587" s="189"/>
      <c r="G587" s="189"/>
      <c r="H587" s="188"/>
      <c r="I587" s="18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</row>
    <row r="588" spans="5:33">
      <c r="E588" s="188"/>
      <c r="F588" s="189"/>
      <c r="G588" s="189"/>
      <c r="H588" s="188"/>
      <c r="I588" s="18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</row>
    <row r="589" spans="5:33">
      <c r="E589" s="188"/>
      <c r="F589" s="189"/>
      <c r="G589" s="189"/>
      <c r="H589" s="188"/>
      <c r="I589" s="18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</row>
    <row r="590" spans="5:33">
      <c r="E590" s="188"/>
      <c r="F590" s="189"/>
      <c r="G590" s="189"/>
      <c r="H590" s="188"/>
      <c r="I590" s="18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</row>
    <row r="591" spans="5:33">
      <c r="E591" s="188"/>
      <c r="F591" s="189"/>
      <c r="G591" s="189"/>
      <c r="H591" s="188"/>
      <c r="I591" s="18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</row>
    <row r="592" spans="5:33">
      <c r="E592" s="188"/>
      <c r="F592" s="189"/>
      <c r="G592" s="189"/>
      <c r="H592" s="188"/>
      <c r="I592" s="18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</row>
    <row r="593" spans="5:33">
      <c r="E593" s="188"/>
      <c r="F593" s="189"/>
      <c r="G593" s="189"/>
      <c r="H593" s="188"/>
      <c r="I593" s="18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</row>
    <row r="594" spans="5:33">
      <c r="E594" s="188"/>
      <c r="F594" s="189"/>
      <c r="G594" s="189"/>
      <c r="H594" s="188"/>
      <c r="I594" s="18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</row>
    <row r="595" spans="5:33">
      <c r="E595" s="188"/>
      <c r="F595" s="189"/>
      <c r="G595" s="189"/>
      <c r="H595" s="188"/>
      <c r="I595" s="18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</row>
    <row r="596" spans="5:33">
      <c r="E596" s="188"/>
      <c r="F596" s="189"/>
      <c r="G596" s="189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</row>
    <row r="597" spans="5:33">
      <c r="E597" s="188"/>
      <c r="F597" s="189"/>
      <c r="G597" s="189"/>
      <c r="H597" s="188"/>
      <c r="I597" s="18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</row>
    <row r="598" spans="5:33">
      <c r="E598" s="188"/>
      <c r="F598" s="189"/>
      <c r="G598" s="189"/>
      <c r="H598" s="188"/>
      <c r="I598" s="18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</row>
    <row r="599" spans="5:33">
      <c r="E599" s="188"/>
      <c r="F599" s="189"/>
      <c r="G599" s="189"/>
      <c r="H599" s="188"/>
      <c r="I599" s="18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</row>
    <row r="600" spans="5:33">
      <c r="E600" s="188"/>
      <c r="F600" s="189"/>
      <c r="G600" s="189"/>
      <c r="H600" s="188"/>
      <c r="I600" s="18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</row>
    <row r="601" spans="5:33">
      <c r="E601" s="188"/>
      <c r="F601" s="189"/>
      <c r="G601" s="189"/>
      <c r="H601" s="188"/>
      <c r="I601" s="18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</row>
    <row r="602" spans="5:33">
      <c r="E602" s="188"/>
      <c r="F602" s="189"/>
      <c r="G602" s="189"/>
      <c r="H602" s="188"/>
      <c r="I602" s="18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</row>
    <row r="603" spans="5:33">
      <c r="E603" s="188"/>
      <c r="F603" s="189"/>
      <c r="G603" s="189"/>
      <c r="H603" s="188"/>
      <c r="I603" s="18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</row>
    <row r="604" spans="5:33">
      <c r="E604" s="188"/>
      <c r="F604" s="189"/>
      <c r="G604" s="189"/>
      <c r="H604" s="188"/>
      <c r="I604" s="18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</row>
    <row r="605" spans="5:33">
      <c r="E605" s="188"/>
      <c r="F605" s="189"/>
      <c r="G605" s="189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</row>
    <row r="606" spans="5:33">
      <c r="E606" s="188"/>
      <c r="F606" s="189"/>
      <c r="G606" s="189"/>
      <c r="H606" s="188"/>
      <c r="I606" s="18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</row>
    <row r="607" spans="5:33">
      <c r="E607" s="188"/>
      <c r="F607" s="189"/>
      <c r="G607" s="189"/>
      <c r="H607" s="188"/>
      <c r="I607" s="188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</row>
    <row r="608" spans="5:33">
      <c r="E608" s="188"/>
      <c r="F608" s="189"/>
      <c r="G608" s="189"/>
      <c r="H608" s="188"/>
      <c r="I608" s="188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</row>
    <row r="609" spans="5:33">
      <c r="E609" s="188"/>
      <c r="F609" s="189"/>
      <c r="G609" s="189"/>
      <c r="H609" s="188"/>
      <c r="I609" s="188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</row>
    <row r="610" spans="5:33">
      <c r="E610" s="188"/>
      <c r="F610" s="189"/>
      <c r="G610" s="189"/>
      <c r="H610" s="188"/>
      <c r="I610" s="188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</row>
    <row r="611" spans="5:33">
      <c r="E611" s="188"/>
      <c r="F611" s="189"/>
      <c r="G611" s="189"/>
      <c r="H611" s="188"/>
      <c r="I611" s="188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</row>
    <row r="612" spans="5:33">
      <c r="E612" s="188"/>
      <c r="F612" s="189"/>
      <c r="G612" s="189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</row>
    <row r="613" spans="5:33">
      <c r="E613" s="188"/>
      <c r="F613" s="189"/>
      <c r="G613" s="189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</row>
    <row r="614" spans="5:33">
      <c r="E614" s="188"/>
      <c r="F614" s="189"/>
      <c r="G614" s="189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</row>
    <row r="615" spans="5:33">
      <c r="E615" s="188"/>
      <c r="F615" s="189"/>
      <c r="G615" s="189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</row>
    <row r="616" spans="5:33">
      <c r="E616" s="188"/>
      <c r="F616" s="189"/>
      <c r="G616" s="189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</row>
    <row r="617" spans="5:33">
      <c r="E617" s="188"/>
      <c r="F617" s="189"/>
      <c r="G617" s="189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</row>
    <row r="618" spans="5:33">
      <c r="E618" s="188"/>
      <c r="F618" s="189"/>
      <c r="G618" s="189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</row>
    <row r="619" spans="5:33">
      <c r="E619" s="188"/>
      <c r="F619" s="189"/>
      <c r="G619" s="189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</row>
    <row r="620" spans="5:33">
      <c r="E620" s="188"/>
      <c r="F620" s="189"/>
      <c r="G620" s="189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</row>
    <row r="621" spans="5:33">
      <c r="E621" s="188"/>
      <c r="F621" s="189"/>
      <c r="G621" s="189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</row>
    <row r="622" spans="5:33">
      <c r="E622" s="188"/>
      <c r="F622" s="189"/>
      <c r="G622" s="189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</row>
    <row r="623" spans="5:33">
      <c r="E623" s="188"/>
      <c r="F623" s="189"/>
      <c r="G623" s="189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</row>
    <row r="624" spans="5:33">
      <c r="E624" s="188"/>
      <c r="F624" s="189"/>
      <c r="G624" s="189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</row>
    <row r="625" spans="5:33">
      <c r="E625" s="188"/>
      <c r="F625" s="189"/>
      <c r="G625" s="189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</row>
    <row r="626" spans="5:33">
      <c r="E626" s="188"/>
      <c r="F626" s="189"/>
      <c r="G626" s="189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</row>
    <row r="627" spans="5:33">
      <c r="E627" s="188"/>
      <c r="F627" s="189"/>
      <c r="G627" s="189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</row>
    <row r="628" spans="5:33">
      <c r="E628" s="188"/>
      <c r="F628" s="189"/>
      <c r="G628" s="189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</row>
    <row r="629" spans="5:33">
      <c r="E629" s="188"/>
      <c r="F629" s="189"/>
      <c r="G629" s="189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</row>
    <row r="630" spans="5:33">
      <c r="E630" s="188"/>
      <c r="F630" s="189"/>
      <c r="G630" s="189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</row>
    <row r="631" spans="5:33">
      <c r="E631" s="188"/>
      <c r="F631" s="189"/>
      <c r="G631" s="189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</row>
    <row r="632" spans="5:33">
      <c r="E632" s="188"/>
      <c r="F632" s="189"/>
      <c r="G632" s="189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</row>
    <row r="633" spans="5:33">
      <c r="E633" s="188"/>
      <c r="F633" s="189"/>
      <c r="G633" s="189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</row>
    <row r="634" spans="5:33">
      <c r="E634" s="188"/>
      <c r="F634" s="189"/>
      <c r="G634" s="189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</row>
    <row r="635" spans="5:33">
      <c r="E635" s="188"/>
      <c r="F635" s="189"/>
      <c r="G635" s="189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</row>
    <row r="636" spans="5:33">
      <c r="E636" s="188"/>
      <c r="F636" s="189"/>
      <c r="G636" s="189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</row>
    <row r="637" spans="5:33">
      <c r="E637" s="188"/>
      <c r="F637" s="189"/>
      <c r="G637" s="189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</row>
    <row r="638" spans="5:33">
      <c r="E638" s="188"/>
      <c r="F638" s="189"/>
      <c r="G638" s="189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</row>
    <row r="639" spans="5:33">
      <c r="E639" s="188"/>
      <c r="F639" s="189"/>
      <c r="G639" s="189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</row>
    <row r="640" spans="5:33">
      <c r="E640" s="188"/>
      <c r="F640" s="189"/>
      <c r="G640" s="189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</row>
    <row r="641" spans="5:33">
      <c r="E641" s="188"/>
      <c r="F641" s="189"/>
      <c r="G641" s="189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</row>
    <row r="642" spans="5:33">
      <c r="E642" s="188"/>
      <c r="F642" s="189"/>
      <c r="G642" s="189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</row>
    <row r="643" spans="5:33">
      <c r="E643" s="188"/>
      <c r="F643" s="189"/>
      <c r="G643" s="189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</row>
    <row r="644" spans="5:33">
      <c r="E644" s="188"/>
      <c r="F644" s="189"/>
      <c r="G644" s="189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</row>
    <row r="645" spans="5:33">
      <c r="E645" s="188"/>
      <c r="F645" s="189"/>
      <c r="G645" s="189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</row>
    <row r="646" spans="5:33">
      <c r="E646" s="188"/>
      <c r="F646" s="189"/>
      <c r="G646" s="189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</row>
    <row r="647" spans="5:33">
      <c r="E647" s="188"/>
      <c r="F647" s="189"/>
      <c r="G647" s="189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</row>
    <row r="648" spans="5:33">
      <c r="E648" s="188"/>
      <c r="F648" s="189"/>
      <c r="G648" s="189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</row>
    <row r="649" spans="5:33">
      <c r="E649" s="188"/>
      <c r="F649" s="189"/>
      <c r="G649" s="189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</row>
    <row r="650" spans="5:33">
      <c r="E650" s="188"/>
      <c r="F650" s="189"/>
      <c r="G650" s="189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</row>
    <row r="651" spans="5:33">
      <c r="E651" s="188"/>
      <c r="F651" s="189"/>
      <c r="G651" s="189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</row>
    <row r="652" spans="5:33">
      <c r="E652" s="188"/>
      <c r="F652" s="189"/>
      <c r="G652" s="189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</row>
    <row r="653" spans="5:33">
      <c r="E653" s="188"/>
      <c r="F653" s="189"/>
      <c r="G653" s="189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</row>
    <row r="654" spans="5:33">
      <c r="E654" s="188"/>
      <c r="F654" s="189"/>
      <c r="G654" s="189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</row>
    <row r="655" spans="5:33">
      <c r="E655" s="188"/>
      <c r="F655" s="189"/>
      <c r="G655" s="189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</row>
    <row r="656" spans="5:33">
      <c r="E656" s="188"/>
      <c r="F656" s="189"/>
      <c r="G656" s="189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</row>
    <row r="657" spans="5:33">
      <c r="E657" s="188"/>
      <c r="F657" s="189"/>
      <c r="G657" s="189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</row>
    <row r="658" spans="5:33">
      <c r="E658" s="188"/>
      <c r="F658" s="189"/>
      <c r="G658" s="189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</row>
    <row r="659" spans="5:33">
      <c r="E659" s="188"/>
      <c r="F659" s="189"/>
      <c r="G659" s="189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</row>
    <row r="660" spans="5:33">
      <c r="E660" s="188"/>
      <c r="F660" s="189"/>
      <c r="G660" s="189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</row>
    <row r="661" spans="5:33">
      <c r="E661" s="188"/>
      <c r="F661" s="189"/>
      <c r="G661" s="189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</row>
    <row r="662" spans="5:33">
      <c r="E662" s="188"/>
      <c r="F662" s="189"/>
      <c r="G662" s="189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</row>
    <row r="663" spans="5:33">
      <c r="E663" s="188"/>
      <c r="F663" s="189"/>
      <c r="G663" s="189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</row>
    <row r="664" spans="5:33">
      <c r="E664" s="188"/>
      <c r="F664" s="189"/>
      <c r="G664" s="189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</row>
    <row r="665" spans="5:33">
      <c r="E665" s="188"/>
      <c r="F665" s="189"/>
      <c r="G665" s="189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</row>
    <row r="666" spans="5:33">
      <c r="E666" s="188"/>
      <c r="F666" s="189"/>
      <c r="G666" s="189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</row>
    <row r="667" spans="5:33">
      <c r="E667" s="188"/>
      <c r="F667" s="189"/>
      <c r="G667" s="189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</row>
    <row r="668" spans="5:33">
      <c r="E668" s="188"/>
      <c r="F668" s="189"/>
      <c r="G668" s="189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</row>
    <row r="669" spans="5:33">
      <c r="E669" s="188"/>
      <c r="F669" s="189"/>
      <c r="G669" s="189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</row>
    <row r="670" spans="5:33">
      <c r="E670" s="188"/>
      <c r="F670" s="189"/>
      <c r="G670" s="189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</row>
    <row r="671" spans="5:33">
      <c r="E671" s="188"/>
      <c r="F671" s="189"/>
      <c r="G671" s="189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</row>
    <row r="672" spans="5:33">
      <c r="E672" s="188"/>
      <c r="F672" s="189"/>
      <c r="G672" s="189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</row>
    <row r="673" spans="5:33">
      <c r="E673" s="188"/>
      <c r="F673" s="189"/>
      <c r="G673" s="189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</row>
    <row r="674" spans="5:33">
      <c r="E674" s="188"/>
      <c r="F674" s="189"/>
      <c r="G674" s="189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</row>
    <row r="675" spans="5:33">
      <c r="E675" s="188"/>
      <c r="F675" s="189"/>
      <c r="G675" s="189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</row>
    <row r="676" spans="5:33">
      <c r="E676" s="188"/>
      <c r="F676" s="189"/>
      <c r="G676" s="189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</row>
    <row r="677" spans="5:33">
      <c r="E677" s="188"/>
      <c r="F677" s="189"/>
      <c r="G677" s="189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</row>
    <row r="678" spans="5:33">
      <c r="E678" s="188"/>
      <c r="F678" s="189"/>
      <c r="G678" s="189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</row>
    <row r="679" spans="5:33">
      <c r="E679" s="188"/>
      <c r="F679" s="189"/>
      <c r="G679" s="189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</row>
    <row r="680" spans="5:33">
      <c r="E680" s="188"/>
      <c r="F680" s="189"/>
      <c r="G680" s="189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</row>
    <row r="681" spans="5:33">
      <c r="E681" s="188"/>
      <c r="F681" s="189"/>
      <c r="G681" s="189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</row>
    <row r="682" spans="5:33">
      <c r="E682" s="188"/>
      <c r="F682" s="189"/>
      <c r="G682" s="189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</row>
    <row r="683" spans="5:33">
      <c r="E683" s="188"/>
      <c r="F683" s="189"/>
      <c r="G683" s="189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</row>
    <row r="684" spans="5:33">
      <c r="E684" s="188"/>
      <c r="F684" s="189"/>
      <c r="G684" s="189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</row>
    <row r="685" spans="5:33">
      <c r="E685" s="188"/>
      <c r="F685" s="189"/>
      <c r="G685" s="189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</row>
    <row r="686" spans="5:33">
      <c r="E686" s="188"/>
      <c r="F686" s="189"/>
      <c r="G686" s="189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</row>
    <row r="687" spans="5:33">
      <c r="E687" s="188"/>
      <c r="F687" s="189"/>
      <c r="G687" s="189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</row>
    <row r="688" spans="5:33">
      <c r="E688" s="188"/>
      <c r="F688" s="189"/>
      <c r="G688" s="189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</row>
    <row r="689" spans="5:33">
      <c r="E689" s="188"/>
      <c r="F689" s="189"/>
      <c r="G689" s="189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</row>
    <row r="690" spans="5:33">
      <c r="E690" s="188"/>
      <c r="F690" s="189"/>
      <c r="G690" s="189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</row>
    <row r="691" spans="5:33">
      <c r="E691" s="188"/>
      <c r="F691" s="189"/>
      <c r="G691" s="189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</row>
    <row r="692" spans="5:33">
      <c r="E692" s="188"/>
      <c r="F692" s="189"/>
      <c r="G692" s="189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</row>
    <row r="693" spans="5:33">
      <c r="E693" s="188"/>
      <c r="F693" s="189"/>
      <c r="G693" s="189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</row>
    <row r="694" spans="5:33">
      <c r="E694" s="188"/>
      <c r="F694" s="189"/>
      <c r="G694" s="189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</row>
    <row r="695" spans="5:33">
      <c r="E695" s="188"/>
      <c r="F695" s="189"/>
      <c r="G695" s="189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</row>
    <row r="696" spans="5:33">
      <c r="E696" s="188"/>
      <c r="F696" s="189"/>
      <c r="G696" s="189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</row>
    <row r="697" spans="5:33">
      <c r="E697" s="188"/>
      <c r="F697" s="189"/>
      <c r="G697" s="189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</row>
    <row r="698" spans="5:33">
      <c r="E698" s="188"/>
      <c r="F698" s="189"/>
      <c r="G698" s="189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</row>
    <row r="699" spans="5:33">
      <c r="E699" s="188"/>
      <c r="F699" s="189"/>
      <c r="G699" s="189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</row>
    <row r="700" spans="5:33">
      <c r="E700" s="188"/>
      <c r="F700" s="189"/>
      <c r="G700" s="189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</row>
    <row r="701" spans="5:33">
      <c r="E701" s="188"/>
      <c r="F701" s="189"/>
      <c r="G701" s="189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</row>
    <row r="702" spans="5:33">
      <c r="E702" s="188"/>
      <c r="F702" s="189"/>
      <c r="G702" s="189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</row>
    <row r="703" spans="5:33">
      <c r="E703" s="188"/>
      <c r="F703" s="189"/>
      <c r="G703" s="189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</row>
    <row r="704" spans="5:33">
      <c r="E704" s="188"/>
      <c r="F704" s="189"/>
      <c r="G704" s="189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</row>
    <row r="705" spans="5:33">
      <c r="E705" s="188"/>
      <c r="F705" s="189"/>
      <c r="G705" s="189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</row>
    <row r="706" spans="5:33">
      <c r="E706" s="188"/>
      <c r="F706" s="189"/>
      <c r="G706" s="189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</row>
    <row r="707" spans="5:33">
      <c r="E707" s="188"/>
      <c r="F707" s="189"/>
      <c r="G707" s="189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</row>
    <row r="708" spans="5:33">
      <c r="E708" s="188"/>
      <c r="F708" s="189"/>
      <c r="G708" s="189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</row>
    <row r="709" spans="5:33">
      <c r="E709" s="188"/>
      <c r="F709" s="189"/>
      <c r="G709" s="189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</row>
    <row r="710" spans="5:33">
      <c r="E710" s="188"/>
      <c r="F710" s="189"/>
      <c r="G710" s="189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</row>
    <row r="711" spans="5:33">
      <c r="E711" s="188"/>
      <c r="F711" s="189"/>
      <c r="G711" s="189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</row>
    <row r="712" spans="5:33">
      <c r="E712" s="188"/>
      <c r="F712" s="189"/>
      <c r="G712" s="189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</row>
    <row r="713" spans="5:33">
      <c r="E713" s="188"/>
      <c r="F713" s="189"/>
      <c r="G713" s="189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</row>
    <row r="714" spans="5:33">
      <c r="E714" s="188"/>
      <c r="F714" s="189"/>
      <c r="G714" s="189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</row>
    <row r="715" spans="5:33">
      <c r="E715" s="188"/>
      <c r="F715" s="189"/>
      <c r="G715" s="189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</row>
    <row r="716" spans="5:33">
      <c r="E716" s="188"/>
      <c r="F716" s="189"/>
      <c r="G716" s="189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</row>
    <row r="717" spans="5:33">
      <c r="E717" s="188"/>
      <c r="F717" s="189"/>
      <c r="G717" s="189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</row>
    <row r="718" spans="5:33">
      <c r="E718" s="188"/>
      <c r="F718" s="189"/>
      <c r="G718" s="189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</row>
    <row r="719" spans="5:33">
      <c r="E719" s="188"/>
      <c r="F719" s="189"/>
      <c r="G719" s="189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</row>
    <row r="720" spans="5:33">
      <c r="E720" s="188"/>
      <c r="F720" s="189"/>
      <c r="G720" s="189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</row>
    <row r="721" spans="5:33">
      <c r="E721" s="188"/>
      <c r="F721" s="189"/>
      <c r="G721" s="189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</row>
    <row r="722" spans="5:33">
      <c r="E722" s="188"/>
      <c r="F722" s="189"/>
      <c r="G722" s="189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</row>
    <row r="723" spans="5:33">
      <c r="E723" s="188"/>
      <c r="F723" s="189"/>
      <c r="G723" s="189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</row>
    <row r="724" spans="5:33">
      <c r="E724" s="188"/>
      <c r="F724" s="189"/>
      <c r="G724" s="189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</row>
    <row r="725" spans="5:33">
      <c r="E725" s="188"/>
      <c r="F725" s="189"/>
      <c r="G725" s="189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</row>
    <row r="726" spans="5:33">
      <c r="E726" s="188"/>
      <c r="F726" s="189"/>
      <c r="G726" s="189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</row>
    <row r="727" spans="5:33">
      <c r="E727" s="188"/>
      <c r="F727" s="189"/>
      <c r="G727" s="189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</row>
    <row r="728" spans="5:33">
      <c r="E728" s="188"/>
      <c r="F728" s="189"/>
      <c r="G728" s="189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</row>
    <row r="729" spans="5:33">
      <c r="E729" s="188"/>
      <c r="F729" s="189"/>
      <c r="G729" s="189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</row>
    <row r="730" spans="5:33">
      <c r="E730" s="188"/>
      <c r="F730" s="189"/>
      <c r="G730" s="189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</row>
    <row r="731" spans="5:33">
      <c r="E731" s="188"/>
      <c r="F731" s="189"/>
      <c r="G731" s="189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</row>
    <row r="732" spans="5:33">
      <c r="E732" s="188"/>
      <c r="F732" s="189"/>
      <c r="G732" s="189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</row>
    <row r="733" spans="5:33">
      <c r="E733" s="188"/>
      <c r="F733" s="189"/>
      <c r="G733" s="189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</row>
    <row r="734" spans="5:33">
      <c r="E734" s="188"/>
      <c r="F734" s="189"/>
      <c r="G734" s="189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</row>
    <row r="735" spans="5:33">
      <c r="E735" s="188"/>
      <c r="F735" s="189"/>
      <c r="G735" s="189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</row>
    <row r="736" spans="5:33">
      <c r="E736" s="188"/>
      <c r="F736" s="189"/>
      <c r="G736" s="189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</row>
    <row r="737" spans="5:33">
      <c r="E737" s="188"/>
      <c r="F737" s="189"/>
      <c r="G737" s="189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</row>
    <row r="738" spans="5:33">
      <c r="E738" s="188"/>
      <c r="F738" s="189"/>
      <c r="G738" s="189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</row>
    <row r="739" spans="5:33">
      <c r="E739" s="188"/>
      <c r="F739" s="189"/>
      <c r="G739" s="189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</row>
    <row r="740" spans="5:33">
      <c r="E740" s="188"/>
      <c r="F740" s="189"/>
      <c r="G740" s="189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</row>
    <row r="741" spans="5:33">
      <c r="E741" s="188"/>
      <c r="F741" s="189"/>
      <c r="G741" s="189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</row>
    <row r="742" spans="5:33">
      <c r="E742" s="188"/>
      <c r="F742" s="189"/>
      <c r="G742" s="189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</row>
    <row r="743" spans="5:33">
      <c r="E743" s="188"/>
      <c r="F743" s="189"/>
      <c r="G743" s="189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</row>
    <row r="744" spans="5:33">
      <c r="E744" s="188"/>
      <c r="F744" s="189"/>
      <c r="G744" s="189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</row>
    <row r="745" spans="5:33">
      <c r="E745" s="188"/>
      <c r="F745" s="189"/>
      <c r="G745" s="189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</row>
    <row r="746" spans="5:33">
      <c r="E746" s="188"/>
      <c r="F746" s="189"/>
      <c r="G746" s="189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</row>
    <row r="747" spans="5:33">
      <c r="E747" s="188"/>
      <c r="F747" s="189"/>
      <c r="G747" s="189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</row>
    <row r="748" spans="5:33">
      <c r="E748" s="188"/>
      <c r="F748" s="189"/>
      <c r="G748" s="189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</row>
    <row r="749" spans="5:33">
      <c r="E749" s="188"/>
      <c r="F749" s="189"/>
      <c r="G749" s="189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</row>
    <row r="750" spans="5:33">
      <c r="E750" s="188"/>
      <c r="F750" s="189"/>
      <c r="G750" s="189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</row>
    <row r="751" spans="5:33">
      <c r="E751" s="188"/>
      <c r="F751" s="189"/>
      <c r="G751" s="189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</row>
    <row r="752" spans="5:33">
      <c r="E752" s="188"/>
      <c r="F752" s="189"/>
      <c r="G752" s="189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</row>
    <row r="753" spans="5:33">
      <c r="E753" s="188"/>
      <c r="F753" s="189"/>
      <c r="G753" s="189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</row>
    <row r="754" spans="5:33">
      <c r="E754" s="188"/>
      <c r="F754" s="189"/>
      <c r="G754" s="189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</row>
    <row r="755" spans="5:33">
      <c r="E755" s="188"/>
      <c r="F755" s="189"/>
      <c r="G755" s="189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</row>
    <row r="756" spans="5:33">
      <c r="E756" s="188"/>
      <c r="F756" s="189"/>
      <c r="G756" s="189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</row>
    <row r="757" spans="5:33">
      <c r="E757" s="188"/>
      <c r="F757" s="189"/>
      <c r="G757" s="189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</row>
    <row r="758" spans="5:33">
      <c r="E758" s="188"/>
      <c r="F758" s="189"/>
      <c r="G758" s="189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</row>
    <row r="759" spans="5:33">
      <c r="E759" s="188"/>
      <c r="F759" s="189"/>
      <c r="G759" s="189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</row>
    <row r="760" spans="5:33">
      <c r="E760" s="188"/>
      <c r="F760" s="189"/>
      <c r="G760" s="189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</row>
    <row r="761" spans="5:33">
      <c r="E761" s="188"/>
      <c r="F761" s="189"/>
      <c r="G761" s="189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</row>
    <row r="762" spans="5:33">
      <c r="E762" s="188"/>
      <c r="F762" s="189"/>
      <c r="G762" s="189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</row>
    <row r="763" spans="5:33">
      <c r="E763" s="188"/>
      <c r="F763" s="189"/>
      <c r="G763" s="189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</row>
    <row r="764" spans="5:33">
      <c r="E764" s="188"/>
      <c r="F764" s="189"/>
      <c r="G764" s="189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</row>
    <row r="765" spans="5:33">
      <c r="E765" s="188"/>
      <c r="F765" s="189"/>
      <c r="G765" s="189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</row>
    <row r="766" spans="5:33">
      <c r="E766" s="188"/>
      <c r="F766" s="189"/>
      <c r="G766" s="189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</row>
    <row r="767" spans="5:33">
      <c r="E767" s="188"/>
      <c r="F767" s="189"/>
      <c r="G767" s="189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</row>
    <row r="768" spans="5:33">
      <c r="E768" s="188"/>
      <c r="F768" s="189"/>
      <c r="G768" s="189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</row>
    <row r="769" spans="5:33">
      <c r="E769" s="188"/>
      <c r="F769" s="189"/>
      <c r="G769" s="189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</row>
    <row r="770" spans="5:33">
      <c r="E770" s="188"/>
      <c r="F770" s="189"/>
      <c r="G770" s="189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</row>
    <row r="771" spans="5:33">
      <c r="E771" s="188"/>
      <c r="F771" s="189"/>
      <c r="G771" s="189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</row>
    <row r="772" spans="5:33">
      <c r="E772" s="188"/>
      <c r="F772" s="189"/>
      <c r="G772" s="189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</row>
    <row r="773" spans="5:33">
      <c r="E773" s="188"/>
      <c r="F773" s="189"/>
      <c r="G773" s="189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</row>
    <row r="774" spans="5:33">
      <c r="E774" s="188"/>
      <c r="F774" s="189"/>
      <c r="G774" s="189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</row>
    <row r="775" spans="5:33">
      <c r="E775" s="188"/>
      <c r="F775" s="189"/>
      <c r="G775" s="189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</row>
    <row r="776" spans="5:33">
      <c r="E776" s="188"/>
      <c r="F776" s="189"/>
      <c r="G776" s="189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</row>
    <row r="777" spans="5:33">
      <c r="E777" s="188"/>
      <c r="F777" s="189"/>
      <c r="G777" s="189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</row>
    <row r="778" spans="5:33">
      <c r="E778" s="188"/>
      <c r="F778" s="189"/>
      <c r="G778" s="189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</row>
    <row r="779" spans="5:33">
      <c r="E779" s="188"/>
      <c r="F779" s="189"/>
      <c r="G779" s="189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</row>
    <row r="780" spans="5:33">
      <c r="E780" s="188"/>
      <c r="F780" s="189"/>
      <c r="G780" s="189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</row>
    <row r="781" spans="5:33">
      <c r="E781" s="188"/>
      <c r="F781" s="189"/>
      <c r="G781" s="189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</row>
    <row r="782" spans="5:33">
      <c r="E782" s="188"/>
      <c r="F782" s="189"/>
      <c r="G782" s="189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</row>
    <row r="783" spans="5:33">
      <c r="E783" s="188"/>
      <c r="F783" s="189"/>
      <c r="G783" s="189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</row>
    <row r="784" spans="5:33">
      <c r="E784" s="188"/>
      <c r="F784" s="189"/>
      <c r="G784" s="189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</row>
    <row r="785" spans="5:33">
      <c r="E785" s="188"/>
      <c r="F785" s="189"/>
      <c r="G785" s="189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</row>
    <row r="786" spans="5:33">
      <c r="E786" s="188"/>
      <c r="F786" s="189"/>
      <c r="G786" s="189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</row>
    <row r="787" spans="5:33">
      <c r="E787" s="188"/>
      <c r="F787" s="189"/>
      <c r="G787" s="189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</row>
    <row r="788" spans="5:33">
      <c r="E788" s="188"/>
      <c r="F788" s="189"/>
      <c r="G788" s="189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</row>
    <row r="789" spans="5:33">
      <c r="E789" s="188"/>
      <c r="F789" s="189"/>
      <c r="G789" s="189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</row>
    <row r="790" spans="5:33">
      <c r="E790" s="188"/>
      <c r="F790" s="189"/>
      <c r="G790" s="189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</row>
    <row r="791" spans="5:33">
      <c r="E791" s="188"/>
      <c r="F791" s="189"/>
      <c r="G791" s="189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</row>
    <row r="792" spans="5:33">
      <c r="E792" s="188"/>
      <c r="F792" s="189"/>
      <c r="G792" s="189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</row>
    <row r="793" spans="5:33">
      <c r="E793" s="188"/>
      <c r="F793" s="189"/>
      <c r="G793" s="189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</row>
    <row r="794" spans="5:33">
      <c r="E794" s="188"/>
      <c r="F794" s="189"/>
      <c r="G794" s="189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</row>
    <row r="795" spans="5:33">
      <c r="E795" s="188"/>
      <c r="F795" s="189"/>
      <c r="G795" s="189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</row>
    <row r="796" spans="5:33">
      <c r="E796" s="188"/>
      <c r="F796" s="189"/>
      <c r="G796" s="189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</row>
    <row r="797" spans="5:33">
      <c r="E797" s="188"/>
      <c r="F797" s="189"/>
      <c r="G797" s="189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</row>
    <row r="798" spans="5:33">
      <c r="E798" s="188"/>
      <c r="F798" s="189"/>
      <c r="G798" s="189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</row>
    <row r="799" spans="5:33">
      <c r="E799" s="188"/>
      <c r="F799" s="189"/>
      <c r="G799" s="189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</row>
    <row r="800" spans="5:33">
      <c r="E800" s="188"/>
      <c r="F800" s="189"/>
      <c r="G800" s="189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</row>
    <row r="801" spans="5:33">
      <c r="E801" s="188"/>
      <c r="F801" s="189"/>
      <c r="G801" s="189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</row>
    <row r="802" spans="5:33">
      <c r="E802" s="188"/>
      <c r="F802" s="189"/>
      <c r="G802" s="189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</row>
    <row r="803" spans="5:33">
      <c r="E803" s="188"/>
      <c r="F803" s="189"/>
      <c r="G803" s="189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</row>
    <row r="804" spans="5:33">
      <c r="E804" s="188"/>
      <c r="F804" s="189"/>
      <c r="G804" s="189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</row>
    <row r="805" spans="5:33">
      <c r="E805" s="188"/>
      <c r="F805" s="189"/>
      <c r="G805" s="189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</row>
    <row r="806" spans="5:33">
      <c r="E806" s="188"/>
      <c r="F806" s="189"/>
      <c r="G806" s="189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</row>
    <row r="807" spans="5:33">
      <c r="E807" s="188"/>
      <c r="F807" s="189"/>
      <c r="G807" s="189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</row>
    <row r="808" spans="5:33">
      <c r="E808" s="188"/>
      <c r="F808" s="189"/>
      <c r="G808" s="189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</row>
    <row r="809" spans="5:33">
      <c r="E809" s="188"/>
      <c r="F809" s="189"/>
      <c r="G809" s="189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</row>
    <row r="810" spans="5:33">
      <c r="E810" s="188"/>
      <c r="F810" s="189"/>
      <c r="G810" s="189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</row>
    <row r="811" spans="5:33">
      <c r="E811" s="188"/>
      <c r="F811" s="189"/>
      <c r="G811" s="189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</row>
    <row r="812" spans="5:33">
      <c r="E812" s="188"/>
      <c r="F812" s="189"/>
      <c r="G812" s="189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</row>
    <row r="813" spans="5:33">
      <c r="E813" s="188"/>
      <c r="F813" s="189"/>
      <c r="G813" s="189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</row>
    <row r="814" spans="5:33">
      <c r="E814" s="188"/>
      <c r="F814" s="189"/>
      <c r="G814" s="189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</row>
    <row r="815" spans="5:33">
      <c r="E815" s="188"/>
      <c r="F815" s="189"/>
      <c r="G815" s="189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</row>
    <row r="816" spans="5:33">
      <c r="E816" s="188"/>
      <c r="F816" s="189"/>
      <c r="G816" s="189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</row>
    <row r="817" spans="5:33">
      <c r="E817" s="188"/>
      <c r="F817" s="189"/>
      <c r="G817" s="189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</row>
    <row r="818" spans="5:33">
      <c r="E818" s="188"/>
      <c r="F818" s="189"/>
      <c r="G818" s="189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</row>
    <row r="819" spans="5:33">
      <c r="E819" s="188"/>
      <c r="F819" s="189"/>
      <c r="G819" s="189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</row>
    <row r="820" spans="5:33">
      <c r="E820" s="188"/>
      <c r="F820" s="189"/>
      <c r="G820" s="189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</row>
    <row r="821" spans="5:33">
      <c r="E821" s="188"/>
      <c r="F821" s="189"/>
      <c r="G821" s="189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</row>
    <row r="822" spans="5:33">
      <c r="E822" s="188"/>
      <c r="F822" s="189"/>
      <c r="G822" s="189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</row>
    <row r="823" spans="5:33">
      <c r="E823" s="188"/>
      <c r="F823" s="189"/>
      <c r="G823" s="189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</row>
    <row r="824" spans="5:33">
      <c r="E824" s="188"/>
      <c r="F824" s="189"/>
      <c r="G824" s="189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</row>
    <row r="825" spans="5:33">
      <c r="E825" s="188"/>
      <c r="F825" s="189"/>
      <c r="G825" s="189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</row>
    <row r="826" spans="5:33">
      <c r="E826" s="188"/>
      <c r="F826" s="189"/>
      <c r="G826" s="189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</row>
    <row r="827" spans="5:33">
      <c r="E827" s="188"/>
      <c r="F827" s="189"/>
      <c r="G827" s="189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</row>
    <row r="828" spans="5:33">
      <c r="E828" s="188"/>
      <c r="F828" s="189"/>
      <c r="G828" s="189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</row>
    <row r="829" spans="5:33">
      <c r="E829" s="188"/>
      <c r="F829" s="189"/>
      <c r="G829" s="189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</row>
    <row r="830" spans="5:33">
      <c r="E830" s="188"/>
      <c r="F830" s="189"/>
      <c r="G830" s="189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</row>
    <row r="831" spans="5:33">
      <c r="E831" s="188"/>
      <c r="F831" s="189"/>
      <c r="G831" s="189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</row>
    <row r="832" spans="5:33">
      <c r="E832" s="188"/>
      <c r="F832" s="189"/>
      <c r="G832" s="189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</row>
    <row r="833" spans="5:33">
      <c r="E833" s="188"/>
      <c r="F833" s="189"/>
      <c r="G833" s="189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</row>
    <row r="834" spans="5:33">
      <c r="E834" s="188"/>
      <c r="F834" s="189"/>
      <c r="G834" s="189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</row>
    <row r="835" spans="5:33">
      <c r="E835" s="188"/>
      <c r="F835" s="189"/>
      <c r="G835" s="189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</row>
    <row r="836" spans="5:33">
      <c r="E836" s="188"/>
      <c r="F836" s="189"/>
      <c r="G836" s="189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</row>
    <row r="837" spans="5:33">
      <c r="E837" s="188"/>
      <c r="F837" s="189"/>
      <c r="G837" s="189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</row>
    <row r="838" spans="5:33">
      <c r="E838" s="188"/>
      <c r="F838" s="189"/>
      <c r="G838" s="189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</row>
    <row r="839" spans="5:33">
      <c r="E839" s="188"/>
      <c r="F839" s="189"/>
      <c r="G839" s="189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</row>
    <row r="840" spans="5:33">
      <c r="E840" s="188"/>
      <c r="F840" s="189"/>
      <c r="G840" s="189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</row>
    <row r="841" spans="5:33">
      <c r="E841" s="188"/>
      <c r="F841" s="189"/>
      <c r="G841" s="189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</row>
    <row r="842" spans="5:33">
      <c r="E842" s="188"/>
      <c r="F842" s="189"/>
      <c r="G842" s="189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</row>
    <row r="843" spans="5:33">
      <c r="E843" s="188"/>
      <c r="F843" s="189"/>
      <c r="G843" s="189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</row>
    <row r="844" spans="5:33">
      <c r="E844" s="188"/>
      <c r="F844" s="189"/>
      <c r="G844" s="189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</row>
    <row r="845" spans="5:33">
      <c r="E845" s="188"/>
      <c r="F845" s="189"/>
      <c r="G845" s="189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</row>
    <row r="846" spans="5:33">
      <c r="E846" s="188"/>
      <c r="F846" s="189"/>
      <c r="G846" s="189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</row>
    <row r="847" spans="5:33">
      <c r="E847" s="188"/>
      <c r="F847" s="189"/>
      <c r="G847" s="189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</row>
    <row r="848" spans="5:33">
      <c r="E848" s="188"/>
      <c r="F848" s="189"/>
      <c r="G848" s="189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</row>
    <row r="849" spans="5:33">
      <c r="E849" s="188"/>
      <c r="F849" s="189"/>
      <c r="G849" s="189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</row>
    <row r="850" spans="5:33">
      <c r="E850" s="188"/>
      <c r="F850" s="189"/>
      <c r="G850" s="189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</row>
    <row r="851" spans="5:33">
      <c r="E851" s="188"/>
      <c r="F851" s="189"/>
      <c r="G851" s="189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</row>
    <row r="852" spans="5:33">
      <c r="E852" s="188"/>
      <c r="F852" s="189"/>
      <c r="G852" s="189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</row>
    <row r="853" spans="5:33">
      <c r="E853" s="188"/>
      <c r="F853" s="189"/>
      <c r="G853" s="189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</row>
    <row r="854" spans="5:33">
      <c r="E854" s="188"/>
      <c r="F854" s="189"/>
      <c r="G854" s="189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</row>
    <row r="855" spans="5:33">
      <c r="E855" s="188"/>
      <c r="F855" s="189"/>
      <c r="G855" s="189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</row>
    <row r="856" spans="5:33">
      <c r="E856" s="188"/>
      <c r="F856" s="189"/>
      <c r="G856" s="189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</row>
    <row r="857" spans="5:33">
      <c r="E857" s="188"/>
      <c r="F857" s="189"/>
      <c r="G857" s="189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</row>
    <row r="858" spans="5:33">
      <c r="E858" s="188"/>
      <c r="F858" s="189"/>
      <c r="G858" s="189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</row>
    <row r="859" spans="5:33">
      <c r="E859" s="188"/>
      <c r="F859" s="189"/>
      <c r="G859" s="189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</row>
    <row r="860" spans="5:33">
      <c r="E860" s="188"/>
      <c r="F860" s="189"/>
      <c r="G860" s="189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</row>
    <row r="861" spans="5:33">
      <c r="E861" s="188"/>
      <c r="F861" s="189"/>
      <c r="G861" s="189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</row>
    <row r="862" spans="5:33">
      <c r="E862" s="188"/>
      <c r="F862" s="189"/>
      <c r="G862" s="189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</row>
    <row r="863" spans="5:33">
      <c r="E863" s="188"/>
      <c r="F863" s="189"/>
      <c r="G863" s="189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</row>
    <row r="864" spans="5:33">
      <c r="E864" s="188"/>
      <c r="F864" s="189"/>
      <c r="G864" s="189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</row>
    <row r="865" spans="5:33">
      <c r="E865" s="188"/>
      <c r="F865" s="189"/>
      <c r="G865" s="189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</row>
    <row r="866" spans="5:33">
      <c r="E866" s="188"/>
      <c r="F866" s="189"/>
      <c r="G866" s="189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</row>
    <row r="867" spans="5:33">
      <c r="E867" s="188"/>
      <c r="F867" s="189"/>
      <c r="G867" s="189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</row>
    <row r="868" spans="5:33">
      <c r="E868" s="188"/>
      <c r="F868" s="189"/>
      <c r="G868" s="189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</row>
    <row r="869" spans="5:33">
      <c r="E869" s="188"/>
      <c r="F869" s="189"/>
      <c r="G869" s="189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</row>
    <row r="870" spans="5:33">
      <c r="E870" s="188"/>
      <c r="F870" s="189"/>
      <c r="G870" s="189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</row>
    <row r="871" spans="5:33">
      <c r="E871" s="188"/>
      <c r="F871" s="189"/>
      <c r="G871" s="189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</row>
    <row r="872" spans="5:33">
      <c r="E872" s="188"/>
      <c r="F872" s="189"/>
      <c r="G872" s="189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</row>
    <row r="873" spans="5:33">
      <c r="E873" s="188"/>
      <c r="F873" s="189"/>
      <c r="G873" s="189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</row>
    <row r="874" spans="5:33">
      <c r="E874" s="188"/>
      <c r="F874" s="189"/>
      <c r="G874" s="189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</row>
    <row r="875" spans="5:33">
      <c r="E875" s="188"/>
      <c r="F875" s="189"/>
      <c r="G875" s="189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</row>
    <row r="876" spans="5:33">
      <c r="E876" s="188"/>
      <c r="F876" s="189"/>
      <c r="G876" s="189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</row>
    <row r="877" spans="5:33">
      <c r="E877" s="188"/>
      <c r="F877" s="189"/>
      <c r="G877" s="189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</row>
    <row r="878" spans="5:33">
      <c r="E878" s="188"/>
      <c r="F878" s="189"/>
      <c r="G878" s="189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</row>
    <row r="879" spans="5:33">
      <c r="E879" s="188"/>
      <c r="F879" s="189"/>
      <c r="G879" s="189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</row>
    <row r="880" spans="5:33">
      <c r="E880" s="188"/>
      <c r="F880" s="189"/>
      <c r="G880" s="189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</row>
    <row r="881" spans="5:33">
      <c r="E881" s="188"/>
      <c r="F881" s="189"/>
      <c r="G881" s="189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</row>
    <row r="882" spans="5:33">
      <c r="E882" s="188"/>
      <c r="F882" s="189"/>
      <c r="G882" s="189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</row>
    <row r="883" spans="5:33">
      <c r="E883" s="188"/>
      <c r="F883" s="189"/>
      <c r="G883" s="189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</row>
    <row r="884" spans="5:33">
      <c r="E884" s="188"/>
      <c r="F884" s="189"/>
      <c r="G884" s="189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</row>
    <row r="885" spans="5:33">
      <c r="E885" s="188"/>
      <c r="F885" s="189"/>
      <c r="G885" s="189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</row>
    <row r="886" spans="5:33">
      <c r="E886" s="188"/>
      <c r="F886" s="189"/>
      <c r="G886" s="189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</row>
    <row r="887" spans="5:33">
      <c r="E887" s="188"/>
      <c r="F887" s="189"/>
      <c r="G887" s="189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</row>
    <row r="888" spans="5:33">
      <c r="E888" s="188"/>
      <c r="F888" s="189"/>
      <c r="G888" s="189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</row>
    <row r="889" spans="5:33">
      <c r="E889" s="188"/>
      <c r="F889" s="189"/>
      <c r="G889" s="189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</row>
    <row r="890" spans="5:33">
      <c r="E890" s="188"/>
      <c r="F890" s="189"/>
      <c r="G890" s="189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</row>
    <row r="891" spans="5:33">
      <c r="E891" s="188"/>
      <c r="F891" s="189"/>
      <c r="G891" s="189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</row>
    <row r="892" spans="5:33">
      <c r="E892" s="188"/>
      <c r="F892" s="189"/>
      <c r="G892" s="189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</row>
    <row r="893" spans="5:33">
      <c r="E893" s="188"/>
      <c r="F893" s="189"/>
      <c r="G893" s="189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</row>
    <row r="894" spans="5:33">
      <c r="E894" s="188"/>
      <c r="F894" s="189"/>
      <c r="G894" s="189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</row>
    <row r="895" spans="5:33">
      <c r="E895" s="188"/>
      <c r="F895" s="189"/>
      <c r="G895" s="189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</row>
    <row r="896" spans="5:33">
      <c r="E896" s="188"/>
      <c r="F896" s="189"/>
      <c r="G896" s="189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</row>
    <row r="897" spans="5:33">
      <c r="E897" s="188"/>
      <c r="F897" s="189"/>
      <c r="G897" s="189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</row>
    <row r="898" spans="5:33">
      <c r="E898" s="188"/>
      <c r="F898" s="189"/>
      <c r="G898" s="189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</row>
    <row r="899" spans="5:33">
      <c r="E899" s="188"/>
      <c r="F899" s="189"/>
      <c r="G899" s="189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</row>
    <row r="900" spans="5:33">
      <c r="E900" s="188"/>
      <c r="F900" s="189"/>
      <c r="G900" s="189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</row>
    <row r="901" spans="5:33">
      <c r="E901" s="188"/>
      <c r="F901" s="189"/>
      <c r="G901" s="189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</row>
    <row r="902" spans="5:33">
      <c r="E902" s="188"/>
      <c r="F902" s="189"/>
      <c r="G902" s="189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</row>
    <row r="903" spans="5:33">
      <c r="E903" s="188"/>
      <c r="F903" s="189"/>
      <c r="G903" s="189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</row>
    <row r="904" spans="5:33">
      <c r="E904" s="188"/>
      <c r="F904" s="189"/>
      <c r="G904" s="189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</row>
    <row r="905" spans="5:33">
      <c r="E905" s="188"/>
      <c r="F905" s="189"/>
      <c r="G905" s="189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</row>
    <row r="906" spans="5:33">
      <c r="E906" s="188"/>
      <c r="F906" s="189"/>
      <c r="G906" s="189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</row>
    <row r="907" spans="5:33">
      <c r="E907" s="188"/>
      <c r="F907" s="189"/>
      <c r="G907" s="189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</row>
    <row r="908" spans="5:33">
      <c r="E908" s="188"/>
      <c r="F908" s="189"/>
      <c r="G908" s="189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</row>
    <row r="909" spans="5:33">
      <c r="E909" s="188"/>
      <c r="F909" s="189"/>
      <c r="G909" s="189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</row>
    <row r="910" spans="5:33">
      <c r="E910" s="188"/>
      <c r="F910" s="189"/>
      <c r="G910" s="189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</row>
    <row r="911" spans="5:33">
      <c r="E911" s="188"/>
      <c r="F911" s="189"/>
      <c r="G911" s="189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</row>
    <row r="912" spans="5:33">
      <c r="E912" s="188"/>
      <c r="F912" s="189"/>
      <c r="G912" s="189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</row>
    <row r="913" spans="5:33">
      <c r="E913" s="188"/>
      <c r="F913" s="189"/>
      <c r="G913" s="189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</row>
    <row r="914" spans="5:33">
      <c r="E914" s="188"/>
      <c r="F914" s="189"/>
      <c r="G914" s="189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</row>
    <row r="915" spans="5:33">
      <c r="E915" s="188"/>
      <c r="F915" s="189"/>
      <c r="G915" s="189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</row>
    <row r="916" spans="5:33">
      <c r="E916" s="188"/>
      <c r="F916" s="189"/>
      <c r="G916" s="189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</row>
    <row r="917" spans="5:33">
      <c r="E917" s="188"/>
      <c r="F917" s="189"/>
      <c r="G917" s="189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</row>
    <row r="918" spans="5:33">
      <c r="E918" s="188"/>
      <c r="F918" s="189"/>
      <c r="G918" s="189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</row>
    <row r="919" spans="5:33">
      <c r="E919" s="188"/>
      <c r="F919" s="189"/>
      <c r="G919" s="189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</row>
    <row r="920" spans="5:33">
      <c r="E920" s="188"/>
      <c r="F920" s="189"/>
      <c r="G920" s="189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</row>
    <row r="921" spans="5:33">
      <c r="E921" s="188"/>
      <c r="F921" s="189"/>
      <c r="G921" s="189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</row>
    <row r="922" spans="5:33">
      <c r="E922" s="188"/>
      <c r="F922" s="189"/>
      <c r="G922" s="189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</row>
    <row r="923" spans="5:33">
      <c r="E923" s="188"/>
      <c r="F923" s="189"/>
      <c r="G923" s="189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</row>
    <row r="924" spans="5:33">
      <c r="E924" s="188"/>
      <c r="F924" s="189"/>
      <c r="G924" s="189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</row>
    <row r="925" spans="5:33">
      <c r="E925" s="188"/>
      <c r="F925" s="189"/>
      <c r="G925" s="189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</row>
    <row r="926" spans="5:33">
      <c r="E926" s="188"/>
      <c r="F926" s="189"/>
      <c r="G926" s="189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</row>
    <row r="927" spans="5:33">
      <c r="E927" s="188"/>
      <c r="F927" s="189"/>
      <c r="G927" s="189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</row>
    <row r="928" spans="5:33">
      <c r="E928" s="188"/>
      <c r="F928" s="189"/>
      <c r="G928" s="189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</row>
    <row r="929" spans="5:33">
      <c r="E929" s="188"/>
      <c r="F929" s="189"/>
      <c r="G929" s="189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</row>
    <row r="930" spans="5:33">
      <c r="E930" s="188"/>
      <c r="F930" s="189"/>
      <c r="G930" s="189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</row>
    <row r="931" spans="5:33">
      <c r="E931" s="188"/>
      <c r="F931" s="189"/>
      <c r="G931" s="189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</row>
    <row r="932" spans="5:33">
      <c r="E932" s="188"/>
      <c r="F932" s="189"/>
      <c r="G932" s="189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</row>
    <row r="933" spans="5:33">
      <c r="E933" s="188"/>
      <c r="F933" s="189"/>
      <c r="G933" s="189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</row>
    <row r="934" spans="5:33">
      <c r="E934" s="188"/>
      <c r="F934" s="189"/>
      <c r="G934" s="189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</row>
    <row r="935" spans="5:33">
      <c r="E935" s="188"/>
      <c r="F935" s="189"/>
      <c r="G935" s="189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</row>
    <row r="936" spans="5:33">
      <c r="E936" s="188"/>
      <c r="F936" s="189"/>
      <c r="G936" s="189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</row>
    <row r="937" spans="5:33">
      <c r="E937" s="188"/>
      <c r="F937" s="189"/>
      <c r="G937" s="189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</row>
    <row r="938" spans="5:33">
      <c r="E938" s="188"/>
      <c r="F938" s="189"/>
      <c r="G938" s="189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</row>
    <row r="939" spans="5:33">
      <c r="E939" s="188"/>
      <c r="F939" s="189"/>
      <c r="G939" s="189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</row>
    <row r="940" spans="5:33">
      <c r="E940" s="188"/>
      <c r="F940" s="189"/>
      <c r="G940" s="189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</row>
    <row r="941" spans="5:33">
      <c r="E941" s="188"/>
      <c r="F941" s="189"/>
      <c r="G941" s="189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</row>
    <row r="942" spans="5:33">
      <c r="E942" s="188"/>
      <c r="F942" s="189"/>
      <c r="G942" s="189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</row>
    <row r="943" spans="5:33">
      <c r="E943" s="188"/>
      <c r="F943" s="189"/>
      <c r="G943" s="189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</row>
    <row r="944" spans="5:33">
      <c r="E944" s="188"/>
      <c r="F944" s="189"/>
      <c r="G944" s="189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</row>
    <row r="945" spans="5:33">
      <c r="E945" s="188"/>
      <c r="F945" s="189"/>
      <c r="G945" s="189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</row>
    <row r="946" spans="5:33">
      <c r="E946" s="188"/>
      <c r="F946" s="189"/>
      <c r="G946" s="189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</row>
    <row r="947" spans="5:33">
      <c r="E947" s="188"/>
      <c r="F947" s="189"/>
      <c r="G947" s="189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</row>
    <row r="948" spans="5:33">
      <c r="E948" s="188"/>
      <c r="F948" s="189"/>
      <c r="G948" s="189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</row>
    <row r="949" spans="5:33">
      <c r="E949" s="188"/>
      <c r="F949" s="189"/>
      <c r="G949" s="189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</row>
    <row r="950" spans="5:33">
      <c r="E950" s="188"/>
      <c r="F950" s="189"/>
      <c r="G950" s="189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</row>
    <row r="951" spans="5:33">
      <c r="E951" s="188"/>
      <c r="F951" s="189"/>
      <c r="G951" s="189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</row>
    <row r="952" spans="5:33">
      <c r="E952" s="188"/>
      <c r="F952" s="189"/>
      <c r="G952" s="189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</row>
    <row r="953" spans="5:33">
      <c r="E953" s="188"/>
      <c r="F953" s="189"/>
      <c r="G953" s="189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</row>
    <row r="954" spans="5:33">
      <c r="E954" s="188"/>
      <c r="F954" s="189"/>
      <c r="G954" s="189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</row>
    <row r="955" spans="5:33">
      <c r="E955" s="188"/>
      <c r="F955" s="189"/>
      <c r="G955" s="189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</row>
    <row r="956" spans="5:33">
      <c r="E956" s="188"/>
      <c r="F956" s="189"/>
      <c r="G956" s="189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</row>
    <row r="957" spans="5:33">
      <c r="E957" s="188"/>
      <c r="F957" s="189"/>
      <c r="G957" s="189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</row>
    <row r="958" spans="5:33">
      <c r="E958" s="188"/>
      <c r="F958" s="189"/>
      <c r="G958" s="189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</row>
    <row r="959" spans="5:33">
      <c r="E959" s="188"/>
      <c r="F959" s="189"/>
      <c r="G959" s="189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</row>
    <row r="960" spans="5:33">
      <c r="E960" s="188"/>
      <c r="F960" s="189"/>
      <c r="G960" s="189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</row>
    <row r="961" spans="5:33">
      <c r="E961" s="188"/>
      <c r="F961" s="189"/>
      <c r="G961" s="189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</row>
    <row r="962" spans="5:33">
      <c r="E962" s="188"/>
      <c r="F962" s="189"/>
      <c r="G962" s="189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</row>
    <row r="963" spans="5:33">
      <c r="E963" s="188"/>
      <c r="F963" s="189"/>
      <c r="G963" s="189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</row>
    <row r="964" spans="5:33">
      <c r="E964" s="188"/>
      <c r="F964" s="189"/>
      <c r="G964" s="189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</row>
    <row r="965" spans="5:33">
      <c r="E965" s="188"/>
      <c r="F965" s="189"/>
      <c r="G965" s="189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</row>
    <row r="966" spans="5:33">
      <c r="E966" s="188"/>
      <c r="F966" s="189"/>
      <c r="G966" s="189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</row>
    <row r="967" spans="5:33">
      <c r="E967" s="188"/>
      <c r="F967" s="189"/>
      <c r="G967" s="189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</row>
    <row r="968" spans="5:33">
      <c r="E968" s="188"/>
      <c r="F968" s="189"/>
      <c r="G968" s="189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</row>
    <row r="969" spans="5:33">
      <c r="E969" s="188"/>
      <c r="F969" s="189"/>
      <c r="G969" s="189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</row>
    <row r="970" spans="5:33">
      <c r="E970" s="188"/>
      <c r="F970" s="189"/>
      <c r="G970" s="189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</row>
    <row r="971" spans="5:33">
      <c r="E971" s="188"/>
      <c r="F971" s="189"/>
      <c r="G971" s="189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</row>
    <row r="972" spans="5:33">
      <c r="E972" s="188"/>
      <c r="F972" s="189"/>
      <c r="G972" s="189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</row>
    <row r="973" spans="5:33">
      <c r="E973" s="188"/>
      <c r="F973" s="189"/>
      <c r="G973" s="189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</row>
    <row r="974" spans="5:33">
      <c r="E974" s="188"/>
      <c r="F974" s="189"/>
      <c r="G974" s="189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</row>
    <row r="975" spans="5:33">
      <c r="E975" s="188"/>
      <c r="F975" s="189"/>
      <c r="G975" s="189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</row>
    <row r="976" spans="5:33">
      <c r="E976" s="188"/>
      <c r="F976" s="189"/>
      <c r="G976" s="189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</row>
    <row r="977" spans="5:33">
      <c r="E977" s="188"/>
      <c r="F977" s="189"/>
      <c r="G977" s="189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</row>
    <row r="978" spans="5:33">
      <c r="E978" s="188"/>
      <c r="F978" s="189"/>
      <c r="G978" s="189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</row>
    <row r="979" spans="5:33">
      <c r="E979" s="188"/>
      <c r="F979" s="189"/>
      <c r="G979" s="189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</row>
    <row r="980" spans="5:33">
      <c r="E980" s="188"/>
      <c r="F980" s="189"/>
      <c r="G980" s="189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</row>
    <row r="981" spans="5:33">
      <c r="E981" s="188"/>
      <c r="F981" s="189"/>
      <c r="G981" s="189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</row>
    <row r="982" spans="5:33">
      <c r="E982" s="188"/>
      <c r="F982" s="189"/>
      <c r="G982" s="189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</row>
    <row r="983" spans="5:33">
      <c r="E983" s="188"/>
      <c r="F983" s="189"/>
      <c r="G983" s="189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</row>
    <row r="984" spans="5:33">
      <c r="E984" s="188"/>
      <c r="F984" s="189"/>
      <c r="G984" s="189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</row>
    <row r="985" spans="5:33">
      <c r="E985" s="188"/>
      <c r="F985" s="189"/>
      <c r="G985" s="189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</row>
    <row r="986" spans="5:33">
      <c r="E986" s="188"/>
      <c r="F986" s="189"/>
      <c r="G986" s="189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</row>
    <row r="987" spans="5:33">
      <c r="E987" s="188"/>
      <c r="F987" s="189"/>
      <c r="G987" s="189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</row>
    <row r="988" spans="5:33">
      <c r="E988" s="188"/>
      <c r="F988" s="189"/>
      <c r="G988" s="189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</row>
    <row r="989" spans="5:33">
      <c r="E989" s="188"/>
      <c r="F989" s="189"/>
      <c r="G989" s="189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</row>
    <row r="990" spans="5:33">
      <c r="E990" s="188"/>
      <c r="F990" s="189"/>
      <c r="G990" s="189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</row>
    <row r="991" spans="5:33">
      <c r="E991" s="188"/>
      <c r="F991" s="189"/>
      <c r="G991" s="189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</row>
    <row r="992" spans="5:33">
      <c r="E992" s="188"/>
      <c r="F992" s="189"/>
      <c r="G992" s="189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</row>
    <row r="993" spans="5:33">
      <c r="E993" s="188"/>
      <c r="F993" s="189"/>
      <c r="G993" s="189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</row>
    <row r="994" spans="5:33">
      <c r="E994" s="188"/>
      <c r="F994" s="189"/>
      <c r="G994" s="189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</row>
    <row r="995" spans="5:33">
      <c r="E995" s="188"/>
      <c r="F995" s="189"/>
      <c r="G995" s="189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</row>
    <row r="996" spans="5:33">
      <c r="E996" s="188"/>
      <c r="F996" s="189"/>
      <c r="G996" s="189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</row>
    <row r="997" spans="5:33">
      <c r="E997" s="188"/>
      <c r="F997" s="189"/>
      <c r="G997" s="189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</row>
    <row r="998" spans="5:33">
      <c r="E998" s="188"/>
      <c r="F998" s="189"/>
      <c r="G998" s="189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</row>
    <row r="999" spans="5:33">
      <c r="E999" s="188"/>
      <c r="F999" s="189"/>
      <c r="G999" s="189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</row>
    <row r="1000" spans="5:33">
      <c r="E1000" s="188"/>
      <c r="F1000" s="189"/>
      <c r="G1000" s="189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</row>
    <row r="1001" spans="5:33">
      <c r="E1001" s="188"/>
      <c r="F1001" s="189"/>
      <c r="G1001" s="189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8"/>
      <c r="X1001" s="188"/>
      <c r="Y1001" s="188"/>
      <c r="Z1001" s="188"/>
      <c r="AA1001" s="188"/>
      <c r="AB1001" s="188"/>
      <c r="AC1001" s="188"/>
      <c r="AD1001" s="188"/>
      <c r="AE1001" s="188"/>
      <c r="AF1001" s="188"/>
      <c r="AG1001" s="188"/>
    </row>
  </sheetData>
  <conditionalFormatting sqref="B6:B1001">
    <cfRule type="expression" dxfId="3" priority="2">
      <formula>AF6:AF1001</formula>
    </cfRule>
  </conditionalFormatting>
  <conditionalFormatting sqref="C1">
    <cfRule type="expression" dxfId="2" priority="1">
      <formula>COUNTIF(B:B,C1)&gt;1</formula>
    </cfRule>
  </conditionalFormatting>
  <conditionalFormatting sqref="I1:I1001">
    <cfRule type="cellIs" dxfId="1" priority="4" operator="lessThan">
      <formula>"50%"</formula>
    </cfRule>
  </conditionalFormatting>
  <conditionalFormatting sqref="AF6:AF1001">
    <cfRule type="notContainsBlanks" dxfId="0" priority="3">
      <formula>LEN(TRIM(AF6))&gt;0</formula>
    </cfRule>
  </conditionalFormatting>
  <dataValidations count="1">
    <dataValidation type="list" allowBlank="1" showErrorMessage="1" sqref="C2" xr:uid="{00000000-0002-0000-1400-000001000000}">
      <formula1>$AI$5:$AI1001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1400-000000000000}">
          <x14:formula1>
            <xm:f>'Jul Month'!$AV$2:$AV1001</xm:f>
          </x14:formula1>
          <xm:sqref>D2</xm:sqref>
        </x14:dataValidation>
        <x14:dataValidation type="list" allowBlank="1" showErrorMessage="1" xr:uid="{00000000-0002-0000-1400-000002000000}">
          <x14:formula1>
            <xm:f>'Jul Month'!$A$2:$A1001</xm:f>
          </x14:formula1>
          <xm:sqref>B2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21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26.77734375" customWidth="1"/>
  </cols>
  <sheetData>
    <row r="1" spans="1:15" ht="15.75" customHeight="1">
      <c r="A1" s="197" t="s">
        <v>846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</row>
    <row r="2" spans="1:15" ht="15.75" customHeight="1">
      <c r="A2" s="197"/>
      <c r="B2" s="197" t="s">
        <v>680</v>
      </c>
      <c r="C2" s="197" t="s">
        <v>847</v>
      </c>
      <c r="D2" s="197" t="s">
        <v>430</v>
      </c>
      <c r="E2" s="197" t="s">
        <v>848</v>
      </c>
      <c r="F2" s="197" t="s">
        <v>849</v>
      </c>
      <c r="G2" s="197" t="s">
        <v>441</v>
      </c>
      <c r="H2" s="197" t="s">
        <v>446</v>
      </c>
      <c r="I2" s="197" t="s">
        <v>451</v>
      </c>
      <c r="J2" s="197" t="s">
        <v>454</v>
      </c>
      <c r="K2" s="197" t="s">
        <v>457</v>
      </c>
      <c r="L2" s="197" t="s">
        <v>463</v>
      </c>
      <c r="M2" s="197" t="s">
        <v>466</v>
      </c>
      <c r="N2" s="197" t="s">
        <v>472</v>
      </c>
    </row>
    <row r="3" spans="1:15" ht="15.75" customHeight="1">
      <c r="A3" s="198" t="s">
        <v>126</v>
      </c>
      <c r="B3" s="199">
        <v>16500000</v>
      </c>
      <c r="C3" s="199">
        <v>792000</v>
      </c>
      <c r="D3" s="199">
        <v>1584000</v>
      </c>
      <c r="E3" s="199">
        <v>1584000</v>
      </c>
      <c r="F3" s="199">
        <v>907500</v>
      </c>
      <c r="G3" s="199">
        <v>1270500</v>
      </c>
      <c r="H3" s="199">
        <v>1452000</v>
      </c>
      <c r="I3" s="199">
        <v>1031250</v>
      </c>
      <c r="J3" s="199">
        <v>1443750</v>
      </c>
      <c r="K3" s="199">
        <v>1650000</v>
      </c>
      <c r="L3" s="199">
        <v>1196250</v>
      </c>
      <c r="M3" s="199">
        <v>1674750</v>
      </c>
      <c r="N3" s="199">
        <v>1914000</v>
      </c>
      <c r="O3" s="11">
        <f t="shared" ref="O3:O6" si="0">SUM(C3:I3)</f>
        <v>8621250</v>
      </c>
    </row>
    <row r="4" spans="1:15" ht="15.75" customHeight="1">
      <c r="A4" s="200" t="s">
        <v>156</v>
      </c>
      <c r="B4" s="199">
        <v>16000000</v>
      </c>
      <c r="C4" s="199">
        <v>768000</v>
      </c>
      <c r="D4" s="199">
        <v>1536000</v>
      </c>
      <c r="E4" s="199">
        <v>1536000</v>
      </c>
      <c r="F4" s="199">
        <v>880000</v>
      </c>
      <c r="G4" s="199">
        <v>1232000</v>
      </c>
      <c r="H4" s="199">
        <v>1408000</v>
      </c>
      <c r="I4" s="199">
        <v>1000000</v>
      </c>
      <c r="J4" s="199">
        <v>1500000</v>
      </c>
      <c r="K4" s="199">
        <v>1500000</v>
      </c>
      <c r="L4" s="199">
        <v>1500000</v>
      </c>
      <c r="M4" s="199">
        <v>1500000</v>
      </c>
      <c r="N4" s="199">
        <v>1500000</v>
      </c>
      <c r="O4" s="11">
        <f t="shared" si="0"/>
        <v>8360000</v>
      </c>
    </row>
    <row r="5" spans="1:15" ht="15.75" customHeight="1">
      <c r="A5" s="197" t="s">
        <v>408</v>
      </c>
      <c r="B5" s="199">
        <v>10575000</v>
      </c>
      <c r="C5" s="197"/>
      <c r="D5" s="197"/>
      <c r="E5" s="197"/>
      <c r="F5" s="197"/>
      <c r="G5" s="199">
        <v>1155000</v>
      </c>
      <c r="H5" s="199">
        <v>1320000</v>
      </c>
      <c r="I5" s="199">
        <v>937500</v>
      </c>
      <c r="J5" s="199">
        <v>1312500</v>
      </c>
      <c r="K5" s="199">
        <v>1500000</v>
      </c>
      <c r="L5" s="199">
        <v>1087500</v>
      </c>
      <c r="M5" s="199">
        <v>1522500</v>
      </c>
      <c r="N5" s="199">
        <v>1740000</v>
      </c>
      <c r="O5" s="11">
        <f t="shared" si="0"/>
        <v>3412500</v>
      </c>
    </row>
    <row r="6" spans="1:15" ht="15.75" customHeight="1">
      <c r="A6" s="200" t="s">
        <v>283</v>
      </c>
      <c r="B6" s="199">
        <v>16000000</v>
      </c>
      <c r="C6" s="199">
        <v>768000</v>
      </c>
      <c r="D6" s="199">
        <v>1536000</v>
      </c>
      <c r="E6" s="199">
        <v>1536000</v>
      </c>
      <c r="F6" s="199">
        <v>880000</v>
      </c>
      <c r="G6" s="199">
        <v>1232000</v>
      </c>
      <c r="H6" s="199">
        <v>1408000</v>
      </c>
      <c r="I6" s="199">
        <v>1000000</v>
      </c>
      <c r="J6" s="199">
        <v>1500000</v>
      </c>
      <c r="K6" s="199">
        <v>1500000</v>
      </c>
      <c r="L6" s="199">
        <v>1500000</v>
      </c>
      <c r="M6" s="199">
        <v>1500000</v>
      </c>
      <c r="N6" s="199">
        <v>1500000</v>
      </c>
      <c r="O6" s="11">
        <f t="shared" si="0"/>
        <v>8360000</v>
      </c>
    </row>
    <row r="7" spans="1:15" ht="15.75" customHeight="1">
      <c r="A7" s="201" t="s">
        <v>850</v>
      </c>
      <c r="B7" s="199">
        <v>22575000</v>
      </c>
      <c r="C7" s="199">
        <v>1083600</v>
      </c>
      <c r="D7" s="199">
        <v>2167200</v>
      </c>
      <c r="E7" s="199">
        <v>2167200</v>
      </c>
      <c r="F7" s="199">
        <v>1241625</v>
      </c>
      <c r="G7" s="199">
        <v>1738275</v>
      </c>
      <c r="H7" s="199">
        <v>1986600</v>
      </c>
      <c r="I7" s="199">
        <v>1410937.5</v>
      </c>
      <c r="J7" s="199">
        <v>1975312.5</v>
      </c>
      <c r="K7" s="199">
        <v>2257500</v>
      </c>
      <c r="L7" s="199">
        <v>1636687.5</v>
      </c>
      <c r="M7" s="199">
        <v>2291362.5</v>
      </c>
      <c r="N7" s="199">
        <v>2618700</v>
      </c>
      <c r="O7" s="11">
        <f t="shared" ref="O7:O8" si="1">SUM(C7:G7)</f>
        <v>8397900</v>
      </c>
    </row>
    <row r="8" spans="1:15" ht="15.75" customHeight="1">
      <c r="A8" s="200" t="s">
        <v>282</v>
      </c>
      <c r="B8" s="199">
        <v>16000000</v>
      </c>
      <c r="C8" s="199">
        <v>768000</v>
      </c>
      <c r="D8" s="199">
        <v>1536000</v>
      </c>
      <c r="E8" s="199">
        <v>1536000</v>
      </c>
      <c r="F8" s="199">
        <v>880000</v>
      </c>
      <c r="G8" s="199">
        <v>1232000</v>
      </c>
      <c r="H8" s="199">
        <v>1408000</v>
      </c>
      <c r="I8" s="199">
        <v>1000000</v>
      </c>
      <c r="J8" s="199">
        <v>1400000</v>
      </c>
      <c r="K8" s="199">
        <v>1600000</v>
      </c>
      <c r="L8" s="199">
        <v>1160000</v>
      </c>
      <c r="M8" s="199">
        <v>1624000</v>
      </c>
      <c r="N8" s="199">
        <v>1856000</v>
      </c>
      <c r="O8" s="11">
        <f t="shared" si="1"/>
        <v>5952000</v>
      </c>
    </row>
    <row r="9" spans="1:15" ht="15.75" customHeight="1">
      <c r="A9" s="200" t="s">
        <v>252</v>
      </c>
      <c r="B9" s="199">
        <v>14000000</v>
      </c>
      <c r="C9" s="199">
        <v>672000</v>
      </c>
      <c r="D9" s="199">
        <v>1344000</v>
      </c>
      <c r="E9" s="199">
        <v>1344000</v>
      </c>
      <c r="F9" s="199">
        <v>770000</v>
      </c>
      <c r="G9" s="199">
        <v>1078000</v>
      </c>
      <c r="H9" s="199">
        <v>1232000</v>
      </c>
      <c r="I9" s="199">
        <v>875000</v>
      </c>
      <c r="J9" s="199">
        <v>1225000</v>
      </c>
      <c r="K9" s="199">
        <v>1400000</v>
      </c>
      <c r="L9" s="199">
        <v>1015000</v>
      </c>
      <c r="M9" s="199">
        <v>1421000</v>
      </c>
      <c r="N9" s="199">
        <v>1624000</v>
      </c>
      <c r="O9" s="11">
        <f t="shared" ref="O9:O11" si="2">SUM(C9:I9)</f>
        <v>7315000</v>
      </c>
    </row>
    <row r="10" spans="1:15" ht="15.75" customHeight="1">
      <c r="A10" s="198" t="s">
        <v>253</v>
      </c>
      <c r="B10" s="199">
        <v>12665000</v>
      </c>
      <c r="C10" s="199">
        <v>607920</v>
      </c>
      <c r="D10" s="199">
        <v>1215840</v>
      </c>
      <c r="E10" s="199">
        <v>1215840</v>
      </c>
      <c r="F10" s="199">
        <v>696575</v>
      </c>
      <c r="G10" s="199">
        <v>975205</v>
      </c>
      <c r="H10" s="199">
        <v>1114520</v>
      </c>
      <c r="I10" s="199">
        <v>791563</v>
      </c>
      <c r="J10" s="199">
        <v>1108188</v>
      </c>
      <c r="K10" s="199">
        <v>1266500</v>
      </c>
      <c r="L10" s="199">
        <v>918213</v>
      </c>
      <c r="M10" s="199">
        <v>1285497.5</v>
      </c>
      <c r="N10" s="199">
        <v>1469140</v>
      </c>
      <c r="O10" s="11">
        <f t="shared" si="2"/>
        <v>6617463</v>
      </c>
    </row>
    <row r="11" spans="1:15" ht="15.75" customHeight="1">
      <c r="A11" s="198" t="s">
        <v>297</v>
      </c>
      <c r="B11" s="199">
        <v>15232000</v>
      </c>
      <c r="C11" s="197"/>
      <c r="D11" s="199">
        <v>1536000</v>
      </c>
      <c r="E11" s="199">
        <v>1536000</v>
      </c>
      <c r="F11" s="199">
        <v>880000</v>
      </c>
      <c r="G11" s="199">
        <v>1232000</v>
      </c>
      <c r="H11" s="199">
        <v>1408000</v>
      </c>
      <c r="I11" s="199">
        <v>1000000</v>
      </c>
      <c r="J11" s="199">
        <v>1500000</v>
      </c>
      <c r="K11" s="199">
        <v>1500000</v>
      </c>
      <c r="L11" s="199">
        <v>1500000</v>
      </c>
      <c r="M11" s="199">
        <v>1500000</v>
      </c>
      <c r="N11" s="199">
        <v>1500000</v>
      </c>
      <c r="O11" s="11">
        <f t="shared" si="2"/>
        <v>7592000</v>
      </c>
    </row>
    <row r="12" spans="1:15" ht="15.75" customHeight="1">
      <c r="A12" s="198" t="s">
        <v>851</v>
      </c>
      <c r="B12" s="199">
        <v>9880000</v>
      </c>
      <c r="C12" s="197"/>
      <c r="D12" s="197"/>
      <c r="E12" s="197"/>
      <c r="F12" s="199">
        <v>715000</v>
      </c>
      <c r="G12" s="199">
        <v>1001000</v>
      </c>
      <c r="H12" s="199">
        <v>1144000</v>
      </c>
      <c r="I12" s="199">
        <v>812500</v>
      </c>
      <c r="J12" s="199">
        <v>1137500</v>
      </c>
      <c r="K12" s="199">
        <v>1300000</v>
      </c>
      <c r="L12" s="199">
        <v>942500</v>
      </c>
      <c r="M12" s="199">
        <v>1319500</v>
      </c>
      <c r="N12" s="199">
        <v>1508000</v>
      </c>
      <c r="O12" s="11">
        <f>SUM(C12:H12)</f>
        <v>2860000</v>
      </c>
    </row>
    <row r="13" spans="1:15" ht="15.75" customHeight="1">
      <c r="A13" s="198" t="s">
        <v>852</v>
      </c>
      <c r="B13" s="199">
        <v>15200000</v>
      </c>
      <c r="C13" s="197"/>
      <c r="D13" s="197"/>
      <c r="E13" s="197"/>
      <c r="F13" s="199">
        <v>1100000</v>
      </c>
      <c r="G13" s="199">
        <v>1540000</v>
      </c>
      <c r="H13" s="199">
        <v>1760000</v>
      </c>
      <c r="I13" s="199">
        <v>1250000</v>
      </c>
      <c r="J13" s="199">
        <v>1750000</v>
      </c>
      <c r="K13" s="199">
        <v>2000000</v>
      </c>
      <c r="L13" s="199">
        <v>1450000</v>
      </c>
      <c r="M13" s="199">
        <v>2030000</v>
      </c>
      <c r="N13" s="199">
        <v>2320000</v>
      </c>
      <c r="O13" s="11">
        <f>SUM(C13:I13)</f>
        <v>5650000</v>
      </c>
    </row>
    <row r="14" spans="1:15" ht="15.75" customHeight="1">
      <c r="A14" s="197" t="s">
        <v>853</v>
      </c>
      <c r="B14" s="202">
        <v>13000000</v>
      </c>
      <c r="C14" s="203">
        <v>624000</v>
      </c>
      <c r="D14" s="203">
        <v>1248000</v>
      </c>
      <c r="E14" s="203">
        <v>1248000</v>
      </c>
      <c r="F14" s="203">
        <v>715000</v>
      </c>
      <c r="G14" s="203">
        <v>1001000</v>
      </c>
      <c r="H14" s="204">
        <v>1144000</v>
      </c>
      <c r="I14" s="204">
        <v>812500</v>
      </c>
      <c r="J14" s="204">
        <v>1137500</v>
      </c>
      <c r="K14" s="204">
        <v>1300000</v>
      </c>
      <c r="L14" s="204">
        <v>942500</v>
      </c>
      <c r="M14" s="204">
        <v>1319500</v>
      </c>
      <c r="N14" s="204">
        <v>1508000</v>
      </c>
    </row>
    <row r="15" spans="1:15" ht="15.75" customHeight="1">
      <c r="A15" s="197" t="s">
        <v>854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</row>
    <row r="16" spans="1:15" ht="15.75" customHeight="1">
      <c r="A16" s="197" t="s">
        <v>331</v>
      </c>
      <c r="B16" s="199"/>
      <c r="C16" s="199"/>
      <c r="D16" s="199"/>
      <c r="E16" s="199"/>
      <c r="F16" s="199"/>
      <c r="G16" s="199"/>
      <c r="H16" s="199"/>
      <c r="I16" s="199"/>
      <c r="J16" s="199">
        <v>1500000</v>
      </c>
      <c r="K16" s="199">
        <v>1500000</v>
      </c>
      <c r="L16" s="199">
        <v>1500000</v>
      </c>
      <c r="M16" s="199">
        <v>1500000</v>
      </c>
      <c r="N16" s="199">
        <v>1500000</v>
      </c>
    </row>
    <row r="17" spans="1:15" ht="15.75" customHeight="1">
      <c r="A17" s="197" t="s">
        <v>102</v>
      </c>
      <c r="B17" s="199">
        <v>164627000</v>
      </c>
      <c r="C17" s="199">
        <v>5459520</v>
      </c>
      <c r="D17" s="199">
        <v>12455040</v>
      </c>
      <c r="E17" s="199">
        <v>12455040</v>
      </c>
      <c r="F17" s="199">
        <v>8950700</v>
      </c>
      <c r="G17" s="199">
        <v>13685980</v>
      </c>
      <c r="H17" s="199">
        <v>15641120</v>
      </c>
      <c r="I17" s="199">
        <v>11108750</v>
      </c>
      <c r="J17" s="199">
        <v>15552250</v>
      </c>
      <c r="K17" s="199">
        <v>17774000</v>
      </c>
      <c r="L17" s="199">
        <v>12886150</v>
      </c>
      <c r="M17" s="199">
        <v>18040610</v>
      </c>
      <c r="N17" s="199">
        <v>20617840</v>
      </c>
      <c r="O17" s="11">
        <f>SUM(C17:I17)</f>
        <v>79756150</v>
      </c>
    </row>
    <row r="19" spans="1:15">
      <c r="D19" s="11">
        <f>D11/2</f>
        <v>768000</v>
      </c>
      <c r="E19" s="11">
        <f>D11/30</f>
        <v>51200</v>
      </c>
      <c r="F19" s="11">
        <f>E19*15</f>
        <v>768000</v>
      </c>
      <c r="G19" s="11">
        <f>SUM(E11:I11)+F19</f>
        <v>6824000</v>
      </c>
    </row>
    <row r="20" spans="1:15">
      <c r="D20" s="11">
        <f>D11*0.5</f>
        <v>768000</v>
      </c>
    </row>
    <row r="21" spans="1:15" ht="15.75" customHeight="1">
      <c r="A21" s="197" t="s">
        <v>855</v>
      </c>
    </row>
  </sheetData>
  <hyperlinks>
    <hyperlink ref="A7" r:id="rId1" location="/attendance/tracker?user_id=565&amp;start_date=2025-05-28" xr:uid="{00000000-0004-0000-15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Z121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3" width="21.6640625" customWidth="1"/>
  </cols>
  <sheetData>
    <row r="1" spans="1:52">
      <c r="A1" s="11" t="s">
        <v>681</v>
      </c>
      <c r="B1" s="149" t="s">
        <v>31</v>
      </c>
      <c r="C1" s="11" t="s">
        <v>6</v>
      </c>
      <c r="D1" s="11" t="s">
        <v>35</v>
      </c>
      <c r="E1" s="11" t="s">
        <v>32</v>
      </c>
      <c r="F1" s="11" t="s">
        <v>34</v>
      </c>
      <c r="G1" s="11" t="s">
        <v>682</v>
      </c>
      <c r="H1" s="11" t="s">
        <v>382</v>
      </c>
      <c r="I1" s="11" t="s">
        <v>131</v>
      </c>
      <c r="J1" s="11" t="s">
        <v>383</v>
      </c>
      <c r="K1" s="11" t="s">
        <v>384</v>
      </c>
      <c r="L1" s="6" t="s">
        <v>102</v>
      </c>
      <c r="M1" s="11" t="s">
        <v>47</v>
      </c>
      <c r="N1" s="11" t="s">
        <v>385</v>
      </c>
      <c r="O1" s="11" t="s">
        <v>49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386</v>
      </c>
      <c r="U1" s="11" t="s">
        <v>387</v>
      </c>
      <c r="V1" s="11" t="s">
        <v>58</v>
      </c>
      <c r="W1" s="11" t="s">
        <v>59</v>
      </c>
      <c r="X1" s="11" t="s">
        <v>60</v>
      </c>
      <c r="Y1" s="11" t="s">
        <v>61</v>
      </c>
      <c r="Z1" s="11" t="s">
        <v>62</v>
      </c>
      <c r="AA1" s="11" t="s">
        <v>63</v>
      </c>
      <c r="AB1" s="11" t="s">
        <v>64</v>
      </c>
      <c r="AC1" s="11" t="s">
        <v>65</v>
      </c>
      <c r="AD1" s="11" t="s">
        <v>66</v>
      </c>
      <c r="AE1" s="11" t="s">
        <v>68</v>
      </c>
      <c r="AF1" s="11" t="s">
        <v>69</v>
      </c>
      <c r="AG1" s="11" t="s">
        <v>70</v>
      </c>
      <c r="AH1" s="11" t="s">
        <v>71</v>
      </c>
      <c r="AI1" s="11" t="s">
        <v>72</v>
      </c>
      <c r="AJ1" s="11" t="s">
        <v>388</v>
      </c>
      <c r="AK1" s="11" t="s">
        <v>74</v>
      </c>
      <c r="AL1" s="11" t="s">
        <v>75</v>
      </c>
      <c r="AM1" s="11" t="s">
        <v>76</v>
      </c>
      <c r="AN1" s="11" t="s">
        <v>77</v>
      </c>
      <c r="AO1" s="11" t="s">
        <v>78</v>
      </c>
      <c r="AP1" s="11" t="s">
        <v>43</v>
      </c>
      <c r="AQ1" s="11" t="s">
        <v>44</v>
      </c>
      <c r="AR1" s="11" t="s">
        <v>79</v>
      </c>
      <c r="AS1" s="11" t="s">
        <v>80</v>
      </c>
      <c r="AT1" s="11" t="s">
        <v>82</v>
      </c>
      <c r="AU1" s="11" t="s">
        <v>389</v>
      </c>
      <c r="AV1" s="11" t="s">
        <v>83</v>
      </c>
      <c r="AW1" s="11" t="s">
        <v>84</v>
      </c>
      <c r="AX1" s="11" t="s">
        <v>86</v>
      </c>
      <c r="AY1" s="11" t="s">
        <v>87</v>
      </c>
      <c r="AZ1" s="11" t="s">
        <v>88</v>
      </c>
    </row>
    <row r="2" spans="1:52">
      <c r="A2" s="11" t="s">
        <v>118</v>
      </c>
      <c r="B2" s="149" t="s">
        <v>359</v>
      </c>
      <c r="C2" s="11" t="s">
        <v>26</v>
      </c>
      <c r="D2" s="11" t="s">
        <v>442</v>
      </c>
      <c r="E2" s="11" t="s">
        <v>477</v>
      </c>
      <c r="F2" s="185">
        <v>42826</v>
      </c>
      <c r="G2" s="11" t="s">
        <v>118</v>
      </c>
      <c r="H2" s="11">
        <v>0</v>
      </c>
      <c r="I2" s="11">
        <v>6000000</v>
      </c>
      <c r="J2" s="11">
        <v>2640730.64</v>
      </c>
      <c r="K2" s="11">
        <v>0</v>
      </c>
      <c r="L2" s="6">
        <f t="shared" ref="L2:L217" si="0">J2+K2</f>
        <v>2640730.64</v>
      </c>
      <c r="M2" s="11">
        <v>86</v>
      </c>
      <c r="N2" s="11">
        <v>75</v>
      </c>
      <c r="O2" s="11">
        <v>6</v>
      </c>
      <c r="P2" s="11">
        <v>92</v>
      </c>
      <c r="Q2" s="11">
        <v>17</v>
      </c>
      <c r="R2" s="11">
        <v>2223851.36</v>
      </c>
      <c r="S2" s="11">
        <v>416879.28</v>
      </c>
      <c r="T2" s="11">
        <v>47</v>
      </c>
      <c r="U2" s="11">
        <v>6</v>
      </c>
      <c r="V2" s="11">
        <v>53</v>
      </c>
      <c r="W2" s="11">
        <v>0</v>
      </c>
      <c r="X2" s="11">
        <v>2</v>
      </c>
      <c r="Y2" s="11">
        <v>4</v>
      </c>
      <c r="Z2" s="11">
        <v>9</v>
      </c>
      <c r="AA2" s="11">
        <v>1</v>
      </c>
      <c r="AB2" s="11">
        <v>42</v>
      </c>
      <c r="AC2" s="11">
        <v>0</v>
      </c>
      <c r="AD2" s="11">
        <v>0</v>
      </c>
      <c r="AE2" s="11">
        <v>0</v>
      </c>
      <c r="AF2" s="11">
        <v>0</v>
      </c>
      <c r="AG2" s="11">
        <v>346</v>
      </c>
      <c r="AH2" s="11">
        <v>392</v>
      </c>
      <c r="AI2" s="11">
        <v>74</v>
      </c>
      <c r="AJ2" s="11">
        <v>35686</v>
      </c>
      <c r="AK2" s="11">
        <v>5</v>
      </c>
      <c r="AL2" s="11">
        <v>76300</v>
      </c>
      <c r="AM2" s="11">
        <v>0</v>
      </c>
      <c r="AN2" s="11">
        <v>2.8899999999999999E-2</v>
      </c>
      <c r="AO2" s="11">
        <v>49825</v>
      </c>
      <c r="AP2" s="11">
        <v>0.44</v>
      </c>
      <c r="AQ2" s="11">
        <v>0</v>
      </c>
      <c r="AR2" s="11">
        <v>102</v>
      </c>
      <c r="AS2" s="11">
        <v>695</v>
      </c>
      <c r="AT2" s="11">
        <v>3772.66</v>
      </c>
      <c r="AU2" s="11">
        <v>6</v>
      </c>
      <c r="AV2" s="11">
        <v>50</v>
      </c>
      <c r="AW2" s="11">
        <v>53</v>
      </c>
      <c r="AX2" s="11">
        <v>24</v>
      </c>
      <c r="AY2" s="11">
        <v>15</v>
      </c>
    </row>
    <row r="3" spans="1:52">
      <c r="A3" s="11" t="s">
        <v>118</v>
      </c>
      <c r="B3" s="149" t="s">
        <v>362</v>
      </c>
      <c r="C3" s="11" t="s">
        <v>27</v>
      </c>
      <c r="D3" s="11" t="s">
        <v>419</v>
      </c>
      <c r="E3" s="11" t="s">
        <v>452</v>
      </c>
      <c r="F3" s="185">
        <v>41791</v>
      </c>
      <c r="G3" s="11" t="s">
        <v>118</v>
      </c>
      <c r="H3" s="11">
        <v>0</v>
      </c>
      <c r="I3" s="11">
        <v>37500000</v>
      </c>
      <c r="J3" s="11">
        <v>19515269.98</v>
      </c>
      <c r="K3" s="11">
        <v>0</v>
      </c>
      <c r="L3" s="6">
        <f t="shared" si="0"/>
        <v>19515269.98</v>
      </c>
      <c r="M3" s="11">
        <v>100</v>
      </c>
      <c r="N3" s="11">
        <v>78</v>
      </c>
      <c r="O3" s="11">
        <v>1</v>
      </c>
      <c r="P3" s="11">
        <v>101</v>
      </c>
      <c r="Q3" s="11">
        <v>23</v>
      </c>
      <c r="R3" s="11">
        <v>19515269.98</v>
      </c>
      <c r="S3" s="11">
        <v>0</v>
      </c>
      <c r="T3" s="11">
        <v>63</v>
      </c>
      <c r="U3" s="11">
        <v>0</v>
      </c>
      <c r="V3" s="11">
        <v>63</v>
      </c>
      <c r="W3" s="11">
        <v>0</v>
      </c>
      <c r="X3" s="11">
        <v>1</v>
      </c>
      <c r="Y3" s="11">
        <v>1</v>
      </c>
      <c r="Z3" s="11">
        <v>31</v>
      </c>
      <c r="AA3" s="11">
        <v>3</v>
      </c>
      <c r="AB3" s="11">
        <v>40</v>
      </c>
      <c r="AC3" s="11">
        <v>0</v>
      </c>
      <c r="AD3" s="11">
        <v>0</v>
      </c>
      <c r="AE3" s="11">
        <v>0</v>
      </c>
      <c r="AF3" s="11">
        <v>0</v>
      </c>
      <c r="AG3" s="11">
        <v>272</v>
      </c>
      <c r="AH3" s="11">
        <v>313</v>
      </c>
      <c r="AI3" s="11">
        <v>73</v>
      </c>
      <c r="AJ3" s="11">
        <v>267332</v>
      </c>
      <c r="AK3" s="11">
        <v>4</v>
      </c>
      <c r="AL3" s="11">
        <v>87460</v>
      </c>
      <c r="AM3" s="11">
        <v>0</v>
      </c>
      <c r="AN3" s="11">
        <v>4.4999999999999997E-3</v>
      </c>
      <c r="AO3" s="11">
        <v>309766</v>
      </c>
      <c r="AP3" s="11">
        <v>0.52</v>
      </c>
      <c r="AQ3" s="11">
        <v>0</v>
      </c>
      <c r="AR3" s="11">
        <v>200</v>
      </c>
      <c r="AS3" s="11">
        <v>873</v>
      </c>
      <c r="AT3" s="11">
        <v>9620.4599999999991</v>
      </c>
      <c r="AU3" s="11">
        <v>0</v>
      </c>
      <c r="AV3" s="11">
        <v>123</v>
      </c>
      <c r="AW3" s="11">
        <v>63</v>
      </c>
      <c r="AX3" s="11">
        <v>15</v>
      </c>
      <c r="AY3" s="11">
        <v>23</v>
      </c>
    </row>
    <row r="4" spans="1:52">
      <c r="A4" s="11" t="s">
        <v>118</v>
      </c>
      <c r="B4" s="149" t="s">
        <v>359</v>
      </c>
      <c r="C4" s="11" t="s">
        <v>28</v>
      </c>
      <c r="D4" s="11" t="s">
        <v>442</v>
      </c>
      <c r="E4" s="11" t="s">
        <v>444</v>
      </c>
      <c r="F4" s="184">
        <v>41563</v>
      </c>
      <c r="G4" s="11" t="s">
        <v>118</v>
      </c>
      <c r="H4" s="11">
        <v>0</v>
      </c>
      <c r="I4" s="11">
        <v>6300000</v>
      </c>
      <c r="J4" s="11">
        <v>4672651.3</v>
      </c>
      <c r="K4" s="11">
        <v>0</v>
      </c>
      <c r="L4" s="6">
        <f t="shared" si="0"/>
        <v>4672651.3</v>
      </c>
      <c r="M4" s="11">
        <v>39</v>
      </c>
      <c r="N4" s="11">
        <v>35</v>
      </c>
      <c r="O4" s="11">
        <v>1</v>
      </c>
      <c r="P4" s="11">
        <v>40</v>
      </c>
      <c r="Q4" s="11">
        <v>5</v>
      </c>
      <c r="R4" s="11">
        <v>4672651.3</v>
      </c>
      <c r="S4" s="11">
        <v>0</v>
      </c>
      <c r="T4" s="11">
        <v>24</v>
      </c>
      <c r="U4" s="11">
        <v>0</v>
      </c>
      <c r="V4" s="11">
        <v>24</v>
      </c>
      <c r="W4" s="11">
        <v>0</v>
      </c>
      <c r="X4" s="11">
        <v>0</v>
      </c>
      <c r="Y4" s="11">
        <v>0</v>
      </c>
      <c r="Z4" s="11">
        <v>33</v>
      </c>
      <c r="AA4" s="11">
        <v>1</v>
      </c>
      <c r="AB4" s="11">
        <v>5</v>
      </c>
      <c r="AC4" s="11">
        <v>0</v>
      </c>
      <c r="AD4" s="11">
        <v>0</v>
      </c>
      <c r="AE4" s="11">
        <v>0</v>
      </c>
      <c r="AF4" s="11">
        <v>0</v>
      </c>
      <c r="AG4" s="11">
        <v>222</v>
      </c>
      <c r="AH4" s="11">
        <v>227</v>
      </c>
      <c r="AI4" s="11">
        <v>75</v>
      </c>
      <c r="AJ4" s="11">
        <v>62302</v>
      </c>
      <c r="AK4" s="11">
        <v>3</v>
      </c>
      <c r="AL4" s="11">
        <v>48500</v>
      </c>
      <c r="AM4" s="11">
        <v>0</v>
      </c>
      <c r="AN4" s="11">
        <v>1.04E-2</v>
      </c>
      <c r="AO4" s="11">
        <v>194694</v>
      </c>
      <c r="AP4" s="11">
        <v>0.74</v>
      </c>
      <c r="AQ4" s="11">
        <v>0</v>
      </c>
      <c r="AR4" s="11">
        <v>82</v>
      </c>
      <c r="AS4" s="11">
        <v>904</v>
      </c>
      <c r="AT4" s="11">
        <v>7510.83</v>
      </c>
      <c r="AU4" s="11">
        <v>0</v>
      </c>
      <c r="AV4" s="11">
        <v>215</v>
      </c>
      <c r="AW4" s="11">
        <v>24</v>
      </c>
      <c r="AX4" s="11">
        <v>11</v>
      </c>
      <c r="AY4" s="11">
        <v>5</v>
      </c>
    </row>
    <row r="5" spans="1:52">
      <c r="A5" s="11" t="s">
        <v>118</v>
      </c>
      <c r="B5" s="149" t="s">
        <v>362</v>
      </c>
      <c r="C5" s="11" t="s">
        <v>29</v>
      </c>
      <c r="D5" s="11" t="s">
        <v>419</v>
      </c>
      <c r="E5" s="11" t="s">
        <v>420</v>
      </c>
      <c r="F5" s="184">
        <v>39859</v>
      </c>
      <c r="G5" s="11" t="s">
        <v>118</v>
      </c>
      <c r="H5" s="11">
        <v>0</v>
      </c>
      <c r="I5" s="11">
        <v>0</v>
      </c>
      <c r="J5" s="11">
        <v>0</v>
      </c>
      <c r="K5" s="11">
        <v>0</v>
      </c>
      <c r="L5" s="6">
        <f t="shared" si="0"/>
        <v>0</v>
      </c>
      <c r="M5" s="11">
        <v>177</v>
      </c>
      <c r="N5" s="11">
        <v>113</v>
      </c>
      <c r="O5" s="11">
        <v>5</v>
      </c>
      <c r="P5" s="11">
        <v>182</v>
      </c>
      <c r="Q5" s="11">
        <v>69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5</v>
      </c>
      <c r="Y5" s="11">
        <v>7</v>
      </c>
      <c r="Z5" s="11">
        <v>80</v>
      </c>
      <c r="AA5" s="11">
        <v>8</v>
      </c>
      <c r="AB5" s="11">
        <v>55</v>
      </c>
      <c r="AC5" s="11">
        <v>1</v>
      </c>
      <c r="AD5" s="11">
        <v>8</v>
      </c>
      <c r="AE5" s="11">
        <v>1</v>
      </c>
      <c r="AF5" s="11">
        <v>3</v>
      </c>
      <c r="AG5" s="11">
        <v>218</v>
      </c>
      <c r="AH5" s="11">
        <v>291</v>
      </c>
      <c r="AI5" s="11">
        <v>76</v>
      </c>
      <c r="AJ5" s="11">
        <v>0</v>
      </c>
      <c r="AK5" s="11">
        <v>4</v>
      </c>
      <c r="AL5" s="11">
        <v>70400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911</v>
      </c>
      <c r="AT5" s="11">
        <v>8376.74</v>
      </c>
      <c r="AU5" s="11">
        <v>0</v>
      </c>
      <c r="AV5" s="11">
        <v>74</v>
      </c>
      <c r="AW5" s="11">
        <v>0</v>
      </c>
      <c r="AX5" s="11">
        <v>113</v>
      </c>
      <c r="AY5" s="11">
        <v>69</v>
      </c>
    </row>
    <row r="6" spans="1:52">
      <c r="A6" s="11" t="s">
        <v>118</v>
      </c>
      <c r="B6" s="149" t="s">
        <v>359</v>
      </c>
      <c r="C6" s="11" t="s">
        <v>33</v>
      </c>
      <c r="D6" s="11" t="s">
        <v>442</v>
      </c>
      <c r="E6" s="11" t="s">
        <v>496</v>
      </c>
      <c r="F6" s="185">
        <v>43710</v>
      </c>
      <c r="G6" s="11" t="s">
        <v>118</v>
      </c>
      <c r="H6" s="11">
        <v>0</v>
      </c>
      <c r="I6" s="11">
        <v>6000000</v>
      </c>
      <c r="J6" s="11">
        <v>4252995.57</v>
      </c>
      <c r="K6" s="11">
        <v>504663.62</v>
      </c>
      <c r="L6" s="6">
        <f t="shared" si="0"/>
        <v>4757659.1900000004</v>
      </c>
      <c r="M6" s="11">
        <v>52</v>
      </c>
      <c r="N6" s="11">
        <v>45</v>
      </c>
      <c r="O6" s="11">
        <v>1</v>
      </c>
      <c r="P6" s="11">
        <v>53</v>
      </c>
      <c r="Q6" s="11">
        <v>8</v>
      </c>
      <c r="R6" s="11">
        <v>3887916.7</v>
      </c>
      <c r="S6" s="11">
        <v>365078.88</v>
      </c>
      <c r="T6" s="11">
        <v>40</v>
      </c>
      <c r="U6" s="11">
        <v>1</v>
      </c>
      <c r="V6" s="11">
        <v>41</v>
      </c>
      <c r="W6" s="11">
        <v>2</v>
      </c>
      <c r="X6" s="11">
        <v>6</v>
      </c>
      <c r="Y6" s="11">
        <v>12</v>
      </c>
      <c r="Z6" s="11">
        <v>31</v>
      </c>
      <c r="AA6" s="11">
        <v>1</v>
      </c>
      <c r="AB6" s="11">
        <v>3</v>
      </c>
      <c r="AC6" s="11">
        <v>3</v>
      </c>
      <c r="AD6" s="11">
        <v>44</v>
      </c>
      <c r="AE6" s="11">
        <v>0</v>
      </c>
      <c r="AF6" s="11">
        <v>0</v>
      </c>
      <c r="AG6" s="11">
        <v>303</v>
      </c>
      <c r="AH6" s="11">
        <v>362</v>
      </c>
      <c r="AI6" s="11">
        <v>74</v>
      </c>
      <c r="AJ6" s="11">
        <v>57473</v>
      </c>
      <c r="AK6" s="11">
        <v>5</v>
      </c>
      <c r="AL6" s="11">
        <v>50950</v>
      </c>
      <c r="AM6" s="11">
        <v>0</v>
      </c>
      <c r="AN6" s="11">
        <v>1.2E-2</v>
      </c>
      <c r="AO6" s="11">
        <v>103732</v>
      </c>
      <c r="AP6" s="11">
        <v>0.71</v>
      </c>
      <c r="AQ6" s="11">
        <v>0</v>
      </c>
      <c r="AR6" s="11">
        <v>143</v>
      </c>
      <c r="AS6" s="11">
        <v>818</v>
      </c>
      <c r="AT6" s="11">
        <v>8014.73</v>
      </c>
      <c r="AU6" s="11">
        <v>1</v>
      </c>
      <c r="AV6" s="11">
        <v>178</v>
      </c>
      <c r="AW6" s="11">
        <v>41</v>
      </c>
      <c r="AX6" s="11">
        <v>7</v>
      </c>
      <c r="AY6" s="11">
        <v>5</v>
      </c>
    </row>
    <row r="7" spans="1:52">
      <c r="A7" s="11" t="s">
        <v>118</v>
      </c>
      <c r="B7" s="149" t="s">
        <v>359</v>
      </c>
      <c r="C7" s="11" t="s">
        <v>38</v>
      </c>
      <c r="D7" s="11" t="s">
        <v>442</v>
      </c>
      <c r="E7" s="11" t="s">
        <v>455</v>
      </c>
      <c r="F7" s="186">
        <v>42125</v>
      </c>
      <c r="G7" s="11" t="s">
        <v>118</v>
      </c>
      <c r="H7" s="11">
        <v>0</v>
      </c>
      <c r="I7" s="11">
        <v>19674000</v>
      </c>
      <c r="J7" s="11">
        <v>15722769.779999999</v>
      </c>
      <c r="K7" s="11">
        <v>0</v>
      </c>
      <c r="L7" s="6">
        <f t="shared" si="0"/>
        <v>15722769.779999999</v>
      </c>
      <c r="M7" s="11">
        <v>84</v>
      </c>
      <c r="N7" s="11">
        <v>85</v>
      </c>
      <c r="O7" s="11">
        <v>2</v>
      </c>
      <c r="P7" s="11">
        <v>86</v>
      </c>
      <c r="Q7" s="11">
        <v>1</v>
      </c>
      <c r="R7" s="11">
        <v>15566686.42</v>
      </c>
      <c r="S7" s="11">
        <v>156083.35999999999</v>
      </c>
      <c r="T7" s="11">
        <v>72</v>
      </c>
      <c r="U7" s="11">
        <v>2</v>
      </c>
      <c r="V7" s="11">
        <v>74</v>
      </c>
      <c r="W7" s="11">
        <v>0</v>
      </c>
      <c r="X7" s="11">
        <v>0</v>
      </c>
      <c r="Y7" s="11">
        <v>0</v>
      </c>
      <c r="Z7" s="11">
        <v>2</v>
      </c>
      <c r="AA7" s="11">
        <v>3</v>
      </c>
      <c r="AB7" s="11">
        <v>33</v>
      </c>
      <c r="AC7" s="11">
        <v>0</v>
      </c>
      <c r="AD7" s="11">
        <v>0</v>
      </c>
      <c r="AE7" s="11">
        <v>0</v>
      </c>
      <c r="AF7" s="11">
        <v>0</v>
      </c>
      <c r="AG7" s="11">
        <v>391</v>
      </c>
      <c r="AH7" s="11">
        <v>424</v>
      </c>
      <c r="AI7" s="11">
        <v>76</v>
      </c>
      <c r="AJ7" s="11">
        <v>206879</v>
      </c>
      <c r="AK7" s="11">
        <v>6</v>
      </c>
      <c r="AL7" s="11">
        <v>79340</v>
      </c>
      <c r="AM7" s="11">
        <v>0</v>
      </c>
      <c r="AN7" s="11">
        <v>5.0000000000000001E-3</v>
      </c>
      <c r="AO7" s="11">
        <v>212470</v>
      </c>
      <c r="AP7" s="11">
        <v>0.8</v>
      </c>
      <c r="AQ7" s="11">
        <v>0</v>
      </c>
      <c r="AR7" s="11">
        <v>319</v>
      </c>
      <c r="AS7" s="11">
        <v>962</v>
      </c>
      <c r="AT7" s="11">
        <v>7502.74</v>
      </c>
      <c r="AU7" s="11">
        <v>2</v>
      </c>
      <c r="AV7" s="11">
        <v>88</v>
      </c>
      <c r="AW7" s="11">
        <v>74</v>
      </c>
      <c r="AX7" s="11">
        <v>11</v>
      </c>
      <c r="AY7" s="11">
        <v>1</v>
      </c>
    </row>
    <row r="8" spans="1:52">
      <c r="A8" s="11" t="s">
        <v>118</v>
      </c>
      <c r="B8" s="149" t="s">
        <v>362</v>
      </c>
      <c r="C8" s="11" t="s">
        <v>45</v>
      </c>
      <c r="D8" s="11" t="s">
        <v>419</v>
      </c>
      <c r="E8" s="11" t="s">
        <v>464</v>
      </c>
      <c r="F8" s="184">
        <v>42660</v>
      </c>
      <c r="G8" s="11" t="s">
        <v>118</v>
      </c>
      <c r="H8" s="11">
        <v>0</v>
      </c>
      <c r="I8" s="11">
        <v>10149999</v>
      </c>
      <c r="J8" s="11">
        <v>9478026.9199999999</v>
      </c>
      <c r="K8" s="11">
        <v>0</v>
      </c>
      <c r="L8" s="6">
        <f t="shared" si="0"/>
        <v>9478026.9199999999</v>
      </c>
      <c r="M8" s="11">
        <v>54</v>
      </c>
      <c r="N8" s="11">
        <v>47</v>
      </c>
      <c r="O8" s="11">
        <v>4</v>
      </c>
      <c r="P8" s="11">
        <v>58</v>
      </c>
      <c r="Q8" s="11">
        <v>11</v>
      </c>
      <c r="R8" s="11">
        <v>9242405.3399999999</v>
      </c>
      <c r="S8" s="11">
        <v>235621.58</v>
      </c>
      <c r="T8" s="11">
        <v>34</v>
      </c>
      <c r="U8" s="11">
        <v>4</v>
      </c>
      <c r="V8" s="11">
        <v>38</v>
      </c>
      <c r="W8" s="11">
        <v>0</v>
      </c>
      <c r="X8" s="11">
        <v>0</v>
      </c>
      <c r="Y8" s="11">
        <v>0</v>
      </c>
      <c r="Z8" s="11">
        <v>6</v>
      </c>
      <c r="AA8" s="11">
        <v>3</v>
      </c>
      <c r="AB8" s="11">
        <v>66</v>
      </c>
      <c r="AC8" s="11">
        <v>0</v>
      </c>
      <c r="AD8" s="11">
        <v>0</v>
      </c>
      <c r="AE8" s="11">
        <v>0</v>
      </c>
      <c r="AF8" s="11">
        <v>0</v>
      </c>
      <c r="AG8" s="11">
        <v>214</v>
      </c>
      <c r="AH8" s="11">
        <v>280</v>
      </c>
      <c r="AI8" s="11">
        <v>74</v>
      </c>
      <c r="AJ8" s="11">
        <v>128081</v>
      </c>
      <c r="AK8" s="11">
        <v>4</v>
      </c>
      <c r="AL8" s="11">
        <v>48608</v>
      </c>
      <c r="AM8" s="11">
        <v>0</v>
      </c>
      <c r="AN8" s="11">
        <v>5.1000000000000004E-3</v>
      </c>
      <c r="AO8" s="11">
        <v>249422</v>
      </c>
      <c r="AP8" s="11">
        <v>0.93</v>
      </c>
      <c r="AQ8" s="11">
        <v>0</v>
      </c>
      <c r="AR8" s="11">
        <v>120</v>
      </c>
      <c r="AS8" s="11">
        <v>814</v>
      </c>
      <c r="AT8" s="11">
        <v>5200.2700000000004</v>
      </c>
      <c r="AU8" s="11">
        <v>4</v>
      </c>
      <c r="AV8" s="11">
        <v>111</v>
      </c>
      <c r="AW8" s="11">
        <v>38</v>
      </c>
      <c r="AX8" s="11">
        <v>12</v>
      </c>
      <c r="AY8" s="11">
        <v>8</v>
      </c>
    </row>
    <row r="9" spans="1:52">
      <c r="A9" s="11" t="s">
        <v>118</v>
      </c>
      <c r="B9" s="149" t="s">
        <v>362</v>
      </c>
      <c r="C9" s="11" t="s">
        <v>51</v>
      </c>
      <c r="D9" s="11" t="s">
        <v>419</v>
      </c>
      <c r="E9" s="11" t="s">
        <v>439</v>
      </c>
      <c r="F9" s="185">
        <v>42826</v>
      </c>
      <c r="G9" s="11" t="s">
        <v>118</v>
      </c>
      <c r="H9" s="11">
        <v>0</v>
      </c>
      <c r="I9" s="11">
        <v>11400000</v>
      </c>
      <c r="J9" s="11">
        <v>10509160.199999999</v>
      </c>
      <c r="K9" s="11">
        <v>0</v>
      </c>
      <c r="L9" s="6">
        <f t="shared" si="0"/>
        <v>10509160.199999999</v>
      </c>
      <c r="M9" s="11">
        <v>131</v>
      </c>
      <c r="N9" s="11">
        <v>67</v>
      </c>
      <c r="O9" s="11">
        <v>1</v>
      </c>
      <c r="P9" s="11">
        <v>132</v>
      </c>
      <c r="Q9" s="11">
        <v>65</v>
      </c>
      <c r="R9" s="11">
        <v>10509160.199999999</v>
      </c>
      <c r="S9" s="11">
        <v>0</v>
      </c>
      <c r="T9" s="11">
        <v>14</v>
      </c>
      <c r="U9" s="11">
        <v>0</v>
      </c>
      <c r="V9" s="11">
        <v>14</v>
      </c>
      <c r="W9" s="11">
        <v>0</v>
      </c>
      <c r="X9" s="11">
        <v>8</v>
      </c>
      <c r="Y9" s="11">
        <v>10</v>
      </c>
      <c r="Z9" s="11">
        <v>33</v>
      </c>
      <c r="AA9" s="11">
        <v>2</v>
      </c>
      <c r="AB9" s="11">
        <v>25</v>
      </c>
      <c r="AC9" s="11">
        <v>0</v>
      </c>
      <c r="AD9" s="11">
        <v>0</v>
      </c>
      <c r="AE9" s="11">
        <v>0</v>
      </c>
      <c r="AF9" s="11">
        <v>0</v>
      </c>
      <c r="AG9" s="11">
        <v>213</v>
      </c>
      <c r="AH9" s="11">
        <v>248</v>
      </c>
      <c r="AI9" s="11">
        <v>75</v>
      </c>
      <c r="AJ9" s="11">
        <v>140122</v>
      </c>
      <c r="AK9" s="11">
        <v>3</v>
      </c>
      <c r="AL9" s="11">
        <v>63250</v>
      </c>
      <c r="AM9" s="11">
        <v>0</v>
      </c>
      <c r="AN9" s="11">
        <v>6.0000000000000001E-3</v>
      </c>
      <c r="AO9" s="11">
        <v>750654</v>
      </c>
      <c r="AP9" s="11">
        <v>0.92</v>
      </c>
      <c r="AQ9" s="11">
        <v>0</v>
      </c>
      <c r="AR9" s="11">
        <v>42</v>
      </c>
      <c r="AS9" s="11">
        <v>953</v>
      </c>
      <c r="AT9" s="11">
        <v>4137.12</v>
      </c>
      <c r="AU9" s="11">
        <v>0</v>
      </c>
      <c r="AV9" s="11">
        <v>62</v>
      </c>
      <c r="AW9" s="11">
        <v>14</v>
      </c>
      <c r="AX9" s="11">
        <v>53</v>
      </c>
      <c r="AY9" s="11">
        <v>65</v>
      </c>
    </row>
    <row r="10" spans="1:52">
      <c r="A10" s="11" t="s">
        <v>118</v>
      </c>
      <c r="B10" s="149" t="s">
        <v>362</v>
      </c>
      <c r="C10" s="11" t="s">
        <v>67</v>
      </c>
      <c r="D10" s="11" t="s">
        <v>419</v>
      </c>
      <c r="E10" s="11" t="s">
        <v>485</v>
      </c>
      <c r="F10" s="185">
        <v>43009</v>
      </c>
      <c r="G10" s="11" t="s">
        <v>118</v>
      </c>
      <c r="H10" s="11">
        <v>0</v>
      </c>
      <c r="I10" s="11">
        <v>0</v>
      </c>
      <c r="J10" s="11">
        <v>0</v>
      </c>
      <c r="K10" s="11">
        <v>0</v>
      </c>
      <c r="L10" s="6">
        <f t="shared" si="0"/>
        <v>0</v>
      </c>
      <c r="M10" s="11">
        <v>203</v>
      </c>
      <c r="N10" s="11">
        <v>105</v>
      </c>
      <c r="O10" s="11">
        <v>8</v>
      </c>
      <c r="P10" s="11">
        <v>211</v>
      </c>
      <c r="Q10" s="11">
        <v>106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10</v>
      </c>
      <c r="Y10" s="11">
        <v>10</v>
      </c>
      <c r="Z10" s="11">
        <v>30</v>
      </c>
      <c r="AA10" s="11">
        <v>3</v>
      </c>
      <c r="AB10" s="11">
        <v>42</v>
      </c>
      <c r="AC10" s="11">
        <v>0</v>
      </c>
      <c r="AD10" s="11">
        <v>0</v>
      </c>
      <c r="AE10" s="11">
        <v>0</v>
      </c>
      <c r="AF10" s="11">
        <v>0</v>
      </c>
      <c r="AG10" s="11">
        <v>225</v>
      </c>
      <c r="AH10" s="11">
        <v>277</v>
      </c>
      <c r="AI10" s="11">
        <v>77</v>
      </c>
      <c r="AJ10" s="11">
        <v>0</v>
      </c>
      <c r="AK10" s="11">
        <v>4</v>
      </c>
      <c r="AL10" s="11">
        <v>54455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795</v>
      </c>
      <c r="AT10" s="11">
        <v>6250.77</v>
      </c>
      <c r="AU10" s="11">
        <v>0</v>
      </c>
      <c r="AV10" s="11">
        <v>60</v>
      </c>
      <c r="AW10" s="11">
        <v>0</v>
      </c>
      <c r="AX10" s="11">
        <v>105</v>
      </c>
      <c r="AY10" s="11">
        <v>106</v>
      </c>
    </row>
    <row r="11" spans="1:52">
      <c r="A11" s="11" t="s">
        <v>118</v>
      </c>
      <c r="B11" s="149" t="s">
        <v>362</v>
      </c>
      <c r="C11" s="11" t="s">
        <v>81</v>
      </c>
      <c r="D11" s="11" t="s">
        <v>419</v>
      </c>
      <c r="E11" s="11" t="s">
        <v>439</v>
      </c>
      <c r="F11" s="184">
        <v>43119</v>
      </c>
      <c r="G11" s="11" t="s">
        <v>118</v>
      </c>
      <c r="H11" s="11">
        <v>0</v>
      </c>
      <c r="I11" s="11">
        <v>11499999</v>
      </c>
      <c r="J11" s="11">
        <v>9616934.9800000004</v>
      </c>
      <c r="K11" s="11">
        <v>0</v>
      </c>
      <c r="L11" s="6">
        <f t="shared" si="0"/>
        <v>9616934.9800000004</v>
      </c>
      <c r="M11" s="11">
        <v>58</v>
      </c>
      <c r="N11" s="11">
        <v>24</v>
      </c>
      <c r="O11" s="11">
        <v>2</v>
      </c>
      <c r="P11" s="11">
        <v>60</v>
      </c>
      <c r="Q11" s="11">
        <v>36</v>
      </c>
      <c r="R11" s="11">
        <v>9337886.9800000004</v>
      </c>
      <c r="S11" s="11">
        <v>279048</v>
      </c>
      <c r="T11" s="11">
        <v>6</v>
      </c>
      <c r="U11" s="11">
        <v>1</v>
      </c>
      <c r="V11" s="11">
        <v>7</v>
      </c>
      <c r="W11" s="11">
        <v>0</v>
      </c>
      <c r="X11" s="11">
        <v>5</v>
      </c>
      <c r="Y11" s="11">
        <v>5</v>
      </c>
      <c r="Z11" s="11">
        <v>71</v>
      </c>
      <c r="AA11" s="11">
        <v>2</v>
      </c>
      <c r="AB11" s="11">
        <v>4</v>
      </c>
      <c r="AC11" s="11">
        <v>0</v>
      </c>
      <c r="AD11" s="11">
        <v>0</v>
      </c>
      <c r="AE11" s="11">
        <v>0</v>
      </c>
      <c r="AF11" s="11">
        <v>0</v>
      </c>
      <c r="AG11" s="11">
        <v>109</v>
      </c>
      <c r="AH11" s="11">
        <v>118</v>
      </c>
      <c r="AI11" s="11">
        <v>69</v>
      </c>
      <c r="AJ11" s="11">
        <v>139376</v>
      </c>
      <c r="AK11" s="11">
        <v>2</v>
      </c>
      <c r="AL11" s="11">
        <v>56700</v>
      </c>
      <c r="AM11" s="11">
        <v>0</v>
      </c>
      <c r="AN11" s="11">
        <v>5.8999999999999999E-3</v>
      </c>
      <c r="AO11" s="11">
        <v>1373848</v>
      </c>
      <c r="AP11" s="11">
        <v>0.84</v>
      </c>
      <c r="AQ11" s="11">
        <v>0</v>
      </c>
      <c r="AR11" s="11">
        <v>12</v>
      </c>
      <c r="AS11" s="11">
        <v>552</v>
      </c>
      <c r="AT11" s="11">
        <v>2117.88</v>
      </c>
      <c r="AU11" s="11">
        <v>1</v>
      </c>
      <c r="AV11" s="11">
        <v>88</v>
      </c>
      <c r="AW11" s="11">
        <v>7</v>
      </c>
      <c r="AX11" s="11">
        <v>17</v>
      </c>
      <c r="AY11" s="11">
        <v>36</v>
      </c>
    </row>
    <row r="12" spans="1:52">
      <c r="A12" s="11" t="s">
        <v>118</v>
      </c>
      <c r="B12" s="149" t="s">
        <v>362</v>
      </c>
      <c r="C12" s="11" t="s">
        <v>85</v>
      </c>
      <c r="D12" s="11" t="s">
        <v>419</v>
      </c>
      <c r="E12" s="11" t="s">
        <v>420</v>
      </c>
      <c r="F12" s="184">
        <v>39859</v>
      </c>
      <c r="G12" s="11" t="s">
        <v>118</v>
      </c>
      <c r="H12" s="11">
        <v>0</v>
      </c>
      <c r="I12" s="11">
        <v>15150000</v>
      </c>
      <c r="J12" s="11">
        <v>9014759.8900000006</v>
      </c>
      <c r="K12" s="11">
        <v>0</v>
      </c>
      <c r="L12" s="6">
        <f t="shared" si="0"/>
        <v>9014759.8900000006</v>
      </c>
      <c r="M12" s="11">
        <v>111</v>
      </c>
      <c r="N12" s="11">
        <v>79</v>
      </c>
      <c r="O12" s="11">
        <v>5</v>
      </c>
      <c r="P12" s="11">
        <v>116</v>
      </c>
      <c r="Q12" s="11">
        <v>37</v>
      </c>
      <c r="R12" s="11">
        <v>7747387.7000000002</v>
      </c>
      <c r="S12" s="11">
        <v>1267372.19</v>
      </c>
      <c r="T12" s="11">
        <v>58</v>
      </c>
      <c r="U12" s="11">
        <v>4</v>
      </c>
      <c r="V12" s="11">
        <v>62</v>
      </c>
      <c r="W12" s="11">
        <v>0</v>
      </c>
      <c r="X12" s="11">
        <v>4</v>
      </c>
      <c r="Y12" s="11">
        <v>4</v>
      </c>
      <c r="Z12" s="11">
        <v>80</v>
      </c>
      <c r="AA12" s="11">
        <v>7</v>
      </c>
      <c r="AB12" s="11">
        <v>30</v>
      </c>
      <c r="AC12" s="11">
        <v>0</v>
      </c>
      <c r="AD12" s="11">
        <v>0</v>
      </c>
      <c r="AE12" s="11">
        <v>1</v>
      </c>
      <c r="AF12" s="11">
        <v>1</v>
      </c>
      <c r="AG12" s="11">
        <v>270</v>
      </c>
      <c r="AH12" s="11">
        <v>305</v>
      </c>
      <c r="AI12" s="11">
        <v>73</v>
      </c>
      <c r="AJ12" s="11">
        <v>123490</v>
      </c>
      <c r="AK12" s="11">
        <v>4</v>
      </c>
      <c r="AL12" s="11">
        <v>60500</v>
      </c>
      <c r="AM12" s="11">
        <v>0</v>
      </c>
      <c r="AN12" s="11">
        <v>6.7000000000000002E-3</v>
      </c>
      <c r="AO12" s="11">
        <v>145399</v>
      </c>
      <c r="AP12" s="11">
        <v>0.6</v>
      </c>
      <c r="AQ12" s="11">
        <v>0</v>
      </c>
      <c r="AR12" s="11">
        <v>127</v>
      </c>
      <c r="AS12" s="11">
        <v>745</v>
      </c>
      <c r="AT12" s="11">
        <v>5400.34</v>
      </c>
      <c r="AU12" s="11">
        <v>4</v>
      </c>
      <c r="AV12" s="11">
        <v>68</v>
      </c>
      <c r="AW12" s="11">
        <v>62</v>
      </c>
      <c r="AX12" s="11">
        <v>33</v>
      </c>
      <c r="AY12" s="11">
        <v>21</v>
      </c>
    </row>
    <row r="13" spans="1:52">
      <c r="A13" s="11" t="s">
        <v>118</v>
      </c>
      <c r="B13" s="149" t="s">
        <v>362</v>
      </c>
      <c r="C13" s="11" t="s">
        <v>91</v>
      </c>
      <c r="D13" s="11" t="s">
        <v>419</v>
      </c>
      <c r="E13" s="11" t="s">
        <v>439</v>
      </c>
      <c r="F13" s="185">
        <v>41159</v>
      </c>
      <c r="G13" s="11" t="s">
        <v>118</v>
      </c>
      <c r="H13" s="11">
        <v>0</v>
      </c>
      <c r="I13" s="11">
        <v>20499999</v>
      </c>
      <c r="J13" s="11">
        <v>13661114.529999999</v>
      </c>
      <c r="K13" s="11">
        <v>0</v>
      </c>
      <c r="L13" s="6">
        <f t="shared" si="0"/>
        <v>13661114.529999999</v>
      </c>
      <c r="M13" s="11">
        <v>148</v>
      </c>
      <c r="N13" s="11">
        <v>115</v>
      </c>
      <c r="O13" s="11">
        <v>2</v>
      </c>
      <c r="P13" s="11">
        <v>150</v>
      </c>
      <c r="Q13" s="11">
        <v>35</v>
      </c>
      <c r="R13" s="11">
        <v>13195589.640000001</v>
      </c>
      <c r="S13" s="11">
        <v>465524.89</v>
      </c>
      <c r="T13" s="11">
        <v>56</v>
      </c>
      <c r="U13" s="11">
        <v>2</v>
      </c>
      <c r="V13" s="11">
        <v>58</v>
      </c>
      <c r="W13" s="11">
        <v>0</v>
      </c>
      <c r="X13" s="11">
        <v>20</v>
      </c>
      <c r="Y13" s="11">
        <v>26</v>
      </c>
      <c r="Z13" s="11">
        <v>39</v>
      </c>
      <c r="AA13" s="11">
        <v>2</v>
      </c>
      <c r="AB13" s="11">
        <v>8</v>
      </c>
      <c r="AC13" s="11">
        <v>0</v>
      </c>
      <c r="AD13" s="11">
        <v>0</v>
      </c>
      <c r="AE13" s="11">
        <v>0</v>
      </c>
      <c r="AF13" s="11">
        <v>0</v>
      </c>
      <c r="AG13" s="11">
        <v>370</v>
      </c>
      <c r="AH13" s="11">
        <v>404</v>
      </c>
      <c r="AI13" s="11">
        <v>73</v>
      </c>
      <c r="AJ13" s="11">
        <v>187139</v>
      </c>
      <c r="AK13" s="11">
        <v>6</v>
      </c>
      <c r="AL13" s="11">
        <v>78125</v>
      </c>
      <c r="AM13" s="11">
        <v>0</v>
      </c>
      <c r="AN13" s="11">
        <v>5.7000000000000002E-3</v>
      </c>
      <c r="AO13" s="11">
        <v>235536</v>
      </c>
      <c r="AP13" s="11">
        <v>0.67</v>
      </c>
      <c r="AQ13" s="11">
        <v>0</v>
      </c>
      <c r="AR13" s="11">
        <v>139</v>
      </c>
      <c r="AS13" s="11">
        <v>827</v>
      </c>
      <c r="AT13" s="11">
        <v>3277.19</v>
      </c>
      <c r="AU13" s="11">
        <v>2</v>
      </c>
      <c r="AV13" s="11">
        <v>28</v>
      </c>
      <c r="AW13" s="11">
        <v>58</v>
      </c>
      <c r="AX13" s="11">
        <v>57</v>
      </c>
      <c r="AY13" s="11">
        <v>35</v>
      </c>
    </row>
    <row r="14" spans="1:52">
      <c r="A14" s="11" t="s">
        <v>118</v>
      </c>
      <c r="B14" s="149" t="s">
        <v>362</v>
      </c>
      <c r="C14" s="11" t="s">
        <v>92</v>
      </c>
      <c r="D14" s="11" t="s">
        <v>419</v>
      </c>
      <c r="E14" s="11" t="s">
        <v>420</v>
      </c>
      <c r="F14" s="186">
        <v>41400</v>
      </c>
      <c r="G14" s="11" t="s">
        <v>118</v>
      </c>
      <c r="H14" s="11">
        <v>0</v>
      </c>
      <c r="I14" s="11">
        <v>25500000</v>
      </c>
      <c r="J14" s="11">
        <v>12207822.57</v>
      </c>
      <c r="K14" s="11">
        <v>0</v>
      </c>
      <c r="L14" s="6">
        <f t="shared" si="0"/>
        <v>12207822.57</v>
      </c>
      <c r="M14" s="11">
        <v>54</v>
      </c>
      <c r="N14" s="11">
        <v>48</v>
      </c>
      <c r="O14" s="11">
        <v>3</v>
      </c>
      <c r="P14" s="11">
        <v>57</v>
      </c>
      <c r="Q14" s="11">
        <v>9</v>
      </c>
      <c r="R14" s="11">
        <v>12181463.57</v>
      </c>
      <c r="S14" s="11">
        <v>26359</v>
      </c>
      <c r="T14" s="11">
        <v>35</v>
      </c>
      <c r="U14" s="11">
        <v>1</v>
      </c>
      <c r="V14" s="11">
        <v>36</v>
      </c>
      <c r="W14" s="11">
        <v>0</v>
      </c>
      <c r="X14" s="11">
        <v>1</v>
      </c>
      <c r="Y14" s="11">
        <v>1</v>
      </c>
      <c r="Z14" s="11">
        <v>17</v>
      </c>
      <c r="AA14" s="11">
        <v>2</v>
      </c>
      <c r="AB14" s="11">
        <v>39</v>
      </c>
      <c r="AC14" s="11">
        <v>0</v>
      </c>
      <c r="AD14" s="11">
        <v>0</v>
      </c>
      <c r="AE14" s="11">
        <v>0</v>
      </c>
      <c r="AF14" s="11">
        <v>0</v>
      </c>
      <c r="AG14" s="11">
        <v>373</v>
      </c>
      <c r="AH14" s="11">
        <v>413</v>
      </c>
      <c r="AI14" s="11">
        <v>57</v>
      </c>
      <c r="AJ14" s="11">
        <v>214172</v>
      </c>
      <c r="AK14" s="11">
        <v>7</v>
      </c>
      <c r="AL14" s="11">
        <v>83075</v>
      </c>
      <c r="AM14" s="11">
        <v>0</v>
      </c>
      <c r="AN14" s="11">
        <v>6.7999999999999996E-3</v>
      </c>
      <c r="AO14" s="11">
        <v>339106</v>
      </c>
      <c r="AP14" s="11">
        <v>0.48</v>
      </c>
      <c r="AQ14" s="11">
        <v>0</v>
      </c>
      <c r="AR14" s="11">
        <v>227</v>
      </c>
      <c r="AS14" s="11">
        <v>555</v>
      </c>
      <c r="AT14" s="11">
        <v>796.99</v>
      </c>
      <c r="AU14" s="11">
        <v>1</v>
      </c>
      <c r="AV14" s="11">
        <v>17</v>
      </c>
      <c r="AW14" s="11">
        <v>36</v>
      </c>
      <c r="AX14" s="11">
        <v>16</v>
      </c>
      <c r="AY14" s="11">
        <v>5</v>
      </c>
    </row>
    <row r="15" spans="1:52">
      <c r="A15" s="11" t="s">
        <v>118</v>
      </c>
      <c r="B15" s="149" t="s">
        <v>372</v>
      </c>
      <c r="C15" s="11" t="s">
        <v>93</v>
      </c>
      <c r="D15" s="11" t="s">
        <v>447</v>
      </c>
      <c r="E15" s="11" t="s">
        <v>448</v>
      </c>
      <c r="F15" s="184">
        <v>41719</v>
      </c>
      <c r="G15" s="11" t="s">
        <v>118</v>
      </c>
      <c r="H15" s="11">
        <v>0</v>
      </c>
      <c r="I15" s="11">
        <v>0</v>
      </c>
      <c r="J15" s="11">
        <v>0</v>
      </c>
      <c r="K15" s="11">
        <v>0</v>
      </c>
      <c r="L15" s="6">
        <f t="shared" si="0"/>
        <v>0</v>
      </c>
      <c r="M15" s="11">
        <v>168</v>
      </c>
      <c r="N15" s="11">
        <v>35</v>
      </c>
      <c r="O15" s="11">
        <v>3</v>
      </c>
      <c r="P15" s="11">
        <v>171</v>
      </c>
      <c r="Q15" s="11">
        <v>136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25</v>
      </c>
      <c r="Y15" s="11">
        <v>29</v>
      </c>
      <c r="Z15" s="11">
        <v>253</v>
      </c>
      <c r="AA15" s="11">
        <v>14</v>
      </c>
      <c r="AB15" s="11">
        <v>72</v>
      </c>
      <c r="AC15" s="11">
        <v>4</v>
      </c>
      <c r="AD15" s="11">
        <v>11</v>
      </c>
      <c r="AE15" s="11">
        <v>6</v>
      </c>
      <c r="AF15" s="11">
        <v>8</v>
      </c>
      <c r="AG15" s="11">
        <v>48</v>
      </c>
      <c r="AH15" s="11">
        <v>168</v>
      </c>
      <c r="AI15" s="11">
        <v>75</v>
      </c>
      <c r="AJ15" s="11">
        <v>0</v>
      </c>
      <c r="AK15" s="11">
        <v>2</v>
      </c>
      <c r="AL15" s="11">
        <v>88170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743</v>
      </c>
      <c r="AT15" s="11">
        <v>4202.8100000000004</v>
      </c>
      <c r="AU15" s="11">
        <v>0</v>
      </c>
      <c r="AV15" s="11">
        <v>120</v>
      </c>
      <c r="AW15" s="11">
        <v>0</v>
      </c>
      <c r="AX15" s="11">
        <v>35</v>
      </c>
      <c r="AY15" s="11">
        <v>136</v>
      </c>
    </row>
    <row r="16" spans="1:52">
      <c r="A16" s="11" t="s">
        <v>118</v>
      </c>
      <c r="B16" s="149" t="s">
        <v>375</v>
      </c>
      <c r="C16" s="11" t="s">
        <v>95</v>
      </c>
      <c r="D16" s="11" t="s">
        <v>473</v>
      </c>
      <c r="E16" s="11" t="s">
        <v>474</v>
      </c>
      <c r="F16" s="185">
        <v>42769</v>
      </c>
      <c r="G16" s="11" t="s">
        <v>119</v>
      </c>
      <c r="H16" s="11">
        <v>0</v>
      </c>
      <c r="I16" s="11">
        <v>4200000</v>
      </c>
      <c r="J16" s="11">
        <v>1732625.94</v>
      </c>
      <c r="K16" s="11">
        <v>0</v>
      </c>
      <c r="L16" s="6">
        <f t="shared" si="0"/>
        <v>1732625.94</v>
      </c>
      <c r="M16" s="11">
        <v>45</v>
      </c>
      <c r="N16" s="11">
        <v>45</v>
      </c>
      <c r="O16" s="11">
        <v>0</v>
      </c>
      <c r="P16" s="11">
        <v>45</v>
      </c>
      <c r="Q16" s="11">
        <v>0</v>
      </c>
      <c r="R16" s="11">
        <v>1732625.94</v>
      </c>
      <c r="S16" s="11">
        <v>0</v>
      </c>
      <c r="T16" s="11">
        <v>25</v>
      </c>
      <c r="U16" s="11">
        <v>0</v>
      </c>
      <c r="V16" s="11">
        <v>25</v>
      </c>
      <c r="W16" s="11">
        <v>0</v>
      </c>
      <c r="X16" s="11">
        <v>10</v>
      </c>
      <c r="Y16" s="11">
        <v>16</v>
      </c>
      <c r="Z16" s="11">
        <v>68</v>
      </c>
      <c r="AA16" s="11">
        <v>1</v>
      </c>
      <c r="AB16" s="11">
        <v>7</v>
      </c>
      <c r="AC16" s="11">
        <v>0</v>
      </c>
      <c r="AD16" s="11">
        <v>0</v>
      </c>
      <c r="AE16" s="11">
        <v>0</v>
      </c>
      <c r="AF16" s="11">
        <v>0</v>
      </c>
      <c r="AG16" s="11">
        <v>345</v>
      </c>
      <c r="AH16" s="11">
        <v>368</v>
      </c>
      <c r="AI16" s="11">
        <v>77</v>
      </c>
      <c r="AJ16" s="11">
        <v>22502</v>
      </c>
      <c r="AK16" s="11">
        <v>5</v>
      </c>
      <c r="AL16" s="11">
        <v>28672</v>
      </c>
      <c r="AM16" s="11">
        <v>0</v>
      </c>
      <c r="AN16" s="11">
        <v>1.6500000000000001E-2</v>
      </c>
      <c r="AO16" s="11">
        <v>69305</v>
      </c>
      <c r="AP16" s="11">
        <v>0.41</v>
      </c>
      <c r="AQ16" s="11">
        <v>0</v>
      </c>
      <c r="AR16" s="11">
        <v>55</v>
      </c>
      <c r="AS16" s="11">
        <v>863</v>
      </c>
      <c r="AT16" s="11">
        <v>6531.27</v>
      </c>
      <c r="AU16" s="11">
        <v>0</v>
      </c>
      <c r="AV16" s="11">
        <v>145</v>
      </c>
      <c r="AW16" s="11">
        <v>25</v>
      </c>
      <c r="AX16" s="11">
        <v>20</v>
      </c>
      <c r="AY16" s="11">
        <v>0</v>
      </c>
    </row>
    <row r="17" spans="1:51">
      <c r="A17" s="11" t="s">
        <v>118</v>
      </c>
      <c r="B17" s="149" t="s">
        <v>649</v>
      </c>
      <c r="C17" s="11" t="s">
        <v>96</v>
      </c>
      <c r="D17" s="11" t="s">
        <v>486</v>
      </c>
      <c r="E17" s="11" t="s">
        <v>487</v>
      </c>
      <c r="F17" s="184">
        <v>43185</v>
      </c>
      <c r="G17" s="11" t="s">
        <v>119</v>
      </c>
      <c r="H17" s="11">
        <v>833334</v>
      </c>
      <c r="I17" s="11">
        <v>2800000</v>
      </c>
      <c r="J17" s="11">
        <v>1165633.3400000001</v>
      </c>
      <c r="K17" s="11">
        <v>0</v>
      </c>
      <c r="L17" s="6">
        <f t="shared" si="0"/>
        <v>1165633.3400000001</v>
      </c>
      <c r="M17" s="11">
        <v>109</v>
      </c>
      <c r="N17" s="11">
        <v>95</v>
      </c>
      <c r="O17" s="11">
        <v>2</v>
      </c>
      <c r="P17" s="11">
        <v>111</v>
      </c>
      <c r="Q17" s="11">
        <v>16</v>
      </c>
      <c r="R17" s="11">
        <v>1087103.44</v>
      </c>
      <c r="S17" s="11">
        <v>78529.899999999994</v>
      </c>
      <c r="T17" s="11">
        <v>31</v>
      </c>
      <c r="U17" s="11">
        <v>1</v>
      </c>
      <c r="V17" s="11">
        <v>32</v>
      </c>
      <c r="W17" s="11">
        <v>0</v>
      </c>
      <c r="X17" s="11">
        <v>11</v>
      </c>
      <c r="Y17" s="11">
        <v>15</v>
      </c>
      <c r="Z17" s="11">
        <v>93</v>
      </c>
      <c r="AA17" s="11">
        <v>0</v>
      </c>
      <c r="AB17" s="11">
        <v>0</v>
      </c>
      <c r="AC17" s="11">
        <v>1</v>
      </c>
      <c r="AD17" s="11">
        <v>5</v>
      </c>
      <c r="AE17" s="11">
        <v>0</v>
      </c>
      <c r="AF17" s="11">
        <v>0</v>
      </c>
      <c r="AG17" s="11">
        <v>210</v>
      </c>
      <c r="AH17" s="11">
        <v>230</v>
      </c>
      <c r="AI17" s="11">
        <v>41</v>
      </c>
      <c r="AJ17" s="11">
        <v>28430</v>
      </c>
      <c r="AK17" s="11">
        <v>6</v>
      </c>
      <c r="AL17" s="11">
        <v>30085</v>
      </c>
      <c r="AM17" s="11">
        <v>0</v>
      </c>
      <c r="AN17" s="11">
        <v>2.58E-2</v>
      </c>
      <c r="AO17" s="11">
        <v>36426</v>
      </c>
      <c r="AP17" s="11">
        <v>0.42</v>
      </c>
      <c r="AQ17" s="11">
        <v>0</v>
      </c>
      <c r="AR17" s="11">
        <v>39</v>
      </c>
      <c r="AS17" s="11">
        <v>429</v>
      </c>
      <c r="AT17" s="11">
        <v>3235.76</v>
      </c>
      <c r="AU17" s="11">
        <v>1</v>
      </c>
      <c r="AV17" s="11">
        <v>34</v>
      </c>
      <c r="AW17" s="11">
        <v>32</v>
      </c>
      <c r="AX17" s="11">
        <v>65</v>
      </c>
      <c r="AY17" s="11">
        <v>14</v>
      </c>
    </row>
    <row r="18" spans="1:51">
      <c r="A18" s="11" t="s">
        <v>118</v>
      </c>
      <c r="B18" s="149" t="s">
        <v>375</v>
      </c>
      <c r="C18" s="11" t="s">
        <v>97</v>
      </c>
      <c r="D18" s="11" t="s">
        <v>473</v>
      </c>
      <c r="E18" s="11" t="s">
        <v>492</v>
      </c>
      <c r="F18" s="184">
        <v>43424</v>
      </c>
      <c r="G18" s="11" t="s">
        <v>119</v>
      </c>
      <c r="H18" s="11">
        <v>2499999</v>
      </c>
      <c r="I18" s="11">
        <v>6300000</v>
      </c>
      <c r="J18" s="11">
        <v>3108636.09</v>
      </c>
      <c r="K18" s="11">
        <v>178962.17</v>
      </c>
      <c r="L18" s="6">
        <f t="shared" si="0"/>
        <v>3287598.26</v>
      </c>
      <c r="M18" s="11">
        <v>121</v>
      </c>
      <c r="N18" s="11">
        <v>60</v>
      </c>
      <c r="O18" s="11">
        <v>4</v>
      </c>
      <c r="P18" s="11">
        <v>125</v>
      </c>
      <c r="Q18" s="11">
        <v>65</v>
      </c>
      <c r="R18" s="11">
        <v>3011546.34</v>
      </c>
      <c r="S18" s="11">
        <v>97089.75</v>
      </c>
      <c r="T18" s="11">
        <v>59</v>
      </c>
      <c r="U18" s="11">
        <v>4</v>
      </c>
      <c r="V18" s="11">
        <v>63</v>
      </c>
      <c r="W18" s="11">
        <v>2</v>
      </c>
      <c r="X18" s="11">
        <v>1</v>
      </c>
      <c r="Y18" s="11">
        <v>2</v>
      </c>
      <c r="Z18" s="11">
        <v>16</v>
      </c>
      <c r="AA18" s="11">
        <v>4</v>
      </c>
      <c r="AB18" s="11">
        <v>24</v>
      </c>
      <c r="AC18" s="11">
        <v>3</v>
      </c>
      <c r="AD18" s="11">
        <v>17</v>
      </c>
      <c r="AE18" s="11">
        <v>0</v>
      </c>
      <c r="AF18" s="11">
        <v>0</v>
      </c>
      <c r="AG18" s="11">
        <v>264</v>
      </c>
      <c r="AH18" s="11">
        <v>307</v>
      </c>
      <c r="AI18" s="11">
        <v>60</v>
      </c>
      <c r="AJ18" s="11">
        <v>51811</v>
      </c>
      <c r="AK18" s="11">
        <v>5</v>
      </c>
      <c r="AL18" s="11">
        <v>28985</v>
      </c>
      <c r="AM18" s="11">
        <v>0</v>
      </c>
      <c r="AN18" s="11">
        <v>9.2999999999999992E-3</v>
      </c>
      <c r="AO18" s="11">
        <v>49343</v>
      </c>
      <c r="AP18" s="11">
        <v>0.49</v>
      </c>
      <c r="AQ18" s="11">
        <v>7.0000000000000007E-2</v>
      </c>
      <c r="AR18" s="11">
        <v>177</v>
      </c>
      <c r="AS18" s="11">
        <v>514</v>
      </c>
      <c r="AT18" s="11">
        <v>3056.64</v>
      </c>
      <c r="AU18" s="11">
        <v>4</v>
      </c>
      <c r="AV18" s="11">
        <v>51</v>
      </c>
      <c r="AW18" s="11">
        <v>63</v>
      </c>
      <c r="AX18" s="11">
        <v>22</v>
      </c>
      <c r="AY18" s="11">
        <v>40</v>
      </c>
    </row>
    <row r="19" spans="1:51">
      <c r="A19" s="11" t="s">
        <v>124</v>
      </c>
      <c r="B19" s="149" t="s">
        <v>443</v>
      </c>
      <c r="C19" s="11" t="s">
        <v>98</v>
      </c>
      <c r="D19" s="11" t="s">
        <v>479</v>
      </c>
      <c r="E19" s="11" t="s">
        <v>480</v>
      </c>
      <c r="F19" s="184">
        <v>42926</v>
      </c>
      <c r="G19" s="11" t="s">
        <v>124</v>
      </c>
      <c r="H19" s="11">
        <v>0</v>
      </c>
      <c r="I19" s="11">
        <v>6000000</v>
      </c>
      <c r="J19" s="11">
        <v>4982632.5999999996</v>
      </c>
      <c r="K19" s="11">
        <v>0</v>
      </c>
      <c r="L19" s="6">
        <f t="shared" si="0"/>
        <v>4982632.5999999996</v>
      </c>
      <c r="M19" s="11">
        <v>149</v>
      </c>
      <c r="N19" s="11">
        <v>100</v>
      </c>
      <c r="O19" s="11">
        <v>5</v>
      </c>
      <c r="P19" s="11">
        <v>154</v>
      </c>
      <c r="Q19" s="11">
        <v>54</v>
      </c>
      <c r="R19" s="11">
        <v>4738842.84</v>
      </c>
      <c r="S19" s="11">
        <v>243789.76</v>
      </c>
      <c r="T19" s="11">
        <v>65</v>
      </c>
      <c r="U19" s="11">
        <v>5</v>
      </c>
      <c r="V19" s="11">
        <v>70</v>
      </c>
      <c r="W19" s="11">
        <v>0</v>
      </c>
      <c r="X19" s="11">
        <v>9</v>
      </c>
      <c r="Y19" s="11">
        <v>11</v>
      </c>
      <c r="Z19" s="11">
        <v>49</v>
      </c>
      <c r="AA19" s="11">
        <v>1</v>
      </c>
      <c r="AB19" s="11">
        <v>27</v>
      </c>
      <c r="AC19" s="11">
        <v>0</v>
      </c>
      <c r="AD19" s="11">
        <v>0</v>
      </c>
      <c r="AE19" s="11">
        <v>0</v>
      </c>
      <c r="AF19" s="11">
        <v>0</v>
      </c>
      <c r="AG19" s="11">
        <v>219</v>
      </c>
      <c r="AH19" s="11">
        <v>257</v>
      </c>
      <c r="AI19" s="11">
        <v>74</v>
      </c>
      <c r="AJ19" s="11">
        <v>67333</v>
      </c>
      <c r="AK19" s="11">
        <v>3</v>
      </c>
      <c r="AL19" s="11">
        <v>44575</v>
      </c>
      <c r="AM19" s="11">
        <v>0</v>
      </c>
      <c r="AN19" s="11">
        <v>8.8999999999999999E-3</v>
      </c>
      <c r="AO19" s="11">
        <v>71180</v>
      </c>
      <c r="AP19" s="11">
        <v>0.83</v>
      </c>
      <c r="AQ19" s="11">
        <v>0</v>
      </c>
      <c r="AR19" s="11">
        <v>185</v>
      </c>
      <c r="AS19" s="11">
        <v>563</v>
      </c>
      <c r="AT19" s="11">
        <v>5782.84</v>
      </c>
      <c r="AU19" s="11">
        <v>5</v>
      </c>
      <c r="AV19" s="11">
        <v>58</v>
      </c>
      <c r="AW19" s="11">
        <v>70</v>
      </c>
      <c r="AX19" s="11">
        <v>38</v>
      </c>
      <c r="AY19" s="11">
        <v>46</v>
      </c>
    </row>
    <row r="20" spans="1:51">
      <c r="A20" s="11" t="s">
        <v>117</v>
      </c>
      <c r="B20" s="149" t="s">
        <v>450</v>
      </c>
      <c r="C20" s="11" t="s">
        <v>99</v>
      </c>
      <c r="D20" s="11" t="s">
        <v>482</v>
      </c>
      <c r="E20" s="11" t="s">
        <v>483</v>
      </c>
      <c r="F20" s="184">
        <v>42993</v>
      </c>
      <c r="G20" s="11" t="s">
        <v>117</v>
      </c>
      <c r="H20" s="11">
        <v>0</v>
      </c>
      <c r="I20" s="11">
        <v>3750000</v>
      </c>
      <c r="J20" s="11">
        <v>2778423.86</v>
      </c>
      <c r="K20" s="11">
        <v>0</v>
      </c>
      <c r="L20" s="6">
        <f t="shared" si="0"/>
        <v>2778423.86</v>
      </c>
      <c r="M20" s="11">
        <v>134</v>
      </c>
      <c r="N20" s="11">
        <v>89</v>
      </c>
      <c r="O20" s="11">
        <v>3</v>
      </c>
      <c r="P20" s="11">
        <v>137</v>
      </c>
      <c r="Q20" s="11">
        <v>48</v>
      </c>
      <c r="R20" s="11">
        <v>2547002.66</v>
      </c>
      <c r="S20" s="11">
        <v>231421.2</v>
      </c>
      <c r="T20" s="11">
        <v>74</v>
      </c>
      <c r="U20" s="11">
        <v>3</v>
      </c>
      <c r="V20" s="11">
        <v>77</v>
      </c>
      <c r="W20" s="11">
        <v>0</v>
      </c>
      <c r="X20" s="11">
        <v>115</v>
      </c>
      <c r="Y20" s="11">
        <v>131</v>
      </c>
      <c r="Z20" s="11">
        <v>530</v>
      </c>
      <c r="AA20" s="11">
        <v>8</v>
      </c>
      <c r="AB20" s="11">
        <v>92</v>
      </c>
      <c r="AC20" s="11">
        <v>0</v>
      </c>
      <c r="AD20" s="11">
        <v>0</v>
      </c>
      <c r="AE20" s="11">
        <v>0</v>
      </c>
      <c r="AF20" s="11">
        <v>0</v>
      </c>
      <c r="AG20" s="11">
        <v>187</v>
      </c>
      <c r="AH20" s="11">
        <v>410</v>
      </c>
      <c r="AI20" s="11">
        <v>75</v>
      </c>
      <c r="AJ20" s="11">
        <v>37046</v>
      </c>
      <c r="AK20" s="11">
        <v>5</v>
      </c>
      <c r="AL20" s="11">
        <v>51335</v>
      </c>
      <c r="AM20" s="11">
        <v>0</v>
      </c>
      <c r="AN20" s="11">
        <v>1.8499999999999999E-2</v>
      </c>
      <c r="AO20" s="11">
        <v>36083</v>
      </c>
      <c r="AP20" s="11">
        <v>0.74</v>
      </c>
      <c r="AQ20" s="11">
        <v>0</v>
      </c>
      <c r="AR20" s="11">
        <v>171</v>
      </c>
      <c r="AS20" s="11">
        <v>690</v>
      </c>
      <c r="AT20" s="11">
        <v>6502</v>
      </c>
      <c r="AU20" s="11">
        <v>3</v>
      </c>
      <c r="AV20" s="11">
        <v>73</v>
      </c>
      <c r="AW20" s="11">
        <v>77</v>
      </c>
      <c r="AX20" s="11">
        <v>24</v>
      </c>
      <c r="AY20" s="11">
        <v>36</v>
      </c>
    </row>
    <row r="21" spans="1:51">
      <c r="A21" s="11" t="s">
        <v>118</v>
      </c>
      <c r="B21" s="149" t="s">
        <v>362</v>
      </c>
      <c r="C21" s="11" t="s">
        <v>103</v>
      </c>
      <c r="D21" s="11" t="s">
        <v>419</v>
      </c>
      <c r="E21" s="11" t="s">
        <v>490</v>
      </c>
      <c r="F21" s="185">
        <v>43255</v>
      </c>
      <c r="G21" s="11" t="s">
        <v>118</v>
      </c>
      <c r="H21" s="11">
        <v>0</v>
      </c>
      <c r="I21" s="11">
        <v>15999999</v>
      </c>
      <c r="J21" s="11">
        <v>7977209.1799999997</v>
      </c>
      <c r="K21" s="11">
        <v>0</v>
      </c>
      <c r="L21" s="6">
        <f t="shared" si="0"/>
        <v>7977209.1799999997</v>
      </c>
      <c r="M21" s="11">
        <v>145</v>
      </c>
      <c r="N21" s="11">
        <v>109</v>
      </c>
      <c r="O21" s="11">
        <v>3</v>
      </c>
      <c r="P21" s="11">
        <v>148</v>
      </c>
      <c r="Q21" s="11">
        <v>39</v>
      </c>
      <c r="R21" s="11">
        <v>7158759.2800000003</v>
      </c>
      <c r="S21" s="11">
        <v>818449.9</v>
      </c>
      <c r="T21" s="11">
        <v>27</v>
      </c>
      <c r="U21" s="11">
        <v>3</v>
      </c>
      <c r="V21" s="11">
        <v>30</v>
      </c>
      <c r="W21" s="11">
        <v>0</v>
      </c>
      <c r="X21" s="11">
        <v>9</v>
      </c>
      <c r="Y21" s="11">
        <v>13</v>
      </c>
      <c r="Z21" s="11">
        <v>40</v>
      </c>
      <c r="AA21" s="11">
        <v>2</v>
      </c>
      <c r="AB21" s="11">
        <v>11</v>
      </c>
      <c r="AC21" s="11">
        <v>0</v>
      </c>
      <c r="AD21" s="11">
        <v>0</v>
      </c>
      <c r="AE21" s="11">
        <v>0</v>
      </c>
      <c r="AF21" s="11">
        <v>0</v>
      </c>
      <c r="AG21" s="11">
        <v>340</v>
      </c>
      <c r="AH21" s="11">
        <v>364</v>
      </c>
      <c r="AI21" s="11">
        <v>72</v>
      </c>
      <c r="AJ21" s="11">
        <v>110795</v>
      </c>
      <c r="AK21" s="11">
        <v>5</v>
      </c>
      <c r="AL21" s="11">
        <v>46670</v>
      </c>
      <c r="AM21" s="11">
        <v>0</v>
      </c>
      <c r="AN21" s="11">
        <v>5.8999999999999999E-3</v>
      </c>
      <c r="AO21" s="11">
        <v>265907</v>
      </c>
      <c r="AP21" s="11">
        <v>0.5</v>
      </c>
      <c r="AQ21" s="11">
        <v>0</v>
      </c>
      <c r="AR21" s="11">
        <v>79</v>
      </c>
      <c r="AS21" s="11">
        <v>773</v>
      </c>
      <c r="AT21" s="11">
        <v>4526.7700000000004</v>
      </c>
      <c r="AU21" s="11">
        <v>3</v>
      </c>
      <c r="AV21" s="11">
        <v>42</v>
      </c>
      <c r="AW21" s="11">
        <v>30</v>
      </c>
      <c r="AX21" s="11">
        <v>80</v>
      </c>
      <c r="AY21" s="11">
        <v>38</v>
      </c>
    </row>
    <row r="22" spans="1:51">
      <c r="A22" s="11" t="s">
        <v>201</v>
      </c>
      <c r="B22" s="149" t="s">
        <v>431</v>
      </c>
      <c r="C22" s="11" t="s">
        <v>104</v>
      </c>
      <c r="D22" s="11" t="s">
        <v>432</v>
      </c>
      <c r="E22" s="11" t="s">
        <v>433</v>
      </c>
      <c r="F22" s="185">
        <v>41004</v>
      </c>
      <c r="G22" s="11" t="s">
        <v>121</v>
      </c>
      <c r="H22" s="11">
        <v>900000</v>
      </c>
      <c r="I22" s="11">
        <v>11600001</v>
      </c>
      <c r="J22" s="11">
        <v>7827982.6299999999</v>
      </c>
      <c r="K22" s="11">
        <v>917049.82</v>
      </c>
      <c r="L22" s="6">
        <f t="shared" si="0"/>
        <v>8745032.4499999993</v>
      </c>
      <c r="M22" s="11">
        <v>61</v>
      </c>
      <c r="N22" s="11">
        <v>54</v>
      </c>
      <c r="O22" s="11">
        <v>5</v>
      </c>
      <c r="P22" s="11">
        <v>66</v>
      </c>
      <c r="Q22" s="11">
        <v>12</v>
      </c>
      <c r="R22" s="11">
        <v>7345952.5800000001</v>
      </c>
      <c r="S22" s="11">
        <v>482030.05</v>
      </c>
      <c r="T22" s="11">
        <v>36</v>
      </c>
      <c r="U22" s="11">
        <v>4</v>
      </c>
      <c r="V22" s="11">
        <v>40</v>
      </c>
      <c r="W22" s="11">
        <v>5</v>
      </c>
      <c r="X22" s="11">
        <v>5</v>
      </c>
      <c r="Y22" s="11">
        <v>6</v>
      </c>
      <c r="Z22" s="11">
        <v>24</v>
      </c>
      <c r="AA22" s="11">
        <v>10</v>
      </c>
      <c r="AB22" s="11">
        <v>111</v>
      </c>
      <c r="AC22" s="11">
        <v>5</v>
      </c>
      <c r="AD22" s="11">
        <v>30</v>
      </c>
      <c r="AE22" s="11">
        <v>2</v>
      </c>
      <c r="AF22" s="11">
        <v>4</v>
      </c>
      <c r="AG22" s="11">
        <v>179</v>
      </c>
      <c r="AH22" s="11">
        <v>330</v>
      </c>
      <c r="AI22" s="11">
        <v>70</v>
      </c>
      <c r="AJ22" s="11">
        <v>111828</v>
      </c>
      <c r="AK22" s="11">
        <v>5</v>
      </c>
      <c r="AL22" s="11">
        <v>30096</v>
      </c>
      <c r="AM22" s="11">
        <v>0</v>
      </c>
      <c r="AN22" s="11">
        <v>3.8E-3</v>
      </c>
      <c r="AO22" s="11">
        <v>195700</v>
      </c>
      <c r="AP22" s="11">
        <v>0.67</v>
      </c>
      <c r="AQ22" s="11">
        <v>1.02</v>
      </c>
      <c r="AR22" s="11">
        <v>124</v>
      </c>
      <c r="AS22" s="11">
        <v>566</v>
      </c>
      <c r="AT22" s="11">
        <v>4499.83</v>
      </c>
      <c r="AU22" s="11">
        <v>4</v>
      </c>
      <c r="AV22" s="11">
        <v>83</v>
      </c>
      <c r="AW22" s="11">
        <v>40</v>
      </c>
      <c r="AX22" s="11">
        <v>16</v>
      </c>
      <c r="AY22" s="11">
        <v>10</v>
      </c>
    </row>
    <row r="23" spans="1:51">
      <c r="A23" s="11" t="s">
        <v>201</v>
      </c>
      <c r="B23" s="149" t="s">
        <v>431</v>
      </c>
      <c r="C23" s="11" t="s">
        <v>105</v>
      </c>
      <c r="D23" s="11" t="s">
        <v>431</v>
      </c>
      <c r="E23" s="11" t="s">
        <v>541</v>
      </c>
      <c r="F23" s="185">
        <v>45323</v>
      </c>
      <c r="G23" s="11" t="s">
        <v>121</v>
      </c>
      <c r="H23" s="11">
        <v>1200000</v>
      </c>
      <c r="I23" s="11">
        <v>6300000</v>
      </c>
      <c r="J23" s="11">
        <v>4741820.57</v>
      </c>
      <c r="K23" s="11">
        <v>0</v>
      </c>
      <c r="L23" s="6">
        <f t="shared" si="0"/>
        <v>4741820.57</v>
      </c>
      <c r="M23" s="11">
        <v>122</v>
      </c>
      <c r="N23" s="11">
        <v>103</v>
      </c>
      <c r="O23" s="11">
        <v>5</v>
      </c>
      <c r="P23" s="11">
        <v>127</v>
      </c>
      <c r="Q23" s="11">
        <v>24</v>
      </c>
      <c r="R23" s="11">
        <v>4601337.45</v>
      </c>
      <c r="S23" s="11">
        <v>140483.12</v>
      </c>
      <c r="T23" s="11">
        <v>57</v>
      </c>
      <c r="U23" s="11">
        <v>4</v>
      </c>
      <c r="V23" s="11">
        <v>61</v>
      </c>
      <c r="W23" s="11">
        <v>0</v>
      </c>
      <c r="X23" s="11">
        <v>22</v>
      </c>
      <c r="Y23" s="11">
        <v>25</v>
      </c>
      <c r="Z23" s="11">
        <v>128</v>
      </c>
      <c r="AA23" s="11">
        <v>5</v>
      </c>
      <c r="AB23" s="11">
        <v>64</v>
      </c>
      <c r="AC23" s="11">
        <v>3</v>
      </c>
      <c r="AD23" s="11">
        <v>6</v>
      </c>
      <c r="AE23" s="11">
        <v>0</v>
      </c>
      <c r="AF23" s="11">
        <v>0</v>
      </c>
      <c r="AG23" s="11">
        <v>354</v>
      </c>
      <c r="AH23" s="11">
        <v>449</v>
      </c>
      <c r="AI23" s="11">
        <v>77</v>
      </c>
      <c r="AJ23" s="11">
        <v>61582</v>
      </c>
      <c r="AK23" s="11">
        <v>6</v>
      </c>
      <c r="AL23" s="11">
        <v>30646</v>
      </c>
      <c r="AM23" s="11">
        <v>0</v>
      </c>
      <c r="AN23" s="11">
        <v>6.4999999999999997E-3</v>
      </c>
      <c r="AO23" s="11">
        <v>77735</v>
      </c>
      <c r="AP23" s="11">
        <v>0.75</v>
      </c>
      <c r="AQ23" s="11">
        <v>0</v>
      </c>
      <c r="AR23" s="11">
        <v>93</v>
      </c>
      <c r="AS23" s="11">
        <v>697</v>
      </c>
      <c r="AT23" s="11">
        <v>4610.2299999999996</v>
      </c>
      <c r="AU23" s="11">
        <v>4</v>
      </c>
      <c r="AV23" s="11">
        <v>45</v>
      </c>
      <c r="AW23" s="11">
        <v>61</v>
      </c>
      <c r="AX23" s="11">
        <v>46</v>
      </c>
      <c r="AY23" s="11">
        <v>20</v>
      </c>
    </row>
    <row r="24" spans="1:51">
      <c r="A24" s="11" t="s">
        <v>201</v>
      </c>
      <c r="B24" s="149" t="s">
        <v>431</v>
      </c>
      <c r="C24" s="11" t="s">
        <v>106</v>
      </c>
      <c r="D24" s="11" t="s">
        <v>431</v>
      </c>
      <c r="E24" s="11" t="s">
        <v>459</v>
      </c>
      <c r="F24" s="185">
        <v>42530</v>
      </c>
      <c r="G24" s="11" t="s">
        <v>121</v>
      </c>
      <c r="H24" s="11">
        <v>1500000</v>
      </c>
      <c r="I24" s="11">
        <v>7875000</v>
      </c>
      <c r="J24" s="11">
        <v>5699670.7000000002</v>
      </c>
      <c r="K24" s="11">
        <v>0</v>
      </c>
      <c r="L24" s="6">
        <f t="shared" si="0"/>
        <v>5699670.7000000002</v>
      </c>
      <c r="M24" s="11">
        <v>83</v>
      </c>
      <c r="N24" s="11">
        <v>65</v>
      </c>
      <c r="O24" s="11">
        <v>9</v>
      </c>
      <c r="P24" s="11">
        <v>92</v>
      </c>
      <c r="Q24" s="11">
        <v>27</v>
      </c>
      <c r="R24" s="11">
        <v>5623808.7000000002</v>
      </c>
      <c r="S24" s="11">
        <v>75862</v>
      </c>
      <c r="T24" s="11">
        <v>37</v>
      </c>
      <c r="U24" s="11">
        <v>1</v>
      </c>
      <c r="V24" s="11">
        <v>38</v>
      </c>
      <c r="W24" s="11">
        <v>0</v>
      </c>
      <c r="X24" s="11">
        <v>32</v>
      </c>
      <c r="Y24" s="11">
        <v>36</v>
      </c>
      <c r="Z24" s="11">
        <v>146</v>
      </c>
      <c r="AA24" s="11">
        <v>4</v>
      </c>
      <c r="AB24" s="11">
        <v>38</v>
      </c>
      <c r="AC24" s="11">
        <v>0</v>
      </c>
      <c r="AD24" s="11">
        <v>0</v>
      </c>
      <c r="AE24" s="11">
        <v>0</v>
      </c>
      <c r="AF24" s="11">
        <v>0</v>
      </c>
      <c r="AG24" s="11">
        <v>155</v>
      </c>
      <c r="AH24" s="11">
        <v>229</v>
      </c>
      <c r="AI24" s="11">
        <v>72</v>
      </c>
      <c r="AJ24" s="11">
        <v>79162</v>
      </c>
      <c r="AK24" s="11">
        <v>3</v>
      </c>
      <c r="AL24" s="11">
        <v>33802</v>
      </c>
      <c r="AM24" s="11">
        <v>0</v>
      </c>
      <c r="AN24" s="11">
        <v>5.8999999999999999E-3</v>
      </c>
      <c r="AO24" s="11">
        <v>149991</v>
      </c>
      <c r="AP24" s="11">
        <v>0.72</v>
      </c>
      <c r="AQ24" s="11">
        <v>0</v>
      </c>
      <c r="AR24" s="11">
        <v>66</v>
      </c>
      <c r="AS24" s="11">
        <v>567</v>
      </c>
      <c r="AT24" s="11">
        <v>4157.3999999999996</v>
      </c>
      <c r="AU24" s="11">
        <v>1</v>
      </c>
      <c r="AV24" s="11">
        <v>64</v>
      </c>
      <c r="AW24" s="11">
        <v>38</v>
      </c>
      <c r="AX24" s="11">
        <v>32</v>
      </c>
      <c r="AY24" s="11">
        <v>22</v>
      </c>
    </row>
    <row r="25" spans="1:51">
      <c r="A25" s="11" t="s">
        <v>201</v>
      </c>
      <c r="B25" s="149" t="s">
        <v>469</v>
      </c>
      <c r="C25" s="11" t="s">
        <v>107</v>
      </c>
      <c r="D25" s="11" t="s">
        <v>470</v>
      </c>
      <c r="E25" s="11" t="s">
        <v>471</v>
      </c>
      <c r="F25" s="184">
        <v>42720</v>
      </c>
      <c r="G25" s="11" t="s">
        <v>121</v>
      </c>
      <c r="H25" s="11">
        <v>1257000</v>
      </c>
      <c r="I25" s="11">
        <v>8118000</v>
      </c>
      <c r="J25" s="11">
        <v>6441859.6699999999</v>
      </c>
      <c r="K25" s="11">
        <v>1163080.31</v>
      </c>
      <c r="L25" s="6">
        <f t="shared" si="0"/>
        <v>7604939.9800000004</v>
      </c>
      <c r="M25" s="11">
        <v>68</v>
      </c>
      <c r="N25" s="11">
        <v>58</v>
      </c>
      <c r="O25" s="11">
        <v>11</v>
      </c>
      <c r="P25" s="11">
        <v>79</v>
      </c>
      <c r="Q25" s="11">
        <v>21</v>
      </c>
      <c r="R25" s="11">
        <v>4393851.1399999997</v>
      </c>
      <c r="S25" s="11">
        <v>2048008.53</v>
      </c>
      <c r="T25" s="11">
        <v>34</v>
      </c>
      <c r="U25" s="11">
        <v>11</v>
      </c>
      <c r="V25" s="11">
        <v>45</v>
      </c>
      <c r="W25" s="11">
        <v>4</v>
      </c>
      <c r="X25" s="11">
        <v>32</v>
      </c>
      <c r="Y25" s="11">
        <v>45</v>
      </c>
      <c r="Z25" s="11">
        <v>162</v>
      </c>
      <c r="AA25" s="11">
        <v>3</v>
      </c>
      <c r="AB25" s="11">
        <v>24</v>
      </c>
      <c r="AC25" s="11">
        <v>4</v>
      </c>
      <c r="AD25" s="11">
        <v>11</v>
      </c>
      <c r="AE25" s="11">
        <v>1</v>
      </c>
      <c r="AF25" s="11">
        <v>12</v>
      </c>
      <c r="AG25" s="11">
        <v>206</v>
      </c>
      <c r="AH25" s="11">
        <v>298</v>
      </c>
      <c r="AI25" s="11">
        <v>76</v>
      </c>
      <c r="AJ25" s="11">
        <v>84761</v>
      </c>
      <c r="AK25" s="11">
        <v>4</v>
      </c>
      <c r="AL25" s="11">
        <v>31584</v>
      </c>
      <c r="AM25" s="11">
        <v>0</v>
      </c>
      <c r="AN25" s="11">
        <v>4.8999999999999998E-3</v>
      </c>
      <c r="AO25" s="11">
        <v>143152</v>
      </c>
      <c r="AP25" s="11">
        <v>0.79</v>
      </c>
      <c r="AQ25" s="11">
        <v>0.92</v>
      </c>
      <c r="AR25" s="11">
        <v>127</v>
      </c>
      <c r="AS25" s="11">
        <v>519</v>
      </c>
      <c r="AT25" s="11">
        <v>3723.91</v>
      </c>
      <c r="AU25" s="11">
        <v>11</v>
      </c>
      <c r="AV25" s="11">
        <v>64</v>
      </c>
      <c r="AW25" s="11">
        <v>45</v>
      </c>
      <c r="AX25" s="11">
        <v>18</v>
      </c>
      <c r="AY25" s="11">
        <v>16</v>
      </c>
    </row>
    <row r="26" spans="1:51">
      <c r="A26" s="11" t="s">
        <v>201</v>
      </c>
      <c r="B26" s="149" t="s">
        <v>469</v>
      </c>
      <c r="C26" s="11" t="s">
        <v>110</v>
      </c>
      <c r="D26" s="11" t="s">
        <v>470</v>
      </c>
      <c r="E26" s="11" t="s">
        <v>491</v>
      </c>
      <c r="F26" s="185">
        <v>43315</v>
      </c>
      <c r="G26" s="11" t="s">
        <v>121</v>
      </c>
      <c r="H26" s="11">
        <v>900000</v>
      </c>
      <c r="I26" s="11">
        <v>11600001</v>
      </c>
      <c r="J26" s="11">
        <v>9449830.0199999996</v>
      </c>
      <c r="K26" s="11">
        <v>0</v>
      </c>
      <c r="L26" s="6">
        <f t="shared" si="0"/>
        <v>9449830.0199999996</v>
      </c>
      <c r="M26" s="11">
        <v>104</v>
      </c>
      <c r="N26" s="11">
        <v>97</v>
      </c>
      <c r="O26" s="11">
        <v>5</v>
      </c>
      <c r="P26" s="11">
        <v>109</v>
      </c>
      <c r="Q26" s="11">
        <v>12</v>
      </c>
      <c r="R26" s="11">
        <v>8873981.8399999999</v>
      </c>
      <c r="S26" s="11">
        <v>575848.18000000005</v>
      </c>
      <c r="T26" s="11">
        <v>76</v>
      </c>
      <c r="U26" s="11">
        <v>5</v>
      </c>
      <c r="V26" s="11">
        <v>81</v>
      </c>
      <c r="W26" s="11">
        <v>0</v>
      </c>
      <c r="X26" s="11">
        <v>2</v>
      </c>
      <c r="Y26" s="11">
        <v>2</v>
      </c>
      <c r="Z26" s="11">
        <v>15</v>
      </c>
      <c r="AA26" s="11">
        <v>6</v>
      </c>
      <c r="AB26" s="11">
        <v>17</v>
      </c>
      <c r="AC26" s="11">
        <v>1</v>
      </c>
      <c r="AD26" s="11">
        <v>1</v>
      </c>
      <c r="AE26" s="11">
        <v>0</v>
      </c>
      <c r="AF26" s="11">
        <v>0</v>
      </c>
      <c r="AG26" s="11">
        <v>349</v>
      </c>
      <c r="AH26" s="11">
        <v>369</v>
      </c>
      <c r="AI26" s="11">
        <v>76</v>
      </c>
      <c r="AJ26" s="11">
        <v>124340</v>
      </c>
      <c r="AK26" s="11">
        <v>5</v>
      </c>
      <c r="AL26" s="11">
        <v>29362</v>
      </c>
      <c r="AM26" s="11">
        <v>0</v>
      </c>
      <c r="AN26" s="11">
        <v>3.0999999999999999E-3</v>
      </c>
      <c r="AO26" s="11">
        <v>116665</v>
      </c>
      <c r="AP26" s="11">
        <v>0.81</v>
      </c>
      <c r="AQ26" s="11">
        <v>0</v>
      </c>
      <c r="AR26" s="11">
        <v>318</v>
      </c>
      <c r="AS26" s="11">
        <v>638</v>
      </c>
      <c r="AT26" s="11">
        <v>4826.53</v>
      </c>
      <c r="AU26" s="11">
        <v>5</v>
      </c>
      <c r="AV26" s="11">
        <v>50</v>
      </c>
      <c r="AW26" s="11">
        <v>81</v>
      </c>
      <c r="AX26" s="11">
        <v>17</v>
      </c>
      <c r="AY26" s="11">
        <v>11</v>
      </c>
    </row>
    <row r="27" spans="1:51">
      <c r="A27" s="11" t="s">
        <v>118</v>
      </c>
      <c r="B27" s="149" t="s">
        <v>436</v>
      </c>
      <c r="C27" s="11" t="s">
        <v>111</v>
      </c>
      <c r="D27" s="11" t="s">
        <v>494</v>
      </c>
      <c r="E27" s="11" t="s">
        <v>437</v>
      </c>
      <c r="F27" s="185">
        <v>43557</v>
      </c>
      <c r="H27" s="11">
        <v>0</v>
      </c>
      <c r="I27" s="11">
        <v>5000001</v>
      </c>
      <c r="J27" s="11">
        <v>3514995.72</v>
      </c>
      <c r="K27" s="11">
        <v>0</v>
      </c>
      <c r="L27" s="6">
        <f t="shared" si="0"/>
        <v>3514995.72</v>
      </c>
      <c r="M27" s="11">
        <v>137</v>
      </c>
      <c r="N27" s="11">
        <v>112</v>
      </c>
      <c r="O27" s="11">
        <v>6</v>
      </c>
      <c r="P27" s="11">
        <v>143</v>
      </c>
      <c r="Q27" s="11">
        <v>31</v>
      </c>
      <c r="R27" s="11">
        <v>3239210.32</v>
      </c>
      <c r="S27" s="11">
        <v>275785.40000000002</v>
      </c>
      <c r="T27" s="11">
        <v>63</v>
      </c>
      <c r="U27" s="11">
        <v>4</v>
      </c>
      <c r="V27" s="11">
        <v>67</v>
      </c>
      <c r="W27" s="11">
        <v>0</v>
      </c>
      <c r="X27" s="11">
        <v>17</v>
      </c>
      <c r="Y27" s="11">
        <v>45</v>
      </c>
      <c r="Z27" s="11">
        <v>27</v>
      </c>
      <c r="AA27" s="11">
        <v>7</v>
      </c>
      <c r="AB27" s="11">
        <v>24</v>
      </c>
      <c r="AC27" s="11">
        <v>0</v>
      </c>
      <c r="AD27" s="11">
        <v>0</v>
      </c>
      <c r="AE27" s="11">
        <v>0</v>
      </c>
      <c r="AF27" s="11">
        <v>0</v>
      </c>
      <c r="AG27" s="11">
        <v>487</v>
      </c>
      <c r="AH27" s="11">
        <v>556</v>
      </c>
      <c r="AI27" s="11">
        <v>75</v>
      </c>
      <c r="AJ27" s="11">
        <v>46867</v>
      </c>
      <c r="AK27" s="11">
        <v>7</v>
      </c>
      <c r="AL27" s="11">
        <v>27164</v>
      </c>
      <c r="AM27" s="11">
        <v>0</v>
      </c>
      <c r="AN27" s="11">
        <v>7.7000000000000002E-3</v>
      </c>
      <c r="AO27" s="11">
        <v>52463</v>
      </c>
      <c r="AP27" s="11">
        <v>0.7</v>
      </c>
      <c r="AQ27" s="11">
        <v>0</v>
      </c>
      <c r="AR27" s="11">
        <v>155</v>
      </c>
      <c r="AS27" s="11">
        <v>804</v>
      </c>
      <c r="AT27" s="11">
        <v>6628.09</v>
      </c>
      <c r="AU27" s="11">
        <v>4</v>
      </c>
      <c r="AV27" s="11">
        <v>59</v>
      </c>
      <c r="AW27" s="11">
        <v>67</v>
      </c>
      <c r="AX27" s="11">
        <v>49</v>
      </c>
      <c r="AY27" s="11">
        <v>27</v>
      </c>
    </row>
    <row r="28" spans="1:51">
      <c r="A28" s="11" t="s">
        <v>118</v>
      </c>
      <c r="B28" s="149" t="s">
        <v>359</v>
      </c>
      <c r="C28" s="11" t="s">
        <v>112</v>
      </c>
      <c r="D28" s="11" t="s">
        <v>442</v>
      </c>
      <c r="E28" s="11" t="s">
        <v>493</v>
      </c>
      <c r="F28" s="185">
        <v>43556</v>
      </c>
      <c r="G28" s="11" t="s">
        <v>118</v>
      </c>
      <c r="H28" s="11">
        <v>0</v>
      </c>
      <c r="I28" s="11">
        <v>6000000</v>
      </c>
      <c r="J28" s="11">
        <v>4021359.12</v>
      </c>
      <c r="K28" s="11">
        <v>0</v>
      </c>
      <c r="L28" s="6">
        <f t="shared" si="0"/>
        <v>4021359.12</v>
      </c>
      <c r="M28" s="11">
        <v>73</v>
      </c>
      <c r="N28" s="11">
        <v>68</v>
      </c>
      <c r="O28" s="11">
        <v>1</v>
      </c>
      <c r="P28" s="11">
        <v>74</v>
      </c>
      <c r="Q28" s="11">
        <v>6</v>
      </c>
      <c r="R28" s="11">
        <v>3900624.62</v>
      </c>
      <c r="S28" s="11">
        <v>120734.5</v>
      </c>
      <c r="T28" s="11">
        <v>31</v>
      </c>
      <c r="U28" s="11">
        <v>1</v>
      </c>
      <c r="V28" s="11">
        <v>32</v>
      </c>
      <c r="W28" s="11">
        <v>0</v>
      </c>
      <c r="X28" s="11">
        <v>0</v>
      </c>
      <c r="Y28" s="11">
        <v>0</v>
      </c>
      <c r="Z28" s="11">
        <v>0</v>
      </c>
      <c r="AA28" s="11">
        <v>2</v>
      </c>
      <c r="AB28" s="11">
        <v>34</v>
      </c>
      <c r="AC28" s="11">
        <v>0</v>
      </c>
      <c r="AD28" s="11">
        <v>0</v>
      </c>
      <c r="AE28" s="11">
        <v>0</v>
      </c>
      <c r="AF28" s="11">
        <v>0</v>
      </c>
      <c r="AG28" s="11">
        <v>315</v>
      </c>
      <c r="AH28" s="11">
        <v>349</v>
      </c>
      <c r="AI28" s="11">
        <v>76</v>
      </c>
      <c r="AJ28" s="11">
        <v>52913</v>
      </c>
      <c r="AK28" s="11">
        <v>5</v>
      </c>
      <c r="AL28" s="11">
        <v>39070</v>
      </c>
      <c r="AM28" s="11">
        <v>0</v>
      </c>
      <c r="AN28" s="11">
        <v>9.7000000000000003E-3</v>
      </c>
      <c r="AO28" s="11">
        <v>125667</v>
      </c>
      <c r="AP28" s="11">
        <v>0.67</v>
      </c>
      <c r="AQ28" s="11">
        <v>0</v>
      </c>
      <c r="AR28" s="11">
        <v>71</v>
      </c>
      <c r="AS28" s="11">
        <v>654</v>
      </c>
      <c r="AT28" s="11">
        <v>2811.09</v>
      </c>
      <c r="AU28" s="11">
        <v>1</v>
      </c>
      <c r="AV28" s="11">
        <v>41</v>
      </c>
      <c r="AW28" s="11">
        <v>32</v>
      </c>
      <c r="AX28" s="11">
        <v>37</v>
      </c>
      <c r="AY28" s="11">
        <v>5</v>
      </c>
    </row>
    <row r="29" spans="1:51">
      <c r="A29" s="11" t="s">
        <v>118</v>
      </c>
      <c r="B29" s="149" t="s">
        <v>372</v>
      </c>
      <c r="C29" s="11" t="s">
        <v>113</v>
      </c>
      <c r="D29" s="11" t="s">
        <v>447</v>
      </c>
      <c r="E29" s="11" t="s">
        <v>495</v>
      </c>
      <c r="F29" s="185">
        <v>43647</v>
      </c>
      <c r="G29" s="11" t="s">
        <v>93</v>
      </c>
      <c r="H29" s="11">
        <v>0</v>
      </c>
      <c r="I29" s="11">
        <v>18750000</v>
      </c>
      <c r="J29" s="11">
        <v>14178704.939999999</v>
      </c>
      <c r="K29" s="11">
        <v>0</v>
      </c>
      <c r="L29" s="6">
        <f t="shared" si="0"/>
        <v>14178704.939999999</v>
      </c>
      <c r="M29" s="11">
        <v>99</v>
      </c>
      <c r="N29" s="11">
        <v>95</v>
      </c>
      <c r="O29" s="11">
        <v>4</v>
      </c>
      <c r="P29" s="11">
        <v>103</v>
      </c>
      <c r="Q29" s="11">
        <v>8</v>
      </c>
      <c r="R29" s="11">
        <v>13788441.82</v>
      </c>
      <c r="S29" s="11">
        <v>390263.12</v>
      </c>
      <c r="T29" s="11">
        <v>54</v>
      </c>
      <c r="U29" s="11">
        <v>4</v>
      </c>
      <c r="V29" s="11">
        <v>58</v>
      </c>
      <c r="W29" s="11">
        <v>0</v>
      </c>
      <c r="X29" s="11">
        <v>12</v>
      </c>
      <c r="Y29" s="11">
        <v>17</v>
      </c>
      <c r="Z29" s="11">
        <v>29</v>
      </c>
      <c r="AA29" s="11">
        <v>1</v>
      </c>
      <c r="AB29" s="11">
        <v>19</v>
      </c>
      <c r="AC29" s="11">
        <v>0</v>
      </c>
      <c r="AD29" s="11">
        <v>0</v>
      </c>
      <c r="AE29" s="11">
        <v>0</v>
      </c>
      <c r="AF29" s="11">
        <v>0</v>
      </c>
      <c r="AG29" s="11">
        <v>344</v>
      </c>
      <c r="AH29" s="11">
        <v>380</v>
      </c>
      <c r="AI29" s="11">
        <v>77</v>
      </c>
      <c r="AJ29" s="11">
        <v>184139</v>
      </c>
      <c r="AK29" s="11">
        <v>5</v>
      </c>
      <c r="AL29" s="11">
        <v>32605</v>
      </c>
      <c r="AM29" s="11">
        <v>0</v>
      </c>
      <c r="AN29" s="11">
        <v>2.3E-3</v>
      </c>
      <c r="AO29" s="11">
        <v>244460</v>
      </c>
      <c r="AP29" s="11">
        <v>0.76</v>
      </c>
      <c r="AQ29" s="11">
        <v>0</v>
      </c>
      <c r="AR29" s="11">
        <v>190</v>
      </c>
      <c r="AS29" s="11">
        <v>822</v>
      </c>
      <c r="AT29" s="11">
        <v>6259.39</v>
      </c>
      <c r="AU29" s="11">
        <v>4</v>
      </c>
      <c r="AV29" s="11">
        <v>66</v>
      </c>
      <c r="AW29" s="11">
        <v>58</v>
      </c>
      <c r="AX29" s="11">
        <v>38</v>
      </c>
      <c r="AY29" s="11">
        <v>7</v>
      </c>
    </row>
    <row r="30" spans="1:51">
      <c r="A30" s="11" t="s">
        <v>118</v>
      </c>
      <c r="B30" s="149" t="s">
        <v>484</v>
      </c>
      <c r="C30" s="11" t="s">
        <v>114</v>
      </c>
      <c r="D30" s="11" t="s">
        <v>497</v>
      </c>
      <c r="E30" s="11" t="s">
        <v>498</v>
      </c>
      <c r="F30" s="185">
        <v>43710</v>
      </c>
      <c r="G30" s="11" t="s">
        <v>118</v>
      </c>
      <c r="H30" s="11">
        <v>0</v>
      </c>
      <c r="I30" s="11">
        <v>4500000</v>
      </c>
      <c r="J30" s="11">
        <v>3143938.9</v>
      </c>
      <c r="K30" s="11">
        <v>0</v>
      </c>
      <c r="L30" s="6">
        <f t="shared" si="0"/>
        <v>3143938.9</v>
      </c>
      <c r="M30" s="11">
        <v>82</v>
      </c>
      <c r="N30" s="11">
        <v>62</v>
      </c>
      <c r="O30" s="11">
        <v>1</v>
      </c>
      <c r="P30" s="11">
        <v>83</v>
      </c>
      <c r="Q30" s="11">
        <v>21</v>
      </c>
      <c r="R30" s="11">
        <v>3013645.62</v>
      </c>
      <c r="S30" s="11">
        <v>130293.28</v>
      </c>
      <c r="T30" s="11">
        <v>29</v>
      </c>
      <c r="U30" s="11">
        <v>1</v>
      </c>
      <c r="V30" s="11">
        <v>30</v>
      </c>
      <c r="W30" s="11">
        <v>0</v>
      </c>
      <c r="X30" s="11">
        <v>3</v>
      </c>
      <c r="Y30" s="11">
        <v>3</v>
      </c>
      <c r="Z30" s="11">
        <v>73</v>
      </c>
      <c r="AA30" s="11">
        <v>2</v>
      </c>
      <c r="AB30" s="11">
        <v>9</v>
      </c>
      <c r="AC30" s="11">
        <v>0</v>
      </c>
      <c r="AD30" s="11">
        <v>0</v>
      </c>
      <c r="AE30" s="11">
        <v>0</v>
      </c>
      <c r="AF30" s="11">
        <v>0</v>
      </c>
      <c r="AG30" s="11">
        <v>264</v>
      </c>
      <c r="AH30" s="11">
        <v>276</v>
      </c>
      <c r="AI30" s="11">
        <v>74</v>
      </c>
      <c r="AJ30" s="11">
        <v>42486</v>
      </c>
      <c r="AK30" s="11">
        <v>4</v>
      </c>
      <c r="AL30" s="11">
        <v>28050</v>
      </c>
      <c r="AM30" s="11">
        <v>0</v>
      </c>
      <c r="AN30" s="11">
        <v>8.8999999999999999E-3</v>
      </c>
      <c r="AO30" s="11">
        <v>104798</v>
      </c>
      <c r="AP30" s="11">
        <v>0.7</v>
      </c>
      <c r="AQ30" s="11">
        <v>0</v>
      </c>
      <c r="AR30" s="11">
        <v>64</v>
      </c>
      <c r="AS30" s="11">
        <v>633</v>
      </c>
      <c r="AT30" s="11">
        <v>2856.65</v>
      </c>
      <c r="AU30" s="11">
        <v>1</v>
      </c>
      <c r="AV30" s="11">
        <v>46</v>
      </c>
      <c r="AW30" s="11">
        <v>30</v>
      </c>
      <c r="AX30" s="11">
        <v>34</v>
      </c>
      <c r="AY30" s="11">
        <v>19</v>
      </c>
    </row>
    <row r="31" spans="1:51">
      <c r="A31" s="11" t="s">
        <v>118</v>
      </c>
      <c r="B31" s="149" t="s">
        <v>436</v>
      </c>
      <c r="C31" s="11" t="s">
        <v>116</v>
      </c>
      <c r="D31" s="11" t="s">
        <v>499</v>
      </c>
      <c r="E31" s="11" t="s">
        <v>500</v>
      </c>
      <c r="F31" s="185">
        <v>44046</v>
      </c>
      <c r="H31" s="11">
        <v>0</v>
      </c>
      <c r="I31" s="11">
        <v>5874999</v>
      </c>
      <c r="J31" s="11">
        <v>4032969.6</v>
      </c>
      <c r="K31" s="11">
        <v>0</v>
      </c>
      <c r="L31" s="6">
        <f t="shared" si="0"/>
        <v>4032969.6</v>
      </c>
      <c r="M31" s="11">
        <v>103</v>
      </c>
      <c r="N31" s="11">
        <v>107</v>
      </c>
      <c r="O31" s="11">
        <v>5</v>
      </c>
      <c r="P31" s="11">
        <v>108</v>
      </c>
      <c r="Q31" s="11">
        <v>1</v>
      </c>
      <c r="R31" s="11">
        <v>3798285.7</v>
      </c>
      <c r="S31" s="11">
        <v>234683.9</v>
      </c>
      <c r="T31" s="11">
        <v>68</v>
      </c>
      <c r="U31" s="11">
        <v>5</v>
      </c>
      <c r="V31" s="11">
        <v>73</v>
      </c>
      <c r="W31" s="11">
        <v>0</v>
      </c>
      <c r="X31" s="11">
        <v>4</v>
      </c>
      <c r="Y31" s="11">
        <v>5</v>
      </c>
      <c r="Z31" s="11">
        <v>0</v>
      </c>
      <c r="AA31" s="11">
        <v>1</v>
      </c>
      <c r="AB31" s="11">
        <v>4</v>
      </c>
      <c r="AC31" s="11">
        <v>0</v>
      </c>
      <c r="AD31" s="11">
        <v>0</v>
      </c>
      <c r="AE31" s="11">
        <v>0</v>
      </c>
      <c r="AF31" s="11">
        <v>0</v>
      </c>
      <c r="AG31" s="11">
        <v>497</v>
      </c>
      <c r="AH31" s="11">
        <v>506</v>
      </c>
      <c r="AI31" s="11">
        <v>74</v>
      </c>
      <c r="AJ31" s="11">
        <v>54500</v>
      </c>
      <c r="AK31" s="11">
        <v>7</v>
      </c>
      <c r="AL31" s="11">
        <v>32483</v>
      </c>
      <c r="AM31" s="11">
        <v>0</v>
      </c>
      <c r="AN31" s="11">
        <v>8.0999999999999996E-3</v>
      </c>
      <c r="AO31" s="11">
        <v>55246</v>
      </c>
      <c r="AP31" s="11">
        <v>0.69</v>
      </c>
      <c r="AQ31" s="11">
        <v>0</v>
      </c>
      <c r="AR31" s="11">
        <v>183</v>
      </c>
      <c r="AS31" s="11">
        <v>839</v>
      </c>
      <c r="AT31" s="11">
        <v>8343.2099999999991</v>
      </c>
      <c r="AU31" s="11">
        <v>5</v>
      </c>
      <c r="AV31" s="11">
        <v>78</v>
      </c>
      <c r="AW31" s="11">
        <v>73</v>
      </c>
      <c r="AX31" s="11">
        <v>35</v>
      </c>
      <c r="AY31" s="11">
        <v>0</v>
      </c>
    </row>
    <row r="32" spans="1:51">
      <c r="A32" s="11" t="s">
        <v>118</v>
      </c>
      <c r="B32" s="149" t="s">
        <v>649</v>
      </c>
      <c r="C32" s="11" t="s">
        <v>119</v>
      </c>
      <c r="D32" s="11" t="s">
        <v>567</v>
      </c>
      <c r="E32" s="11" t="s">
        <v>519</v>
      </c>
      <c r="F32" s="185">
        <v>45264</v>
      </c>
      <c r="G32" s="11" t="s">
        <v>118</v>
      </c>
      <c r="H32" s="11">
        <v>0</v>
      </c>
      <c r="I32" s="11">
        <v>0</v>
      </c>
      <c r="J32" s="11">
        <v>285557.48</v>
      </c>
      <c r="K32" s="11">
        <v>0</v>
      </c>
      <c r="L32" s="6">
        <f t="shared" si="0"/>
        <v>285557.48</v>
      </c>
      <c r="M32" s="11">
        <v>303</v>
      </c>
      <c r="N32" s="11">
        <v>140</v>
      </c>
      <c r="O32" s="11">
        <v>17</v>
      </c>
      <c r="P32" s="11">
        <v>320</v>
      </c>
      <c r="Q32" s="11">
        <v>180</v>
      </c>
      <c r="R32" s="11">
        <v>285557.48</v>
      </c>
      <c r="S32" s="11">
        <v>0</v>
      </c>
      <c r="T32" s="11">
        <v>9</v>
      </c>
      <c r="U32" s="11">
        <v>0</v>
      </c>
      <c r="V32" s="11">
        <v>9</v>
      </c>
      <c r="W32" s="11">
        <v>0</v>
      </c>
      <c r="X32" s="11">
        <v>52</v>
      </c>
      <c r="Y32" s="11">
        <v>82</v>
      </c>
      <c r="Z32" s="11">
        <v>132</v>
      </c>
      <c r="AA32" s="11">
        <v>3</v>
      </c>
      <c r="AB32" s="11">
        <v>23</v>
      </c>
      <c r="AC32" s="11">
        <v>2</v>
      </c>
      <c r="AD32" s="11">
        <v>2</v>
      </c>
      <c r="AE32" s="11">
        <v>0</v>
      </c>
      <c r="AF32" s="11">
        <v>0</v>
      </c>
      <c r="AG32" s="11">
        <v>229</v>
      </c>
      <c r="AH32" s="11">
        <v>336</v>
      </c>
      <c r="AI32" s="11">
        <v>76</v>
      </c>
      <c r="AJ32" s="11">
        <v>3757</v>
      </c>
      <c r="AK32" s="11">
        <v>4</v>
      </c>
      <c r="AM32" s="11">
        <v>0</v>
      </c>
      <c r="AN32" s="11">
        <v>0</v>
      </c>
      <c r="AO32" s="11">
        <v>31729</v>
      </c>
      <c r="AP32" s="11">
        <v>0</v>
      </c>
      <c r="AQ32" s="11">
        <v>0</v>
      </c>
      <c r="AR32" s="11">
        <v>14</v>
      </c>
      <c r="AS32" s="11">
        <v>885</v>
      </c>
      <c r="AT32" s="11">
        <v>5585.42</v>
      </c>
      <c r="AU32" s="11">
        <v>0</v>
      </c>
      <c r="AV32" s="11">
        <v>40</v>
      </c>
      <c r="AW32" s="11">
        <v>9</v>
      </c>
      <c r="AX32" s="11">
        <v>140</v>
      </c>
      <c r="AY32" s="11">
        <v>171</v>
      </c>
    </row>
    <row r="33" spans="1:52">
      <c r="A33" s="11" t="s">
        <v>118</v>
      </c>
      <c r="B33" s="149" t="s">
        <v>372</v>
      </c>
      <c r="C33" s="11" t="s">
        <v>122</v>
      </c>
      <c r="D33" s="11" t="s">
        <v>447</v>
      </c>
      <c r="E33" s="11" t="s">
        <v>503</v>
      </c>
      <c r="F33" s="185">
        <v>44166</v>
      </c>
      <c r="G33" s="11" t="s">
        <v>138</v>
      </c>
      <c r="H33" s="11">
        <v>0</v>
      </c>
      <c r="I33" s="11">
        <v>4500000</v>
      </c>
      <c r="J33" s="11">
        <v>2174534.7000000002</v>
      </c>
      <c r="K33" s="11">
        <v>0</v>
      </c>
      <c r="L33" s="6">
        <f t="shared" si="0"/>
        <v>2174534.7000000002</v>
      </c>
      <c r="M33" s="11">
        <v>42</v>
      </c>
      <c r="N33" s="11">
        <v>43</v>
      </c>
      <c r="O33" s="11">
        <v>2</v>
      </c>
      <c r="P33" s="11">
        <v>44</v>
      </c>
      <c r="Q33" s="11">
        <v>1</v>
      </c>
      <c r="R33" s="11">
        <v>1999350.7</v>
      </c>
      <c r="S33" s="11">
        <v>175184</v>
      </c>
      <c r="T33" s="11">
        <v>13</v>
      </c>
      <c r="U33" s="11">
        <v>2</v>
      </c>
      <c r="V33" s="11">
        <v>15</v>
      </c>
      <c r="W33" s="11">
        <v>0</v>
      </c>
      <c r="X33" s="11">
        <v>10</v>
      </c>
      <c r="Y33" s="11">
        <v>13</v>
      </c>
      <c r="Z33" s="11">
        <v>23</v>
      </c>
      <c r="AA33" s="11">
        <v>2</v>
      </c>
      <c r="AB33" s="11">
        <v>31</v>
      </c>
      <c r="AC33" s="11">
        <v>0</v>
      </c>
      <c r="AD33" s="11">
        <v>0</v>
      </c>
      <c r="AE33" s="11">
        <v>0</v>
      </c>
      <c r="AF33" s="11">
        <v>0</v>
      </c>
      <c r="AG33" s="11">
        <v>220</v>
      </c>
      <c r="AH33" s="11">
        <v>264</v>
      </c>
      <c r="AI33" s="11">
        <v>74</v>
      </c>
      <c r="AJ33" s="11">
        <v>29386</v>
      </c>
      <c r="AK33" s="11">
        <v>4</v>
      </c>
      <c r="AL33" s="11">
        <v>27200</v>
      </c>
      <c r="AM33" s="11">
        <v>0</v>
      </c>
      <c r="AN33" s="11">
        <v>1.2500000000000001E-2</v>
      </c>
      <c r="AO33" s="11">
        <v>144969</v>
      </c>
      <c r="AP33" s="11">
        <v>0.48</v>
      </c>
      <c r="AQ33" s="11">
        <v>0</v>
      </c>
      <c r="AR33" s="11">
        <v>20</v>
      </c>
      <c r="AS33" s="11">
        <v>620</v>
      </c>
      <c r="AT33" s="11">
        <v>2315.86</v>
      </c>
      <c r="AU33" s="11">
        <v>2</v>
      </c>
      <c r="AV33" s="11">
        <v>54</v>
      </c>
      <c r="AW33" s="11">
        <v>15</v>
      </c>
      <c r="AX33" s="11">
        <v>28</v>
      </c>
      <c r="AY33" s="11">
        <v>1</v>
      </c>
    </row>
    <row r="34" spans="1:52">
      <c r="A34" s="11" t="s">
        <v>201</v>
      </c>
      <c r="B34" s="149" t="s">
        <v>438</v>
      </c>
      <c r="C34" s="11" t="s">
        <v>123</v>
      </c>
      <c r="D34" s="11" t="s">
        <v>504</v>
      </c>
      <c r="E34" s="11" t="s">
        <v>505</v>
      </c>
      <c r="F34" s="184">
        <v>44207</v>
      </c>
      <c r="G34" s="11" t="s">
        <v>121</v>
      </c>
      <c r="H34" s="11">
        <v>0</v>
      </c>
      <c r="I34" s="11">
        <v>0</v>
      </c>
      <c r="J34" s="11">
        <v>0</v>
      </c>
      <c r="K34" s="11">
        <v>0</v>
      </c>
      <c r="L34" s="6">
        <f t="shared" si="0"/>
        <v>0</v>
      </c>
      <c r="M34" s="11">
        <v>70</v>
      </c>
      <c r="N34" s="11">
        <v>0</v>
      </c>
      <c r="O34" s="11">
        <v>0</v>
      </c>
      <c r="P34" s="11">
        <v>70</v>
      </c>
      <c r="Q34" s="11">
        <v>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75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33839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70</v>
      </c>
      <c r="AZ34" s="184">
        <v>45777</v>
      </c>
    </row>
    <row r="35" spans="1:52">
      <c r="A35" s="11" t="s">
        <v>108</v>
      </c>
      <c r="B35" s="149" t="s">
        <v>465</v>
      </c>
      <c r="C35" s="11" t="s">
        <v>126</v>
      </c>
      <c r="D35" s="11" t="s">
        <v>506</v>
      </c>
      <c r="E35" s="11" t="s">
        <v>605</v>
      </c>
      <c r="F35" s="185">
        <v>45474</v>
      </c>
      <c r="G35" s="11" t="s">
        <v>108</v>
      </c>
      <c r="H35" s="11">
        <v>0</v>
      </c>
      <c r="I35" s="11">
        <v>3630000</v>
      </c>
      <c r="J35" s="11">
        <v>1875956.4</v>
      </c>
      <c r="K35" s="11">
        <v>0</v>
      </c>
      <c r="L35" s="6">
        <f t="shared" si="0"/>
        <v>1875956.4</v>
      </c>
      <c r="M35" s="11">
        <v>81</v>
      </c>
      <c r="N35" s="11">
        <v>58</v>
      </c>
      <c r="O35" s="11">
        <v>0</v>
      </c>
      <c r="P35" s="11">
        <v>81</v>
      </c>
      <c r="Q35" s="11">
        <v>23</v>
      </c>
      <c r="R35" s="11">
        <v>1875956.4</v>
      </c>
      <c r="S35" s="11">
        <v>0</v>
      </c>
      <c r="T35" s="11">
        <v>27</v>
      </c>
      <c r="U35" s="11">
        <v>0</v>
      </c>
      <c r="V35" s="11">
        <v>27</v>
      </c>
      <c r="W35" s="11">
        <v>0</v>
      </c>
      <c r="X35" s="11">
        <v>4</v>
      </c>
      <c r="Y35" s="11">
        <v>4</v>
      </c>
      <c r="Z35" s="11">
        <v>20</v>
      </c>
      <c r="AA35" s="11">
        <v>2</v>
      </c>
      <c r="AB35" s="11">
        <v>3</v>
      </c>
      <c r="AC35" s="11">
        <v>0</v>
      </c>
      <c r="AD35" s="11">
        <v>0</v>
      </c>
      <c r="AE35" s="11">
        <v>0</v>
      </c>
      <c r="AF35" s="11">
        <v>0</v>
      </c>
      <c r="AG35" s="11">
        <v>319</v>
      </c>
      <c r="AH35" s="11">
        <v>326</v>
      </c>
      <c r="AI35" s="11">
        <v>55</v>
      </c>
      <c r="AJ35" s="11">
        <v>34108</v>
      </c>
      <c r="AK35" s="11">
        <v>6</v>
      </c>
      <c r="AM35" s="11">
        <v>0</v>
      </c>
      <c r="AN35" s="11">
        <v>0</v>
      </c>
      <c r="AO35" s="11">
        <v>69480</v>
      </c>
      <c r="AP35" s="11">
        <v>0.52</v>
      </c>
      <c r="AQ35" s="11">
        <v>0</v>
      </c>
      <c r="AR35" s="11">
        <v>58</v>
      </c>
      <c r="AS35" s="11">
        <v>454</v>
      </c>
      <c r="AT35" s="11">
        <v>3130.58</v>
      </c>
      <c r="AU35" s="11">
        <v>0</v>
      </c>
      <c r="AV35" s="11">
        <v>54</v>
      </c>
      <c r="AW35" s="11">
        <v>27</v>
      </c>
      <c r="AX35" s="11">
        <v>31</v>
      </c>
      <c r="AY35" s="11">
        <v>23</v>
      </c>
    </row>
    <row r="36" spans="1:52">
      <c r="A36" s="11" t="s">
        <v>108</v>
      </c>
      <c r="B36" s="149" t="s">
        <v>465</v>
      </c>
      <c r="C36" s="11" t="s">
        <v>128</v>
      </c>
      <c r="D36" s="11" t="s">
        <v>506</v>
      </c>
      <c r="E36" s="11" t="s">
        <v>507</v>
      </c>
      <c r="F36" s="184">
        <v>44224</v>
      </c>
      <c r="G36" s="11" t="s">
        <v>108</v>
      </c>
      <c r="H36" s="11">
        <v>0</v>
      </c>
      <c r="I36" s="11">
        <v>0</v>
      </c>
      <c r="J36" s="11">
        <v>0</v>
      </c>
      <c r="K36" s="11">
        <v>0</v>
      </c>
      <c r="L36" s="6">
        <f t="shared" si="0"/>
        <v>0</v>
      </c>
      <c r="M36" s="11">
        <v>147</v>
      </c>
      <c r="N36" s="11">
        <v>0</v>
      </c>
      <c r="O36" s="11">
        <v>3</v>
      </c>
      <c r="P36" s="11">
        <v>150</v>
      </c>
      <c r="Q36" s="11">
        <v>150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46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35543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150</v>
      </c>
      <c r="AZ36" s="184">
        <v>45774</v>
      </c>
    </row>
    <row r="37" spans="1:52">
      <c r="A37" s="11" t="s">
        <v>118</v>
      </c>
      <c r="B37" s="149" t="s">
        <v>468</v>
      </c>
      <c r="C37" s="11" t="s">
        <v>132</v>
      </c>
      <c r="D37" s="11" t="s">
        <v>509</v>
      </c>
      <c r="E37" s="11" t="s">
        <v>510</v>
      </c>
      <c r="F37" s="185">
        <v>44228</v>
      </c>
      <c r="G37" s="11" t="s">
        <v>118</v>
      </c>
      <c r="H37" s="11">
        <v>0</v>
      </c>
      <c r="I37" s="11">
        <v>10500000</v>
      </c>
      <c r="J37" s="11">
        <v>4751368.9800000004</v>
      </c>
      <c r="K37" s="11">
        <v>0</v>
      </c>
      <c r="L37" s="6">
        <f t="shared" si="0"/>
        <v>4751368.9800000004</v>
      </c>
      <c r="M37" s="11">
        <v>78</v>
      </c>
      <c r="N37" s="11">
        <v>60</v>
      </c>
      <c r="O37" s="11">
        <v>0</v>
      </c>
      <c r="P37" s="11">
        <v>78</v>
      </c>
      <c r="Q37" s="11">
        <v>18</v>
      </c>
      <c r="R37" s="11">
        <v>4751368.9800000004</v>
      </c>
      <c r="S37" s="11">
        <v>0</v>
      </c>
      <c r="T37" s="11">
        <v>39</v>
      </c>
      <c r="U37" s="11">
        <v>0</v>
      </c>
      <c r="V37" s="11">
        <v>39</v>
      </c>
      <c r="W37" s="11">
        <v>0</v>
      </c>
      <c r="X37" s="11">
        <v>20</v>
      </c>
      <c r="Y37" s="11">
        <v>27</v>
      </c>
      <c r="Z37" s="11">
        <v>122</v>
      </c>
      <c r="AA37" s="11">
        <v>1</v>
      </c>
      <c r="AB37" s="11">
        <v>53</v>
      </c>
      <c r="AC37" s="11">
        <v>0</v>
      </c>
      <c r="AD37" s="11">
        <v>0</v>
      </c>
      <c r="AE37" s="11">
        <v>0</v>
      </c>
      <c r="AF37" s="11">
        <v>0</v>
      </c>
      <c r="AG37" s="11">
        <v>131</v>
      </c>
      <c r="AH37" s="11">
        <v>211</v>
      </c>
      <c r="AI37" s="11">
        <v>68</v>
      </c>
      <c r="AJ37" s="11">
        <v>69873</v>
      </c>
      <c r="AK37" s="11">
        <v>3</v>
      </c>
      <c r="AL37" s="11">
        <v>40500</v>
      </c>
      <c r="AM37" s="11">
        <v>0</v>
      </c>
      <c r="AN37" s="11">
        <v>8.5000000000000006E-3</v>
      </c>
      <c r="AO37" s="11">
        <v>121830</v>
      </c>
      <c r="AP37" s="11">
        <v>0.45</v>
      </c>
      <c r="AQ37" s="11">
        <v>0</v>
      </c>
      <c r="AR37" s="11">
        <v>79</v>
      </c>
      <c r="AS37" s="11">
        <v>684</v>
      </c>
      <c r="AT37" s="11">
        <v>2672.26</v>
      </c>
      <c r="AU37" s="11">
        <v>0</v>
      </c>
      <c r="AV37" s="11">
        <v>45</v>
      </c>
      <c r="AW37" s="11">
        <v>39</v>
      </c>
      <c r="AX37" s="11">
        <v>25</v>
      </c>
      <c r="AY37" s="11">
        <v>14</v>
      </c>
    </row>
    <row r="38" spans="1:52">
      <c r="A38" s="11" t="s">
        <v>118</v>
      </c>
      <c r="B38" s="149" t="s">
        <v>484</v>
      </c>
      <c r="C38" s="11" t="s">
        <v>133</v>
      </c>
      <c r="D38" s="11" t="s">
        <v>529</v>
      </c>
      <c r="E38" s="11" t="s">
        <v>530</v>
      </c>
      <c r="F38" s="185">
        <v>44868</v>
      </c>
      <c r="G38" s="11" t="s">
        <v>118</v>
      </c>
      <c r="H38" s="11">
        <v>0</v>
      </c>
      <c r="I38" s="11">
        <v>4500000</v>
      </c>
      <c r="J38" s="11">
        <v>3042182.97</v>
      </c>
      <c r="K38" s="11">
        <v>0</v>
      </c>
      <c r="L38" s="6">
        <f t="shared" si="0"/>
        <v>3042182.97</v>
      </c>
      <c r="M38" s="11">
        <v>62</v>
      </c>
      <c r="N38" s="11">
        <v>48</v>
      </c>
      <c r="O38" s="11">
        <v>1</v>
      </c>
      <c r="P38" s="11">
        <v>63</v>
      </c>
      <c r="Q38" s="11">
        <v>15</v>
      </c>
      <c r="R38" s="11">
        <v>2879466.87</v>
      </c>
      <c r="S38" s="11">
        <v>162716.1</v>
      </c>
      <c r="T38" s="11">
        <v>26</v>
      </c>
      <c r="U38" s="11">
        <v>1</v>
      </c>
      <c r="V38" s="11">
        <v>27</v>
      </c>
      <c r="W38" s="11">
        <v>0</v>
      </c>
      <c r="X38" s="11">
        <v>0</v>
      </c>
      <c r="Y38" s="11">
        <v>0</v>
      </c>
      <c r="Z38" s="11">
        <v>40</v>
      </c>
      <c r="AA38" s="11">
        <v>1</v>
      </c>
      <c r="AB38" s="11">
        <v>21</v>
      </c>
      <c r="AC38" s="11">
        <v>0</v>
      </c>
      <c r="AD38" s="11">
        <v>0</v>
      </c>
      <c r="AE38" s="11">
        <v>0</v>
      </c>
      <c r="AF38" s="11">
        <v>0</v>
      </c>
      <c r="AG38" s="11">
        <v>186</v>
      </c>
      <c r="AH38" s="11">
        <v>207</v>
      </c>
      <c r="AI38" s="11">
        <v>72</v>
      </c>
      <c r="AJ38" s="11">
        <v>42253</v>
      </c>
      <c r="AK38" s="11">
        <v>3</v>
      </c>
      <c r="AL38" s="11">
        <v>31625</v>
      </c>
      <c r="AM38" s="11">
        <v>0</v>
      </c>
      <c r="AN38" s="11">
        <v>1.04E-2</v>
      </c>
      <c r="AO38" s="11">
        <v>112673</v>
      </c>
      <c r="AP38" s="11">
        <v>0.68</v>
      </c>
      <c r="AQ38" s="11">
        <v>0</v>
      </c>
      <c r="AR38" s="11">
        <v>48</v>
      </c>
      <c r="AS38" s="11">
        <v>666</v>
      </c>
      <c r="AT38" s="11">
        <v>1388.76</v>
      </c>
      <c r="AU38" s="11">
        <v>1</v>
      </c>
      <c r="AV38" s="11">
        <v>29</v>
      </c>
      <c r="AW38" s="11">
        <v>27</v>
      </c>
      <c r="AX38" s="11">
        <v>24</v>
      </c>
      <c r="AY38" s="11">
        <v>12</v>
      </c>
    </row>
    <row r="39" spans="1:52">
      <c r="A39" s="11" t="s">
        <v>201</v>
      </c>
      <c r="B39" s="149" t="s">
        <v>438</v>
      </c>
      <c r="C39" s="11" t="s">
        <v>134</v>
      </c>
      <c r="D39" s="11" t="s">
        <v>504</v>
      </c>
      <c r="E39" s="11" t="s">
        <v>511</v>
      </c>
      <c r="F39" s="184">
        <v>44245</v>
      </c>
      <c r="G39" s="11" t="s">
        <v>121</v>
      </c>
      <c r="H39" s="11">
        <v>0</v>
      </c>
      <c r="I39" s="11">
        <v>6999999</v>
      </c>
      <c r="J39" s="11">
        <v>3162208.6</v>
      </c>
      <c r="K39" s="11">
        <v>0</v>
      </c>
      <c r="L39" s="6">
        <f t="shared" si="0"/>
        <v>3162208.6</v>
      </c>
      <c r="M39" s="11">
        <v>109</v>
      </c>
      <c r="N39" s="11">
        <v>95</v>
      </c>
      <c r="O39" s="11">
        <v>4</v>
      </c>
      <c r="P39" s="11">
        <v>113</v>
      </c>
      <c r="Q39" s="11">
        <v>18</v>
      </c>
      <c r="R39" s="11">
        <v>2732856.29</v>
      </c>
      <c r="S39" s="11">
        <v>429352.31</v>
      </c>
      <c r="T39" s="11">
        <v>35</v>
      </c>
      <c r="U39" s="11">
        <v>4</v>
      </c>
      <c r="V39" s="11">
        <v>39</v>
      </c>
      <c r="W39" s="11">
        <v>0</v>
      </c>
      <c r="X39" s="11">
        <v>16</v>
      </c>
      <c r="Y39" s="11">
        <v>17</v>
      </c>
      <c r="Z39" s="11">
        <v>122</v>
      </c>
      <c r="AA39" s="11">
        <v>2</v>
      </c>
      <c r="AB39" s="11">
        <v>5</v>
      </c>
      <c r="AC39" s="11">
        <v>1</v>
      </c>
      <c r="AD39" s="11">
        <v>1</v>
      </c>
      <c r="AE39" s="11">
        <v>0</v>
      </c>
      <c r="AF39" s="11">
        <v>0</v>
      </c>
      <c r="AG39" s="11">
        <v>251</v>
      </c>
      <c r="AH39" s="11">
        <v>274</v>
      </c>
      <c r="AI39" s="11">
        <v>72</v>
      </c>
      <c r="AJ39" s="11">
        <v>43920</v>
      </c>
      <c r="AK39" s="11">
        <v>4</v>
      </c>
      <c r="AL39" s="11">
        <v>31852</v>
      </c>
      <c r="AM39" s="11">
        <v>0</v>
      </c>
      <c r="AN39" s="11">
        <v>1.01E-2</v>
      </c>
      <c r="AO39" s="11">
        <v>81082</v>
      </c>
      <c r="AP39" s="11">
        <v>0.45</v>
      </c>
      <c r="AQ39" s="11">
        <v>0</v>
      </c>
      <c r="AR39" s="11">
        <v>80</v>
      </c>
      <c r="AS39" s="11">
        <v>717</v>
      </c>
      <c r="AT39" s="11">
        <v>5795.4</v>
      </c>
      <c r="AU39" s="11">
        <v>4</v>
      </c>
      <c r="AV39" s="11">
        <v>61</v>
      </c>
      <c r="AW39" s="11">
        <v>39</v>
      </c>
      <c r="AX39" s="11">
        <v>60</v>
      </c>
      <c r="AY39" s="11">
        <v>14</v>
      </c>
    </row>
    <row r="40" spans="1:52">
      <c r="A40" s="11" t="s">
        <v>201</v>
      </c>
      <c r="B40" s="149" t="s">
        <v>431</v>
      </c>
      <c r="C40" s="11" t="s">
        <v>135</v>
      </c>
      <c r="D40" s="11" t="s">
        <v>431</v>
      </c>
      <c r="E40" s="11" t="s">
        <v>513</v>
      </c>
      <c r="F40" s="184">
        <v>44247</v>
      </c>
      <c r="G40" s="11" t="s">
        <v>121</v>
      </c>
      <c r="H40" s="11">
        <v>0</v>
      </c>
      <c r="I40" s="11">
        <v>9999999</v>
      </c>
      <c r="J40" s="11">
        <v>7348317.96</v>
      </c>
      <c r="K40" s="11">
        <v>0</v>
      </c>
      <c r="L40" s="6">
        <f t="shared" si="0"/>
        <v>7348317.96</v>
      </c>
      <c r="M40" s="11">
        <v>94</v>
      </c>
      <c r="N40" s="11">
        <v>66</v>
      </c>
      <c r="O40" s="11">
        <v>21</v>
      </c>
      <c r="P40" s="11">
        <v>115</v>
      </c>
      <c r="Q40" s="11">
        <v>49</v>
      </c>
      <c r="R40" s="11">
        <v>6190603.9199999999</v>
      </c>
      <c r="S40" s="11">
        <v>1157714.04</v>
      </c>
      <c r="T40" s="11">
        <v>49</v>
      </c>
      <c r="U40" s="11">
        <v>21</v>
      </c>
      <c r="V40" s="11">
        <v>70</v>
      </c>
      <c r="W40" s="11">
        <v>0</v>
      </c>
      <c r="X40" s="11">
        <v>3</v>
      </c>
      <c r="Y40" s="11">
        <v>3</v>
      </c>
      <c r="Z40" s="11">
        <v>44</v>
      </c>
      <c r="AA40" s="11">
        <v>3</v>
      </c>
      <c r="AB40" s="11">
        <v>54</v>
      </c>
      <c r="AC40" s="11">
        <v>0</v>
      </c>
      <c r="AD40" s="11">
        <v>0</v>
      </c>
      <c r="AE40" s="11">
        <v>0</v>
      </c>
      <c r="AF40" s="11">
        <v>0</v>
      </c>
      <c r="AG40" s="11">
        <v>251</v>
      </c>
      <c r="AH40" s="11">
        <v>308</v>
      </c>
      <c r="AI40" s="11">
        <v>76</v>
      </c>
      <c r="AJ40" s="11">
        <v>96688</v>
      </c>
      <c r="AK40" s="11">
        <v>4</v>
      </c>
      <c r="AL40" s="11">
        <v>37917</v>
      </c>
      <c r="AM40" s="11">
        <v>0</v>
      </c>
      <c r="AN40" s="11">
        <v>5.1999999999999998E-3</v>
      </c>
      <c r="AO40" s="11">
        <v>104976</v>
      </c>
      <c r="AP40" s="11">
        <v>0.73</v>
      </c>
      <c r="AQ40" s="11">
        <v>0</v>
      </c>
      <c r="AR40" s="11">
        <v>217</v>
      </c>
      <c r="AS40" s="11">
        <v>807</v>
      </c>
      <c r="AT40" s="11">
        <v>5122.74</v>
      </c>
      <c r="AU40" s="11">
        <v>21</v>
      </c>
      <c r="AV40" s="11">
        <v>78</v>
      </c>
      <c r="AW40" s="11">
        <v>70</v>
      </c>
      <c r="AX40" s="11">
        <v>17</v>
      </c>
      <c r="AY40" s="11">
        <v>28</v>
      </c>
    </row>
    <row r="41" spans="1:52">
      <c r="A41" s="11" t="s">
        <v>118</v>
      </c>
      <c r="B41" s="149" t="s">
        <v>372</v>
      </c>
      <c r="C41" s="11" t="s">
        <v>138</v>
      </c>
      <c r="D41" s="11" t="s">
        <v>447</v>
      </c>
      <c r="E41" s="11" t="s">
        <v>514</v>
      </c>
      <c r="F41" s="184">
        <v>44396</v>
      </c>
      <c r="G41" s="11" t="s">
        <v>118</v>
      </c>
      <c r="H41" s="11">
        <v>0</v>
      </c>
      <c r="I41" s="11">
        <v>7500000</v>
      </c>
      <c r="J41" s="11">
        <v>7826523.3399999999</v>
      </c>
      <c r="K41" s="11">
        <v>0</v>
      </c>
      <c r="L41" s="6">
        <f t="shared" si="0"/>
        <v>7826523.3399999999</v>
      </c>
      <c r="M41" s="11">
        <v>248</v>
      </c>
      <c r="N41" s="11">
        <v>122</v>
      </c>
      <c r="O41" s="11">
        <v>9</v>
      </c>
      <c r="P41" s="11">
        <v>257</v>
      </c>
      <c r="Q41" s="11">
        <v>135</v>
      </c>
      <c r="R41" s="11">
        <v>6898440.5199999996</v>
      </c>
      <c r="S41" s="11">
        <v>928082.82</v>
      </c>
      <c r="T41" s="11">
        <v>45</v>
      </c>
      <c r="U41" s="11">
        <v>7</v>
      </c>
      <c r="V41" s="11">
        <v>52</v>
      </c>
      <c r="W41" s="11">
        <v>0</v>
      </c>
      <c r="X41" s="11">
        <v>64</v>
      </c>
      <c r="Y41" s="11">
        <v>71</v>
      </c>
      <c r="Z41" s="11">
        <v>474</v>
      </c>
      <c r="AA41" s="11">
        <v>3</v>
      </c>
      <c r="AB41" s="11">
        <v>30</v>
      </c>
      <c r="AC41" s="11">
        <v>0</v>
      </c>
      <c r="AD41" s="11">
        <v>0</v>
      </c>
      <c r="AE41" s="11">
        <v>1</v>
      </c>
      <c r="AF41" s="11">
        <v>2</v>
      </c>
      <c r="AG41" s="11">
        <v>221</v>
      </c>
      <c r="AH41" s="11">
        <v>324</v>
      </c>
      <c r="AI41" s="11">
        <v>69</v>
      </c>
      <c r="AJ41" s="11">
        <v>113428</v>
      </c>
      <c r="AK41" s="11">
        <v>5</v>
      </c>
      <c r="AL41" s="11">
        <v>49690</v>
      </c>
      <c r="AM41" s="11">
        <v>0</v>
      </c>
      <c r="AN41" s="11">
        <v>6.3E-3</v>
      </c>
      <c r="AO41" s="11">
        <v>150510</v>
      </c>
      <c r="AP41" s="11">
        <v>1.04</v>
      </c>
      <c r="AQ41" s="11">
        <v>0</v>
      </c>
      <c r="AR41" s="11">
        <v>90</v>
      </c>
      <c r="AS41" s="11">
        <v>732</v>
      </c>
      <c r="AT41" s="11">
        <v>3992.9</v>
      </c>
      <c r="AU41" s="11">
        <v>7</v>
      </c>
      <c r="AV41" s="11">
        <v>33</v>
      </c>
      <c r="AW41" s="11">
        <v>52</v>
      </c>
      <c r="AX41" s="11">
        <v>72</v>
      </c>
      <c r="AY41" s="11">
        <v>133</v>
      </c>
    </row>
    <row r="42" spans="1:52">
      <c r="A42" s="11" t="s">
        <v>118</v>
      </c>
      <c r="B42" s="149" t="s">
        <v>468</v>
      </c>
      <c r="C42" s="11" t="s">
        <v>140</v>
      </c>
      <c r="D42" s="11" t="s">
        <v>515</v>
      </c>
      <c r="E42" s="11" t="s">
        <v>516</v>
      </c>
      <c r="F42" s="184">
        <v>44424</v>
      </c>
      <c r="G42" s="11" t="s">
        <v>118</v>
      </c>
      <c r="H42" s="11">
        <v>0</v>
      </c>
      <c r="I42" s="11">
        <v>22250001</v>
      </c>
      <c r="J42" s="11">
        <v>16480285.48</v>
      </c>
      <c r="K42" s="11">
        <v>0</v>
      </c>
      <c r="L42" s="6">
        <f t="shared" si="0"/>
        <v>16480285.48</v>
      </c>
      <c r="M42" s="11">
        <v>81</v>
      </c>
      <c r="N42" s="11">
        <v>80</v>
      </c>
      <c r="O42" s="11">
        <v>3</v>
      </c>
      <c r="P42" s="11">
        <v>84</v>
      </c>
      <c r="Q42" s="11">
        <v>4</v>
      </c>
      <c r="R42" s="11">
        <v>15912841.560000001</v>
      </c>
      <c r="S42" s="11">
        <v>567443.92000000004</v>
      </c>
      <c r="T42" s="11">
        <v>57</v>
      </c>
      <c r="U42" s="11">
        <v>3</v>
      </c>
      <c r="V42" s="11">
        <v>60</v>
      </c>
      <c r="W42" s="11">
        <v>0</v>
      </c>
      <c r="X42" s="11">
        <v>11</v>
      </c>
      <c r="Y42" s="11">
        <v>13</v>
      </c>
      <c r="Z42" s="11">
        <v>42</v>
      </c>
      <c r="AA42" s="11">
        <v>1</v>
      </c>
      <c r="AB42" s="11">
        <v>37</v>
      </c>
      <c r="AC42" s="11">
        <v>0</v>
      </c>
      <c r="AD42" s="11">
        <v>0</v>
      </c>
      <c r="AE42" s="11">
        <v>0</v>
      </c>
      <c r="AF42" s="11">
        <v>0</v>
      </c>
      <c r="AG42" s="11">
        <v>307</v>
      </c>
      <c r="AH42" s="11">
        <v>357</v>
      </c>
      <c r="AI42" s="11">
        <v>68</v>
      </c>
      <c r="AJ42" s="11">
        <v>242357</v>
      </c>
      <c r="AK42" s="11">
        <v>5</v>
      </c>
      <c r="AL42" s="11">
        <v>51393</v>
      </c>
      <c r="AM42" s="11">
        <v>0</v>
      </c>
      <c r="AN42" s="11">
        <v>3.0999999999999999E-3</v>
      </c>
      <c r="AO42" s="11">
        <v>274671</v>
      </c>
      <c r="AP42" s="11">
        <v>0.74</v>
      </c>
      <c r="AQ42" s="11">
        <v>0</v>
      </c>
      <c r="AR42" s="11">
        <v>145</v>
      </c>
      <c r="AS42" s="11">
        <v>725</v>
      </c>
      <c r="AT42" s="11">
        <v>4288.58</v>
      </c>
      <c r="AU42" s="11">
        <v>3</v>
      </c>
      <c r="AV42" s="11">
        <v>54</v>
      </c>
      <c r="AW42" s="11">
        <v>60</v>
      </c>
      <c r="AX42" s="11">
        <v>20</v>
      </c>
      <c r="AY42" s="11">
        <v>4</v>
      </c>
    </row>
    <row r="43" spans="1:52">
      <c r="A43" s="11" t="s">
        <v>124</v>
      </c>
      <c r="B43" s="149" t="s">
        <v>443</v>
      </c>
      <c r="C43" s="11" t="s">
        <v>142</v>
      </c>
      <c r="D43" s="11" t="s">
        <v>517</v>
      </c>
      <c r="E43" s="11" t="s">
        <v>518</v>
      </c>
      <c r="F43" s="184">
        <v>44459</v>
      </c>
      <c r="G43" s="11" t="s">
        <v>124</v>
      </c>
      <c r="H43" s="11">
        <v>0</v>
      </c>
      <c r="I43" s="11">
        <v>5400000</v>
      </c>
      <c r="J43" s="11">
        <v>4690113.93</v>
      </c>
      <c r="K43" s="11">
        <v>0</v>
      </c>
      <c r="L43" s="6">
        <f t="shared" si="0"/>
        <v>4690113.93</v>
      </c>
      <c r="M43" s="11">
        <v>92</v>
      </c>
      <c r="N43" s="11">
        <v>31</v>
      </c>
      <c r="O43" s="11">
        <v>1</v>
      </c>
      <c r="P43" s="11">
        <v>93</v>
      </c>
      <c r="Q43" s="11">
        <v>62</v>
      </c>
      <c r="R43" s="11">
        <v>4690113.93</v>
      </c>
      <c r="S43" s="11">
        <v>0</v>
      </c>
      <c r="T43" s="11">
        <v>27</v>
      </c>
      <c r="U43" s="11">
        <v>0</v>
      </c>
      <c r="V43" s="11">
        <v>27</v>
      </c>
      <c r="W43" s="11">
        <v>0</v>
      </c>
      <c r="X43" s="11">
        <v>2</v>
      </c>
      <c r="Y43" s="11">
        <v>2</v>
      </c>
      <c r="Z43" s="11">
        <v>69</v>
      </c>
      <c r="AA43" s="11">
        <v>9</v>
      </c>
      <c r="AB43" s="11">
        <v>62</v>
      </c>
      <c r="AC43" s="11">
        <v>0</v>
      </c>
      <c r="AD43" s="11">
        <v>0</v>
      </c>
      <c r="AE43" s="11">
        <v>1</v>
      </c>
      <c r="AF43" s="11">
        <v>2</v>
      </c>
      <c r="AG43" s="11">
        <v>63</v>
      </c>
      <c r="AH43" s="11">
        <v>129</v>
      </c>
      <c r="AI43" s="11">
        <v>71</v>
      </c>
      <c r="AJ43" s="11">
        <v>66058</v>
      </c>
      <c r="AK43" s="11">
        <v>2</v>
      </c>
      <c r="AL43" s="11">
        <v>49585</v>
      </c>
      <c r="AM43" s="11">
        <v>0</v>
      </c>
      <c r="AN43" s="11">
        <v>1.06E-2</v>
      </c>
      <c r="AO43" s="11">
        <v>173708</v>
      </c>
      <c r="AP43" s="11">
        <v>0.68</v>
      </c>
      <c r="AQ43" s="11">
        <v>0</v>
      </c>
      <c r="AR43" s="11">
        <v>64</v>
      </c>
      <c r="AS43" s="11">
        <v>720</v>
      </c>
      <c r="AT43" s="11">
        <v>3486.25</v>
      </c>
      <c r="AU43" s="11">
        <v>0</v>
      </c>
      <c r="AV43" s="11">
        <v>112</v>
      </c>
      <c r="AW43" s="11">
        <v>27</v>
      </c>
      <c r="AX43" s="11">
        <v>13</v>
      </c>
      <c r="AY43" s="11">
        <v>53</v>
      </c>
    </row>
    <row r="44" spans="1:52">
      <c r="A44" s="11" t="s">
        <v>118</v>
      </c>
      <c r="B44" s="149" t="s">
        <v>375</v>
      </c>
      <c r="C44" s="11" t="s">
        <v>143</v>
      </c>
      <c r="D44" s="11" t="s">
        <v>473</v>
      </c>
      <c r="E44" s="11" t="s">
        <v>587</v>
      </c>
      <c r="F44" s="185">
        <v>45444</v>
      </c>
      <c r="G44" s="11" t="s">
        <v>119</v>
      </c>
      <c r="H44" s="11">
        <v>0</v>
      </c>
      <c r="I44" s="11">
        <v>1000000</v>
      </c>
      <c r="J44" s="11">
        <v>0</v>
      </c>
      <c r="K44" s="11">
        <v>0</v>
      </c>
      <c r="L44" s="6">
        <f t="shared" si="0"/>
        <v>0</v>
      </c>
      <c r="M44" s="11">
        <v>27</v>
      </c>
      <c r="N44" s="11">
        <v>12</v>
      </c>
      <c r="O44" s="11">
        <v>0</v>
      </c>
      <c r="P44" s="11">
        <v>27</v>
      </c>
      <c r="Q44" s="11">
        <v>15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38</v>
      </c>
      <c r="Y44" s="11">
        <v>38</v>
      </c>
      <c r="Z44" s="11">
        <v>132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12</v>
      </c>
      <c r="AH44" s="11">
        <v>50</v>
      </c>
      <c r="AI44" s="11">
        <v>11</v>
      </c>
      <c r="AJ44" s="11">
        <v>0</v>
      </c>
      <c r="AK44" s="11">
        <v>5</v>
      </c>
      <c r="AL44" s="11">
        <v>27000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104</v>
      </c>
      <c r="AT44" s="11">
        <v>510.76</v>
      </c>
      <c r="AU44" s="11">
        <v>0</v>
      </c>
      <c r="AV44" s="11">
        <v>43</v>
      </c>
      <c r="AW44" s="11">
        <v>0</v>
      </c>
      <c r="AX44" s="11">
        <v>12</v>
      </c>
      <c r="AY44" s="11">
        <v>15</v>
      </c>
      <c r="AZ44" s="184">
        <v>45853</v>
      </c>
    </row>
    <row r="45" spans="1:52">
      <c r="A45" s="11" t="s">
        <v>118</v>
      </c>
      <c r="B45" s="149" t="s">
        <v>484</v>
      </c>
      <c r="C45" s="11" t="s">
        <v>144</v>
      </c>
      <c r="D45" s="11" t="s">
        <v>497</v>
      </c>
      <c r="E45" s="11" t="s">
        <v>520</v>
      </c>
      <c r="F45" s="185">
        <v>44501</v>
      </c>
      <c r="G45" s="11" t="s">
        <v>118</v>
      </c>
      <c r="H45" s="11">
        <v>0</v>
      </c>
      <c r="I45" s="11">
        <v>13500000</v>
      </c>
      <c r="J45" s="11">
        <v>10133355.470000001</v>
      </c>
      <c r="K45" s="11">
        <v>0</v>
      </c>
      <c r="L45" s="6">
        <f t="shared" si="0"/>
        <v>10133355.470000001</v>
      </c>
      <c r="M45" s="11">
        <v>107</v>
      </c>
      <c r="N45" s="11">
        <v>86</v>
      </c>
      <c r="O45" s="11">
        <v>1</v>
      </c>
      <c r="P45" s="11">
        <v>108</v>
      </c>
      <c r="Q45" s="11">
        <v>22</v>
      </c>
      <c r="R45" s="11">
        <v>9943454.0500000007</v>
      </c>
      <c r="S45" s="11">
        <v>189901.42</v>
      </c>
      <c r="T45" s="11">
        <v>37</v>
      </c>
      <c r="U45" s="11">
        <v>1</v>
      </c>
      <c r="V45" s="11">
        <v>38</v>
      </c>
      <c r="W45" s="11">
        <v>0</v>
      </c>
      <c r="X45" s="11">
        <v>12</v>
      </c>
      <c r="Y45" s="11">
        <v>15</v>
      </c>
      <c r="Z45" s="11">
        <v>129</v>
      </c>
      <c r="AA45" s="11">
        <v>1</v>
      </c>
      <c r="AB45" s="11">
        <v>1</v>
      </c>
      <c r="AC45" s="11">
        <v>0</v>
      </c>
      <c r="AD45" s="11">
        <v>0</v>
      </c>
      <c r="AE45" s="11">
        <v>1</v>
      </c>
      <c r="AF45" s="11">
        <v>3</v>
      </c>
      <c r="AG45" s="11">
        <v>521</v>
      </c>
      <c r="AH45" s="11">
        <v>540</v>
      </c>
      <c r="AI45" s="11">
        <v>76</v>
      </c>
      <c r="AJ45" s="11">
        <v>133334</v>
      </c>
      <c r="AK45" s="11">
        <v>7</v>
      </c>
      <c r="AL45" s="11">
        <v>58700</v>
      </c>
      <c r="AM45" s="11">
        <v>0</v>
      </c>
      <c r="AN45" s="11">
        <v>5.7999999999999996E-3</v>
      </c>
      <c r="AO45" s="11">
        <v>266667</v>
      </c>
      <c r="AP45" s="11">
        <v>0.75</v>
      </c>
      <c r="AQ45" s="11">
        <v>0</v>
      </c>
      <c r="AR45" s="11">
        <v>78</v>
      </c>
      <c r="AS45" s="11">
        <v>704</v>
      </c>
      <c r="AT45" s="11">
        <v>4262.71</v>
      </c>
      <c r="AU45" s="11">
        <v>1</v>
      </c>
      <c r="AV45" s="11">
        <v>50</v>
      </c>
      <c r="AW45" s="11">
        <v>38</v>
      </c>
      <c r="AX45" s="11">
        <v>51</v>
      </c>
      <c r="AY45" s="11">
        <v>19</v>
      </c>
    </row>
    <row r="46" spans="1:52">
      <c r="A46" s="11" t="s">
        <v>201</v>
      </c>
      <c r="B46" s="149" t="s">
        <v>443</v>
      </c>
      <c r="C46" s="11" t="s">
        <v>145</v>
      </c>
      <c r="D46" s="11" t="s">
        <v>517</v>
      </c>
      <c r="E46" s="11" t="s">
        <v>521</v>
      </c>
      <c r="F46" s="185">
        <v>44501</v>
      </c>
      <c r="G46" s="11" t="s">
        <v>121</v>
      </c>
      <c r="H46" s="11">
        <v>0</v>
      </c>
      <c r="I46" s="11">
        <v>5280000</v>
      </c>
      <c r="J46" s="11">
        <v>2712224.29</v>
      </c>
      <c r="K46" s="11">
        <v>0</v>
      </c>
      <c r="L46" s="6">
        <f t="shared" si="0"/>
        <v>2712224.29</v>
      </c>
      <c r="M46" s="11">
        <v>76</v>
      </c>
      <c r="N46" s="11">
        <v>59</v>
      </c>
      <c r="O46" s="11">
        <v>1</v>
      </c>
      <c r="P46" s="11">
        <v>77</v>
      </c>
      <c r="Q46" s="11">
        <v>18</v>
      </c>
      <c r="R46" s="11">
        <v>2478606.48</v>
      </c>
      <c r="S46" s="11">
        <v>233617.81</v>
      </c>
      <c r="T46" s="11">
        <v>30</v>
      </c>
      <c r="U46" s="11">
        <v>1</v>
      </c>
      <c r="V46" s="11">
        <v>31</v>
      </c>
      <c r="W46" s="11">
        <v>0</v>
      </c>
      <c r="X46" s="11">
        <v>29</v>
      </c>
      <c r="Y46" s="11">
        <v>38</v>
      </c>
      <c r="Z46" s="11">
        <v>268</v>
      </c>
      <c r="AA46" s="11">
        <v>2</v>
      </c>
      <c r="AB46" s="11">
        <v>5</v>
      </c>
      <c r="AC46" s="11">
        <v>0</v>
      </c>
      <c r="AD46" s="11">
        <v>0</v>
      </c>
      <c r="AE46" s="11">
        <v>0</v>
      </c>
      <c r="AF46" s="11">
        <v>0</v>
      </c>
      <c r="AG46" s="11">
        <v>238</v>
      </c>
      <c r="AH46" s="11">
        <v>281</v>
      </c>
      <c r="AI46" s="11">
        <v>72</v>
      </c>
      <c r="AJ46" s="11">
        <v>37670</v>
      </c>
      <c r="AK46" s="11">
        <v>4</v>
      </c>
      <c r="AL46" s="11">
        <v>28500</v>
      </c>
      <c r="AM46" s="11">
        <v>0</v>
      </c>
      <c r="AN46" s="11">
        <v>1.0500000000000001E-2</v>
      </c>
      <c r="AO46" s="11">
        <v>87491</v>
      </c>
      <c r="AP46" s="11">
        <v>0.51</v>
      </c>
      <c r="AQ46" s="11">
        <v>0</v>
      </c>
      <c r="AR46" s="11">
        <v>97</v>
      </c>
      <c r="AS46" s="11">
        <v>903</v>
      </c>
      <c r="AT46" s="11">
        <v>5060.05</v>
      </c>
      <c r="AU46" s="11">
        <v>1</v>
      </c>
      <c r="AV46" s="11">
        <v>86</v>
      </c>
      <c r="AW46" s="11">
        <v>31</v>
      </c>
      <c r="AX46" s="11">
        <v>28</v>
      </c>
      <c r="AY46" s="11">
        <v>18</v>
      </c>
    </row>
    <row r="47" spans="1:52">
      <c r="A47" s="11" t="s">
        <v>118</v>
      </c>
      <c r="B47" s="149" t="s">
        <v>436</v>
      </c>
      <c r="C47" s="11" t="s">
        <v>146</v>
      </c>
      <c r="D47" s="11" t="s">
        <v>499</v>
      </c>
      <c r="E47" s="11" t="s">
        <v>522</v>
      </c>
      <c r="F47" s="185">
        <v>44508</v>
      </c>
      <c r="H47" s="11">
        <v>0</v>
      </c>
      <c r="I47" s="11">
        <v>0</v>
      </c>
      <c r="J47" s="11">
        <v>0</v>
      </c>
      <c r="K47" s="11">
        <v>0</v>
      </c>
      <c r="L47" s="6">
        <f t="shared" si="0"/>
        <v>0</v>
      </c>
      <c r="M47" s="11">
        <v>95</v>
      </c>
      <c r="N47" s="11">
        <v>0</v>
      </c>
      <c r="O47" s="11">
        <v>0</v>
      </c>
      <c r="P47" s="11">
        <v>95</v>
      </c>
      <c r="Q47" s="11">
        <v>95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96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31355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95</v>
      </c>
      <c r="AZ47" s="184">
        <v>45759</v>
      </c>
    </row>
    <row r="48" spans="1:52">
      <c r="A48" s="11" t="s">
        <v>201</v>
      </c>
      <c r="B48" s="149" t="s">
        <v>431</v>
      </c>
      <c r="C48" s="11" t="s">
        <v>147</v>
      </c>
      <c r="D48" s="11" t="s">
        <v>431</v>
      </c>
      <c r="E48" s="11" t="s">
        <v>523</v>
      </c>
      <c r="F48" s="184">
        <v>44511</v>
      </c>
      <c r="G48" s="11" t="s">
        <v>121</v>
      </c>
      <c r="H48" s="11">
        <v>600000</v>
      </c>
      <c r="I48" s="11">
        <v>5900001</v>
      </c>
      <c r="J48" s="11">
        <v>2960395.54</v>
      </c>
      <c r="K48" s="11">
        <v>245302.13</v>
      </c>
      <c r="L48" s="6">
        <f t="shared" si="0"/>
        <v>3205697.67</v>
      </c>
      <c r="M48" s="11">
        <v>77</v>
      </c>
      <c r="N48" s="11">
        <v>69</v>
      </c>
      <c r="O48" s="11">
        <v>4</v>
      </c>
      <c r="P48" s="11">
        <v>81</v>
      </c>
      <c r="Q48" s="11">
        <v>12</v>
      </c>
      <c r="R48" s="11">
        <v>2623081.16</v>
      </c>
      <c r="S48" s="11">
        <v>337314.38</v>
      </c>
      <c r="T48" s="11">
        <v>33</v>
      </c>
      <c r="U48" s="11">
        <v>4</v>
      </c>
      <c r="V48" s="11">
        <v>37</v>
      </c>
      <c r="W48" s="11">
        <v>1</v>
      </c>
      <c r="X48" s="11">
        <v>4</v>
      </c>
      <c r="Y48" s="11">
        <v>4</v>
      </c>
      <c r="Z48" s="11">
        <v>67</v>
      </c>
      <c r="AA48" s="11">
        <v>4</v>
      </c>
      <c r="AB48" s="11">
        <v>14</v>
      </c>
      <c r="AC48" s="11">
        <v>3</v>
      </c>
      <c r="AD48" s="11">
        <v>7</v>
      </c>
      <c r="AE48" s="11">
        <v>2</v>
      </c>
      <c r="AF48" s="11">
        <v>2</v>
      </c>
      <c r="AG48" s="11">
        <v>233</v>
      </c>
      <c r="AH48" s="11">
        <v>260</v>
      </c>
      <c r="AI48" s="11">
        <v>74</v>
      </c>
      <c r="AJ48" s="11">
        <v>40005</v>
      </c>
      <c r="AK48" s="11">
        <v>4</v>
      </c>
      <c r="AL48" s="11">
        <v>31231</v>
      </c>
      <c r="AM48" s="11">
        <v>0</v>
      </c>
      <c r="AN48" s="11">
        <v>1.0500000000000001E-2</v>
      </c>
      <c r="AO48" s="11">
        <v>80011</v>
      </c>
      <c r="AP48" s="11">
        <v>0.5</v>
      </c>
      <c r="AQ48" s="11">
        <v>0.41</v>
      </c>
      <c r="AR48" s="11">
        <v>68</v>
      </c>
      <c r="AS48" s="11">
        <v>528</v>
      </c>
      <c r="AT48" s="11">
        <v>3195.68</v>
      </c>
      <c r="AU48" s="11">
        <v>4</v>
      </c>
      <c r="AV48" s="11">
        <v>46</v>
      </c>
      <c r="AW48" s="11">
        <v>37</v>
      </c>
      <c r="AX48" s="11">
        <v>32</v>
      </c>
      <c r="AY48" s="11">
        <v>12</v>
      </c>
    </row>
    <row r="49" spans="1:52">
      <c r="A49" s="11" t="s">
        <v>124</v>
      </c>
      <c r="B49" s="149" t="s">
        <v>443</v>
      </c>
      <c r="C49" s="11" t="s">
        <v>148</v>
      </c>
      <c r="D49" s="11" t="s">
        <v>517</v>
      </c>
      <c r="E49" s="11" t="s">
        <v>537</v>
      </c>
      <c r="F49" s="186">
        <v>45778</v>
      </c>
      <c r="G49" s="11" t="s">
        <v>124</v>
      </c>
      <c r="H49" s="11">
        <v>0</v>
      </c>
      <c r="I49" s="11">
        <v>3600000</v>
      </c>
      <c r="J49" s="11">
        <v>1989153.98</v>
      </c>
      <c r="K49" s="11">
        <v>0</v>
      </c>
      <c r="L49" s="6">
        <f t="shared" si="0"/>
        <v>1989153.98</v>
      </c>
      <c r="M49" s="11">
        <v>78</v>
      </c>
      <c r="N49" s="11">
        <v>63</v>
      </c>
      <c r="O49" s="11">
        <v>7</v>
      </c>
      <c r="P49" s="11">
        <v>85</v>
      </c>
      <c r="Q49" s="11">
        <v>22</v>
      </c>
      <c r="R49" s="11">
        <v>1741536.5</v>
      </c>
      <c r="S49" s="11">
        <v>247617.48</v>
      </c>
      <c r="T49" s="11">
        <v>29</v>
      </c>
      <c r="U49" s="11">
        <v>7</v>
      </c>
      <c r="V49" s="11">
        <v>36</v>
      </c>
      <c r="W49" s="11">
        <v>0</v>
      </c>
      <c r="X49" s="11">
        <v>94</v>
      </c>
      <c r="Y49" s="11">
        <v>154</v>
      </c>
      <c r="Z49" s="11">
        <v>74</v>
      </c>
      <c r="AA49" s="11">
        <v>5</v>
      </c>
      <c r="AB49" s="11">
        <v>17</v>
      </c>
      <c r="AC49" s="11">
        <v>2</v>
      </c>
      <c r="AD49" s="11">
        <v>8</v>
      </c>
      <c r="AE49" s="11">
        <v>0</v>
      </c>
      <c r="AF49" s="11">
        <v>0</v>
      </c>
      <c r="AG49" s="11">
        <v>178</v>
      </c>
      <c r="AH49" s="11">
        <v>357</v>
      </c>
      <c r="AI49" s="11">
        <v>71</v>
      </c>
      <c r="AJ49" s="11">
        <v>28016</v>
      </c>
      <c r="AK49" s="11">
        <v>5</v>
      </c>
      <c r="AL49" s="11">
        <v>47173</v>
      </c>
      <c r="AM49" s="11">
        <v>0</v>
      </c>
      <c r="AN49" s="11">
        <v>2.3699999999999999E-2</v>
      </c>
      <c r="AO49" s="11">
        <v>55254</v>
      </c>
      <c r="AP49" s="11">
        <v>0.55000000000000004</v>
      </c>
      <c r="AQ49" s="11">
        <v>0</v>
      </c>
      <c r="AR49" s="11">
        <v>72</v>
      </c>
      <c r="AS49" s="11">
        <v>558</v>
      </c>
      <c r="AT49" s="11">
        <v>2542.34</v>
      </c>
      <c r="AU49" s="11">
        <v>7</v>
      </c>
      <c r="AV49" s="11">
        <v>40</v>
      </c>
      <c r="AW49" s="11">
        <v>36</v>
      </c>
      <c r="AX49" s="11">
        <v>32</v>
      </c>
      <c r="AY49" s="11">
        <v>17</v>
      </c>
    </row>
    <row r="50" spans="1:52">
      <c r="A50" s="11" t="s">
        <v>124</v>
      </c>
      <c r="B50" s="149" t="s">
        <v>443</v>
      </c>
      <c r="C50" s="11" t="s">
        <v>149</v>
      </c>
      <c r="D50" s="11" t="s">
        <v>517</v>
      </c>
      <c r="E50" s="11" t="s">
        <v>524</v>
      </c>
      <c r="F50" s="184">
        <v>44635</v>
      </c>
      <c r="G50" s="11" t="s">
        <v>124</v>
      </c>
      <c r="H50" s="11">
        <v>0</v>
      </c>
      <c r="I50" s="11">
        <v>0</v>
      </c>
      <c r="J50" s="11">
        <v>0</v>
      </c>
      <c r="K50" s="11">
        <v>0</v>
      </c>
      <c r="L50" s="6">
        <f t="shared" si="0"/>
        <v>0</v>
      </c>
      <c r="M50" s="11">
        <v>117</v>
      </c>
      <c r="N50" s="11">
        <v>0</v>
      </c>
      <c r="O50" s="11">
        <v>0</v>
      </c>
      <c r="P50" s="11">
        <v>117</v>
      </c>
      <c r="Q50" s="11">
        <v>117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128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38000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117</v>
      </c>
      <c r="AZ50" s="185">
        <v>45754</v>
      </c>
    </row>
    <row r="51" spans="1:52">
      <c r="A51" s="11" t="s">
        <v>201</v>
      </c>
      <c r="B51" s="149" t="s">
        <v>469</v>
      </c>
      <c r="C51" s="11" t="s">
        <v>150</v>
      </c>
      <c r="D51" s="11" t="s">
        <v>470</v>
      </c>
      <c r="E51" s="11" t="s">
        <v>525</v>
      </c>
      <c r="F51" s="184">
        <v>44662</v>
      </c>
      <c r="G51" s="11" t="s">
        <v>110</v>
      </c>
      <c r="H51" s="11">
        <v>300000</v>
      </c>
      <c r="I51" s="11">
        <v>4899999</v>
      </c>
      <c r="J51" s="11">
        <v>2126722.31</v>
      </c>
      <c r="K51" s="11">
        <v>0</v>
      </c>
      <c r="L51" s="6">
        <f t="shared" si="0"/>
        <v>2126722.31</v>
      </c>
      <c r="M51" s="11">
        <v>42</v>
      </c>
      <c r="N51" s="11">
        <v>36</v>
      </c>
      <c r="O51" s="11">
        <v>3</v>
      </c>
      <c r="P51" s="11">
        <v>45</v>
      </c>
      <c r="Q51" s="11">
        <v>9</v>
      </c>
      <c r="R51" s="11">
        <v>3049493.26</v>
      </c>
      <c r="S51" s="11">
        <v>130939.8</v>
      </c>
      <c r="T51" s="11">
        <v>18</v>
      </c>
      <c r="U51" s="11">
        <v>3</v>
      </c>
      <c r="V51" s="11">
        <v>21</v>
      </c>
      <c r="W51" s="11">
        <v>0</v>
      </c>
      <c r="X51" s="11">
        <v>130</v>
      </c>
      <c r="Y51" s="11">
        <v>174</v>
      </c>
      <c r="Z51" s="11">
        <v>350</v>
      </c>
      <c r="AA51" s="11">
        <v>0</v>
      </c>
      <c r="AB51" s="11">
        <v>0</v>
      </c>
      <c r="AC51" s="11">
        <v>0</v>
      </c>
      <c r="AD51" s="11">
        <v>0</v>
      </c>
      <c r="AE51" s="11">
        <v>1</v>
      </c>
      <c r="AF51" s="11">
        <v>1</v>
      </c>
      <c r="AG51" s="11">
        <v>149</v>
      </c>
      <c r="AH51" s="11">
        <v>324</v>
      </c>
      <c r="AI51" s="11">
        <v>67</v>
      </c>
      <c r="AJ51" s="11">
        <v>47469</v>
      </c>
      <c r="AK51" s="11">
        <v>5</v>
      </c>
      <c r="AL51" s="11">
        <v>33718</v>
      </c>
      <c r="AM51" s="11">
        <v>0</v>
      </c>
      <c r="AN51" s="11">
        <v>1.06E-2</v>
      </c>
      <c r="AO51" s="11">
        <v>151449</v>
      </c>
      <c r="AP51" s="11">
        <v>0.65</v>
      </c>
      <c r="AQ51" s="11">
        <v>0</v>
      </c>
      <c r="AR51" s="11">
        <v>38</v>
      </c>
      <c r="AS51" s="11">
        <v>465</v>
      </c>
      <c r="AT51" s="11">
        <v>4253.24</v>
      </c>
      <c r="AU51" s="11">
        <v>3</v>
      </c>
      <c r="AV51" s="11">
        <v>118</v>
      </c>
      <c r="AW51" s="11">
        <v>21</v>
      </c>
      <c r="AX51" s="11">
        <v>19</v>
      </c>
      <c r="AY51" s="11">
        <v>5</v>
      </c>
    </row>
    <row r="52" spans="1:52">
      <c r="A52" s="11" t="s">
        <v>154</v>
      </c>
      <c r="B52" s="149" t="s">
        <v>370</v>
      </c>
      <c r="C52" s="11" t="s">
        <v>151</v>
      </c>
      <c r="D52" s="11" t="s">
        <v>542</v>
      </c>
      <c r="E52" s="11" t="s">
        <v>640</v>
      </c>
      <c r="F52" s="186">
        <v>45778</v>
      </c>
      <c r="G52" s="11" t="s">
        <v>196</v>
      </c>
      <c r="H52" s="11">
        <v>0</v>
      </c>
      <c r="I52" s="11">
        <v>0</v>
      </c>
      <c r="J52" s="11">
        <v>0</v>
      </c>
      <c r="K52" s="11">
        <v>0</v>
      </c>
      <c r="L52" s="6">
        <f t="shared" si="0"/>
        <v>0</v>
      </c>
      <c r="M52" s="11">
        <v>58</v>
      </c>
      <c r="N52" s="11">
        <v>10</v>
      </c>
      <c r="O52" s="11">
        <v>0</v>
      </c>
      <c r="P52" s="11">
        <v>58</v>
      </c>
      <c r="Q52" s="11">
        <v>48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14</v>
      </c>
      <c r="Y52" s="11">
        <v>16</v>
      </c>
      <c r="Z52" s="11">
        <v>85</v>
      </c>
      <c r="AA52" s="11">
        <v>6</v>
      </c>
      <c r="AB52" s="11">
        <v>16</v>
      </c>
      <c r="AC52" s="11">
        <v>0</v>
      </c>
      <c r="AD52" s="11">
        <v>0</v>
      </c>
      <c r="AE52" s="11">
        <v>9</v>
      </c>
      <c r="AF52" s="11">
        <v>15</v>
      </c>
      <c r="AG52" s="11">
        <v>24</v>
      </c>
      <c r="AH52" s="11">
        <v>71</v>
      </c>
      <c r="AI52" s="11">
        <v>32</v>
      </c>
      <c r="AJ52" s="11">
        <v>0</v>
      </c>
      <c r="AK52" s="11">
        <v>2</v>
      </c>
      <c r="AL52" s="11">
        <v>50860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335</v>
      </c>
      <c r="AT52" s="11">
        <v>5676.7</v>
      </c>
      <c r="AU52" s="11">
        <v>0</v>
      </c>
      <c r="AV52" s="11">
        <v>568</v>
      </c>
      <c r="AW52" s="11">
        <v>0</v>
      </c>
      <c r="AX52" s="11">
        <v>10</v>
      </c>
      <c r="AY52" s="11">
        <v>48</v>
      </c>
      <c r="AZ52" s="184">
        <v>45899</v>
      </c>
    </row>
    <row r="53" spans="1:52">
      <c r="A53" s="11" t="s">
        <v>136</v>
      </c>
      <c r="B53" s="149" t="s">
        <v>653</v>
      </c>
      <c r="C53" s="11" t="s">
        <v>152</v>
      </c>
      <c r="D53" s="11" t="s">
        <v>421</v>
      </c>
      <c r="E53" s="11" t="s">
        <v>526</v>
      </c>
      <c r="F53" s="186">
        <v>44684</v>
      </c>
      <c r="G53" s="11" t="s">
        <v>136</v>
      </c>
      <c r="H53" s="11">
        <v>999999</v>
      </c>
      <c r="I53" s="11">
        <v>6000000</v>
      </c>
      <c r="J53" s="11">
        <v>3141289.95</v>
      </c>
      <c r="K53" s="11">
        <v>0</v>
      </c>
      <c r="L53" s="6">
        <f t="shared" si="0"/>
        <v>3141289.95</v>
      </c>
      <c r="M53" s="11">
        <v>32</v>
      </c>
      <c r="N53" s="11">
        <v>0</v>
      </c>
      <c r="O53" s="11">
        <v>0</v>
      </c>
      <c r="P53" s="11">
        <v>32</v>
      </c>
      <c r="Q53" s="11">
        <v>32</v>
      </c>
      <c r="R53" s="11">
        <v>3141289.95</v>
      </c>
      <c r="S53" s="11">
        <v>0</v>
      </c>
      <c r="T53" s="11">
        <v>12</v>
      </c>
      <c r="U53" s="11">
        <v>0</v>
      </c>
      <c r="V53" s="11">
        <v>12</v>
      </c>
      <c r="W53" s="11">
        <v>0</v>
      </c>
      <c r="X53" s="11">
        <v>0</v>
      </c>
      <c r="Y53" s="11">
        <v>0</v>
      </c>
      <c r="Z53" s="11">
        <v>106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34394</v>
      </c>
      <c r="AM53" s="11">
        <v>0</v>
      </c>
      <c r="AN53" s="11">
        <v>1.09E-2</v>
      </c>
      <c r="AO53" s="11">
        <v>261774</v>
      </c>
      <c r="AP53" s="11">
        <v>0.52</v>
      </c>
      <c r="AQ53" s="11">
        <v>1.71</v>
      </c>
      <c r="AR53" s="11">
        <v>23</v>
      </c>
      <c r="AS53" s="11">
        <v>0</v>
      </c>
      <c r="AT53" s="11">
        <v>0</v>
      </c>
      <c r="AU53" s="11">
        <v>0</v>
      </c>
      <c r="AV53" s="11">
        <v>0</v>
      </c>
      <c r="AW53" s="11">
        <v>12</v>
      </c>
      <c r="AX53" s="11">
        <v>0</v>
      </c>
      <c r="AY53" s="11">
        <v>20</v>
      </c>
    </row>
    <row r="54" spans="1:52">
      <c r="A54" s="11" t="s">
        <v>124</v>
      </c>
      <c r="B54" s="149" t="s">
        <v>443</v>
      </c>
      <c r="C54" s="11" t="s">
        <v>153</v>
      </c>
      <c r="D54" s="11" t="s">
        <v>517</v>
      </c>
      <c r="E54" s="11" t="s">
        <v>527</v>
      </c>
      <c r="F54" s="187">
        <v>44697</v>
      </c>
      <c r="G54" s="11" t="s">
        <v>142</v>
      </c>
      <c r="H54" s="11">
        <v>0</v>
      </c>
      <c r="I54" s="11">
        <v>3600000</v>
      </c>
      <c r="J54" s="11">
        <v>2745833.4</v>
      </c>
      <c r="K54" s="11">
        <v>0</v>
      </c>
      <c r="L54" s="6">
        <f t="shared" si="0"/>
        <v>2745833.4</v>
      </c>
      <c r="M54" s="11">
        <v>76</v>
      </c>
      <c r="N54" s="11">
        <v>59</v>
      </c>
      <c r="O54" s="11">
        <v>4</v>
      </c>
      <c r="P54" s="11">
        <v>80</v>
      </c>
      <c r="Q54" s="11">
        <v>21</v>
      </c>
      <c r="R54" s="11">
        <v>2528585.7799999998</v>
      </c>
      <c r="S54" s="11">
        <v>217247.62</v>
      </c>
      <c r="T54" s="11">
        <v>26</v>
      </c>
      <c r="U54" s="11">
        <v>4</v>
      </c>
      <c r="V54" s="11">
        <v>30</v>
      </c>
      <c r="W54" s="11">
        <v>0</v>
      </c>
      <c r="X54" s="11">
        <v>17</v>
      </c>
      <c r="Y54" s="11">
        <v>19</v>
      </c>
      <c r="Z54" s="11">
        <v>279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266</v>
      </c>
      <c r="AH54" s="11">
        <v>285</v>
      </c>
      <c r="AI54" s="11">
        <v>68</v>
      </c>
      <c r="AJ54" s="11">
        <v>40380</v>
      </c>
      <c r="AK54" s="11">
        <v>4</v>
      </c>
      <c r="AL54" s="11">
        <v>36720</v>
      </c>
      <c r="AM54" s="11">
        <v>0</v>
      </c>
      <c r="AN54" s="11">
        <v>1.34E-2</v>
      </c>
      <c r="AO54" s="11">
        <v>91528</v>
      </c>
      <c r="AP54" s="11">
        <v>0.76</v>
      </c>
      <c r="AQ54" s="11">
        <v>0</v>
      </c>
      <c r="AR54" s="11">
        <v>89</v>
      </c>
      <c r="AS54" s="11">
        <v>597</v>
      </c>
      <c r="AT54" s="11">
        <v>5078.59</v>
      </c>
      <c r="AU54" s="11">
        <v>4</v>
      </c>
      <c r="AV54" s="11">
        <v>86</v>
      </c>
      <c r="AW54" s="11">
        <v>30</v>
      </c>
      <c r="AX54" s="11">
        <v>30</v>
      </c>
      <c r="AY54" s="11">
        <v>20</v>
      </c>
    </row>
    <row r="55" spans="1:52">
      <c r="A55" s="11" t="s">
        <v>108</v>
      </c>
      <c r="B55" s="149" t="s">
        <v>465</v>
      </c>
      <c r="C55" s="11" t="s">
        <v>156</v>
      </c>
      <c r="D55" s="11" t="s">
        <v>506</v>
      </c>
      <c r="E55" s="11" t="s">
        <v>461</v>
      </c>
      <c r="F55" s="187">
        <v>44693</v>
      </c>
      <c r="G55" s="11" t="s">
        <v>317</v>
      </c>
      <c r="H55" s="11">
        <v>0</v>
      </c>
      <c r="I55" s="11">
        <v>3520000</v>
      </c>
      <c r="J55" s="11">
        <v>2722232.41</v>
      </c>
      <c r="K55" s="11">
        <v>0</v>
      </c>
      <c r="L55" s="6">
        <f t="shared" si="0"/>
        <v>2722232.41</v>
      </c>
      <c r="M55" s="11">
        <v>69</v>
      </c>
      <c r="N55" s="11">
        <v>48</v>
      </c>
      <c r="O55" s="11">
        <v>5</v>
      </c>
      <c r="P55" s="11">
        <v>74</v>
      </c>
      <c r="Q55" s="11">
        <v>26</v>
      </c>
      <c r="R55" s="11">
        <v>2650724.41</v>
      </c>
      <c r="S55" s="11">
        <v>71508</v>
      </c>
      <c r="T55" s="11">
        <v>23</v>
      </c>
      <c r="U55" s="11">
        <v>2</v>
      </c>
      <c r="V55" s="11">
        <v>25</v>
      </c>
      <c r="W55" s="11">
        <v>0</v>
      </c>
      <c r="X55" s="11">
        <v>4</v>
      </c>
      <c r="Y55" s="11">
        <v>7</v>
      </c>
      <c r="Z55" s="11">
        <v>39</v>
      </c>
      <c r="AA55" s="11">
        <v>1</v>
      </c>
      <c r="AB55" s="11">
        <v>5</v>
      </c>
      <c r="AC55" s="11">
        <v>0</v>
      </c>
      <c r="AD55" s="11">
        <v>0</v>
      </c>
      <c r="AE55" s="11">
        <v>0</v>
      </c>
      <c r="AF55" s="11">
        <v>0</v>
      </c>
      <c r="AG55" s="11">
        <v>304</v>
      </c>
      <c r="AH55" s="11">
        <v>316</v>
      </c>
      <c r="AI55" s="11">
        <v>72</v>
      </c>
      <c r="AJ55" s="11">
        <v>37809</v>
      </c>
      <c r="AK55" s="11">
        <v>4</v>
      </c>
      <c r="AL55" s="11">
        <v>34025</v>
      </c>
      <c r="AM55" s="11">
        <v>0</v>
      </c>
      <c r="AN55" s="11">
        <v>1.2500000000000001E-2</v>
      </c>
      <c r="AO55" s="11">
        <v>108889</v>
      </c>
      <c r="AP55" s="11">
        <v>0.77</v>
      </c>
      <c r="AQ55" s="11">
        <v>0</v>
      </c>
      <c r="AR55" s="11">
        <v>55</v>
      </c>
      <c r="AS55" s="11">
        <v>692</v>
      </c>
      <c r="AT55" s="11">
        <v>2844.59</v>
      </c>
      <c r="AU55" s="11">
        <v>2</v>
      </c>
      <c r="AV55" s="11">
        <v>59</v>
      </c>
      <c r="AW55" s="11">
        <v>25</v>
      </c>
      <c r="AX55" s="11">
        <v>25</v>
      </c>
      <c r="AY55" s="11">
        <v>24</v>
      </c>
    </row>
    <row r="56" spans="1:52">
      <c r="A56" s="11" t="s">
        <v>118</v>
      </c>
      <c r="B56" s="149" t="s">
        <v>375</v>
      </c>
      <c r="C56" s="11" t="s">
        <v>157</v>
      </c>
      <c r="D56" s="11" t="s">
        <v>473</v>
      </c>
      <c r="E56" s="11" t="s">
        <v>502</v>
      </c>
      <c r="F56" s="185">
        <v>44743</v>
      </c>
      <c r="G56" s="11" t="s">
        <v>119</v>
      </c>
      <c r="H56" s="11">
        <v>0</v>
      </c>
      <c r="I56" s="11">
        <v>3600000</v>
      </c>
      <c r="J56" s="11">
        <v>1139571.3400000001</v>
      </c>
      <c r="K56" s="11">
        <v>0</v>
      </c>
      <c r="L56" s="6">
        <f t="shared" si="0"/>
        <v>1139571.3400000001</v>
      </c>
      <c r="M56" s="11">
        <v>75</v>
      </c>
      <c r="N56" s="11">
        <v>71</v>
      </c>
      <c r="O56" s="11">
        <v>1</v>
      </c>
      <c r="P56" s="11">
        <v>76</v>
      </c>
      <c r="Q56" s="11">
        <v>5</v>
      </c>
      <c r="R56" s="11">
        <v>1127377.8400000001</v>
      </c>
      <c r="S56" s="11">
        <v>12193.5</v>
      </c>
      <c r="T56" s="11">
        <v>30</v>
      </c>
      <c r="U56" s="11">
        <v>1</v>
      </c>
      <c r="V56" s="11">
        <v>31</v>
      </c>
      <c r="W56" s="11">
        <v>0</v>
      </c>
      <c r="X56" s="11">
        <v>18</v>
      </c>
      <c r="Y56" s="11">
        <v>25</v>
      </c>
      <c r="Z56" s="11">
        <v>151</v>
      </c>
      <c r="AA56" s="11">
        <v>3</v>
      </c>
      <c r="AB56" s="11">
        <v>7</v>
      </c>
      <c r="AC56" s="11">
        <v>0</v>
      </c>
      <c r="AD56" s="11">
        <v>0</v>
      </c>
      <c r="AE56" s="11">
        <v>0</v>
      </c>
      <c r="AF56" s="11">
        <v>0</v>
      </c>
      <c r="AG56" s="11">
        <v>288</v>
      </c>
      <c r="AH56" s="11">
        <v>320</v>
      </c>
      <c r="AI56" s="11">
        <v>77</v>
      </c>
      <c r="AJ56" s="11">
        <v>14800</v>
      </c>
      <c r="AK56" s="11">
        <v>4</v>
      </c>
      <c r="AL56" s="11">
        <v>30425</v>
      </c>
      <c r="AM56" s="11">
        <v>0</v>
      </c>
      <c r="AN56" s="11">
        <v>2.6700000000000002E-2</v>
      </c>
      <c r="AO56" s="11">
        <v>36760</v>
      </c>
      <c r="AP56" s="11">
        <v>0.32</v>
      </c>
      <c r="AQ56" s="11">
        <v>0</v>
      </c>
      <c r="AR56" s="11">
        <v>64</v>
      </c>
      <c r="AS56" s="11">
        <v>918</v>
      </c>
      <c r="AT56" s="11">
        <v>5994.58</v>
      </c>
      <c r="AU56" s="11">
        <v>1</v>
      </c>
      <c r="AV56" s="11">
        <v>84</v>
      </c>
      <c r="AW56" s="11">
        <v>31</v>
      </c>
      <c r="AX56" s="11">
        <v>42</v>
      </c>
      <c r="AY56" s="11">
        <v>3</v>
      </c>
    </row>
    <row r="57" spans="1:52">
      <c r="A57" s="11" t="s">
        <v>117</v>
      </c>
      <c r="B57" s="149" t="s">
        <v>450</v>
      </c>
      <c r="C57" s="11" t="s">
        <v>158</v>
      </c>
      <c r="D57" s="11" t="s">
        <v>482</v>
      </c>
      <c r="E57" s="11" t="s">
        <v>628</v>
      </c>
      <c r="F57" s="184">
        <v>45638</v>
      </c>
      <c r="G57" s="11" t="s">
        <v>117</v>
      </c>
      <c r="H57" s="11">
        <v>0</v>
      </c>
      <c r="I57" s="11">
        <v>3125001</v>
      </c>
      <c r="J57" s="11">
        <v>199589.86</v>
      </c>
      <c r="K57" s="11">
        <v>0</v>
      </c>
      <c r="L57" s="6">
        <f t="shared" si="0"/>
        <v>199589.86</v>
      </c>
      <c r="M57" s="11">
        <v>97</v>
      </c>
      <c r="N57" s="11">
        <v>9</v>
      </c>
      <c r="O57" s="11">
        <v>0</v>
      </c>
      <c r="P57" s="11">
        <v>97</v>
      </c>
      <c r="Q57" s="11">
        <v>88</v>
      </c>
      <c r="R57" s="11">
        <v>199589.86</v>
      </c>
      <c r="S57" s="11">
        <v>0</v>
      </c>
      <c r="T57" s="11">
        <v>13</v>
      </c>
      <c r="U57" s="11">
        <v>0</v>
      </c>
      <c r="V57" s="11">
        <v>13</v>
      </c>
      <c r="W57" s="11">
        <v>0</v>
      </c>
      <c r="X57" s="11">
        <v>80</v>
      </c>
      <c r="Y57" s="11">
        <v>170</v>
      </c>
      <c r="Z57" s="11">
        <v>194</v>
      </c>
      <c r="AA57" s="11">
        <v>1</v>
      </c>
      <c r="AB57" s="11">
        <v>14</v>
      </c>
      <c r="AC57" s="11">
        <v>0</v>
      </c>
      <c r="AD57" s="11">
        <v>0</v>
      </c>
      <c r="AE57" s="11">
        <v>0</v>
      </c>
      <c r="AF57" s="11">
        <v>0</v>
      </c>
      <c r="AG57" s="11">
        <v>9</v>
      </c>
      <c r="AH57" s="11">
        <v>193</v>
      </c>
      <c r="AI57" s="11">
        <v>65</v>
      </c>
      <c r="AJ57" s="11">
        <v>3071</v>
      </c>
      <c r="AK57" s="11">
        <v>3</v>
      </c>
      <c r="AL57" s="11">
        <v>47720</v>
      </c>
      <c r="AM57" s="11">
        <v>0</v>
      </c>
      <c r="AN57" s="11">
        <v>0.23910000000000001</v>
      </c>
      <c r="AO57" s="11">
        <v>15353</v>
      </c>
      <c r="AP57" s="11">
        <v>0.06</v>
      </c>
      <c r="AQ57" s="11">
        <v>0</v>
      </c>
      <c r="AR57" s="11">
        <v>23</v>
      </c>
      <c r="AS57" s="11">
        <v>710</v>
      </c>
      <c r="AT57" s="11">
        <v>1954.29</v>
      </c>
      <c r="AU57" s="11">
        <v>0</v>
      </c>
      <c r="AV57" s="11">
        <v>217</v>
      </c>
      <c r="AW57" s="11">
        <v>13</v>
      </c>
      <c r="AX57" s="11">
        <v>6</v>
      </c>
      <c r="AY57" s="11">
        <v>78</v>
      </c>
    </row>
    <row r="58" spans="1:52">
      <c r="A58" s="11" t="s">
        <v>201</v>
      </c>
      <c r="B58" s="149" t="s">
        <v>469</v>
      </c>
      <c r="C58" s="11" t="s">
        <v>159</v>
      </c>
      <c r="D58" s="11" t="s">
        <v>470</v>
      </c>
      <c r="E58" s="11" t="s">
        <v>528</v>
      </c>
      <c r="F58" s="185">
        <v>44805</v>
      </c>
      <c r="G58" s="11" t="s">
        <v>110</v>
      </c>
      <c r="H58" s="11">
        <v>600000</v>
      </c>
      <c r="I58" s="11">
        <v>4400001</v>
      </c>
      <c r="J58" s="11">
        <v>444877.3</v>
      </c>
      <c r="K58" s="11">
        <v>311926.90999999997</v>
      </c>
      <c r="L58" s="6">
        <f t="shared" si="0"/>
        <v>756804.21</v>
      </c>
      <c r="M58" s="11">
        <v>76</v>
      </c>
      <c r="N58" s="11">
        <v>61</v>
      </c>
      <c r="O58" s="11">
        <v>2</v>
      </c>
      <c r="P58" s="11">
        <v>78</v>
      </c>
      <c r="Q58" s="11">
        <v>17</v>
      </c>
      <c r="R58" s="11">
        <v>387403.6</v>
      </c>
      <c r="S58" s="11">
        <v>57473.7</v>
      </c>
      <c r="T58" s="11">
        <v>22</v>
      </c>
      <c r="U58" s="11">
        <v>2</v>
      </c>
      <c r="V58" s="11">
        <v>24</v>
      </c>
      <c r="W58" s="11">
        <v>2</v>
      </c>
      <c r="X58" s="11">
        <v>67</v>
      </c>
      <c r="Y58" s="11">
        <v>73</v>
      </c>
      <c r="Z58" s="11">
        <v>322</v>
      </c>
      <c r="AA58" s="11">
        <v>2</v>
      </c>
      <c r="AB58" s="11">
        <v>18</v>
      </c>
      <c r="AC58" s="11">
        <v>3</v>
      </c>
      <c r="AD58" s="11">
        <v>15</v>
      </c>
      <c r="AE58" s="11">
        <v>1</v>
      </c>
      <c r="AF58" s="11">
        <v>1</v>
      </c>
      <c r="AG58" s="11">
        <v>156</v>
      </c>
      <c r="AH58" s="11">
        <v>263</v>
      </c>
      <c r="AI58" s="11">
        <v>59</v>
      </c>
      <c r="AJ58" s="11">
        <v>7540</v>
      </c>
      <c r="AK58" s="11">
        <v>4</v>
      </c>
      <c r="AL58" s="11">
        <v>31260</v>
      </c>
      <c r="AM58" s="11">
        <v>0</v>
      </c>
      <c r="AN58" s="11">
        <v>7.0300000000000001E-2</v>
      </c>
      <c r="AO58" s="11">
        <v>18537</v>
      </c>
      <c r="AP58" s="11">
        <v>0.1</v>
      </c>
      <c r="AQ58" s="11">
        <v>0.52</v>
      </c>
      <c r="AR58" s="11">
        <v>34</v>
      </c>
      <c r="AS58" s="11">
        <v>483</v>
      </c>
      <c r="AT58" s="11">
        <v>2793.21</v>
      </c>
      <c r="AU58" s="11">
        <v>2</v>
      </c>
      <c r="AV58" s="11">
        <v>46</v>
      </c>
      <c r="AW58" s="11">
        <v>24</v>
      </c>
      <c r="AX58" s="11">
        <v>37</v>
      </c>
      <c r="AY58" s="11">
        <v>17</v>
      </c>
      <c r="AZ58" s="184">
        <v>45913</v>
      </c>
    </row>
    <row r="59" spans="1:52">
      <c r="A59" s="11" t="s">
        <v>120</v>
      </c>
      <c r="B59" s="149" t="s">
        <v>206</v>
      </c>
      <c r="C59" s="11" t="s">
        <v>139</v>
      </c>
      <c r="D59" s="11" t="s">
        <v>206</v>
      </c>
      <c r="E59" s="11" t="s">
        <v>141</v>
      </c>
      <c r="F59" s="185">
        <v>44809</v>
      </c>
      <c r="G59" s="11" t="s">
        <v>120</v>
      </c>
      <c r="H59" s="11">
        <v>0</v>
      </c>
      <c r="I59" s="11">
        <v>5400000</v>
      </c>
      <c r="J59" s="11">
        <v>4817196.1900000004</v>
      </c>
      <c r="K59" s="11">
        <v>0</v>
      </c>
      <c r="L59" s="6">
        <f t="shared" si="0"/>
        <v>4817196.1900000004</v>
      </c>
      <c r="M59" s="11">
        <v>99</v>
      </c>
      <c r="N59" s="11">
        <v>83</v>
      </c>
      <c r="O59" s="11">
        <v>3</v>
      </c>
      <c r="P59" s="11">
        <v>102</v>
      </c>
      <c r="Q59" s="11">
        <v>19</v>
      </c>
      <c r="R59" s="11">
        <v>4756458.59</v>
      </c>
      <c r="S59" s="11">
        <v>60737.599999999999</v>
      </c>
      <c r="T59" s="11">
        <v>60</v>
      </c>
      <c r="U59" s="11">
        <v>1</v>
      </c>
      <c r="V59" s="11">
        <v>61</v>
      </c>
      <c r="W59" s="11">
        <v>0</v>
      </c>
      <c r="X59" s="11">
        <v>20</v>
      </c>
      <c r="Y59" s="11">
        <v>23</v>
      </c>
      <c r="Z59" s="11">
        <v>195</v>
      </c>
      <c r="AA59" s="11">
        <v>5</v>
      </c>
      <c r="AB59" s="11">
        <v>62</v>
      </c>
      <c r="AC59" s="11">
        <v>0</v>
      </c>
      <c r="AD59" s="11">
        <v>0</v>
      </c>
      <c r="AE59" s="11">
        <v>0</v>
      </c>
      <c r="AF59" s="11">
        <v>0</v>
      </c>
      <c r="AG59" s="11">
        <v>340</v>
      </c>
      <c r="AH59" s="11">
        <v>425</v>
      </c>
      <c r="AI59" s="11">
        <v>73</v>
      </c>
      <c r="AJ59" s="11">
        <v>65989</v>
      </c>
      <c r="AK59" s="11">
        <v>6</v>
      </c>
      <c r="AL59" s="11">
        <v>33717</v>
      </c>
      <c r="AM59" s="11">
        <v>0</v>
      </c>
      <c r="AN59" s="11">
        <v>7.0000000000000001E-3</v>
      </c>
      <c r="AO59" s="11">
        <v>78970</v>
      </c>
      <c r="AP59" s="11">
        <v>0.89</v>
      </c>
      <c r="AQ59" s="11">
        <v>0</v>
      </c>
      <c r="AR59" s="11">
        <v>221</v>
      </c>
      <c r="AS59" s="11">
        <v>717</v>
      </c>
      <c r="AT59" s="11">
        <v>2700.31</v>
      </c>
      <c r="AU59" s="11">
        <v>1</v>
      </c>
      <c r="AV59" s="11">
        <v>33</v>
      </c>
      <c r="AW59" s="11">
        <v>61</v>
      </c>
      <c r="AX59" s="11">
        <v>26</v>
      </c>
      <c r="AY59" s="11">
        <v>15</v>
      </c>
    </row>
    <row r="60" spans="1:52">
      <c r="A60" s="11" t="s">
        <v>124</v>
      </c>
      <c r="B60" s="149" t="s">
        <v>443</v>
      </c>
      <c r="C60" s="11" t="s">
        <v>162</v>
      </c>
      <c r="D60" s="11" t="s">
        <v>517</v>
      </c>
      <c r="E60" s="11" t="s">
        <v>503</v>
      </c>
      <c r="F60" s="184">
        <v>44825</v>
      </c>
      <c r="G60" s="11" t="s">
        <v>124</v>
      </c>
      <c r="H60" s="11">
        <v>0</v>
      </c>
      <c r="I60" s="11">
        <v>5400000</v>
      </c>
      <c r="J60" s="11">
        <v>2452000.7999999998</v>
      </c>
      <c r="K60" s="11">
        <v>0</v>
      </c>
      <c r="L60" s="6">
        <f t="shared" si="0"/>
        <v>2452000.7999999998</v>
      </c>
      <c r="M60" s="11">
        <v>93</v>
      </c>
      <c r="N60" s="11">
        <v>77</v>
      </c>
      <c r="O60" s="11">
        <v>1</v>
      </c>
      <c r="P60" s="11">
        <v>94</v>
      </c>
      <c r="Q60" s="11">
        <v>17</v>
      </c>
      <c r="R60" s="11">
        <v>2432776.7999999998</v>
      </c>
      <c r="S60" s="11">
        <v>19224</v>
      </c>
      <c r="T60" s="11">
        <v>37</v>
      </c>
      <c r="U60" s="11">
        <v>1</v>
      </c>
      <c r="V60" s="11">
        <v>38</v>
      </c>
      <c r="W60" s="11">
        <v>0</v>
      </c>
      <c r="X60" s="11">
        <v>16</v>
      </c>
      <c r="Y60" s="11">
        <v>22</v>
      </c>
      <c r="Z60" s="11">
        <v>155</v>
      </c>
      <c r="AA60" s="11">
        <v>1</v>
      </c>
      <c r="AB60" s="11">
        <v>20</v>
      </c>
      <c r="AC60" s="11">
        <v>1</v>
      </c>
      <c r="AD60" s="11">
        <v>2</v>
      </c>
      <c r="AE60" s="11">
        <v>0</v>
      </c>
      <c r="AF60" s="11">
        <v>0</v>
      </c>
      <c r="AG60" s="11">
        <v>379</v>
      </c>
      <c r="AH60" s="11">
        <v>423</v>
      </c>
      <c r="AI60" s="11">
        <v>73</v>
      </c>
      <c r="AJ60" s="11">
        <v>33589</v>
      </c>
      <c r="AK60" s="11">
        <v>6</v>
      </c>
      <c r="AL60" s="11">
        <v>45000</v>
      </c>
      <c r="AM60" s="11">
        <v>0</v>
      </c>
      <c r="AN60" s="11">
        <v>1.84E-2</v>
      </c>
      <c r="AO60" s="11">
        <v>64526</v>
      </c>
      <c r="AP60" s="11">
        <v>0.45</v>
      </c>
      <c r="AQ60" s="11">
        <v>0</v>
      </c>
      <c r="AR60" s="11">
        <v>89</v>
      </c>
      <c r="AS60" s="11">
        <v>765</v>
      </c>
      <c r="AT60" s="11">
        <v>5322.88</v>
      </c>
      <c r="AU60" s="11">
        <v>1</v>
      </c>
      <c r="AV60" s="11">
        <v>69</v>
      </c>
      <c r="AW60" s="11">
        <v>38</v>
      </c>
      <c r="AX60" s="11">
        <v>41</v>
      </c>
      <c r="AY60" s="11">
        <v>15</v>
      </c>
    </row>
    <row r="61" spans="1:52">
      <c r="A61" s="11" t="s">
        <v>201</v>
      </c>
      <c r="B61" s="149" t="s">
        <v>431</v>
      </c>
      <c r="C61" s="11" t="s">
        <v>164</v>
      </c>
      <c r="D61" s="11" t="s">
        <v>431</v>
      </c>
      <c r="E61" s="11" t="s">
        <v>531</v>
      </c>
      <c r="F61" s="184">
        <v>44911</v>
      </c>
      <c r="G61" s="11" t="s">
        <v>310</v>
      </c>
      <c r="H61" s="11">
        <v>0</v>
      </c>
      <c r="I61" s="11">
        <v>5000001</v>
      </c>
      <c r="J61" s="11">
        <v>4527814.7</v>
      </c>
      <c r="K61" s="11">
        <v>0</v>
      </c>
      <c r="L61" s="6">
        <f t="shared" si="0"/>
        <v>4527814.7</v>
      </c>
      <c r="M61" s="11">
        <v>222</v>
      </c>
      <c r="N61" s="11">
        <v>168</v>
      </c>
      <c r="O61" s="11">
        <v>23</v>
      </c>
      <c r="P61" s="11">
        <v>245</v>
      </c>
      <c r="Q61" s="11">
        <v>77</v>
      </c>
      <c r="R61" s="11">
        <v>3784820.96</v>
      </c>
      <c r="S61" s="11">
        <v>742993.74</v>
      </c>
      <c r="T61" s="11">
        <v>115</v>
      </c>
      <c r="U61" s="11">
        <v>19</v>
      </c>
      <c r="V61" s="11">
        <v>134</v>
      </c>
      <c r="W61" s="11">
        <v>0</v>
      </c>
      <c r="X61" s="11">
        <v>18</v>
      </c>
      <c r="Y61" s="11">
        <v>29</v>
      </c>
      <c r="Z61" s="11">
        <v>143</v>
      </c>
      <c r="AA61" s="11">
        <v>2</v>
      </c>
      <c r="AB61" s="11">
        <v>37</v>
      </c>
      <c r="AC61" s="11">
        <v>0</v>
      </c>
      <c r="AD61" s="11">
        <v>0</v>
      </c>
      <c r="AE61" s="11">
        <v>0</v>
      </c>
      <c r="AF61" s="11">
        <v>0</v>
      </c>
      <c r="AG61" s="11">
        <v>461</v>
      </c>
      <c r="AH61" s="11">
        <v>527</v>
      </c>
      <c r="AI61" s="11">
        <v>75</v>
      </c>
      <c r="AJ61" s="11">
        <v>60371</v>
      </c>
      <c r="AK61" s="11">
        <v>7</v>
      </c>
      <c r="AL61" s="11">
        <v>27951</v>
      </c>
      <c r="AM61" s="11">
        <v>0</v>
      </c>
      <c r="AN61" s="11">
        <v>6.1999999999999998E-3</v>
      </c>
      <c r="AO61" s="11">
        <v>33790</v>
      </c>
      <c r="AP61" s="11">
        <v>0.91</v>
      </c>
      <c r="AQ61" s="11">
        <v>0</v>
      </c>
      <c r="AR61" s="11">
        <v>277</v>
      </c>
      <c r="AS61" s="11">
        <v>532</v>
      </c>
      <c r="AT61" s="11">
        <v>4650.25</v>
      </c>
      <c r="AU61" s="11">
        <v>19</v>
      </c>
      <c r="AV61" s="11">
        <v>28</v>
      </c>
      <c r="AW61" s="11">
        <v>134</v>
      </c>
      <c r="AX61" s="11">
        <v>50</v>
      </c>
      <c r="AY61" s="11">
        <v>61</v>
      </c>
    </row>
    <row r="62" spans="1:52">
      <c r="A62" s="11" t="s">
        <v>117</v>
      </c>
      <c r="B62" s="149" t="s">
        <v>450</v>
      </c>
      <c r="C62" s="11" t="s">
        <v>165</v>
      </c>
      <c r="D62" s="11" t="s">
        <v>482</v>
      </c>
      <c r="E62" s="11" t="s">
        <v>532</v>
      </c>
      <c r="F62" s="185">
        <v>44928</v>
      </c>
      <c r="G62" s="11" t="s">
        <v>117</v>
      </c>
      <c r="H62" s="11">
        <v>0</v>
      </c>
      <c r="I62" s="11">
        <v>2499999</v>
      </c>
      <c r="J62" s="11">
        <v>780619.31</v>
      </c>
      <c r="K62" s="11">
        <v>0</v>
      </c>
      <c r="L62" s="6">
        <f t="shared" si="0"/>
        <v>780619.31</v>
      </c>
      <c r="M62" s="11">
        <v>75</v>
      </c>
      <c r="N62" s="11">
        <v>75</v>
      </c>
      <c r="O62" s="11">
        <v>9</v>
      </c>
      <c r="P62" s="11">
        <v>84</v>
      </c>
      <c r="Q62" s="11">
        <v>9</v>
      </c>
      <c r="R62" s="11">
        <v>610807.74</v>
      </c>
      <c r="S62" s="11">
        <v>169811.57</v>
      </c>
      <c r="T62" s="11">
        <v>33</v>
      </c>
      <c r="U62" s="11">
        <v>9</v>
      </c>
      <c r="V62" s="11">
        <v>42</v>
      </c>
      <c r="W62" s="11">
        <v>0</v>
      </c>
      <c r="X62" s="11">
        <v>62</v>
      </c>
      <c r="Y62" s="11">
        <v>89</v>
      </c>
      <c r="Z62" s="11">
        <v>168</v>
      </c>
      <c r="AA62" s="11">
        <v>3</v>
      </c>
      <c r="AB62" s="11">
        <v>27</v>
      </c>
      <c r="AC62" s="11">
        <v>0</v>
      </c>
      <c r="AD62" s="11">
        <v>0</v>
      </c>
      <c r="AE62" s="11">
        <v>0</v>
      </c>
      <c r="AF62" s="11">
        <v>0</v>
      </c>
      <c r="AG62" s="11">
        <v>188</v>
      </c>
      <c r="AH62" s="11">
        <v>304</v>
      </c>
      <c r="AI62" s="11">
        <v>70</v>
      </c>
      <c r="AJ62" s="11">
        <v>11152</v>
      </c>
      <c r="AK62" s="11">
        <v>4</v>
      </c>
      <c r="AL62" s="11">
        <v>49500</v>
      </c>
      <c r="AM62" s="11">
        <v>0</v>
      </c>
      <c r="AN62" s="11">
        <v>6.3399999999999998E-2</v>
      </c>
      <c r="AO62" s="11">
        <v>18586</v>
      </c>
      <c r="AP62" s="11">
        <v>0.31</v>
      </c>
      <c r="AQ62" s="11">
        <v>0</v>
      </c>
      <c r="AR62" s="11">
        <v>49</v>
      </c>
      <c r="AS62" s="11">
        <v>659</v>
      </c>
      <c r="AT62" s="11">
        <v>5062.3</v>
      </c>
      <c r="AU62" s="11">
        <v>9</v>
      </c>
      <c r="AV62" s="11">
        <v>67</v>
      </c>
      <c r="AW62" s="11">
        <v>42</v>
      </c>
      <c r="AX62" s="11">
        <v>36</v>
      </c>
      <c r="AY62" s="11">
        <v>6</v>
      </c>
    </row>
    <row r="63" spans="1:52">
      <c r="A63" s="11" t="s">
        <v>118</v>
      </c>
      <c r="B63" s="149" t="s">
        <v>375</v>
      </c>
      <c r="C63" s="11" t="s">
        <v>166</v>
      </c>
      <c r="D63" s="11" t="s">
        <v>473</v>
      </c>
      <c r="E63" s="11" t="s">
        <v>508</v>
      </c>
      <c r="F63" s="184">
        <v>44953</v>
      </c>
      <c r="G63" s="11" t="s">
        <v>119</v>
      </c>
      <c r="H63" s="11">
        <v>0</v>
      </c>
      <c r="I63" s="11">
        <v>4200000</v>
      </c>
      <c r="J63" s="11">
        <v>2313650.7799999998</v>
      </c>
      <c r="K63" s="11">
        <v>0</v>
      </c>
      <c r="L63" s="6">
        <f t="shared" si="0"/>
        <v>2313650.7799999998</v>
      </c>
      <c r="M63" s="11">
        <v>140</v>
      </c>
      <c r="N63" s="11">
        <v>130</v>
      </c>
      <c r="O63" s="11">
        <v>3</v>
      </c>
      <c r="P63" s="11">
        <v>143</v>
      </c>
      <c r="Q63" s="11">
        <v>13</v>
      </c>
      <c r="R63" s="11">
        <v>2111246.5</v>
      </c>
      <c r="S63" s="11">
        <v>202404.28</v>
      </c>
      <c r="T63" s="11">
        <v>77</v>
      </c>
      <c r="U63" s="11">
        <v>3</v>
      </c>
      <c r="V63" s="11">
        <v>80</v>
      </c>
      <c r="W63" s="11">
        <v>0</v>
      </c>
      <c r="X63" s="11">
        <v>3</v>
      </c>
      <c r="Y63" s="11">
        <v>5</v>
      </c>
      <c r="Z63" s="11">
        <v>41</v>
      </c>
      <c r="AA63" s="11">
        <v>1</v>
      </c>
      <c r="AB63" s="11">
        <v>1</v>
      </c>
      <c r="AC63" s="11">
        <v>0</v>
      </c>
      <c r="AD63" s="11">
        <v>0</v>
      </c>
      <c r="AE63" s="11">
        <v>0</v>
      </c>
      <c r="AF63" s="11">
        <v>0</v>
      </c>
      <c r="AG63" s="11">
        <v>540</v>
      </c>
      <c r="AH63" s="11">
        <v>546</v>
      </c>
      <c r="AI63" s="11">
        <v>72</v>
      </c>
      <c r="AJ63" s="11">
        <v>32134</v>
      </c>
      <c r="AK63" s="11">
        <v>8</v>
      </c>
      <c r="AL63" s="11">
        <v>31778</v>
      </c>
      <c r="AM63" s="11">
        <v>0</v>
      </c>
      <c r="AN63" s="11">
        <v>1.37E-2</v>
      </c>
      <c r="AO63" s="11">
        <v>28921</v>
      </c>
      <c r="AP63" s="11">
        <v>0.55000000000000004</v>
      </c>
      <c r="AQ63" s="11">
        <v>0</v>
      </c>
      <c r="AR63" s="11">
        <v>187</v>
      </c>
      <c r="AS63" s="11">
        <v>775</v>
      </c>
      <c r="AT63" s="11">
        <v>4746.84</v>
      </c>
      <c r="AU63" s="11">
        <v>3</v>
      </c>
      <c r="AV63" s="11">
        <v>37</v>
      </c>
      <c r="AW63" s="11">
        <v>80</v>
      </c>
      <c r="AX63" s="11">
        <v>50</v>
      </c>
      <c r="AY63" s="11">
        <v>13</v>
      </c>
    </row>
    <row r="64" spans="1:52">
      <c r="A64" s="11" t="s">
        <v>118</v>
      </c>
      <c r="B64" s="149" t="s">
        <v>362</v>
      </c>
      <c r="C64" s="11" t="s">
        <v>167</v>
      </c>
      <c r="D64" s="11" t="s">
        <v>419</v>
      </c>
      <c r="E64" s="11" t="s">
        <v>533</v>
      </c>
      <c r="F64" s="185">
        <v>44958</v>
      </c>
      <c r="G64" s="11" t="s">
        <v>67</v>
      </c>
      <c r="H64" s="11">
        <v>0</v>
      </c>
      <c r="I64" s="11">
        <v>12000000</v>
      </c>
      <c r="J64" s="11">
        <v>10378110.67</v>
      </c>
      <c r="K64" s="11">
        <v>0</v>
      </c>
      <c r="L64" s="6">
        <f t="shared" si="0"/>
        <v>10378110.67</v>
      </c>
      <c r="M64" s="11">
        <v>68</v>
      </c>
      <c r="N64" s="11">
        <v>69</v>
      </c>
      <c r="O64" s="11">
        <v>2</v>
      </c>
      <c r="P64" s="11">
        <v>70</v>
      </c>
      <c r="Q64" s="11">
        <v>1</v>
      </c>
      <c r="R64" s="11">
        <v>10154639.369999999</v>
      </c>
      <c r="S64" s="11">
        <v>223471.3</v>
      </c>
      <c r="T64" s="11">
        <v>59</v>
      </c>
      <c r="U64" s="11">
        <v>2</v>
      </c>
      <c r="V64" s="11">
        <v>61</v>
      </c>
      <c r="W64" s="11">
        <v>0</v>
      </c>
      <c r="X64" s="11">
        <v>1</v>
      </c>
      <c r="Y64" s="11">
        <v>1</v>
      </c>
      <c r="Z64" s="11">
        <v>61</v>
      </c>
      <c r="AA64" s="11">
        <v>2</v>
      </c>
      <c r="AB64" s="11">
        <v>7</v>
      </c>
      <c r="AC64" s="11">
        <v>0</v>
      </c>
      <c r="AD64" s="11">
        <v>0</v>
      </c>
      <c r="AE64" s="11">
        <v>0</v>
      </c>
      <c r="AF64" s="11">
        <v>0</v>
      </c>
      <c r="AG64" s="11">
        <v>354</v>
      </c>
      <c r="AH64" s="11">
        <v>362</v>
      </c>
      <c r="AI64" s="11">
        <v>74</v>
      </c>
      <c r="AJ64" s="11">
        <v>140245</v>
      </c>
      <c r="AK64" s="11">
        <v>5</v>
      </c>
      <c r="AL64" s="11">
        <v>24116</v>
      </c>
      <c r="AM64" s="11">
        <v>0</v>
      </c>
      <c r="AN64" s="11">
        <v>2.3E-3</v>
      </c>
      <c r="AO64" s="11">
        <v>170133</v>
      </c>
      <c r="AP64" s="11">
        <v>0.86</v>
      </c>
      <c r="AQ64" s="11">
        <v>0</v>
      </c>
      <c r="AR64" s="11">
        <v>117</v>
      </c>
      <c r="AS64" s="11">
        <v>817</v>
      </c>
      <c r="AT64" s="11">
        <v>3353.86</v>
      </c>
      <c r="AU64" s="11">
        <v>2</v>
      </c>
      <c r="AV64" s="11">
        <v>49</v>
      </c>
      <c r="AW64" s="11">
        <v>61</v>
      </c>
      <c r="AX64" s="11">
        <v>8</v>
      </c>
      <c r="AY64" s="11">
        <v>1</v>
      </c>
    </row>
    <row r="65" spans="1:52">
      <c r="A65" s="11" t="s">
        <v>154</v>
      </c>
      <c r="B65" s="149" t="s">
        <v>370</v>
      </c>
      <c r="C65" s="11" t="s">
        <v>168</v>
      </c>
      <c r="D65" s="11" t="s">
        <v>608</v>
      </c>
      <c r="E65" s="11" t="s">
        <v>609</v>
      </c>
      <c r="F65" s="184">
        <v>45488</v>
      </c>
      <c r="G65" s="11" t="s">
        <v>196</v>
      </c>
      <c r="H65" s="11">
        <v>0</v>
      </c>
      <c r="I65" s="11">
        <v>3000000</v>
      </c>
      <c r="J65" s="11">
        <v>0</v>
      </c>
      <c r="K65" s="11">
        <v>0</v>
      </c>
      <c r="L65" s="6">
        <f t="shared" si="0"/>
        <v>0</v>
      </c>
      <c r="M65" s="11">
        <v>40</v>
      </c>
      <c r="N65" s="11">
        <v>16</v>
      </c>
      <c r="O65" s="11">
        <v>1</v>
      </c>
      <c r="P65" s="11">
        <v>41</v>
      </c>
      <c r="Q65" s="11">
        <v>25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98</v>
      </c>
      <c r="Y65" s="11">
        <v>139</v>
      </c>
      <c r="Z65" s="11">
        <v>559</v>
      </c>
      <c r="AA65" s="11">
        <v>1</v>
      </c>
      <c r="AB65" s="11">
        <v>5</v>
      </c>
      <c r="AC65" s="11">
        <v>0</v>
      </c>
      <c r="AD65" s="11">
        <v>0</v>
      </c>
      <c r="AE65" s="11">
        <v>5</v>
      </c>
      <c r="AF65" s="11">
        <v>24</v>
      </c>
      <c r="AG65" s="11">
        <v>25</v>
      </c>
      <c r="AH65" s="11">
        <v>193</v>
      </c>
      <c r="AI65" s="11">
        <v>29</v>
      </c>
      <c r="AJ65" s="11">
        <v>0</v>
      </c>
      <c r="AK65" s="11">
        <v>7</v>
      </c>
      <c r="AL65" s="11">
        <v>32500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295</v>
      </c>
      <c r="AT65" s="11">
        <v>1966.35</v>
      </c>
      <c r="AU65" s="11">
        <v>0</v>
      </c>
      <c r="AV65" s="11">
        <v>123</v>
      </c>
      <c r="AW65" s="11">
        <v>0</v>
      </c>
      <c r="AX65" s="11">
        <v>16</v>
      </c>
      <c r="AY65" s="11">
        <v>25</v>
      </c>
      <c r="AZ65" s="185">
        <v>45875</v>
      </c>
    </row>
    <row r="66" spans="1:52">
      <c r="A66" s="11" t="s">
        <v>154</v>
      </c>
      <c r="B66" s="149" t="s">
        <v>370</v>
      </c>
      <c r="C66" s="11" t="s">
        <v>169</v>
      </c>
      <c r="D66" s="11" t="s">
        <v>542</v>
      </c>
      <c r="E66" s="11" t="s">
        <v>644</v>
      </c>
      <c r="F66" s="187">
        <v>45789</v>
      </c>
      <c r="G66" s="11" t="s">
        <v>196</v>
      </c>
      <c r="H66" s="11">
        <v>0</v>
      </c>
      <c r="I66" s="11">
        <v>1700000</v>
      </c>
      <c r="J66" s="11">
        <v>635241.13</v>
      </c>
      <c r="K66" s="11">
        <v>0</v>
      </c>
      <c r="L66" s="6">
        <f t="shared" si="0"/>
        <v>635241.13</v>
      </c>
      <c r="M66" s="11">
        <v>61</v>
      </c>
      <c r="N66" s="11">
        <v>49</v>
      </c>
      <c r="O66" s="11">
        <v>2</v>
      </c>
      <c r="P66" s="11">
        <v>63</v>
      </c>
      <c r="Q66" s="11">
        <v>14</v>
      </c>
      <c r="R66" s="11">
        <v>583952.78</v>
      </c>
      <c r="S66" s="11">
        <v>51288.35</v>
      </c>
      <c r="T66" s="11">
        <v>12</v>
      </c>
      <c r="U66" s="11">
        <v>2</v>
      </c>
      <c r="V66" s="11">
        <v>14</v>
      </c>
      <c r="W66" s="11">
        <v>0</v>
      </c>
      <c r="X66" s="11">
        <v>43</v>
      </c>
      <c r="Y66" s="11">
        <v>72</v>
      </c>
      <c r="Z66" s="11">
        <v>261</v>
      </c>
      <c r="AA66" s="11">
        <v>2</v>
      </c>
      <c r="AB66" s="11">
        <v>17</v>
      </c>
      <c r="AC66" s="11">
        <v>0</v>
      </c>
      <c r="AD66" s="11">
        <v>0</v>
      </c>
      <c r="AE66" s="11">
        <v>2</v>
      </c>
      <c r="AF66" s="11">
        <v>3</v>
      </c>
      <c r="AG66" s="11">
        <v>199</v>
      </c>
      <c r="AH66" s="11">
        <v>291</v>
      </c>
      <c r="AI66" s="11">
        <v>60</v>
      </c>
      <c r="AJ66" s="11">
        <v>10587</v>
      </c>
      <c r="AK66" s="11">
        <v>5</v>
      </c>
      <c r="AL66" s="11">
        <v>30400</v>
      </c>
      <c r="AM66" s="11">
        <v>0</v>
      </c>
      <c r="AN66" s="11">
        <v>4.7899999999999998E-2</v>
      </c>
      <c r="AO66" s="11">
        <v>45374</v>
      </c>
      <c r="AP66" s="11">
        <v>0.37</v>
      </c>
      <c r="AQ66" s="11">
        <v>0</v>
      </c>
      <c r="AR66" s="11">
        <v>24</v>
      </c>
      <c r="AS66" s="11">
        <v>510</v>
      </c>
      <c r="AT66" s="11">
        <v>3266.16</v>
      </c>
      <c r="AU66" s="11">
        <v>2</v>
      </c>
      <c r="AV66" s="11">
        <v>67</v>
      </c>
      <c r="AW66" s="11">
        <v>14</v>
      </c>
      <c r="AX66" s="11">
        <v>35</v>
      </c>
      <c r="AY66" s="11">
        <v>14</v>
      </c>
      <c r="AZ66" s="184">
        <v>45930</v>
      </c>
    </row>
    <row r="67" spans="1:52">
      <c r="A67" s="11" t="s">
        <v>120</v>
      </c>
      <c r="B67" s="149" t="s">
        <v>163</v>
      </c>
      <c r="C67" s="11" t="s">
        <v>170</v>
      </c>
      <c r="D67" s="11" t="s">
        <v>534</v>
      </c>
      <c r="E67" s="11" t="s">
        <v>163</v>
      </c>
      <c r="F67" s="185">
        <v>44994</v>
      </c>
      <c r="G67" s="11" t="s">
        <v>120</v>
      </c>
      <c r="H67" s="11">
        <v>600000</v>
      </c>
      <c r="I67" s="11">
        <v>4500000</v>
      </c>
      <c r="J67" s="11">
        <v>2420685.33</v>
      </c>
      <c r="K67" s="11">
        <v>378297.36</v>
      </c>
      <c r="L67" s="6">
        <f t="shared" si="0"/>
        <v>2798982.69</v>
      </c>
      <c r="M67" s="11">
        <v>85</v>
      </c>
      <c r="N67" s="11">
        <v>56</v>
      </c>
      <c r="O67" s="11">
        <v>1</v>
      </c>
      <c r="P67" s="11">
        <v>86</v>
      </c>
      <c r="Q67" s="11">
        <v>30</v>
      </c>
      <c r="R67" s="11">
        <v>2390259.33</v>
      </c>
      <c r="S67" s="11">
        <v>30426</v>
      </c>
      <c r="T67" s="11">
        <v>32</v>
      </c>
      <c r="U67" s="11">
        <v>1</v>
      </c>
      <c r="V67" s="11">
        <v>33</v>
      </c>
      <c r="W67" s="11">
        <v>3</v>
      </c>
      <c r="X67" s="11">
        <v>0</v>
      </c>
      <c r="Y67" s="11">
        <v>0</v>
      </c>
      <c r="Z67" s="11">
        <v>128</v>
      </c>
      <c r="AA67" s="11">
        <v>3</v>
      </c>
      <c r="AB67" s="11">
        <v>25</v>
      </c>
      <c r="AC67" s="11">
        <v>6</v>
      </c>
      <c r="AD67" s="11">
        <v>43</v>
      </c>
      <c r="AE67" s="11">
        <v>2</v>
      </c>
      <c r="AF67" s="11">
        <v>14</v>
      </c>
      <c r="AG67" s="11">
        <v>311</v>
      </c>
      <c r="AH67" s="11">
        <v>393</v>
      </c>
      <c r="AI67" s="11">
        <v>68</v>
      </c>
      <c r="AJ67" s="11">
        <v>35598</v>
      </c>
      <c r="AK67" s="11">
        <v>6</v>
      </c>
      <c r="AL67" s="11">
        <v>26418</v>
      </c>
      <c r="AM67" s="11">
        <v>0</v>
      </c>
      <c r="AN67" s="11">
        <v>1.09E-2</v>
      </c>
      <c r="AO67" s="11">
        <v>73354</v>
      </c>
      <c r="AP67" s="11">
        <v>0.54</v>
      </c>
      <c r="AQ67" s="11">
        <v>0.63</v>
      </c>
      <c r="AR67" s="11">
        <v>80</v>
      </c>
      <c r="AS67" s="11">
        <v>719</v>
      </c>
      <c r="AT67" s="11">
        <v>2341.8000000000002</v>
      </c>
      <c r="AU67" s="11">
        <v>1</v>
      </c>
      <c r="AV67" s="11">
        <v>42</v>
      </c>
      <c r="AW67" s="11">
        <v>33</v>
      </c>
      <c r="AX67" s="11">
        <v>26</v>
      </c>
      <c r="AY67" s="11">
        <v>27</v>
      </c>
    </row>
    <row r="68" spans="1:52">
      <c r="A68" s="11" t="s">
        <v>201</v>
      </c>
      <c r="B68" s="149" t="s">
        <v>431</v>
      </c>
      <c r="C68" s="11" t="s">
        <v>171</v>
      </c>
      <c r="D68" s="11" t="s">
        <v>431</v>
      </c>
      <c r="E68" s="11" t="s">
        <v>535</v>
      </c>
      <c r="F68" s="184">
        <v>45000</v>
      </c>
      <c r="G68" s="11" t="s">
        <v>121</v>
      </c>
      <c r="H68" s="11">
        <v>0</v>
      </c>
      <c r="I68" s="11">
        <v>4166666</v>
      </c>
      <c r="J68" s="11">
        <v>546831.01</v>
      </c>
      <c r="K68" s="11">
        <v>0</v>
      </c>
      <c r="L68" s="6">
        <f t="shared" si="0"/>
        <v>546831.01</v>
      </c>
      <c r="M68" s="11">
        <v>34</v>
      </c>
      <c r="N68" s="11">
        <v>28</v>
      </c>
      <c r="O68" s="11">
        <v>0</v>
      </c>
      <c r="P68" s="11">
        <v>34</v>
      </c>
      <c r="Q68" s="11">
        <v>6</v>
      </c>
      <c r="R68" s="11">
        <v>546831.01</v>
      </c>
      <c r="S68" s="11">
        <v>0</v>
      </c>
      <c r="T68" s="11">
        <v>11</v>
      </c>
      <c r="U68" s="11">
        <v>0</v>
      </c>
      <c r="V68" s="11">
        <v>11</v>
      </c>
      <c r="W68" s="11">
        <v>0</v>
      </c>
      <c r="X68" s="11">
        <v>0</v>
      </c>
      <c r="Y68" s="11">
        <v>0</v>
      </c>
      <c r="Z68" s="11">
        <v>108</v>
      </c>
      <c r="AA68" s="11">
        <v>1</v>
      </c>
      <c r="AB68" s="11">
        <v>12</v>
      </c>
      <c r="AC68" s="11">
        <v>0</v>
      </c>
      <c r="AD68" s="11">
        <v>0</v>
      </c>
      <c r="AE68" s="11">
        <v>0</v>
      </c>
      <c r="AF68" s="11">
        <v>0</v>
      </c>
      <c r="AG68" s="11">
        <v>177</v>
      </c>
      <c r="AH68" s="11">
        <v>189</v>
      </c>
      <c r="AI68" s="11">
        <v>44</v>
      </c>
      <c r="AJ68" s="11">
        <v>12428</v>
      </c>
      <c r="AK68" s="11">
        <v>4</v>
      </c>
      <c r="AL68" s="11">
        <v>32669</v>
      </c>
      <c r="AM68" s="11">
        <v>0</v>
      </c>
      <c r="AN68" s="11">
        <v>5.9700000000000003E-2</v>
      </c>
      <c r="AO68" s="11">
        <v>49712</v>
      </c>
      <c r="AP68" s="11">
        <v>0.13</v>
      </c>
      <c r="AQ68" s="11">
        <v>0</v>
      </c>
      <c r="AR68" s="11">
        <v>13</v>
      </c>
      <c r="AS68" s="11">
        <v>308</v>
      </c>
      <c r="AT68" s="11">
        <v>1735.47</v>
      </c>
      <c r="AU68" s="11">
        <v>0</v>
      </c>
      <c r="AV68" s="11">
        <v>62</v>
      </c>
      <c r="AW68" s="11">
        <v>11</v>
      </c>
      <c r="AX68" s="11">
        <v>17</v>
      </c>
      <c r="AY68" s="11">
        <v>6</v>
      </c>
      <c r="AZ68" s="184">
        <v>45900</v>
      </c>
    </row>
    <row r="69" spans="1:52">
      <c r="A69" s="11" t="s">
        <v>154</v>
      </c>
      <c r="B69" s="149" t="s">
        <v>367</v>
      </c>
      <c r="C69" s="11" t="s">
        <v>172</v>
      </c>
      <c r="D69" s="11" t="s">
        <v>577</v>
      </c>
      <c r="E69" s="11" t="s">
        <v>636</v>
      </c>
      <c r="F69" s="184">
        <v>45735</v>
      </c>
      <c r="G69" s="11" t="s">
        <v>196</v>
      </c>
      <c r="H69" s="11">
        <v>0</v>
      </c>
      <c r="I69" s="11">
        <v>700000</v>
      </c>
      <c r="J69" s="11">
        <v>0</v>
      </c>
      <c r="K69" s="11">
        <v>0</v>
      </c>
      <c r="L69" s="6">
        <f t="shared" si="0"/>
        <v>0</v>
      </c>
      <c r="M69" s="11">
        <v>32</v>
      </c>
      <c r="N69" s="11">
        <v>9</v>
      </c>
      <c r="O69" s="11">
        <v>0</v>
      </c>
      <c r="P69" s="11">
        <v>32</v>
      </c>
      <c r="Q69" s="11">
        <v>23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29</v>
      </c>
      <c r="Y69" s="11">
        <v>34</v>
      </c>
      <c r="Z69" s="11">
        <v>229</v>
      </c>
      <c r="AA69" s="11">
        <v>1</v>
      </c>
      <c r="AB69" s="11">
        <v>1</v>
      </c>
      <c r="AC69" s="11">
        <v>0</v>
      </c>
      <c r="AD69" s="11">
        <v>0</v>
      </c>
      <c r="AE69" s="11">
        <v>0</v>
      </c>
      <c r="AF69" s="11">
        <v>0</v>
      </c>
      <c r="AG69" s="11">
        <v>18</v>
      </c>
      <c r="AH69" s="11">
        <v>53</v>
      </c>
      <c r="AI69" s="11">
        <v>10</v>
      </c>
      <c r="AJ69" s="11">
        <v>0</v>
      </c>
      <c r="AK69" s="11">
        <v>5</v>
      </c>
      <c r="AL69" s="11">
        <v>25165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81</v>
      </c>
      <c r="AT69" s="11">
        <v>474.14</v>
      </c>
      <c r="AU69" s="11">
        <v>0</v>
      </c>
      <c r="AV69" s="11">
        <v>53</v>
      </c>
      <c r="AW69" s="11">
        <v>0</v>
      </c>
      <c r="AX69" s="11">
        <v>9</v>
      </c>
      <c r="AY69" s="11">
        <v>23</v>
      </c>
      <c r="AZ69" s="184">
        <v>45853</v>
      </c>
    </row>
    <row r="70" spans="1:52">
      <c r="A70" s="11" t="s">
        <v>118</v>
      </c>
      <c r="B70" s="149" t="s">
        <v>468</v>
      </c>
      <c r="C70" s="11" t="s">
        <v>173</v>
      </c>
      <c r="D70" s="11" t="s">
        <v>509</v>
      </c>
      <c r="E70" s="11" t="s">
        <v>536</v>
      </c>
      <c r="F70" s="184">
        <v>45040</v>
      </c>
      <c r="G70" s="11" t="s">
        <v>118</v>
      </c>
      <c r="H70" s="11">
        <v>0</v>
      </c>
      <c r="I70" s="11">
        <v>4500000</v>
      </c>
      <c r="J70" s="11">
        <v>3876151.58</v>
      </c>
      <c r="K70" s="11">
        <v>0</v>
      </c>
      <c r="L70" s="6">
        <f t="shared" si="0"/>
        <v>3876151.58</v>
      </c>
      <c r="M70" s="11">
        <v>31</v>
      </c>
      <c r="N70" s="11">
        <v>36</v>
      </c>
      <c r="O70" s="11">
        <v>5</v>
      </c>
      <c r="P70" s="11">
        <v>36</v>
      </c>
      <c r="Q70" s="11">
        <v>0</v>
      </c>
      <c r="R70" s="11">
        <v>3063588.88</v>
      </c>
      <c r="S70" s="11">
        <v>812562.7</v>
      </c>
      <c r="T70" s="11">
        <v>17</v>
      </c>
      <c r="U70" s="11">
        <v>5</v>
      </c>
      <c r="V70" s="11">
        <v>22</v>
      </c>
      <c r="W70" s="11">
        <v>0</v>
      </c>
      <c r="X70" s="11">
        <v>37</v>
      </c>
      <c r="Y70" s="11">
        <v>59</v>
      </c>
      <c r="Z70" s="11">
        <v>76</v>
      </c>
      <c r="AA70" s="11">
        <v>1</v>
      </c>
      <c r="AB70" s="11">
        <v>3</v>
      </c>
      <c r="AC70" s="11">
        <v>0</v>
      </c>
      <c r="AD70" s="11">
        <v>0</v>
      </c>
      <c r="AE70" s="11">
        <v>0</v>
      </c>
      <c r="AF70" s="11">
        <v>0</v>
      </c>
      <c r="AG70" s="11">
        <v>380</v>
      </c>
      <c r="AH70" s="11">
        <v>442</v>
      </c>
      <c r="AI70" s="11">
        <v>76</v>
      </c>
      <c r="AJ70" s="11">
        <v>51002</v>
      </c>
      <c r="AK70" s="11">
        <v>6</v>
      </c>
      <c r="AL70" s="11">
        <v>36400</v>
      </c>
      <c r="AM70" s="11">
        <v>0</v>
      </c>
      <c r="AN70" s="11">
        <v>9.4000000000000004E-3</v>
      </c>
      <c r="AO70" s="11">
        <v>176189</v>
      </c>
      <c r="AP70" s="11">
        <v>0.86</v>
      </c>
      <c r="AQ70" s="11">
        <v>0</v>
      </c>
      <c r="AR70" s="11">
        <v>35</v>
      </c>
      <c r="AS70" s="11">
        <v>630</v>
      </c>
      <c r="AT70" s="11">
        <v>4800.68</v>
      </c>
      <c r="AU70" s="11">
        <v>5</v>
      </c>
      <c r="AV70" s="11">
        <v>133</v>
      </c>
      <c r="AW70" s="11">
        <v>22</v>
      </c>
      <c r="AX70" s="11">
        <v>14</v>
      </c>
      <c r="AY70" s="11">
        <v>0</v>
      </c>
    </row>
    <row r="71" spans="1:52">
      <c r="A71" s="11" t="s">
        <v>118</v>
      </c>
      <c r="B71" s="149" t="s">
        <v>362</v>
      </c>
      <c r="C71" s="11" t="s">
        <v>174</v>
      </c>
      <c r="D71" s="11" t="s">
        <v>419</v>
      </c>
      <c r="E71" s="11" t="s">
        <v>490</v>
      </c>
      <c r="F71" s="184">
        <v>45040</v>
      </c>
      <c r="G71" s="11" t="s">
        <v>103</v>
      </c>
      <c r="H71" s="11">
        <v>0</v>
      </c>
      <c r="I71" s="11">
        <v>4500000</v>
      </c>
      <c r="J71" s="11">
        <v>2299865.9</v>
      </c>
      <c r="K71" s="11">
        <v>0</v>
      </c>
      <c r="L71" s="6">
        <f t="shared" si="0"/>
        <v>2299865.9</v>
      </c>
      <c r="M71" s="11">
        <v>75</v>
      </c>
      <c r="N71" s="11">
        <v>57</v>
      </c>
      <c r="O71" s="11">
        <v>1</v>
      </c>
      <c r="P71" s="11">
        <v>76</v>
      </c>
      <c r="Q71" s="11">
        <v>19</v>
      </c>
      <c r="R71" s="11">
        <v>2298189.5</v>
      </c>
      <c r="S71" s="11">
        <v>1676.4</v>
      </c>
      <c r="T71" s="11">
        <v>19</v>
      </c>
      <c r="U71" s="11">
        <v>1</v>
      </c>
      <c r="V71" s="11">
        <v>20</v>
      </c>
      <c r="W71" s="11">
        <v>0</v>
      </c>
      <c r="X71" s="11">
        <v>3</v>
      </c>
      <c r="Y71" s="11">
        <v>9</v>
      </c>
      <c r="Z71" s="11">
        <v>48</v>
      </c>
      <c r="AA71" s="11">
        <v>1</v>
      </c>
      <c r="AB71" s="11">
        <v>1</v>
      </c>
      <c r="AC71" s="11">
        <v>0</v>
      </c>
      <c r="AD71" s="11">
        <v>0</v>
      </c>
      <c r="AE71" s="11">
        <v>0</v>
      </c>
      <c r="AF71" s="11">
        <v>0</v>
      </c>
      <c r="AG71" s="11">
        <v>322</v>
      </c>
      <c r="AH71" s="11">
        <v>332</v>
      </c>
      <c r="AI71" s="11">
        <v>65</v>
      </c>
      <c r="AJ71" s="11">
        <v>35383</v>
      </c>
      <c r="AK71" s="11">
        <v>5</v>
      </c>
      <c r="AL71" s="11">
        <v>25690</v>
      </c>
      <c r="AM71" s="11">
        <v>0</v>
      </c>
      <c r="AN71" s="11">
        <v>1.12E-2</v>
      </c>
      <c r="AO71" s="11">
        <v>114993</v>
      </c>
      <c r="AP71" s="11">
        <v>0.51</v>
      </c>
      <c r="AQ71" s="11">
        <v>0</v>
      </c>
      <c r="AR71" s="11">
        <v>37</v>
      </c>
      <c r="AS71" s="11">
        <v>541</v>
      </c>
      <c r="AT71" s="11">
        <v>2989.61</v>
      </c>
      <c r="AU71" s="11">
        <v>1</v>
      </c>
      <c r="AV71" s="11">
        <v>52</v>
      </c>
      <c r="AW71" s="11">
        <v>20</v>
      </c>
      <c r="AX71" s="11">
        <v>38</v>
      </c>
      <c r="AY71" s="11">
        <v>18</v>
      </c>
    </row>
    <row r="72" spans="1:52">
      <c r="A72" s="11" t="s">
        <v>124</v>
      </c>
      <c r="B72" s="149" t="s">
        <v>443</v>
      </c>
      <c r="C72" s="11" t="s">
        <v>175</v>
      </c>
      <c r="D72" s="11" t="s">
        <v>517</v>
      </c>
      <c r="E72" s="11" t="s">
        <v>518</v>
      </c>
      <c r="F72" s="186">
        <v>45047</v>
      </c>
      <c r="G72" s="11" t="s">
        <v>142</v>
      </c>
      <c r="H72" s="11">
        <v>0</v>
      </c>
      <c r="I72" s="11">
        <v>3600000</v>
      </c>
      <c r="J72" s="11">
        <v>1945977.12</v>
      </c>
      <c r="K72" s="11">
        <v>0</v>
      </c>
      <c r="L72" s="6">
        <f t="shared" si="0"/>
        <v>1945977.12</v>
      </c>
      <c r="M72" s="11">
        <v>113</v>
      </c>
      <c r="N72" s="11">
        <v>87</v>
      </c>
      <c r="O72" s="11">
        <v>4</v>
      </c>
      <c r="P72" s="11">
        <v>117</v>
      </c>
      <c r="Q72" s="11">
        <v>30</v>
      </c>
      <c r="R72" s="11">
        <v>1868475.2</v>
      </c>
      <c r="S72" s="11">
        <v>77501.919999999998</v>
      </c>
      <c r="T72" s="11">
        <v>65</v>
      </c>
      <c r="U72" s="11">
        <v>3</v>
      </c>
      <c r="V72" s="11">
        <v>68</v>
      </c>
      <c r="W72" s="11">
        <v>0</v>
      </c>
      <c r="X72" s="11">
        <v>4</v>
      </c>
      <c r="Y72" s="11">
        <v>8</v>
      </c>
      <c r="Z72" s="11">
        <v>164</v>
      </c>
      <c r="AA72" s="11">
        <v>1</v>
      </c>
      <c r="AB72" s="11">
        <v>4</v>
      </c>
      <c r="AC72" s="11">
        <v>0</v>
      </c>
      <c r="AD72" s="11">
        <v>0</v>
      </c>
      <c r="AE72" s="11">
        <v>0</v>
      </c>
      <c r="AF72" s="11">
        <v>0</v>
      </c>
      <c r="AG72" s="11">
        <v>344</v>
      </c>
      <c r="AH72" s="11">
        <v>356</v>
      </c>
      <c r="AI72" s="11">
        <v>74</v>
      </c>
      <c r="AJ72" s="11">
        <v>26297</v>
      </c>
      <c r="AK72" s="11">
        <v>5</v>
      </c>
      <c r="AL72" s="11">
        <v>37990</v>
      </c>
      <c r="AM72" s="11">
        <v>0</v>
      </c>
      <c r="AN72" s="11">
        <v>1.95E-2</v>
      </c>
      <c r="AO72" s="11">
        <v>28617</v>
      </c>
      <c r="AP72" s="11">
        <v>0.54</v>
      </c>
      <c r="AQ72" s="11">
        <v>0</v>
      </c>
      <c r="AR72" s="11">
        <v>179</v>
      </c>
      <c r="AS72" s="11">
        <v>783</v>
      </c>
      <c r="AT72" s="11">
        <v>4046.55</v>
      </c>
      <c r="AU72" s="11">
        <v>3</v>
      </c>
      <c r="AV72" s="11">
        <v>47</v>
      </c>
      <c r="AW72" s="11">
        <v>68</v>
      </c>
      <c r="AX72" s="11">
        <v>24</v>
      </c>
      <c r="AY72" s="11">
        <v>25</v>
      </c>
    </row>
    <row r="73" spans="1:52">
      <c r="A73" s="11" t="s">
        <v>124</v>
      </c>
      <c r="B73" s="149" t="s">
        <v>443</v>
      </c>
      <c r="C73" s="11" t="s">
        <v>176</v>
      </c>
      <c r="D73" s="11" t="s">
        <v>517</v>
      </c>
      <c r="E73" s="11" t="s">
        <v>537</v>
      </c>
      <c r="F73" s="186">
        <v>45047</v>
      </c>
      <c r="G73" s="11" t="s">
        <v>124</v>
      </c>
      <c r="H73" s="11">
        <v>0</v>
      </c>
      <c r="I73" s="11">
        <v>0</v>
      </c>
      <c r="J73" s="11">
        <v>0</v>
      </c>
      <c r="K73" s="11">
        <v>0</v>
      </c>
      <c r="L73" s="6">
        <f t="shared" si="0"/>
        <v>0</v>
      </c>
      <c r="M73" s="11">
        <v>35</v>
      </c>
      <c r="N73" s="11">
        <v>0</v>
      </c>
      <c r="O73" s="11">
        <v>1</v>
      </c>
      <c r="P73" s="11">
        <v>36</v>
      </c>
      <c r="Q73" s="11">
        <v>36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123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37335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36</v>
      </c>
      <c r="AZ73" s="186">
        <v>45785</v>
      </c>
    </row>
    <row r="74" spans="1:52">
      <c r="A74" s="11" t="s">
        <v>118</v>
      </c>
      <c r="B74" s="149" t="s">
        <v>436</v>
      </c>
      <c r="C74" s="11" t="s">
        <v>178</v>
      </c>
      <c r="D74" s="11" t="s">
        <v>499</v>
      </c>
      <c r="E74" s="11" t="s">
        <v>437</v>
      </c>
      <c r="F74" s="186">
        <v>45054</v>
      </c>
      <c r="G74" s="11" t="s">
        <v>111</v>
      </c>
      <c r="H74" s="11">
        <v>0</v>
      </c>
      <c r="I74" s="11">
        <v>0</v>
      </c>
      <c r="J74" s="11">
        <v>0</v>
      </c>
      <c r="K74" s="11">
        <v>0</v>
      </c>
      <c r="L74" s="6">
        <f t="shared" si="0"/>
        <v>0</v>
      </c>
      <c r="M74" s="11">
        <v>89</v>
      </c>
      <c r="N74" s="11">
        <v>0</v>
      </c>
      <c r="O74" s="11">
        <v>0</v>
      </c>
      <c r="P74" s="11">
        <v>89</v>
      </c>
      <c r="Q74" s="11">
        <v>89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10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34422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89</v>
      </c>
      <c r="AZ74" s="187">
        <v>45801</v>
      </c>
    </row>
    <row r="75" spans="1:52">
      <c r="A75" s="11" t="s">
        <v>118</v>
      </c>
      <c r="B75" s="149" t="s">
        <v>362</v>
      </c>
      <c r="C75" s="11" t="s">
        <v>179</v>
      </c>
      <c r="D75" s="11" t="s">
        <v>419</v>
      </c>
      <c r="E75" s="11" t="s">
        <v>538</v>
      </c>
      <c r="F75" s="186">
        <v>45047</v>
      </c>
      <c r="G75" s="11" t="s">
        <v>81</v>
      </c>
      <c r="H75" s="11">
        <v>0</v>
      </c>
      <c r="I75" s="11">
        <v>4500000</v>
      </c>
      <c r="J75" s="11">
        <v>4201356.41</v>
      </c>
      <c r="K75" s="11">
        <v>0</v>
      </c>
      <c r="L75" s="6">
        <f t="shared" si="0"/>
        <v>4201356.41</v>
      </c>
      <c r="M75" s="11">
        <v>46</v>
      </c>
      <c r="N75" s="11">
        <v>44</v>
      </c>
      <c r="O75" s="11">
        <v>4</v>
      </c>
      <c r="P75" s="11">
        <v>50</v>
      </c>
      <c r="Q75" s="11">
        <v>6</v>
      </c>
      <c r="R75" s="11">
        <v>3832198.38</v>
      </c>
      <c r="S75" s="11">
        <v>369158.03</v>
      </c>
      <c r="T75" s="11">
        <v>13</v>
      </c>
      <c r="U75" s="11">
        <v>2</v>
      </c>
      <c r="V75" s="11">
        <v>15</v>
      </c>
      <c r="W75" s="11">
        <v>0</v>
      </c>
      <c r="X75" s="11">
        <v>33</v>
      </c>
      <c r="Y75" s="11">
        <v>55</v>
      </c>
      <c r="Z75" s="11">
        <v>185</v>
      </c>
      <c r="AA75" s="11">
        <v>1</v>
      </c>
      <c r="AB75" s="11">
        <v>1</v>
      </c>
      <c r="AC75" s="11">
        <v>0</v>
      </c>
      <c r="AD75" s="11">
        <v>0</v>
      </c>
      <c r="AE75" s="11">
        <v>0</v>
      </c>
      <c r="AF75" s="11">
        <v>0</v>
      </c>
      <c r="AG75" s="11">
        <v>376</v>
      </c>
      <c r="AH75" s="11">
        <v>432</v>
      </c>
      <c r="AI75" s="11">
        <v>74</v>
      </c>
      <c r="AJ75" s="11">
        <v>56775</v>
      </c>
      <c r="AK75" s="11">
        <v>6</v>
      </c>
      <c r="AL75" s="11">
        <v>31500</v>
      </c>
      <c r="AM75" s="11">
        <v>0</v>
      </c>
      <c r="AN75" s="11">
        <v>7.4999999999999997E-3</v>
      </c>
      <c r="AO75" s="11">
        <v>280090</v>
      </c>
      <c r="AP75" s="11">
        <v>0.93</v>
      </c>
      <c r="AQ75" s="11">
        <v>0</v>
      </c>
      <c r="AR75" s="11">
        <v>32</v>
      </c>
      <c r="AS75" s="11">
        <v>724</v>
      </c>
      <c r="AT75" s="11">
        <v>6682.94</v>
      </c>
      <c r="AU75" s="11">
        <v>2</v>
      </c>
      <c r="AV75" s="11">
        <v>152</v>
      </c>
      <c r="AW75" s="11">
        <v>15</v>
      </c>
      <c r="AX75" s="11">
        <v>29</v>
      </c>
      <c r="AY75" s="11">
        <v>6</v>
      </c>
    </row>
    <row r="76" spans="1:52">
      <c r="A76" s="11" t="s">
        <v>118</v>
      </c>
      <c r="B76" s="149" t="s">
        <v>362</v>
      </c>
      <c r="C76" s="11" t="s">
        <v>181</v>
      </c>
      <c r="D76" s="11" t="s">
        <v>419</v>
      </c>
      <c r="E76" s="11" t="s">
        <v>538</v>
      </c>
      <c r="F76" s="186">
        <v>45047</v>
      </c>
      <c r="G76" s="11" t="s">
        <v>81</v>
      </c>
      <c r="H76" s="11">
        <v>0</v>
      </c>
      <c r="I76" s="11">
        <v>4500000</v>
      </c>
      <c r="J76" s="11">
        <v>3998785.52</v>
      </c>
      <c r="K76" s="11">
        <v>0</v>
      </c>
      <c r="L76" s="6">
        <f t="shared" si="0"/>
        <v>3998785.52</v>
      </c>
      <c r="M76" s="11">
        <v>50</v>
      </c>
      <c r="N76" s="11">
        <v>32</v>
      </c>
      <c r="O76" s="11">
        <v>3</v>
      </c>
      <c r="P76" s="11">
        <v>53</v>
      </c>
      <c r="Q76" s="11">
        <v>21</v>
      </c>
      <c r="R76" s="11">
        <v>3921733.52</v>
      </c>
      <c r="S76" s="11">
        <v>77052</v>
      </c>
      <c r="T76" s="11">
        <v>10</v>
      </c>
      <c r="U76" s="11">
        <v>1</v>
      </c>
      <c r="V76" s="11">
        <v>11</v>
      </c>
      <c r="W76" s="11">
        <v>0</v>
      </c>
      <c r="X76" s="11">
        <v>14</v>
      </c>
      <c r="Y76" s="11">
        <v>19</v>
      </c>
      <c r="Z76" s="11">
        <v>260</v>
      </c>
      <c r="AA76" s="11">
        <v>1</v>
      </c>
      <c r="AB76" s="11">
        <v>1</v>
      </c>
      <c r="AC76" s="11">
        <v>0</v>
      </c>
      <c r="AD76" s="11">
        <v>0</v>
      </c>
      <c r="AE76" s="11">
        <v>0</v>
      </c>
      <c r="AF76" s="11">
        <v>0</v>
      </c>
      <c r="AG76" s="11">
        <v>290</v>
      </c>
      <c r="AH76" s="11">
        <v>310</v>
      </c>
      <c r="AI76" s="11">
        <v>76</v>
      </c>
      <c r="AJ76" s="11">
        <v>52616</v>
      </c>
      <c r="AK76" s="11">
        <v>4</v>
      </c>
      <c r="AL76" s="11">
        <v>26000</v>
      </c>
      <c r="AM76" s="11">
        <v>0</v>
      </c>
      <c r="AN76" s="11">
        <v>6.4999999999999997E-3</v>
      </c>
      <c r="AO76" s="11">
        <v>363526</v>
      </c>
      <c r="AP76" s="11">
        <v>0.89</v>
      </c>
      <c r="AQ76" s="11">
        <v>0</v>
      </c>
      <c r="AR76" s="11">
        <v>26</v>
      </c>
      <c r="AS76" s="11">
        <v>567</v>
      </c>
      <c r="AT76" s="11">
        <v>3493.43</v>
      </c>
      <c r="AU76" s="11">
        <v>1</v>
      </c>
      <c r="AV76" s="11">
        <v>109</v>
      </c>
      <c r="AW76" s="11">
        <v>11</v>
      </c>
      <c r="AX76" s="11">
        <v>21</v>
      </c>
      <c r="AY76" s="11">
        <v>21</v>
      </c>
    </row>
    <row r="77" spans="1:52">
      <c r="A77" s="11" t="s">
        <v>118</v>
      </c>
      <c r="B77" s="149" t="s">
        <v>362</v>
      </c>
      <c r="C77" s="11" t="s">
        <v>183</v>
      </c>
      <c r="D77" s="11" t="s">
        <v>419</v>
      </c>
      <c r="E77" s="11" t="s">
        <v>540</v>
      </c>
      <c r="F77" s="186">
        <v>45048</v>
      </c>
      <c r="G77" s="11" t="s">
        <v>45</v>
      </c>
      <c r="H77" s="11">
        <v>0</v>
      </c>
      <c r="I77" s="11">
        <v>4500000</v>
      </c>
      <c r="J77" s="11">
        <v>4186795.65</v>
      </c>
      <c r="K77" s="11">
        <v>0</v>
      </c>
      <c r="L77" s="6">
        <f t="shared" si="0"/>
        <v>4186795.65</v>
      </c>
      <c r="M77" s="11">
        <v>51</v>
      </c>
      <c r="N77" s="11">
        <v>51</v>
      </c>
      <c r="O77" s="11">
        <v>3</v>
      </c>
      <c r="P77" s="11">
        <v>54</v>
      </c>
      <c r="Q77" s="11">
        <v>3</v>
      </c>
      <c r="R77" s="11">
        <v>3936446.77</v>
      </c>
      <c r="S77" s="11">
        <v>250348.88</v>
      </c>
      <c r="T77" s="11">
        <v>33</v>
      </c>
      <c r="U77" s="11">
        <v>3</v>
      </c>
      <c r="V77" s="11">
        <v>36</v>
      </c>
      <c r="W77" s="11">
        <v>0</v>
      </c>
      <c r="X77" s="11">
        <v>0</v>
      </c>
      <c r="Y77" s="11">
        <v>0</v>
      </c>
      <c r="Z77" s="11">
        <v>2</v>
      </c>
      <c r="AA77" s="11">
        <v>3</v>
      </c>
      <c r="AB77" s="11">
        <v>63</v>
      </c>
      <c r="AC77" s="11">
        <v>0</v>
      </c>
      <c r="AD77" s="11">
        <v>0</v>
      </c>
      <c r="AE77" s="11">
        <v>0</v>
      </c>
      <c r="AF77" s="11">
        <v>0</v>
      </c>
      <c r="AG77" s="11">
        <v>265</v>
      </c>
      <c r="AH77" s="11">
        <v>328</v>
      </c>
      <c r="AI77" s="11">
        <v>69</v>
      </c>
      <c r="AJ77" s="11">
        <v>60678</v>
      </c>
      <c r="AK77" s="11">
        <v>5</v>
      </c>
      <c r="AL77" s="11">
        <v>26000</v>
      </c>
      <c r="AM77" s="11">
        <v>0</v>
      </c>
      <c r="AN77" s="11">
        <v>6.1999999999999998E-3</v>
      </c>
      <c r="AO77" s="11">
        <v>116300</v>
      </c>
      <c r="AP77" s="11">
        <v>0.93</v>
      </c>
      <c r="AQ77" s="11">
        <v>0</v>
      </c>
      <c r="AR77" s="11">
        <v>83</v>
      </c>
      <c r="AS77" s="11">
        <v>679</v>
      </c>
      <c r="AT77" s="11">
        <v>4270.8500000000004</v>
      </c>
      <c r="AU77" s="11">
        <v>3</v>
      </c>
      <c r="AV77" s="11">
        <v>84</v>
      </c>
      <c r="AW77" s="11">
        <v>36</v>
      </c>
      <c r="AX77" s="11">
        <v>15</v>
      </c>
      <c r="AY77" s="11">
        <v>3</v>
      </c>
    </row>
    <row r="78" spans="1:52">
      <c r="A78" s="11" t="s">
        <v>118</v>
      </c>
      <c r="B78" s="149" t="s">
        <v>362</v>
      </c>
      <c r="C78" s="11" t="s">
        <v>184</v>
      </c>
      <c r="D78" s="11" t="s">
        <v>419</v>
      </c>
      <c r="E78" s="11" t="s">
        <v>539</v>
      </c>
      <c r="F78" s="186">
        <v>45047</v>
      </c>
      <c r="G78" s="11" t="s">
        <v>29</v>
      </c>
      <c r="H78" s="11">
        <v>0</v>
      </c>
      <c r="I78" s="11">
        <v>3300000</v>
      </c>
      <c r="J78" s="11">
        <v>1532092.13</v>
      </c>
      <c r="K78" s="11">
        <v>0</v>
      </c>
      <c r="L78" s="6">
        <f t="shared" si="0"/>
        <v>1532092.13</v>
      </c>
      <c r="M78" s="11">
        <v>110</v>
      </c>
      <c r="N78" s="11">
        <v>87</v>
      </c>
      <c r="O78" s="11">
        <v>4</v>
      </c>
      <c r="P78" s="11">
        <v>114</v>
      </c>
      <c r="Q78" s="11">
        <v>27</v>
      </c>
      <c r="R78" s="11">
        <v>1507617.22</v>
      </c>
      <c r="S78" s="11">
        <v>24474.91</v>
      </c>
      <c r="T78" s="11">
        <v>50</v>
      </c>
      <c r="U78" s="11">
        <v>1</v>
      </c>
      <c r="V78" s="11">
        <v>51</v>
      </c>
      <c r="W78" s="11">
        <v>0</v>
      </c>
      <c r="X78" s="11">
        <v>2</v>
      </c>
      <c r="Y78" s="11">
        <v>3</v>
      </c>
      <c r="Z78" s="11">
        <v>48</v>
      </c>
      <c r="AA78" s="11">
        <v>1</v>
      </c>
      <c r="AB78" s="11">
        <v>5</v>
      </c>
      <c r="AC78" s="11">
        <v>0</v>
      </c>
      <c r="AD78" s="11">
        <v>0</v>
      </c>
      <c r="AE78" s="11">
        <v>0</v>
      </c>
      <c r="AF78" s="11">
        <v>0</v>
      </c>
      <c r="AG78" s="11">
        <v>131</v>
      </c>
      <c r="AH78" s="11">
        <v>139</v>
      </c>
      <c r="AI78" s="11">
        <v>25</v>
      </c>
      <c r="AJ78" s="11">
        <v>61284</v>
      </c>
      <c r="AK78" s="11">
        <v>6</v>
      </c>
      <c r="AL78" s="11">
        <v>25167</v>
      </c>
      <c r="AM78" s="11">
        <v>0</v>
      </c>
      <c r="AN78" s="11">
        <v>1.6400000000000001E-2</v>
      </c>
      <c r="AO78" s="11">
        <v>30041</v>
      </c>
      <c r="AP78" s="11">
        <v>0.46</v>
      </c>
      <c r="AQ78" s="11">
        <v>0</v>
      </c>
      <c r="AR78" s="11">
        <v>71</v>
      </c>
      <c r="AS78" s="11">
        <v>245</v>
      </c>
      <c r="AT78" s="11">
        <v>1326.54</v>
      </c>
      <c r="AU78" s="11">
        <v>1</v>
      </c>
      <c r="AV78" s="11">
        <v>15</v>
      </c>
      <c r="AW78" s="11">
        <v>51</v>
      </c>
      <c r="AX78" s="11">
        <v>42</v>
      </c>
      <c r="AY78" s="11">
        <v>21</v>
      </c>
      <c r="AZ78" s="184">
        <v>45869</v>
      </c>
    </row>
    <row r="79" spans="1:52">
      <c r="A79" s="11" t="s">
        <v>154</v>
      </c>
      <c r="B79" s="149" t="s">
        <v>367</v>
      </c>
      <c r="C79" s="11" t="s">
        <v>185</v>
      </c>
      <c r="D79" s="11" t="s">
        <v>577</v>
      </c>
      <c r="E79" s="11" t="s">
        <v>583</v>
      </c>
      <c r="F79" s="187">
        <v>45428</v>
      </c>
      <c r="G79" s="11" t="s">
        <v>196</v>
      </c>
      <c r="H79" s="11">
        <v>0</v>
      </c>
      <c r="I79" s="11">
        <v>0</v>
      </c>
      <c r="J79" s="11">
        <v>0</v>
      </c>
      <c r="K79" s="11">
        <v>0</v>
      </c>
      <c r="L79" s="6">
        <f t="shared" si="0"/>
        <v>0</v>
      </c>
      <c r="M79" s="11">
        <v>67</v>
      </c>
      <c r="N79" s="11">
        <v>34</v>
      </c>
      <c r="O79" s="11">
        <v>1</v>
      </c>
      <c r="P79" s="11">
        <v>68</v>
      </c>
      <c r="Q79" s="11">
        <v>34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105</v>
      </c>
      <c r="Y79" s="11">
        <v>158</v>
      </c>
      <c r="Z79" s="11">
        <v>194</v>
      </c>
      <c r="AA79" s="11">
        <v>6</v>
      </c>
      <c r="AB79" s="11">
        <v>27</v>
      </c>
      <c r="AC79" s="11">
        <v>0</v>
      </c>
      <c r="AD79" s="11">
        <v>0</v>
      </c>
      <c r="AE79" s="11">
        <v>14</v>
      </c>
      <c r="AF79" s="11">
        <v>17</v>
      </c>
      <c r="AG79" s="11">
        <v>81</v>
      </c>
      <c r="AH79" s="11">
        <v>283</v>
      </c>
      <c r="AI79" s="11">
        <v>66</v>
      </c>
      <c r="AJ79" s="11">
        <v>0</v>
      </c>
      <c r="AK79" s="11">
        <v>4</v>
      </c>
      <c r="AL79" s="11">
        <v>29880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537</v>
      </c>
      <c r="AT79" s="11">
        <v>4709.03</v>
      </c>
      <c r="AU79" s="11">
        <v>0</v>
      </c>
      <c r="AV79" s="11">
        <v>139</v>
      </c>
      <c r="AW79" s="11">
        <v>0</v>
      </c>
      <c r="AX79" s="11">
        <v>34</v>
      </c>
      <c r="AY79" s="11">
        <v>34</v>
      </c>
    </row>
    <row r="80" spans="1:52">
      <c r="A80" s="11" t="s">
        <v>118</v>
      </c>
      <c r="B80" s="149" t="s">
        <v>362</v>
      </c>
      <c r="C80" s="11" t="s">
        <v>186</v>
      </c>
      <c r="D80" s="11" t="s">
        <v>419</v>
      </c>
      <c r="E80" s="11" t="s">
        <v>538</v>
      </c>
      <c r="F80" s="187">
        <v>45056</v>
      </c>
      <c r="G80" s="11" t="s">
        <v>81</v>
      </c>
      <c r="H80" s="11">
        <v>0</v>
      </c>
      <c r="I80" s="11">
        <v>4500000</v>
      </c>
      <c r="J80" s="11">
        <v>4632086.25</v>
      </c>
      <c r="K80" s="11">
        <v>0</v>
      </c>
      <c r="L80" s="6">
        <f t="shared" si="0"/>
        <v>4632086.25</v>
      </c>
      <c r="M80" s="11">
        <v>61</v>
      </c>
      <c r="N80" s="11">
        <v>55</v>
      </c>
      <c r="O80" s="11">
        <v>5</v>
      </c>
      <c r="P80" s="11">
        <v>66</v>
      </c>
      <c r="Q80" s="11">
        <v>11</v>
      </c>
      <c r="R80" s="11">
        <v>4384263.6100000003</v>
      </c>
      <c r="S80" s="11">
        <v>247822.64</v>
      </c>
      <c r="T80" s="11">
        <v>17</v>
      </c>
      <c r="U80" s="11">
        <v>4</v>
      </c>
      <c r="V80" s="11">
        <v>21</v>
      </c>
      <c r="W80" s="11">
        <v>0</v>
      </c>
      <c r="X80" s="11">
        <v>71</v>
      </c>
      <c r="Y80" s="11">
        <v>132</v>
      </c>
      <c r="Z80" s="11">
        <v>211</v>
      </c>
      <c r="AA80" s="11">
        <v>1</v>
      </c>
      <c r="AB80" s="11">
        <v>1</v>
      </c>
      <c r="AC80" s="11">
        <v>0</v>
      </c>
      <c r="AD80" s="11">
        <v>0</v>
      </c>
      <c r="AE80" s="11">
        <v>0</v>
      </c>
      <c r="AF80" s="11">
        <v>0</v>
      </c>
      <c r="AG80" s="11">
        <v>310</v>
      </c>
      <c r="AH80" s="11">
        <v>443</v>
      </c>
      <c r="AI80" s="11">
        <v>71</v>
      </c>
      <c r="AJ80" s="11">
        <v>65241</v>
      </c>
      <c r="AK80" s="11">
        <v>6</v>
      </c>
      <c r="AL80" s="11">
        <v>24850</v>
      </c>
      <c r="AM80" s="11">
        <v>0</v>
      </c>
      <c r="AN80" s="11">
        <v>5.4000000000000003E-3</v>
      </c>
      <c r="AO80" s="11">
        <v>220576</v>
      </c>
      <c r="AP80" s="11">
        <v>1.03</v>
      </c>
      <c r="AQ80" s="11">
        <v>0</v>
      </c>
      <c r="AR80" s="11">
        <v>37</v>
      </c>
      <c r="AS80" s="11">
        <v>758</v>
      </c>
      <c r="AT80" s="11">
        <v>4438.38</v>
      </c>
      <c r="AU80" s="11">
        <v>4</v>
      </c>
      <c r="AV80" s="11">
        <v>81</v>
      </c>
      <c r="AW80" s="11">
        <v>21</v>
      </c>
      <c r="AX80" s="11">
        <v>34</v>
      </c>
      <c r="AY80" s="11">
        <v>11</v>
      </c>
    </row>
    <row r="81" spans="1:52">
      <c r="A81" s="11" t="s">
        <v>118</v>
      </c>
      <c r="B81" s="149" t="s">
        <v>372</v>
      </c>
      <c r="C81" s="11" t="s">
        <v>187</v>
      </c>
      <c r="D81" s="11" t="s">
        <v>447</v>
      </c>
      <c r="E81" s="11" t="s">
        <v>514</v>
      </c>
      <c r="F81" s="187">
        <v>45058</v>
      </c>
      <c r="G81" s="11" t="s">
        <v>138</v>
      </c>
      <c r="H81" s="11">
        <v>0</v>
      </c>
      <c r="I81" s="11">
        <v>6000000</v>
      </c>
      <c r="J81" s="11">
        <v>2461941.13</v>
      </c>
      <c r="K81" s="11">
        <v>0</v>
      </c>
      <c r="L81" s="6">
        <f t="shared" si="0"/>
        <v>2461941.13</v>
      </c>
      <c r="M81" s="11">
        <v>115</v>
      </c>
      <c r="N81" s="11">
        <v>88</v>
      </c>
      <c r="O81" s="11">
        <v>2</v>
      </c>
      <c r="P81" s="11">
        <v>117</v>
      </c>
      <c r="Q81" s="11">
        <v>29</v>
      </c>
      <c r="R81" s="11">
        <v>2429337.4300000002</v>
      </c>
      <c r="S81" s="11">
        <v>32603.7</v>
      </c>
      <c r="T81" s="11">
        <v>34</v>
      </c>
      <c r="U81" s="11">
        <v>1</v>
      </c>
      <c r="V81" s="11">
        <v>35</v>
      </c>
      <c r="W81" s="11">
        <v>0</v>
      </c>
      <c r="X81" s="11">
        <v>39</v>
      </c>
      <c r="Y81" s="11">
        <v>44</v>
      </c>
      <c r="Z81" s="11">
        <v>349</v>
      </c>
      <c r="AA81" s="11">
        <v>1</v>
      </c>
      <c r="AB81" s="11">
        <v>29</v>
      </c>
      <c r="AC81" s="11">
        <v>0</v>
      </c>
      <c r="AD81" s="11">
        <v>0</v>
      </c>
      <c r="AE81" s="11">
        <v>0</v>
      </c>
      <c r="AF81" s="11">
        <v>0</v>
      </c>
      <c r="AG81" s="11">
        <v>217</v>
      </c>
      <c r="AH81" s="11">
        <v>290</v>
      </c>
      <c r="AI81" s="11">
        <v>68</v>
      </c>
      <c r="AJ81" s="11">
        <v>36205</v>
      </c>
      <c r="AK81" s="11">
        <v>4</v>
      </c>
      <c r="AL81" s="11">
        <v>30770</v>
      </c>
      <c r="AM81" s="11">
        <v>0</v>
      </c>
      <c r="AN81" s="11">
        <v>1.2500000000000001E-2</v>
      </c>
      <c r="AO81" s="11">
        <v>70341</v>
      </c>
      <c r="AP81" s="11">
        <v>0.41</v>
      </c>
      <c r="AQ81" s="11">
        <v>0</v>
      </c>
      <c r="AR81" s="11">
        <v>47</v>
      </c>
      <c r="AS81" s="11">
        <v>691</v>
      </c>
      <c r="AT81" s="11">
        <v>2177.52</v>
      </c>
      <c r="AU81" s="11">
        <v>1</v>
      </c>
      <c r="AV81" s="11">
        <v>25</v>
      </c>
      <c r="AW81" s="11">
        <v>35</v>
      </c>
      <c r="AX81" s="11">
        <v>54</v>
      </c>
      <c r="AY81" s="11">
        <v>28</v>
      </c>
    </row>
    <row r="82" spans="1:52">
      <c r="A82" s="11" t="s">
        <v>154</v>
      </c>
      <c r="B82" s="149" t="s">
        <v>370</v>
      </c>
      <c r="C82" s="11" t="s">
        <v>188</v>
      </c>
      <c r="D82" s="11" t="s">
        <v>542</v>
      </c>
      <c r="E82" s="11" t="s">
        <v>369</v>
      </c>
      <c r="F82" s="187">
        <v>45061</v>
      </c>
      <c r="G82" s="11" t="s">
        <v>196</v>
      </c>
      <c r="H82" s="11">
        <v>0</v>
      </c>
      <c r="I82" s="11">
        <v>4300000</v>
      </c>
      <c r="J82" s="11">
        <v>3504803.15</v>
      </c>
      <c r="K82" s="11">
        <v>0</v>
      </c>
      <c r="L82" s="6">
        <f t="shared" si="0"/>
        <v>3504803.15</v>
      </c>
      <c r="M82" s="11">
        <v>124</v>
      </c>
      <c r="N82" s="11">
        <v>96</v>
      </c>
      <c r="O82" s="11">
        <v>5</v>
      </c>
      <c r="P82" s="11">
        <v>129</v>
      </c>
      <c r="Q82" s="11">
        <v>33</v>
      </c>
      <c r="R82" s="11">
        <v>3018622.57</v>
      </c>
      <c r="S82" s="11">
        <v>486180.58</v>
      </c>
      <c r="T82" s="11">
        <v>39</v>
      </c>
      <c r="U82" s="11">
        <v>5</v>
      </c>
      <c r="V82" s="11">
        <v>44</v>
      </c>
      <c r="W82" s="11">
        <v>0</v>
      </c>
      <c r="X82" s="11">
        <v>65</v>
      </c>
      <c r="Y82" s="11">
        <v>83</v>
      </c>
      <c r="Z82" s="11">
        <v>429</v>
      </c>
      <c r="AA82" s="11">
        <v>2</v>
      </c>
      <c r="AB82" s="11">
        <v>19</v>
      </c>
      <c r="AC82" s="11">
        <v>0</v>
      </c>
      <c r="AD82" s="11">
        <v>0</v>
      </c>
      <c r="AE82" s="11">
        <v>2</v>
      </c>
      <c r="AF82" s="11">
        <v>4</v>
      </c>
      <c r="AG82" s="11">
        <v>403</v>
      </c>
      <c r="AH82" s="11">
        <v>509</v>
      </c>
      <c r="AI82" s="11">
        <v>70</v>
      </c>
      <c r="AJ82" s="11">
        <v>50069</v>
      </c>
      <c r="AK82" s="11">
        <v>7</v>
      </c>
      <c r="AL82" s="11">
        <v>34135</v>
      </c>
      <c r="AM82" s="11">
        <v>0</v>
      </c>
      <c r="AN82" s="11">
        <v>9.7000000000000003E-3</v>
      </c>
      <c r="AO82" s="11">
        <v>79655</v>
      </c>
      <c r="AP82" s="11">
        <v>0.82</v>
      </c>
      <c r="AQ82" s="11">
        <v>0</v>
      </c>
      <c r="AR82" s="11">
        <v>85</v>
      </c>
      <c r="AS82" s="11">
        <v>765</v>
      </c>
      <c r="AT82" s="11">
        <v>6151.62</v>
      </c>
      <c r="AU82" s="11">
        <v>5</v>
      </c>
      <c r="AV82" s="11">
        <v>64</v>
      </c>
      <c r="AW82" s="11">
        <v>44</v>
      </c>
      <c r="AX82" s="11">
        <v>52</v>
      </c>
      <c r="AY82" s="11">
        <v>33</v>
      </c>
    </row>
    <row r="83" spans="1:52">
      <c r="A83" s="11" t="s">
        <v>118</v>
      </c>
      <c r="B83" s="149" t="s">
        <v>362</v>
      </c>
      <c r="C83" s="11" t="s">
        <v>189</v>
      </c>
      <c r="D83" s="11" t="s">
        <v>419</v>
      </c>
      <c r="E83" s="11" t="s">
        <v>544</v>
      </c>
      <c r="F83" s="187">
        <v>45069</v>
      </c>
      <c r="G83" s="11" t="s">
        <v>51</v>
      </c>
      <c r="H83" s="11">
        <v>0</v>
      </c>
      <c r="I83" s="11">
        <v>4500000</v>
      </c>
      <c r="J83" s="11">
        <v>3432294.47</v>
      </c>
      <c r="K83" s="11">
        <v>0</v>
      </c>
      <c r="L83" s="6">
        <f t="shared" si="0"/>
        <v>3432294.47</v>
      </c>
      <c r="M83" s="11">
        <v>43</v>
      </c>
      <c r="N83" s="11">
        <v>36</v>
      </c>
      <c r="O83" s="11">
        <v>2</v>
      </c>
      <c r="P83" s="11">
        <v>45</v>
      </c>
      <c r="Q83" s="11">
        <v>9</v>
      </c>
      <c r="R83" s="11">
        <v>2719931.36</v>
      </c>
      <c r="S83" s="11">
        <v>712363.11</v>
      </c>
      <c r="T83" s="11">
        <v>13</v>
      </c>
      <c r="U83" s="11">
        <v>2</v>
      </c>
      <c r="V83" s="11">
        <v>15</v>
      </c>
      <c r="W83" s="11">
        <v>0</v>
      </c>
      <c r="X83" s="11">
        <v>10</v>
      </c>
      <c r="Y83" s="11">
        <v>23</v>
      </c>
      <c r="Z83" s="11">
        <v>87</v>
      </c>
      <c r="AA83" s="11">
        <v>1</v>
      </c>
      <c r="AB83" s="11">
        <v>4</v>
      </c>
      <c r="AC83" s="11">
        <v>0</v>
      </c>
      <c r="AD83" s="11">
        <v>0</v>
      </c>
      <c r="AE83" s="11">
        <v>0</v>
      </c>
      <c r="AF83" s="11">
        <v>0</v>
      </c>
      <c r="AG83" s="11">
        <v>337</v>
      </c>
      <c r="AH83" s="11">
        <v>364</v>
      </c>
      <c r="AI83" s="11">
        <v>73</v>
      </c>
      <c r="AJ83" s="11">
        <v>47018</v>
      </c>
      <c r="AK83" s="11">
        <v>5</v>
      </c>
      <c r="AL83" s="11">
        <v>29042</v>
      </c>
      <c r="AM83" s="11">
        <v>0</v>
      </c>
      <c r="AN83" s="11">
        <v>8.5000000000000006E-3</v>
      </c>
      <c r="AO83" s="11">
        <v>228820</v>
      </c>
      <c r="AP83" s="11">
        <v>0.76</v>
      </c>
      <c r="AQ83" s="11">
        <v>0</v>
      </c>
      <c r="AR83" s="11">
        <v>54</v>
      </c>
      <c r="AS83" s="11">
        <v>824</v>
      </c>
      <c r="AT83" s="11">
        <v>4059.57</v>
      </c>
      <c r="AU83" s="11">
        <v>2</v>
      </c>
      <c r="AV83" s="11">
        <v>113</v>
      </c>
      <c r="AW83" s="11">
        <v>15</v>
      </c>
      <c r="AX83" s="11">
        <v>21</v>
      </c>
      <c r="AY83" s="11">
        <v>9</v>
      </c>
    </row>
    <row r="84" spans="1:52">
      <c r="A84" s="11" t="s">
        <v>118</v>
      </c>
      <c r="B84" s="149" t="s">
        <v>362</v>
      </c>
      <c r="C84" s="11" t="s">
        <v>190</v>
      </c>
      <c r="D84" s="11" t="s">
        <v>419</v>
      </c>
      <c r="E84" s="11" t="s">
        <v>539</v>
      </c>
      <c r="F84" s="187">
        <v>45069</v>
      </c>
      <c r="G84" s="11" t="s">
        <v>29</v>
      </c>
      <c r="H84" s="11">
        <v>0</v>
      </c>
      <c r="I84" s="11">
        <v>4500000</v>
      </c>
      <c r="J84" s="11">
        <v>3538005.8</v>
      </c>
      <c r="K84" s="11">
        <v>0</v>
      </c>
      <c r="L84" s="6">
        <f t="shared" si="0"/>
        <v>3538005.8</v>
      </c>
      <c r="M84" s="11">
        <v>124</v>
      </c>
      <c r="N84" s="11">
        <v>106</v>
      </c>
      <c r="O84" s="11">
        <v>4</v>
      </c>
      <c r="P84" s="11">
        <v>128</v>
      </c>
      <c r="Q84" s="11">
        <v>22</v>
      </c>
      <c r="R84" s="11">
        <v>3474732.2</v>
      </c>
      <c r="S84" s="11">
        <v>63273.599999999999</v>
      </c>
      <c r="T84" s="11">
        <v>74</v>
      </c>
      <c r="U84" s="11">
        <v>1</v>
      </c>
      <c r="V84" s="11">
        <v>75</v>
      </c>
      <c r="W84" s="11">
        <v>0</v>
      </c>
      <c r="X84" s="11">
        <v>1</v>
      </c>
      <c r="Y84" s="11">
        <v>1</v>
      </c>
      <c r="Z84" s="11">
        <v>73</v>
      </c>
      <c r="AA84" s="11">
        <v>1</v>
      </c>
      <c r="AB84" s="11">
        <v>16</v>
      </c>
      <c r="AC84" s="11">
        <v>0</v>
      </c>
      <c r="AD84" s="11">
        <v>0</v>
      </c>
      <c r="AE84" s="11">
        <v>0</v>
      </c>
      <c r="AF84" s="11">
        <v>0</v>
      </c>
      <c r="AG84" s="11">
        <v>399</v>
      </c>
      <c r="AH84" s="11">
        <v>416</v>
      </c>
      <c r="AI84" s="11">
        <v>74</v>
      </c>
      <c r="AJ84" s="11">
        <v>47811</v>
      </c>
      <c r="AK84" s="11">
        <v>6</v>
      </c>
      <c r="AL84" s="11">
        <v>25212</v>
      </c>
      <c r="AM84" s="11">
        <v>0</v>
      </c>
      <c r="AN84" s="11">
        <v>7.1000000000000004E-3</v>
      </c>
      <c r="AO84" s="11">
        <v>47173</v>
      </c>
      <c r="AP84" s="11">
        <v>0.79</v>
      </c>
      <c r="AQ84" s="11">
        <v>0</v>
      </c>
      <c r="AR84" s="11">
        <v>144</v>
      </c>
      <c r="AS84" s="11">
        <v>800</v>
      </c>
      <c r="AT84" s="11">
        <v>4319.96</v>
      </c>
      <c r="AU84" s="11">
        <v>1</v>
      </c>
      <c r="AV84" s="11">
        <v>41</v>
      </c>
      <c r="AW84" s="11">
        <v>75</v>
      </c>
      <c r="AX84" s="11">
        <v>34</v>
      </c>
      <c r="AY84" s="11">
        <v>19</v>
      </c>
    </row>
    <row r="85" spans="1:52">
      <c r="A85" s="11" t="s">
        <v>118</v>
      </c>
      <c r="B85" s="149" t="s">
        <v>375</v>
      </c>
      <c r="C85" s="11" t="s">
        <v>191</v>
      </c>
      <c r="D85" s="11" t="s">
        <v>473</v>
      </c>
      <c r="E85" s="11" t="s">
        <v>545</v>
      </c>
      <c r="F85" s="187">
        <v>45071</v>
      </c>
      <c r="G85" s="11" t="s">
        <v>119</v>
      </c>
      <c r="H85" s="11">
        <v>0</v>
      </c>
      <c r="I85" s="11">
        <v>0</v>
      </c>
      <c r="J85" s="11">
        <v>0</v>
      </c>
      <c r="K85" s="11">
        <v>0</v>
      </c>
      <c r="L85" s="6">
        <f t="shared" si="0"/>
        <v>0</v>
      </c>
      <c r="M85" s="11">
        <v>57</v>
      </c>
      <c r="N85" s="11">
        <v>0</v>
      </c>
      <c r="O85" s="11">
        <v>1</v>
      </c>
      <c r="P85" s="11">
        <v>58</v>
      </c>
      <c r="Q85" s="11">
        <v>58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217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37094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58</v>
      </c>
      <c r="AZ85" s="187">
        <v>45808</v>
      </c>
    </row>
    <row r="86" spans="1:52">
      <c r="A86" s="11" t="s">
        <v>136</v>
      </c>
      <c r="B86" s="149" t="s">
        <v>653</v>
      </c>
      <c r="C86" s="11" t="s">
        <v>192</v>
      </c>
      <c r="D86" s="11" t="s">
        <v>421</v>
      </c>
      <c r="E86" s="11" t="s">
        <v>422</v>
      </c>
      <c r="F86" s="187">
        <v>45068</v>
      </c>
      <c r="G86" s="11" t="s">
        <v>136</v>
      </c>
      <c r="H86" s="11">
        <v>375000</v>
      </c>
      <c r="I86" s="11">
        <v>6000000</v>
      </c>
      <c r="J86" s="11">
        <v>1485106.15</v>
      </c>
      <c r="K86" s="11">
        <v>2352594.4700000002</v>
      </c>
      <c r="L86" s="6">
        <f t="shared" si="0"/>
        <v>3837700.62</v>
      </c>
      <c r="M86" s="11">
        <v>48</v>
      </c>
      <c r="N86" s="11">
        <v>30</v>
      </c>
      <c r="O86" s="11">
        <v>0</v>
      </c>
      <c r="P86" s="11">
        <v>48</v>
      </c>
      <c r="Q86" s="11">
        <v>18</v>
      </c>
      <c r="R86" s="11">
        <v>1485106.15</v>
      </c>
      <c r="S86" s="11">
        <v>0</v>
      </c>
      <c r="T86" s="11">
        <v>19</v>
      </c>
      <c r="U86" s="11">
        <v>0</v>
      </c>
      <c r="V86" s="11">
        <v>19</v>
      </c>
      <c r="W86" s="11">
        <v>8</v>
      </c>
      <c r="X86" s="11">
        <v>11</v>
      </c>
      <c r="Y86" s="11">
        <v>28</v>
      </c>
      <c r="Z86" s="11">
        <v>141</v>
      </c>
      <c r="AA86" s="11">
        <v>7</v>
      </c>
      <c r="AB86" s="11">
        <v>25</v>
      </c>
      <c r="AC86" s="11">
        <v>9</v>
      </c>
      <c r="AD86" s="11">
        <v>62</v>
      </c>
      <c r="AE86" s="11">
        <v>5</v>
      </c>
      <c r="AF86" s="11">
        <v>11</v>
      </c>
      <c r="AG86" s="11">
        <v>119</v>
      </c>
      <c r="AH86" s="11">
        <v>245</v>
      </c>
      <c r="AI86" s="11">
        <v>77</v>
      </c>
      <c r="AJ86" s="11">
        <v>19287</v>
      </c>
      <c r="AK86" s="11">
        <v>3</v>
      </c>
      <c r="AL86" s="11">
        <v>34661</v>
      </c>
      <c r="AM86" s="11">
        <v>0</v>
      </c>
      <c r="AN86" s="11">
        <v>2.3300000000000001E-2</v>
      </c>
      <c r="AO86" s="11">
        <v>78163</v>
      </c>
      <c r="AP86" s="11">
        <v>0.25</v>
      </c>
      <c r="AQ86" s="11">
        <v>6.27</v>
      </c>
      <c r="AR86" s="11">
        <v>31</v>
      </c>
      <c r="AS86" s="11">
        <v>622</v>
      </c>
      <c r="AT86" s="11">
        <v>2572.98</v>
      </c>
      <c r="AU86" s="11">
        <v>0</v>
      </c>
      <c r="AV86" s="11">
        <v>86</v>
      </c>
      <c r="AW86" s="11">
        <v>19</v>
      </c>
      <c r="AX86" s="11">
        <v>11</v>
      </c>
      <c r="AY86" s="11">
        <v>18</v>
      </c>
    </row>
    <row r="87" spans="1:52">
      <c r="A87" s="11" t="s">
        <v>154</v>
      </c>
      <c r="B87" s="149" t="s">
        <v>370</v>
      </c>
      <c r="C87" s="11" t="s">
        <v>193</v>
      </c>
      <c r="D87" s="11" t="s">
        <v>542</v>
      </c>
      <c r="E87" s="11" t="s">
        <v>369</v>
      </c>
      <c r="F87" s="185">
        <v>45079</v>
      </c>
      <c r="G87" s="11" t="s">
        <v>196</v>
      </c>
      <c r="H87" s="11">
        <v>0</v>
      </c>
      <c r="I87" s="11">
        <v>0</v>
      </c>
      <c r="J87" s="11">
        <v>0</v>
      </c>
      <c r="K87" s="11">
        <v>0</v>
      </c>
      <c r="L87" s="6">
        <f t="shared" si="0"/>
        <v>0</v>
      </c>
      <c r="M87" s="11">
        <v>80</v>
      </c>
      <c r="N87" s="11">
        <v>0</v>
      </c>
      <c r="O87" s="11">
        <v>3</v>
      </c>
      <c r="P87" s="11">
        <v>83</v>
      </c>
      <c r="Q87" s="11">
        <v>83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621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35853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83</v>
      </c>
      <c r="AZ87" s="187">
        <v>45794</v>
      </c>
    </row>
    <row r="88" spans="1:52">
      <c r="A88" s="11" t="s">
        <v>154</v>
      </c>
      <c r="B88" s="149" t="s">
        <v>367</v>
      </c>
      <c r="C88" s="11" t="s">
        <v>194</v>
      </c>
      <c r="D88" s="11" t="s">
        <v>577</v>
      </c>
      <c r="E88" s="11" t="s">
        <v>366</v>
      </c>
      <c r="F88" s="187">
        <v>45428</v>
      </c>
      <c r="G88" s="11" t="s">
        <v>196</v>
      </c>
      <c r="H88" s="11">
        <v>0</v>
      </c>
      <c r="I88" s="11">
        <v>2800000</v>
      </c>
      <c r="J88" s="11">
        <v>1348727.97</v>
      </c>
      <c r="K88" s="11">
        <v>0</v>
      </c>
      <c r="L88" s="6">
        <f t="shared" si="0"/>
        <v>1348727.97</v>
      </c>
      <c r="M88" s="11">
        <v>89</v>
      </c>
      <c r="N88" s="11">
        <v>67</v>
      </c>
      <c r="O88" s="11">
        <v>3</v>
      </c>
      <c r="P88" s="11">
        <v>92</v>
      </c>
      <c r="Q88" s="11">
        <v>25</v>
      </c>
      <c r="R88" s="11">
        <v>1226013.31</v>
      </c>
      <c r="S88" s="11">
        <v>122714.66</v>
      </c>
      <c r="T88" s="11">
        <v>31</v>
      </c>
      <c r="U88" s="11">
        <v>2</v>
      </c>
      <c r="V88" s="11">
        <v>33</v>
      </c>
      <c r="W88" s="11">
        <v>0</v>
      </c>
      <c r="X88" s="11">
        <v>55</v>
      </c>
      <c r="Y88" s="11">
        <v>89</v>
      </c>
      <c r="Z88" s="11">
        <v>453</v>
      </c>
      <c r="AA88" s="11">
        <v>2</v>
      </c>
      <c r="AB88" s="11">
        <v>42</v>
      </c>
      <c r="AC88" s="11">
        <v>0</v>
      </c>
      <c r="AD88" s="11">
        <v>0</v>
      </c>
      <c r="AE88" s="11">
        <v>0</v>
      </c>
      <c r="AF88" s="11">
        <v>0</v>
      </c>
      <c r="AG88" s="11">
        <v>323</v>
      </c>
      <c r="AH88" s="11">
        <v>454</v>
      </c>
      <c r="AI88" s="11">
        <v>70</v>
      </c>
      <c r="AJ88" s="11">
        <v>19268</v>
      </c>
      <c r="AK88" s="11">
        <v>6</v>
      </c>
      <c r="AL88" s="11">
        <v>26526</v>
      </c>
      <c r="AM88" s="11">
        <v>0</v>
      </c>
      <c r="AN88" s="11">
        <v>1.9699999999999999E-2</v>
      </c>
      <c r="AO88" s="11">
        <v>40871</v>
      </c>
      <c r="AP88" s="11">
        <v>0.48</v>
      </c>
      <c r="AQ88" s="11">
        <v>0</v>
      </c>
      <c r="AR88" s="11">
        <v>53</v>
      </c>
      <c r="AS88" s="11">
        <v>726</v>
      </c>
      <c r="AT88" s="11">
        <v>4699.38</v>
      </c>
      <c r="AU88" s="11">
        <v>2</v>
      </c>
      <c r="AV88" s="11">
        <v>70</v>
      </c>
      <c r="AW88" s="11">
        <v>33</v>
      </c>
      <c r="AX88" s="11">
        <v>35</v>
      </c>
      <c r="AY88" s="11">
        <v>24</v>
      </c>
    </row>
    <row r="89" spans="1:52">
      <c r="A89" s="11" t="s">
        <v>201</v>
      </c>
      <c r="B89" s="149" t="s">
        <v>431</v>
      </c>
      <c r="C89" s="11" t="s">
        <v>195</v>
      </c>
      <c r="D89" s="11" t="s">
        <v>431</v>
      </c>
      <c r="E89" s="11" t="s">
        <v>541</v>
      </c>
      <c r="F89" s="185">
        <v>45080</v>
      </c>
      <c r="G89" s="11" t="s">
        <v>121</v>
      </c>
      <c r="H89" s="11">
        <v>1200000</v>
      </c>
      <c r="I89" s="11">
        <v>6300000</v>
      </c>
      <c r="J89" s="11">
        <v>4137748.47</v>
      </c>
      <c r="K89" s="11">
        <v>1804795.25</v>
      </c>
      <c r="L89" s="6">
        <f t="shared" si="0"/>
        <v>5942543.7200000007</v>
      </c>
      <c r="M89" s="11">
        <v>122</v>
      </c>
      <c r="N89" s="11">
        <v>92</v>
      </c>
      <c r="O89" s="11">
        <v>5</v>
      </c>
      <c r="P89" s="11">
        <v>127</v>
      </c>
      <c r="Q89" s="11">
        <v>35</v>
      </c>
      <c r="R89" s="11">
        <v>3987983.43</v>
      </c>
      <c r="S89" s="11">
        <v>149765.04</v>
      </c>
      <c r="T89" s="11">
        <v>34</v>
      </c>
      <c r="U89" s="11">
        <v>4</v>
      </c>
      <c r="V89" s="11">
        <v>38</v>
      </c>
      <c r="W89" s="11">
        <v>5</v>
      </c>
      <c r="X89" s="11">
        <v>66</v>
      </c>
      <c r="Y89" s="11">
        <v>86</v>
      </c>
      <c r="Z89" s="11">
        <v>248</v>
      </c>
      <c r="AA89" s="11">
        <v>4</v>
      </c>
      <c r="AB89" s="11">
        <v>22</v>
      </c>
      <c r="AC89" s="11">
        <v>6</v>
      </c>
      <c r="AD89" s="11">
        <v>33</v>
      </c>
      <c r="AE89" s="11">
        <v>0</v>
      </c>
      <c r="AF89" s="11">
        <v>0</v>
      </c>
      <c r="AG89" s="11">
        <v>358</v>
      </c>
      <c r="AH89" s="11">
        <v>499</v>
      </c>
      <c r="AI89" s="11">
        <v>74</v>
      </c>
      <c r="AJ89" s="11">
        <v>55916</v>
      </c>
      <c r="AK89" s="11">
        <v>7</v>
      </c>
      <c r="AL89" s="11">
        <v>31981</v>
      </c>
      <c r="AM89" s="11">
        <v>0</v>
      </c>
      <c r="AN89" s="11">
        <v>7.7000000000000002E-3</v>
      </c>
      <c r="AO89" s="11">
        <v>108888</v>
      </c>
      <c r="AP89" s="11">
        <v>0.66</v>
      </c>
      <c r="AQ89" s="11">
        <v>1.5</v>
      </c>
      <c r="AR89" s="11">
        <v>78</v>
      </c>
      <c r="AS89" s="11">
        <v>793</v>
      </c>
      <c r="AT89" s="11">
        <v>5480.71</v>
      </c>
      <c r="AU89" s="11">
        <v>4</v>
      </c>
      <c r="AV89" s="11">
        <v>60</v>
      </c>
      <c r="AW89" s="11">
        <v>38</v>
      </c>
      <c r="AX89" s="11">
        <v>54</v>
      </c>
      <c r="AY89" s="11">
        <v>35</v>
      </c>
    </row>
    <row r="90" spans="1:52">
      <c r="A90" s="11" t="s">
        <v>118</v>
      </c>
      <c r="B90" s="149" t="s">
        <v>362</v>
      </c>
      <c r="C90" s="11" t="s">
        <v>197</v>
      </c>
      <c r="D90" s="11" t="s">
        <v>419</v>
      </c>
      <c r="E90" s="11" t="s">
        <v>547</v>
      </c>
      <c r="F90" s="185">
        <v>45084</v>
      </c>
      <c r="G90" s="11" t="s">
        <v>29</v>
      </c>
      <c r="H90" s="11">
        <v>0</v>
      </c>
      <c r="I90" s="11">
        <v>2500000</v>
      </c>
      <c r="J90" s="11">
        <v>415524.77</v>
      </c>
      <c r="K90" s="11">
        <v>0</v>
      </c>
      <c r="L90" s="6">
        <f t="shared" si="0"/>
        <v>415524.77</v>
      </c>
      <c r="M90" s="11">
        <v>86</v>
      </c>
      <c r="N90" s="11">
        <v>58</v>
      </c>
      <c r="O90" s="11">
        <v>5</v>
      </c>
      <c r="P90" s="11">
        <v>91</v>
      </c>
      <c r="Q90" s="11">
        <v>33</v>
      </c>
      <c r="R90" s="11">
        <v>415524.77</v>
      </c>
      <c r="S90" s="11">
        <v>0</v>
      </c>
      <c r="T90" s="11">
        <v>8</v>
      </c>
      <c r="U90" s="11">
        <v>0</v>
      </c>
      <c r="V90" s="11">
        <v>8</v>
      </c>
      <c r="W90" s="11">
        <v>0</v>
      </c>
      <c r="X90" s="11">
        <v>20</v>
      </c>
      <c r="Y90" s="11">
        <v>26</v>
      </c>
      <c r="Z90" s="11">
        <v>163</v>
      </c>
      <c r="AA90" s="11">
        <v>1</v>
      </c>
      <c r="AB90" s="11">
        <v>2</v>
      </c>
      <c r="AC90" s="11">
        <v>0</v>
      </c>
      <c r="AD90" s="11">
        <v>0</v>
      </c>
      <c r="AE90" s="11">
        <v>0</v>
      </c>
      <c r="AF90" s="11">
        <v>0</v>
      </c>
      <c r="AG90" s="11">
        <v>95</v>
      </c>
      <c r="AH90" s="11">
        <v>123</v>
      </c>
      <c r="AI90" s="11">
        <v>21</v>
      </c>
      <c r="AJ90" s="11">
        <v>19787</v>
      </c>
      <c r="AK90" s="11">
        <v>6</v>
      </c>
      <c r="AL90" s="11">
        <v>25850</v>
      </c>
      <c r="AM90" s="11">
        <v>0</v>
      </c>
      <c r="AN90" s="11">
        <v>6.2199999999999998E-2</v>
      </c>
      <c r="AO90" s="11">
        <v>51941</v>
      </c>
      <c r="AP90" s="11">
        <v>0.17</v>
      </c>
      <c r="AQ90" s="11">
        <v>0</v>
      </c>
      <c r="AR90" s="11">
        <v>8</v>
      </c>
      <c r="AS90" s="11">
        <v>166</v>
      </c>
      <c r="AT90" s="11">
        <v>2138.2600000000002</v>
      </c>
      <c r="AU90" s="11">
        <v>0</v>
      </c>
      <c r="AV90" s="11">
        <v>37</v>
      </c>
      <c r="AW90" s="11">
        <v>8</v>
      </c>
      <c r="AX90" s="11">
        <v>53</v>
      </c>
      <c r="AY90" s="11">
        <v>30</v>
      </c>
      <c r="AZ90" s="184">
        <v>45869</v>
      </c>
    </row>
    <row r="91" spans="1:52">
      <c r="A91" s="11" t="s">
        <v>118</v>
      </c>
      <c r="B91" s="149" t="s">
        <v>484</v>
      </c>
      <c r="C91" s="11" t="s">
        <v>199</v>
      </c>
      <c r="D91" s="11" t="s">
        <v>548</v>
      </c>
      <c r="E91" s="11" t="s">
        <v>549</v>
      </c>
      <c r="F91" s="185">
        <v>45108</v>
      </c>
      <c r="G91" s="11" t="s">
        <v>118</v>
      </c>
      <c r="H91" s="11">
        <v>0</v>
      </c>
      <c r="I91" s="11">
        <v>4500000</v>
      </c>
      <c r="J91" s="11">
        <v>3857277.01</v>
      </c>
      <c r="K91" s="11">
        <v>0</v>
      </c>
      <c r="L91" s="6">
        <f t="shared" si="0"/>
        <v>3857277.01</v>
      </c>
      <c r="M91" s="11">
        <v>67</v>
      </c>
      <c r="N91" s="11">
        <v>66</v>
      </c>
      <c r="O91" s="11">
        <v>5</v>
      </c>
      <c r="P91" s="11">
        <v>72</v>
      </c>
      <c r="Q91" s="11">
        <v>6</v>
      </c>
      <c r="R91" s="11">
        <v>2662730.8199999998</v>
      </c>
      <c r="S91" s="11">
        <v>1194546.19</v>
      </c>
      <c r="T91" s="11">
        <v>28</v>
      </c>
      <c r="U91" s="11">
        <v>5</v>
      </c>
      <c r="V91" s="11">
        <v>33</v>
      </c>
      <c r="W91" s="11">
        <v>0</v>
      </c>
      <c r="X91" s="11">
        <v>51</v>
      </c>
      <c r="Y91" s="11">
        <v>82</v>
      </c>
      <c r="Z91" s="11">
        <v>257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369</v>
      </c>
      <c r="AH91" s="11">
        <v>451</v>
      </c>
      <c r="AI91" s="11">
        <v>76</v>
      </c>
      <c r="AJ91" s="11">
        <v>50754</v>
      </c>
      <c r="AK91" s="11">
        <v>6</v>
      </c>
      <c r="AL91" s="11">
        <v>27680</v>
      </c>
      <c r="AM91" s="11">
        <v>0</v>
      </c>
      <c r="AN91" s="11">
        <v>7.1999999999999998E-3</v>
      </c>
      <c r="AO91" s="11">
        <v>116887</v>
      </c>
      <c r="AP91" s="11">
        <v>0.86</v>
      </c>
      <c r="AQ91" s="11">
        <v>0</v>
      </c>
      <c r="AR91" s="11">
        <v>47</v>
      </c>
      <c r="AS91" s="11">
        <v>819</v>
      </c>
      <c r="AT91" s="11">
        <v>7264.42</v>
      </c>
      <c r="AU91" s="11">
        <v>5</v>
      </c>
      <c r="AV91" s="11">
        <v>110</v>
      </c>
      <c r="AW91" s="11">
        <v>33</v>
      </c>
      <c r="AX91" s="11">
        <v>38</v>
      </c>
      <c r="AY91" s="11">
        <v>1</v>
      </c>
    </row>
    <row r="92" spans="1:52">
      <c r="A92" s="11" t="s">
        <v>118</v>
      </c>
      <c r="B92" s="149" t="s">
        <v>362</v>
      </c>
      <c r="C92" s="11" t="s">
        <v>200</v>
      </c>
      <c r="D92" s="11" t="s">
        <v>419</v>
      </c>
      <c r="E92" s="11" t="s">
        <v>551</v>
      </c>
      <c r="F92" s="185">
        <v>45108</v>
      </c>
      <c r="G92" s="11" t="s">
        <v>67</v>
      </c>
      <c r="H92" s="11">
        <v>0</v>
      </c>
      <c r="I92" s="11">
        <v>12000000</v>
      </c>
      <c r="J92" s="11">
        <v>10657691.550000001</v>
      </c>
      <c r="K92" s="11">
        <v>0</v>
      </c>
      <c r="L92" s="6">
        <f t="shared" si="0"/>
        <v>10657691.550000001</v>
      </c>
      <c r="M92" s="11">
        <v>143</v>
      </c>
      <c r="N92" s="11">
        <v>60</v>
      </c>
      <c r="O92" s="11">
        <v>4</v>
      </c>
      <c r="P92" s="11">
        <v>147</v>
      </c>
      <c r="Q92" s="11">
        <v>87</v>
      </c>
      <c r="R92" s="11">
        <v>10131216.949999999</v>
      </c>
      <c r="S92" s="11">
        <v>526474.6</v>
      </c>
      <c r="T92" s="11">
        <v>36</v>
      </c>
      <c r="U92" s="11">
        <v>3</v>
      </c>
      <c r="V92" s="11">
        <v>39</v>
      </c>
      <c r="W92" s="11">
        <v>0</v>
      </c>
      <c r="X92" s="11">
        <v>1</v>
      </c>
      <c r="Y92" s="11">
        <v>1</v>
      </c>
      <c r="Z92" s="11">
        <v>69</v>
      </c>
      <c r="AA92" s="11">
        <v>2</v>
      </c>
      <c r="AB92" s="11">
        <v>13</v>
      </c>
      <c r="AC92" s="11">
        <v>0</v>
      </c>
      <c r="AD92" s="11">
        <v>0</v>
      </c>
      <c r="AE92" s="11">
        <v>0</v>
      </c>
      <c r="AF92" s="11">
        <v>0</v>
      </c>
      <c r="AG92" s="11">
        <v>406</v>
      </c>
      <c r="AH92" s="11">
        <v>420</v>
      </c>
      <c r="AI92" s="11">
        <v>75</v>
      </c>
      <c r="AJ92" s="11">
        <v>142103</v>
      </c>
      <c r="AK92" s="11">
        <v>6</v>
      </c>
      <c r="AL92" s="11">
        <v>20520</v>
      </c>
      <c r="AM92" s="11">
        <v>0</v>
      </c>
      <c r="AN92" s="11">
        <v>1.9E-3</v>
      </c>
      <c r="AO92" s="11">
        <v>273274</v>
      </c>
      <c r="AP92" s="11">
        <v>0.89</v>
      </c>
      <c r="AQ92" s="11">
        <v>0</v>
      </c>
      <c r="AR92" s="11">
        <v>84</v>
      </c>
      <c r="AS92" s="11">
        <v>752</v>
      </c>
      <c r="AT92" s="11">
        <v>2682.71</v>
      </c>
      <c r="AU92" s="11">
        <v>3</v>
      </c>
      <c r="AV92" s="11">
        <v>45</v>
      </c>
      <c r="AW92" s="11">
        <v>39</v>
      </c>
      <c r="AX92" s="11">
        <v>21</v>
      </c>
      <c r="AY92" s="11">
        <v>87</v>
      </c>
    </row>
    <row r="93" spans="1:52">
      <c r="A93" s="11" t="s">
        <v>118</v>
      </c>
      <c r="B93" s="149" t="s">
        <v>362</v>
      </c>
      <c r="C93" s="11" t="s">
        <v>202</v>
      </c>
      <c r="D93" s="11" t="s">
        <v>419</v>
      </c>
      <c r="E93" s="11" t="s">
        <v>490</v>
      </c>
      <c r="F93" s="184">
        <v>45117</v>
      </c>
      <c r="G93" s="11" t="s">
        <v>51</v>
      </c>
      <c r="H93" s="11">
        <v>0</v>
      </c>
      <c r="I93" s="11">
        <v>4500000</v>
      </c>
      <c r="J93" s="11">
        <v>3736888.05</v>
      </c>
      <c r="K93" s="11">
        <v>0</v>
      </c>
      <c r="L93" s="6">
        <f t="shared" si="0"/>
        <v>3736888.05</v>
      </c>
      <c r="M93" s="11">
        <v>63</v>
      </c>
      <c r="N93" s="11">
        <v>52</v>
      </c>
      <c r="O93" s="11">
        <v>7</v>
      </c>
      <c r="P93" s="11">
        <v>70</v>
      </c>
      <c r="Q93" s="11">
        <v>18</v>
      </c>
      <c r="R93" s="11">
        <v>3271848.68</v>
      </c>
      <c r="S93" s="11">
        <v>465039.37</v>
      </c>
      <c r="T93" s="11">
        <v>29</v>
      </c>
      <c r="U93" s="11">
        <v>7</v>
      </c>
      <c r="V93" s="11">
        <v>36</v>
      </c>
      <c r="W93" s="11">
        <v>0</v>
      </c>
      <c r="X93" s="11">
        <v>8</v>
      </c>
      <c r="Y93" s="11">
        <v>14</v>
      </c>
      <c r="Z93" s="11">
        <v>64</v>
      </c>
      <c r="AA93" s="11">
        <v>1</v>
      </c>
      <c r="AB93" s="11">
        <v>11</v>
      </c>
      <c r="AC93" s="11">
        <v>0</v>
      </c>
      <c r="AD93" s="11">
        <v>0</v>
      </c>
      <c r="AE93" s="11">
        <v>0</v>
      </c>
      <c r="AF93" s="11">
        <v>0</v>
      </c>
      <c r="AG93" s="11">
        <v>398</v>
      </c>
      <c r="AH93" s="11">
        <v>423</v>
      </c>
      <c r="AI93" s="11">
        <v>74</v>
      </c>
      <c r="AJ93" s="11">
        <v>50498</v>
      </c>
      <c r="AK93" s="11">
        <v>6</v>
      </c>
      <c r="AL93" s="11">
        <v>24356</v>
      </c>
      <c r="AM93" s="11">
        <v>0</v>
      </c>
      <c r="AN93" s="11">
        <v>6.4999999999999997E-3</v>
      </c>
      <c r="AO93" s="11">
        <v>103802</v>
      </c>
      <c r="AP93" s="11">
        <v>0.83</v>
      </c>
      <c r="AQ93" s="11">
        <v>0</v>
      </c>
      <c r="AR93" s="11">
        <v>99</v>
      </c>
      <c r="AS93" s="11">
        <v>799</v>
      </c>
      <c r="AT93" s="11">
        <v>4516.7700000000004</v>
      </c>
      <c r="AU93" s="11">
        <v>7</v>
      </c>
      <c r="AV93" s="11">
        <v>87</v>
      </c>
      <c r="AW93" s="11">
        <v>36</v>
      </c>
      <c r="AX93" s="11">
        <v>16</v>
      </c>
      <c r="AY93" s="11">
        <v>18</v>
      </c>
    </row>
    <row r="94" spans="1:52">
      <c r="A94" s="11" t="s">
        <v>201</v>
      </c>
      <c r="B94" s="149" t="s">
        <v>443</v>
      </c>
      <c r="C94" s="11" t="s">
        <v>203</v>
      </c>
      <c r="D94" s="11" t="s">
        <v>517</v>
      </c>
      <c r="E94" s="11" t="s">
        <v>550</v>
      </c>
      <c r="F94" s="184">
        <v>45124</v>
      </c>
      <c r="G94" s="11" t="s">
        <v>121</v>
      </c>
      <c r="H94" s="11">
        <v>0</v>
      </c>
      <c r="I94" s="11">
        <v>4950000</v>
      </c>
      <c r="J94" s="11">
        <v>2565495.2799999998</v>
      </c>
      <c r="K94" s="11">
        <v>0</v>
      </c>
      <c r="L94" s="6">
        <f t="shared" si="0"/>
        <v>2565495.2799999998</v>
      </c>
      <c r="M94" s="11">
        <v>42</v>
      </c>
      <c r="N94" s="11">
        <v>25</v>
      </c>
      <c r="O94" s="11">
        <v>1</v>
      </c>
      <c r="P94" s="11">
        <v>43</v>
      </c>
      <c r="Q94" s="11">
        <v>18</v>
      </c>
      <c r="R94" s="11">
        <v>2520312.7799999998</v>
      </c>
      <c r="S94" s="11">
        <v>45182.5</v>
      </c>
      <c r="T94" s="11">
        <v>28</v>
      </c>
      <c r="U94" s="11">
        <v>1</v>
      </c>
      <c r="V94" s="11">
        <v>29</v>
      </c>
      <c r="W94" s="11">
        <v>0</v>
      </c>
      <c r="X94" s="11">
        <v>100</v>
      </c>
      <c r="Y94" s="11">
        <v>190</v>
      </c>
      <c r="Z94" s="11">
        <v>214</v>
      </c>
      <c r="AA94" s="11">
        <v>2</v>
      </c>
      <c r="AB94" s="11">
        <v>5</v>
      </c>
      <c r="AC94" s="11">
        <v>0</v>
      </c>
      <c r="AD94" s="11">
        <v>0</v>
      </c>
      <c r="AE94" s="11">
        <v>0</v>
      </c>
      <c r="AF94" s="11">
        <v>0</v>
      </c>
      <c r="AG94" s="11">
        <v>66</v>
      </c>
      <c r="AH94" s="11">
        <v>261</v>
      </c>
      <c r="AI94" s="11">
        <v>64</v>
      </c>
      <c r="AJ94" s="11">
        <v>40086</v>
      </c>
      <c r="AK94" s="11">
        <v>4</v>
      </c>
      <c r="AL94" s="11">
        <v>26500</v>
      </c>
      <c r="AM94" s="11">
        <v>0</v>
      </c>
      <c r="AN94" s="11">
        <v>1.03E-2</v>
      </c>
      <c r="AO94" s="11">
        <v>88465</v>
      </c>
      <c r="AP94" s="11">
        <v>0.52</v>
      </c>
      <c r="AQ94" s="11">
        <v>0</v>
      </c>
      <c r="AR94" s="11">
        <v>87</v>
      </c>
      <c r="AS94" s="11">
        <v>746</v>
      </c>
      <c r="AT94" s="11">
        <v>3964.86</v>
      </c>
      <c r="AU94" s="11">
        <v>1</v>
      </c>
      <c r="AV94" s="11">
        <v>159</v>
      </c>
      <c r="AW94" s="11">
        <v>29</v>
      </c>
      <c r="AX94" s="11">
        <v>4</v>
      </c>
      <c r="AY94" s="11">
        <v>10</v>
      </c>
    </row>
    <row r="95" spans="1:52">
      <c r="A95" s="11" t="s">
        <v>201</v>
      </c>
      <c r="B95" s="149" t="s">
        <v>431</v>
      </c>
      <c r="C95" s="11" t="s">
        <v>204</v>
      </c>
      <c r="D95" s="11" t="s">
        <v>431</v>
      </c>
      <c r="E95" s="11" t="s">
        <v>543</v>
      </c>
      <c r="F95" s="184">
        <v>45121</v>
      </c>
      <c r="G95" s="11" t="s">
        <v>104</v>
      </c>
      <c r="H95" s="11">
        <v>0</v>
      </c>
      <c r="I95" s="11">
        <v>6624999</v>
      </c>
      <c r="J95" s="11">
        <v>7068309.5700000003</v>
      </c>
      <c r="K95" s="11">
        <v>0</v>
      </c>
      <c r="L95" s="6">
        <f t="shared" si="0"/>
        <v>7068309.5700000003</v>
      </c>
      <c r="M95" s="11">
        <v>65</v>
      </c>
      <c r="N95" s="11">
        <v>65</v>
      </c>
      <c r="O95" s="11">
        <v>5</v>
      </c>
      <c r="P95" s="11">
        <v>70</v>
      </c>
      <c r="Q95" s="11">
        <v>5</v>
      </c>
      <c r="R95" s="11">
        <v>6307695.8099999996</v>
      </c>
      <c r="S95" s="11">
        <v>760613.76</v>
      </c>
      <c r="T95" s="11">
        <v>35</v>
      </c>
      <c r="U95" s="11">
        <v>5</v>
      </c>
      <c r="V95" s="11">
        <v>40</v>
      </c>
      <c r="W95" s="11">
        <v>0</v>
      </c>
      <c r="X95" s="11">
        <v>15</v>
      </c>
      <c r="Y95" s="11">
        <v>21</v>
      </c>
      <c r="Z95" s="11">
        <v>74</v>
      </c>
      <c r="AA95" s="11">
        <v>2</v>
      </c>
      <c r="AB95" s="11">
        <v>10</v>
      </c>
      <c r="AC95" s="11">
        <v>0</v>
      </c>
      <c r="AD95" s="11">
        <v>0</v>
      </c>
      <c r="AE95" s="11">
        <v>0</v>
      </c>
      <c r="AF95" s="11">
        <v>0</v>
      </c>
      <c r="AG95" s="11">
        <v>197</v>
      </c>
      <c r="AH95" s="11">
        <v>228</v>
      </c>
      <c r="AI95" s="11">
        <v>74</v>
      </c>
      <c r="AJ95" s="11">
        <v>95518</v>
      </c>
      <c r="AK95" s="11">
        <v>3</v>
      </c>
      <c r="AL95" s="11">
        <v>34946</v>
      </c>
      <c r="AM95" s="11">
        <v>0</v>
      </c>
      <c r="AN95" s="11">
        <v>4.8999999999999998E-3</v>
      </c>
      <c r="AO95" s="11">
        <v>176708</v>
      </c>
      <c r="AP95" s="11">
        <v>1.07</v>
      </c>
      <c r="AQ95" s="11">
        <v>0</v>
      </c>
      <c r="AR95" s="11">
        <v>59</v>
      </c>
      <c r="AS95" s="11">
        <v>583</v>
      </c>
      <c r="AT95" s="11">
        <v>2022.65</v>
      </c>
      <c r="AU95" s="11">
        <v>5</v>
      </c>
      <c r="AV95" s="11">
        <v>31</v>
      </c>
      <c r="AW95" s="11">
        <v>40</v>
      </c>
      <c r="AX95" s="11">
        <v>26</v>
      </c>
      <c r="AY95" s="11">
        <v>4</v>
      </c>
    </row>
    <row r="96" spans="1:52">
      <c r="A96" s="11" t="s">
        <v>201</v>
      </c>
      <c r="B96" s="149" t="s">
        <v>431</v>
      </c>
      <c r="C96" s="11" t="s">
        <v>205</v>
      </c>
      <c r="D96" s="11" t="s">
        <v>431</v>
      </c>
      <c r="E96" s="11" t="s">
        <v>546</v>
      </c>
      <c r="F96" s="184">
        <v>45122</v>
      </c>
      <c r="G96" s="11" t="s">
        <v>104</v>
      </c>
      <c r="H96" s="11">
        <v>0</v>
      </c>
      <c r="I96" s="11">
        <v>5375001</v>
      </c>
      <c r="J96" s="11">
        <v>3052411.22</v>
      </c>
      <c r="K96" s="11">
        <v>0</v>
      </c>
      <c r="L96" s="6">
        <f t="shared" si="0"/>
        <v>3052411.22</v>
      </c>
      <c r="M96" s="11">
        <v>48</v>
      </c>
      <c r="N96" s="11">
        <v>43</v>
      </c>
      <c r="O96" s="11">
        <v>7</v>
      </c>
      <c r="P96" s="11">
        <v>55</v>
      </c>
      <c r="Q96" s="11">
        <v>12</v>
      </c>
      <c r="R96" s="11">
        <v>2650410.2000000002</v>
      </c>
      <c r="S96" s="11">
        <v>402001.02</v>
      </c>
      <c r="T96" s="11">
        <v>27</v>
      </c>
      <c r="U96" s="11">
        <v>7</v>
      </c>
      <c r="V96" s="11">
        <v>34</v>
      </c>
      <c r="W96" s="11">
        <v>0</v>
      </c>
      <c r="X96" s="11">
        <v>65</v>
      </c>
      <c r="Y96" s="11">
        <v>78</v>
      </c>
      <c r="Z96" s="11">
        <v>299</v>
      </c>
      <c r="AA96" s="11">
        <v>3</v>
      </c>
      <c r="AB96" s="11">
        <v>5</v>
      </c>
      <c r="AC96" s="11">
        <v>0</v>
      </c>
      <c r="AD96" s="11">
        <v>0</v>
      </c>
      <c r="AE96" s="11">
        <v>0</v>
      </c>
      <c r="AF96" s="11">
        <v>0</v>
      </c>
      <c r="AG96" s="11">
        <v>375</v>
      </c>
      <c r="AH96" s="11">
        <v>458</v>
      </c>
      <c r="AI96" s="11">
        <v>72</v>
      </c>
      <c r="AJ96" s="11">
        <v>42395</v>
      </c>
      <c r="AK96" s="11">
        <v>6</v>
      </c>
      <c r="AL96" s="11">
        <v>30785</v>
      </c>
      <c r="AM96" s="11">
        <v>0</v>
      </c>
      <c r="AN96" s="11">
        <v>1.01E-2</v>
      </c>
      <c r="AO96" s="11">
        <v>89777</v>
      </c>
      <c r="AP96" s="11">
        <v>0.56999999999999995</v>
      </c>
      <c r="AQ96" s="11">
        <v>0</v>
      </c>
      <c r="AR96" s="11">
        <v>86</v>
      </c>
      <c r="AS96" s="11">
        <v>503</v>
      </c>
      <c r="AT96" s="11">
        <v>3273.57</v>
      </c>
      <c r="AU96" s="11">
        <v>7</v>
      </c>
      <c r="AV96" s="11">
        <v>76</v>
      </c>
      <c r="AW96" s="11">
        <v>34</v>
      </c>
      <c r="AX96" s="11">
        <v>10</v>
      </c>
      <c r="AY96" s="11">
        <v>11</v>
      </c>
    </row>
    <row r="97" spans="1:52">
      <c r="A97" s="11" t="s">
        <v>201</v>
      </c>
      <c r="B97" s="149" t="s">
        <v>469</v>
      </c>
      <c r="C97" s="11" t="s">
        <v>208</v>
      </c>
      <c r="D97" s="11" t="s">
        <v>432</v>
      </c>
      <c r="E97" s="11" t="s">
        <v>552</v>
      </c>
      <c r="F97" s="185">
        <v>45145</v>
      </c>
      <c r="G97" s="11" t="s">
        <v>110</v>
      </c>
      <c r="H97" s="11">
        <v>0</v>
      </c>
      <c r="I97" s="11">
        <v>5499999</v>
      </c>
      <c r="J97" s="11">
        <v>2978167.41</v>
      </c>
      <c r="K97" s="11">
        <v>0</v>
      </c>
      <c r="L97" s="6">
        <f t="shared" si="0"/>
        <v>2978167.41</v>
      </c>
      <c r="M97" s="11">
        <v>66</v>
      </c>
      <c r="N97" s="11">
        <v>61</v>
      </c>
      <c r="O97" s="11">
        <v>6</v>
      </c>
      <c r="P97" s="11">
        <v>72</v>
      </c>
      <c r="Q97" s="11">
        <v>11</v>
      </c>
      <c r="R97" s="11">
        <v>2770290.61</v>
      </c>
      <c r="S97" s="11">
        <v>207876.8</v>
      </c>
      <c r="T97" s="11">
        <v>39</v>
      </c>
      <c r="U97" s="11">
        <v>6</v>
      </c>
      <c r="V97" s="11">
        <v>45</v>
      </c>
      <c r="W97" s="11">
        <v>0</v>
      </c>
      <c r="X97" s="11">
        <v>37</v>
      </c>
      <c r="Y97" s="11">
        <v>45</v>
      </c>
      <c r="Z97" s="11">
        <v>178</v>
      </c>
      <c r="AA97" s="11">
        <v>3</v>
      </c>
      <c r="AB97" s="11">
        <v>26</v>
      </c>
      <c r="AC97" s="11">
        <v>0</v>
      </c>
      <c r="AD97" s="11">
        <v>0</v>
      </c>
      <c r="AE97" s="11">
        <v>0</v>
      </c>
      <c r="AF97" s="11">
        <v>0</v>
      </c>
      <c r="AG97" s="11">
        <v>238</v>
      </c>
      <c r="AH97" s="11">
        <v>309</v>
      </c>
      <c r="AI97" s="11">
        <v>74</v>
      </c>
      <c r="AJ97" s="11">
        <v>40246</v>
      </c>
      <c r="AK97" s="11">
        <v>4</v>
      </c>
      <c r="AL97" s="11">
        <v>33259</v>
      </c>
      <c r="AM97" s="11">
        <v>0</v>
      </c>
      <c r="AN97" s="11">
        <v>1.12E-2</v>
      </c>
      <c r="AO97" s="11">
        <v>66181</v>
      </c>
      <c r="AP97" s="11">
        <v>0.54</v>
      </c>
      <c r="AQ97" s="11">
        <v>0</v>
      </c>
      <c r="AR97" s="11">
        <v>157</v>
      </c>
      <c r="AS97" s="11">
        <v>695</v>
      </c>
      <c r="AT97" s="11">
        <v>4992.1499999999996</v>
      </c>
      <c r="AU97" s="11">
        <v>6</v>
      </c>
      <c r="AV97" s="11">
        <v>82</v>
      </c>
      <c r="AW97" s="11">
        <v>45</v>
      </c>
      <c r="AX97" s="11">
        <v>19</v>
      </c>
      <c r="AY97" s="11">
        <v>8</v>
      </c>
    </row>
    <row r="98" spans="1:52">
      <c r="A98" s="11" t="s">
        <v>118</v>
      </c>
      <c r="B98" s="149" t="s">
        <v>362</v>
      </c>
      <c r="C98" s="11" t="s">
        <v>210</v>
      </c>
      <c r="D98" s="11" t="s">
        <v>419</v>
      </c>
      <c r="E98" s="11" t="s">
        <v>553</v>
      </c>
      <c r="F98" s="184">
        <v>45148</v>
      </c>
      <c r="G98" s="11" t="s">
        <v>29</v>
      </c>
      <c r="H98" s="11">
        <v>0</v>
      </c>
      <c r="I98" s="11">
        <v>5199999</v>
      </c>
      <c r="J98" s="11">
        <v>3209604.89</v>
      </c>
      <c r="K98" s="11">
        <v>0</v>
      </c>
      <c r="L98" s="6">
        <f t="shared" si="0"/>
        <v>3209604.89</v>
      </c>
      <c r="M98" s="11">
        <v>97</v>
      </c>
      <c r="N98" s="11">
        <v>94</v>
      </c>
      <c r="O98" s="11">
        <v>2</v>
      </c>
      <c r="P98" s="11">
        <v>99</v>
      </c>
      <c r="Q98" s="11">
        <v>5</v>
      </c>
      <c r="R98" s="11">
        <v>3103817.39</v>
      </c>
      <c r="S98" s="11">
        <v>105787.5</v>
      </c>
      <c r="T98" s="11">
        <v>38</v>
      </c>
      <c r="U98" s="11">
        <v>1</v>
      </c>
      <c r="V98" s="11">
        <v>39</v>
      </c>
      <c r="W98" s="11">
        <v>0</v>
      </c>
      <c r="X98" s="11">
        <v>31</v>
      </c>
      <c r="Y98" s="11">
        <v>41</v>
      </c>
      <c r="Z98" s="11">
        <v>220</v>
      </c>
      <c r="AA98" s="11">
        <v>2</v>
      </c>
      <c r="AB98" s="11">
        <v>21</v>
      </c>
      <c r="AC98" s="11">
        <v>0</v>
      </c>
      <c r="AD98" s="11">
        <v>0</v>
      </c>
      <c r="AE98" s="11">
        <v>0</v>
      </c>
      <c r="AF98" s="11">
        <v>0</v>
      </c>
      <c r="AG98" s="11">
        <v>332</v>
      </c>
      <c r="AH98" s="11">
        <v>394</v>
      </c>
      <c r="AI98" s="11">
        <v>71</v>
      </c>
      <c r="AJ98" s="11">
        <v>45206</v>
      </c>
      <c r="AK98" s="11">
        <v>6</v>
      </c>
      <c r="AL98" s="11">
        <v>26870</v>
      </c>
      <c r="AM98" s="11">
        <v>0</v>
      </c>
      <c r="AN98" s="11">
        <v>8.3999999999999995E-3</v>
      </c>
      <c r="AO98" s="11">
        <v>82298</v>
      </c>
      <c r="AP98" s="11">
        <v>0.62</v>
      </c>
      <c r="AQ98" s="11">
        <v>0</v>
      </c>
      <c r="AR98" s="11">
        <v>62</v>
      </c>
      <c r="AS98" s="11">
        <v>801</v>
      </c>
      <c r="AT98" s="11">
        <v>5653.93</v>
      </c>
      <c r="AU98" s="11">
        <v>1</v>
      </c>
      <c r="AV98" s="11">
        <v>60</v>
      </c>
      <c r="AW98" s="11">
        <v>39</v>
      </c>
      <c r="AX98" s="11">
        <v>55</v>
      </c>
      <c r="AY98" s="11">
        <v>5</v>
      </c>
    </row>
    <row r="99" spans="1:52">
      <c r="A99" s="11" t="s">
        <v>201</v>
      </c>
      <c r="B99" s="149" t="s">
        <v>469</v>
      </c>
      <c r="C99" s="11" t="s">
        <v>211</v>
      </c>
      <c r="D99" s="11" t="s">
        <v>470</v>
      </c>
      <c r="E99" s="11" t="s">
        <v>471</v>
      </c>
      <c r="F99" s="184">
        <v>45152</v>
      </c>
      <c r="G99" s="11" t="s">
        <v>110</v>
      </c>
      <c r="H99" s="11">
        <v>0</v>
      </c>
      <c r="I99" s="11">
        <v>6000000</v>
      </c>
      <c r="J99" s="11">
        <v>5645858.8600000003</v>
      </c>
      <c r="K99" s="11">
        <v>0</v>
      </c>
      <c r="L99" s="6">
        <f t="shared" si="0"/>
        <v>5645858.8600000003</v>
      </c>
      <c r="M99" s="11">
        <v>104</v>
      </c>
      <c r="N99" s="11">
        <v>91</v>
      </c>
      <c r="O99" s="11">
        <v>20</v>
      </c>
      <c r="P99" s="11">
        <v>124</v>
      </c>
      <c r="Q99" s="11">
        <v>33</v>
      </c>
      <c r="R99" s="11">
        <v>4384978.6399999997</v>
      </c>
      <c r="S99" s="11">
        <v>1260880.22</v>
      </c>
      <c r="T99" s="11">
        <v>54</v>
      </c>
      <c r="U99" s="11">
        <v>17</v>
      </c>
      <c r="V99" s="11">
        <v>71</v>
      </c>
      <c r="W99" s="11">
        <v>0</v>
      </c>
      <c r="X99" s="11">
        <v>31</v>
      </c>
      <c r="Y99" s="11">
        <v>37</v>
      </c>
      <c r="Z99" s="11">
        <v>265</v>
      </c>
      <c r="AA99" s="11">
        <v>2</v>
      </c>
      <c r="AB99" s="11">
        <v>13</v>
      </c>
      <c r="AC99" s="11">
        <v>0</v>
      </c>
      <c r="AD99" s="11">
        <v>0</v>
      </c>
      <c r="AE99" s="11">
        <v>1</v>
      </c>
      <c r="AF99" s="11">
        <v>15</v>
      </c>
      <c r="AG99" s="11">
        <v>218</v>
      </c>
      <c r="AH99" s="11">
        <v>283</v>
      </c>
      <c r="AI99" s="11">
        <v>74</v>
      </c>
      <c r="AJ99" s="11">
        <v>76295</v>
      </c>
      <c r="AK99" s="11">
        <v>4</v>
      </c>
      <c r="AL99" s="11">
        <v>34708</v>
      </c>
      <c r="AM99" s="11">
        <v>0</v>
      </c>
      <c r="AN99" s="11">
        <v>6.1000000000000004E-3</v>
      </c>
      <c r="AO99" s="11">
        <v>79519</v>
      </c>
      <c r="AP99" s="11">
        <v>0.94</v>
      </c>
      <c r="AQ99" s="11">
        <v>0</v>
      </c>
      <c r="AR99" s="11">
        <v>311</v>
      </c>
      <c r="AS99" s="11">
        <v>639</v>
      </c>
      <c r="AT99" s="11">
        <v>3871.16</v>
      </c>
      <c r="AU99" s="11">
        <v>17</v>
      </c>
      <c r="AV99" s="11">
        <v>43</v>
      </c>
      <c r="AW99" s="11">
        <v>71</v>
      </c>
      <c r="AX99" s="11">
        <v>28</v>
      </c>
      <c r="AY99" s="11">
        <v>25</v>
      </c>
    </row>
    <row r="100" spans="1:52">
      <c r="A100" s="11" t="s">
        <v>124</v>
      </c>
      <c r="B100" s="149" t="s">
        <v>443</v>
      </c>
      <c r="C100" s="11" t="s">
        <v>212</v>
      </c>
      <c r="D100" s="11" t="s">
        <v>517</v>
      </c>
      <c r="E100" s="11" t="s">
        <v>554</v>
      </c>
      <c r="F100" s="184">
        <v>45159</v>
      </c>
      <c r="G100" s="11" t="s">
        <v>124</v>
      </c>
      <c r="H100" s="11">
        <v>0</v>
      </c>
      <c r="I100" s="11">
        <v>4500000</v>
      </c>
      <c r="J100" s="11">
        <v>2829679.11</v>
      </c>
      <c r="K100" s="11">
        <v>0</v>
      </c>
      <c r="L100" s="6">
        <f t="shared" si="0"/>
        <v>2829679.11</v>
      </c>
      <c r="M100" s="11">
        <v>69</v>
      </c>
      <c r="N100" s="11">
        <v>64</v>
      </c>
      <c r="O100" s="11">
        <v>3</v>
      </c>
      <c r="P100" s="11">
        <v>72</v>
      </c>
      <c r="Q100" s="11">
        <v>8</v>
      </c>
      <c r="R100" s="11">
        <v>2760936.33</v>
      </c>
      <c r="S100" s="11">
        <v>68742.78</v>
      </c>
      <c r="T100" s="11">
        <v>32</v>
      </c>
      <c r="U100" s="11">
        <v>3</v>
      </c>
      <c r="V100" s="11">
        <v>35</v>
      </c>
      <c r="W100" s="11">
        <v>0</v>
      </c>
      <c r="X100" s="11">
        <v>36</v>
      </c>
      <c r="Y100" s="11">
        <v>51</v>
      </c>
      <c r="Z100" s="11">
        <v>145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346</v>
      </c>
      <c r="AH100" s="11">
        <v>397</v>
      </c>
      <c r="AI100" s="11">
        <v>75</v>
      </c>
      <c r="AJ100" s="11">
        <v>37729</v>
      </c>
      <c r="AK100" s="11">
        <v>5</v>
      </c>
      <c r="AL100" s="11">
        <v>30195</v>
      </c>
      <c r="AM100" s="11">
        <v>0</v>
      </c>
      <c r="AN100" s="11">
        <v>1.0699999999999999E-2</v>
      </c>
      <c r="AO100" s="11">
        <v>80848</v>
      </c>
      <c r="AP100" s="11">
        <v>0.63</v>
      </c>
      <c r="AQ100" s="11">
        <v>0</v>
      </c>
      <c r="AR100" s="11">
        <v>88</v>
      </c>
      <c r="AS100" s="11">
        <v>774</v>
      </c>
      <c r="AT100" s="11">
        <v>5642.82</v>
      </c>
      <c r="AU100" s="11">
        <v>3</v>
      </c>
      <c r="AV100" s="11">
        <v>88</v>
      </c>
      <c r="AW100" s="11">
        <v>35</v>
      </c>
      <c r="AX100" s="11">
        <v>31</v>
      </c>
      <c r="AY100" s="11">
        <v>6</v>
      </c>
    </row>
    <row r="101" spans="1:52">
      <c r="A101" s="11" t="s">
        <v>118</v>
      </c>
      <c r="B101" s="149" t="s">
        <v>468</v>
      </c>
      <c r="C101" s="11" t="s">
        <v>213</v>
      </c>
      <c r="D101" s="11" t="s">
        <v>515</v>
      </c>
      <c r="E101" s="11" t="s">
        <v>555</v>
      </c>
      <c r="F101" s="185">
        <v>45170</v>
      </c>
      <c r="G101" s="11" t="s">
        <v>118</v>
      </c>
      <c r="H101" s="11">
        <v>0</v>
      </c>
      <c r="I101" s="11">
        <v>0</v>
      </c>
      <c r="J101" s="11">
        <v>0</v>
      </c>
      <c r="K101" s="11">
        <v>0</v>
      </c>
      <c r="L101" s="6">
        <f t="shared" si="0"/>
        <v>0</v>
      </c>
      <c r="M101" s="11">
        <v>193</v>
      </c>
      <c r="N101" s="11">
        <v>103</v>
      </c>
      <c r="O101" s="11">
        <v>6</v>
      </c>
      <c r="P101" s="11">
        <v>199</v>
      </c>
      <c r="Q101" s="11">
        <v>96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45</v>
      </c>
      <c r="Y101" s="11">
        <v>46</v>
      </c>
      <c r="Z101" s="11">
        <v>40</v>
      </c>
      <c r="AA101" s="11">
        <v>4</v>
      </c>
      <c r="AB101" s="11">
        <v>51</v>
      </c>
      <c r="AC101" s="11">
        <v>0</v>
      </c>
      <c r="AD101" s="11">
        <v>0</v>
      </c>
      <c r="AE101" s="11">
        <v>0</v>
      </c>
      <c r="AF101" s="11">
        <v>0</v>
      </c>
      <c r="AG101" s="11">
        <v>176</v>
      </c>
      <c r="AH101" s="11">
        <v>273</v>
      </c>
      <c r="AI101" s="11">
        <v>77</v>
      </c>
      <c r="AJ101" s="11">
        <v>0</v>
      </c>
      <c r="AK101" s="11">
        <v>4</v>
      </c>
      <c r="AL101" s="11">
        <v>95640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758</v>
      </c>
      <c r="AT101" s="11">
        <v>4807.37</v>
      </c>
      <c r="AU101" s="11">
        <v>0</v>
      </c>
      <c r="AV101" s="11">
        <v>47</v>
      </c>
      <c r="AW101" s="11">
        <v>0</v>
      </c>
      <c r="AX101" s="11">
        <v>103</v>
      </c>
      <c r="AY101" s="11">
        <v>96</v>
      </c>
    </row>
    <row r="102" spans="1:52">
      <c r="A102" s="11" t="s">
        <v>201</v>
      </c>
      <c r="B102" s="149" t="s">
        <v>431</v>
      </c>
      <c r="C102" s="11" t="s">
        <v>214</v>
      </c>
      <c r="D102" s="11" t="s">
        <v>556</v>
      </c>
      <c r="E102" s="11" t="s">
        <v>557</v>
      </c>
      <c r="F102" s="185">
        <v>45171</v>
      </c>
      <c r="G102" s="11" t="s">
        <v>121</v>
      </c>
      <c r="H102" s="11">
        <v>0</v>
      </c>
      <c r="I102" s="11">
        <v>3000000</v>
      </c>
      <c r="J102" s="11">
        <v>607917.66</v>
      </c>
      <c r="K102" s="11">
        <v>0</v>
      </c>
      <c r="L102" s="6">
        <f t="shared" si="0"/>
        <v>607917.66</v>
      </c>
      <c r="M102" s="11">
        <v>24</v>
      </c>
      <c r="N102" s="11">
        <v>22</v>
      </c>
      <c r="O102" s="11">
        <v>2</v>
      </c>
      <c r="P102" s="11">
        <v>26</v>
      </c>
      <c r="Q102" s="11">
        <v>4</v>
      </c>
      <c r="R102" s="11">
        <v>581329.81000000006</v>
      </c>
      <c r="S102" s="11">
        <v>26587.85</v>
      </c>
      <c r="T102" s="11">
        <v>15</v>
      </c>
      <c r="U102" s="11">
        <v>2</v>
      </c>
      <c r="V102" s="11">
        <v>17</v>
      </c>
      <c r="W102" s="11">
        <v>0</v>
      </c>
      <c r="X102" s="11">
        <v>58</v>
      </c>
      <c r="Y102" s="11">
        <v>86</v>
      </c>
      <c r="Z102" s="11">
        <v>192</v>
      </c>
      <c r="AA102" s="11">
        <v>3</v>
      </c>
      <c r="AB102" s="11">
        <v>37</v>
      </c>
      <c r="AC102" s="11">
        <v>0</v>
      </c>
      <c r="AD102" s="11">
        <v>0</v>
      </c>
      <c r="AE102" s="11">
        <v>19</v>
      </c>
      <c r="AF102" s="11">
        <v>54</v>
      </c>
      <c r="AG102" s="11">
        <v>172</v>
      </c>
      <c r="AH102" s="11">
        <v>349</v>
      </c>
      <c r="AI102" s="11">
        <v>74</v>
      </c>
      <c r="AJ102" s="11">
        <v>8215</v>
      </c>
      <c r="AK102" s="11">
        <v>5</v>
      </c>
      <c r="AL102" s="11">
        <v>34940</v>
      </c>
      <c r="AM102" s="11">
        <v>0</v>
      </c>
      <c r="AN102" s="11">
        <v>5.7500000000000002E-2</v>
      </c>
      <c r="AO102" s="11">
        <v>35760</v>
      </c>
      <c r="AP102" s="11">
        <v>0.2</v>
      </c>
      <c r="AQ102" s="11">
        <v>0</v>
      </c>
      <c r="AR102" s="11">
        <v>35</v>
      </c>
      <c r="AS102" s="11">
        <v>698</v>
      </c>
      <c r="AT102" s="11">
        <v>3312.96</v>
      </c>
      <c r="AU102" s="11">
        <v>2</v>
      </c>
      <c r="AV102" s="11">
        <v>151</v>
      </c>
      <c r="AW102" s="11">
        <v>17</v>
      </c>
      <c r="AX102" s="11">
        <v>5</v>
      </c>
      <c r="AY102" s="11">
        <v>4</v>
      </c>
    </row>
    <row r="103" spans="1:52">
      <c r="A103" s="11" t="s">
        <v>118</v>
      </c>
      <c r="B103" s="149" t="s">
        <v>468</v>
      </c>
      <c r="C103" s="11" t="s">
        <v>215</v>
      </c>
      <c r="D103" s="11" t="s">
        <v>509</v>
      </c>
      <c r="E103" s="11" t="s">
        <v>558</v>
      </c>
      <c r="F103" s="184">
        <v>45184</v>
      </c>
      <c r="G103" s="11" t="s">
        <v>118</v>
      </c>
      <c r="H103" s="11">
        <v>0</v>
      </c>
      <c r="I103" s="11">
        <v>5574999</v>
      </c>
      <c r="J103" s="11">
        <v>3946002.78</v>
      </c>
      <c r="K103" s="11">
        <v>0</v>
      </c>
      <c r="L103" s="6">
        <f t="shared" si="0"/>
        <v>3946002.78</v>
      </c>
      <c r="M103" s="11">
        <v>47</v>
      </c>
      <c r="N103" s="11">
        <v>38</v>
      </c>
      <c r="O103" s="11">
        <v>1</v>
      </c>
      <c r="P103" s="11">
        <v>48</v>
      </c>
      <c r="Q103" s="11">
        <v>10</v>
      </c>
      <c r="R103" s="11">
        <v>3920271.58</v>
      </c>
      <c r="S103" s="11">
        <v>25731.200000000001</v>
      </c>
      <c r="T103" s="11">
        <v>24</v>
      </c>
      <c r="U103" s="11">
        <v>1</v>
      </c>
      <c r="V103" s="11">
        <v>25</v>
      </c>
      <c r="W103" s="11">
        <v>0</v>
      </c>
      <c r="X103" s="11">
        <v>22</v>
      </c>
      <c r="Y103" s="11">
        <v>30</v>
      </c>
      <c r="Z103" s="11">
        <v>112</v>
      </c>
      <c r="AA103" s="11">
        <v>1</v>
      </c>
      <c r="AB103" s="11">
        <v>4</v>
      </c>
      <c r="AC103" s="11">
        <v>0</v>
      </c>
      <c r="AD103" s="11">
        <v>0</v>
      </c>
      <c r="AE103" s="11">
        <v>0</v>
      </c>
      <c r="AF103" s="11">
        <v>0</v>
      </c>
      <c r="AG103" s="11">
        <v>259</v>
      </c>
      <c r="AH103" s="11">
        <v>293</v>
      </c>
      <c r="AI103" s="11">
        <v>75</v>
      </c>
      <c r="AJ103" s="11">
        <v>52613</v>
      </c>
      <c r="AK103" s="11">
        <v>4</v>
      </c>
      <c r="AL103" s="11">
        <v>36400</v>
      </c>
      <c r="AM103" s="11">
        <v>0</v>
      </c>
      <c r="AN103" s="11">
        <v>9.1999999999999998E-3</v>
      </c>
      <c r="AO103" s="11">
        <v>157840</v>
      </c>
      <c r="AP103" s="11">
        <v>0.71</v>
      </c>
      <c r="AQ103" s="11">
        <v>0</v>
      </c>
      <c r="AR103" s="11">
        <v>58</v>
      </c>
      <c r="AS103" s="11">
        <v>660</v>
      </c>
      <c r="AT103" s="11">
        <v>4284.8500000000004</v>
      </c>
      <c r="AU103" s="11">
        <v>1</v>
      </c>
      <c r="AV103" s="11">
        <v>113</v>
      </c>
      <c r="AW103" s="11">
        <v>25</v>
      </c>
      <c r="AX103" s="11">
        <v>14</v>
      </c>
      <c r="AY103" s="11">
        <v>9</v>
      </c>
    </row>
    <row r="104" spans="1:52">
      <c r="A104" s="11" t="s">
        <v>120</v>
      </c>
      <c r="B104" s="149" t="s">
        <v>356</v>
      </c>
      <c r="C104" s="11" t="s">
        <v>216</v>
      </c>
      <c r="D104" s="11" t="s">
        <v>356</v>
      </c>
      <c r="E104" s="11" t="s">
        <v>291</v>
      </c>
      <c r="F104" s="184">
        <v>45182</v>
      </c>
      <c r="G104" s="11" t="s">
        <v>120</v>
      </c>
      <c r="H104" s="11">
        <v>0</v>
      </c>
      <c r="I104" s="11">
        <v>0</v>
      </c>
      <c r="J104" s="11">
        <v>0</v>
      </c>
      <c r="K104" s="11">
        <v>0</v>
      </c>
      <c r="L104" s="6">
        <f t="shared" si="0"/>
        <v>0</v>
      </c>
      <c r="M104" s="11">
        <v>46</v>
      </c>
      <c r="N104" s="11">
        <v>0</v>
      </c>
      <c r="O104" s="11">
        <v>0</v>
      </c>
      <c r="P104" s="11">
        <v>46</v>
      </c>
      <c r="Q104" s="11">
        <v>46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89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46</v>
      </c>
      <c r="AZ104" s="186">
        <v>45421</v>
      </c>
    </row>
    <row r="105" spans="1:52">
      <c r="A105" s="11" t="s">
        <v>201</v>
      </c>
      <c r="B105" s="149" t="s">
        <v>431</v>
      </c>
      <c r="C105" s="11" t="s">
        <v>217</v>
      </c>
      <c r="D105" s="11" t="s">
        <v>431</v>
      </c>
      <c r="E105" s="11" t="s">
        <v>531</v>
      </c>
      <c r="F105" s="184">
        <v>45187</v>
      </c>
      <c r="G105" s="11" t="s">
        <v>310</v>
      </c>
      <c r="H105" s="11">
        <v>0</v>
      </c>
      <c r="I105" s="11">
        <v>5499999</v>
      </c>
      <c r="J105" s="11">
        <v>2842496.83</v>
      </c>
      <c r="K105" s="11">
        <v>0</v>
      </c>
      <c r="L105" s="6">
        <f t="shared" si="0"/>
        <v>2842496.83</v>
      </c>
      <c r="M105" s="11">
        <v>123</v>
      </c>
      <c r="N105" s="11">
        <v>101</v>
      </c>
      <c r="O105" s="11">
        <v>17</v>
      </c>
      <c r="P105" s="11">
        <v>140</v>
      </c>
      <c r="Q105" s="11">
        <v>39</v>
      </c>
      <c r="R105" s="11">
        <v>2496122.63</v>
      </c>
      <c r="S105" s="11">
        <v>346374.2</v>
      </c>
      <c r="T105" s="11">
        <v>60</v>
      </c>
      <c r="U105" s="11">
        <v>9</v>
      </c>
      <c r="V105" s="11">
        <v>69</v>
      </c>
      <c r="W105" s="11">
        <v>0</v>
      </c>
      <c r="X105" s="11">
        <v>29</v>
      </c>
      <c r="Y105" s="11">
        <v>33</v>
      </c>
      <c r="Z105" s="11">
        <v>196</v>
      </c>
      <c r="AA105" s="11">
        <v>4</v>
      </c>
      <c r="AB105" s="11">
        <v>32</v>
      </c>
      <c r="AC105" s="11">
        <v>0</v>
      </c>
      <c r="AD105" s="11">
        <v>0</v>
      </c>
      <c r="AE105" s="11">
        <v>0</v>
      </c>
      <c r="AF105" s="11">
        <v>0</v>
      </c>
      <c r="AG105" s="11">
        <v>307</v>
      </c>
      <c r="AH105" s="11">
        <v>372</v>
      </c>
      <c r="AI105" s="11">
        <v>75</v>
      </c>
      <c r="AJ105" s="11">
        <v>37900</v>
      </c>
      <c r="AK105" s="11">
        <v>5</v>
      </c>
      <c r="AL105" s="11">
        <v>32670</v>
      </c>
      <c r="AM105" s="11">
        <v>0</v>
      </c>
      <c r="AN105" s="11">
        <v>1.15E-2</v>
      </c>
      <c r="AO105" s="11">
        <v>41196</v>
      </c>
      <c r="AP105" s="11">
        <v>0.52</v>
      </c>
      <c r="AQ105" s="11">
        <v>0</v>
      </c>
      <c r="AR105" s="11">
        <v>166</v>
      </c>
      <c r="AS105" s="11">
        <v>670</v>
      </c>
      <c r="AT105" s="11">
        <v>2985.03</v>
      </c>
      <c r="AU105" s="11">
        <v>9</v>
      </c>
      <c r="AV105" s="11">
        <v>30</v>
      </c>
      <c r="AW105" s="11">
        <v>69</v>
      </c>
      <c r="AX105" s="11">
        <v>37</v>
      </c>
      <c r="AY105" s="11">
        <v>34</v>
      </c>
    </row>
    <row r="106" spans="1:52">
      <c r="A106" s="11" t="s">
        <v>118</v>
      </c>
      <c r="B106" s="149" t="s">
        <v>362</v>
      </c>
      <c r="C106" s="11" t="s">
        <v>218</v>
      </c>
      <c r="D106" s="11" t="s">
        <v>559</v>
      </c>
      <c r="E106" s="11" t="s">
        <v>560</v>
      </c>
      <c r="F106" s="185">
        <v>45202</v>
      </c>
      <c r="G106" s="11" t="s">
        <v>91</v>
      </c>
      <c r="H106" s="11">
        <v>0</v>
      </c>
      <c r="I106" s="11">
        <v>4500000</v>
      </c>
      <c r="J106" s="11">
        <v>3849643.13</v>
      </c>
      <c r="K106" s="11">
        <v>0</v>
      </c>
      <c r="L106" s="6">
        <f t="shared" si="0"/>
        <v>3849643.13</v>
      </c>
      <c r="M106" s="11">
        <v>54</v>
      </c>
      <c r="N106" s="11">
        <v>51</v>
      </c>
      <c r="O106" s="11">
        <v>0</v>
      </c>
      <c r="P106" s="11">
        <v>54</v>
      </c>
      <c r="Q106" s="11">
        <v>3</v>
      </c>
      <c r="R106" s="11">
        <v>3849643.13</v>
      </c>
      <c r="S106" s="11">
        <v>0</v>
      </c>
      <c r="T106" s="11">
        <v>19</v>
      </c>
      <c r="U106" s="11">
        <v>0</v>
      </c>
      <c r="V106" s="11">
        <v>19</v>
      </c>
      <c r="W106" s="11">
        <v>0</v>
      </c>
      <c r="X106" s="11">
        <v>3</v>
      </c>
      <c r="Y106" s="11">
        <v>6</v>
      </c>
      <c r="Z106" s="11">
        <v>73</v>
      </c>
      <c r="AA106" s="11">
        <v>1</v>
      </c>
      <c r="AB106" s="11">
        <v>1</v>
      </c>
      <c r="AC106" s="11">
        <v>0</v>
      </c>
      <c r="AD106" s="11">
        <v>0</v>
      </c>
      <c r="AE106" s="11">
        <v>0</v>
      </c>
      <c r="AF106" s="11">
        <v>0</v>
      </c>
      <c r="AG106" s="11">
        <v>342</v>
      </c>
      <c r="AH106" s="11">
        <v>349</v>
      </c>
      <c r="AI106" s="11">
        <v>69</v>
      </c>
      <c r="AJ106" s="11">
        <v>55792</v>
      </c>
      <c r="AK106" s="11">
        <v>5</v>
      </c>
      <c r="AL106" s="11">
        <v>25325</v>
      </c>
      <c r="AM106" s="11">
        <v>0</v>
      </c>
      <c r="AN106" s="11">
        <v>6.6E-3</v>
      </c>
      <c r="AO106" s="11">
        <v>202613</v>
      </c>
      <c r="AP106" s="11">
        <v>0.86</v>
      </c>
      <c r="AQ106" s="11">
        <v>0</v>
      </c>
      <c r="AR106" s="11">
        <v>59</v>
      </c>
      <c r="AS106" s="11">
        <v>802</v>
      </c>
      <c r="AT106" s="11">
        <v>2742.56</v>
      </c>
      <c r="AU106" s="11">
        <v>0</v>
      </c>
      <c r="AV106" s="11">
        <v>54</v>
      </c>
      <c r="AW106" s="11">
        <v>19</v>
      </c>
      <c r="AX106" s="11">
        <v>33</v>
      </c>
      <c r="AY106" s="11">
        <v>2</v>
      </c>
      <c r="AZ106" s="184">
        <v>45943</v>
      </c>
    </row>
    <row r="107" spans="1:52">
      <c r="A107" s="11" t="s">
        <v>118</v>
      </c>
      <c r="B107" s="149" t="s">
        <v>362</v>
      </c>
      <c r="C107" s="11" t="s">
        <v>219</v>
      </c>
      <c r="D107" s="11" t="s">
        <v>419</v>
      </c>
      <c r="E107" s="11" t="s">
        <v>539</v>
      </c>
      <c r="F107" s="185">
        <v>45202</v>
      </c>
      <c r="G107" s="11" t="s">
        <v>118</v>
      </c>
      <c r="H107" s="11">
        <v>0</v>
      </c>
      <c r="I107" s="11">
        <v>0</v>
      </c>
      <c r="J107" s="11">
        <v>0</v>
      </c>
      <c r="K107" s="11">
        <v>0</v>
      </c>
      <c r="L107" s="6">
        <f t="shared" si="0"/>
        <v>0</v>
      </c>
      <c r="M107" s="11">
        <v>142</v>
      </c>
      <c r="N107" s="11">
        <v>102</v>
      </c>
      <c r="O107" s="11">
        <v>2</v>
      </c>
      <c r="P107" s="11">
        <v>144</v>
      </c>
      <c r="Q107" s="11">
        <v>42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12</v>
      </c>
      <c r="Y107" s="11">
        <v>16</v>
      </c>
      <c r="Z107" s="11">
        <v>23</v>
      </c>
      <c r="AA107" s="11">
        <v>10</v>
      </c>
      <c r="AB107" s="11">
        <v>28</v>
      </c>
      <c r="AC107" s="11">
        <v>0</v>
      </c>
      <c r="AD107" s="11">
        <v>0</v>
      </c>
      <c r="AE107" s="11">
        <v>0</v>
      </c>
      <c r="AF107" s="11">
        <v>0</v>
      </c>
      <c r="AG107" s="11">
        <v>153</v>
      </c>
      <c r="AH107" s="11">
        <v>197</v>
      </c>
      <c r="AI107" s="11">
        <v>72</v>
      </c>
      <c r="AJ107" s="11">
        <v>0</v>
      </c>
      <c r="AK107" s="11">
        <v>3</v>
      </c>
      <c r="AL107" s="11">
        <v>93820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708</v>
      </c>
      <c r="AT107" s="11">
        <v>5227.0600000000004</v>
      </c>
      <c r="AU107" s="11">
        <v>0</v>
      </c>
      <c r="AV107" s="11">
        <v>51</v>
      </c>
      <c r="AW107" s="11">
        <v>0</v>
      </c>
      <c r="AX107" s="11">
        <v>102</v>
      </c>
      <c r="AY107" s="11">
        <v>42</v>
      </c>
    </row>
    <row r="108" spans="1:52">
      <c r="A108" s="11" t="s">
        <v>136</v>
      </c>
      <c r="B108" s="149" t="s">
        <v>653</v>
      </c>
      <c r="C108" s="11" t="s">
        <v>220</v>
      </c>
      <c r="D108" s="11" t="s">
        <v>421</v>
      </c>
      <c r="E108" s="11" t="s">
        <v>424</v>
      </c>
      <c r="F108" s="185">
        <v>45208</v>
      </c>
      <c r="G108" s="11" t="s">
        <v>136</v>
      </c>
      <c r="H108" s="11">
        <v>500001</v>
      </c>
      <c r="I108" s="11">
        <v>3000000</v>
      </c>
      <c r="J108" s="11">
        <v>531445.02</v>
      </c>
      <c r="K108" s="11">
        <v>0</v>
      </c>
      <c r="L108" s="6">
        <f t="shared" si="0"/>
        <v>531445.02</v>
      </c>
      <c r="M108" s="11">
        <v>24</v>
      </c>
      <c r="N108" s="11">
        <v>23</v>
      </c>
      <c r="O108" s="11">
        <v>1</v>
      </c>
      <c r="P108" s="11">
        <v>25</v>
      </c>
      <c r="Q108" s="11">
        <v>2</v>
      </c>
      <c r="R108" s="11">
        <v>427322.77</v>
      </c>
      <c r="S108" s="11">
        <v>104122.25</v>
      </c>
      <c r="T108" s="11">
        <v>8</v>
      </c>
      <c r="U108" s="11">
        <v>1</v>
      </c>
      <c r="V108" s="11">
        <v>9</v>
      </c>
      <c r="W108" s="11">
        <v>0</v>
      </c>
      <c r="X108" s="11">
        <v>7</v>
      </c>
      <c r="Y108" s="11">
        <v>13</v>
      </c>
      <c r="Z108" s="11">
        <v>111</v>
      </c>
      <c r="AA108" s="11">
        <v>2</v>
      </c>
      <c r="AB108" s="11">
        <v>20</v>
      </c>
      <c r="AC108" s="11">
        <v>1</v>
      </c>
      <c r="AD108" s="11">
        <v>9</v>
      </c>
      <c r="AE108" s="11">
        <v>0</v>
      </c>
      <c r="AF108" s="11">
        <v>0</v>
      </c>
      <c r="AG108" s="11">
        <v>206</v>
      </c>
      <c r="AH108" s="11">
        <v>248</v>
      </c>
      <c r="AI108" s="11">
        <v>65</v>
      </c>
      <c r="AJ108" s="11">
        <v>8176</v>
      </c>
      <c r="AK108" s="11">
        <v>4</v>
      </c>
      <c r="AL108" s="11">
        <v>36018</v>
      </c>
      <c r="AM108" s="11">
        <v>0</v>
      </c>
      <c r="AN108" s="11">
        <v>6.7799999999999999E-2</v>
      </c>
      <c r="AO108" s="11">
        <v>59049</v>
      </c>
      <c r="AP108" s="11">
        <v>0.18</v>
      </c>
      <c r="AQ108" s="11">
        <v>0</v>
      </c>
      <c r="AR108" s="11">
        <v>20</v>
      </c>
      <c r="AS108" s="11">
        <v>641</v>
      </c>
      <c r="AT108" s="11">
        <v>2661.19</v>
      </c>
      <c r="AU108" s="11">
        <v>1</v>
      </c>
      <c r="AV108" s="11">
        <v>116</v>
      </c>
      <c r="AW108" s="11">
        <v>9</v>
      </c>
      <c r="AX108" s="11">
        <v>14</v>
      </c>
      <c r="AY108" s="11">
        <v>2</v>
      </c>
    </row>
    <row r="109" spans="1:52">
      <c r="A109" s="11" t="s">
        <v>118</v>
      </c>
      <c r="B109" s="149" t="s">
        <v>372</v>
      </c>
      <c r="C109" s="11" t="s">
        <v>221</v>
      </c>
      <c r="D109" s="11" t="s">
        <v>515</v>
      </c>
      <c r="E109" s="11" t="s">
        <v>562</v>
      </c>
      <c r="F109" s="185">
        <v>45231</v>
      </c>
      <c r="G109" s="11" t="s">
        <v>138</v>
      </c>
      <c r="H109" s="11">
        <v>0</v>
      </c>
      <c r="I109" s="11">
        <v>4500000</v>
      </c>
      <c r="J109" s="11">
        <v>957018.23</v>
      </c>
      <c r="K109" s="11">
        <v>0</v>
      </c>
      <c r="L109" s="6">
        <f t="shared" si="0"/>
        <v>957018.23</v>
      </c>
      <c r="M109" s="11">
        <v>39</v>
      </c>
      <c r="N109" s="11">
        <v>36</v>
      </c>
      <c r="O109" s="11">
        <v>1</v>
      </c>
      <c r="P109" s="11">
        <v>40</v>
      </c>
      <c r="Q109" s="11">
        <v>4</v>
      </c>
      <c r="R109" s="11">
        <v>869461.68</v>
      </c>
      <c r="S109" s="11">
        <v>87556.55</v>
      </c>
      <c r="T109" s="11">
        <v>6</v>
      </c>
      <c r="U109" s="11">
        <v>1</v>
      </c>
      <c r="V109" s="11">
        <v>7</v>
      </c>
      <c r="W109" s="11">
        <v>0</v>
      </c>
      <c r="X109" s="11">
        <v>15</v>
      </c>
      <c r="Y109" s="11">
        <v>29</v>
      </c>
      <c r="Z109" s="11">
        <v>75</v>
      </c>
      <c r="AA109" s="11">
        <v>1</v>
      </c>
      <c r="AB109" s="11">
        <v>47</v>
      </c>
      <c r="AC109" s="11">
        <v>0</v>
      </c>
      <c r="AD109" s="11">
        <v>0</v>
      </c>
      <c r="AE109" s="11">
        <v>0</v>
      </c>
      <c r="AF109" s="11">
        <v>0</v>
      </c>
      <c r="AG109" s="11">
        <v>206</v>
      </c>
      <c r="AH109" s="11">
        <v>282</v>
      </c>
      <c r="AI109" s="11">
        <v>61</v>
      </c>
      <c r="AJ109" s="11">
        <v>15689</v>
      </c>
      <c r="AK109" s="11">
        <v>5</v>
      </c>
      <c r="AL109" s="11">
        <v>25803</v>
      </c>
      <c r="AM109" s="11">
        <v>0</v>
      </c>
      <c r="AN109" s="11">
        <v>2.7E-2</v>
      </c>
      <c r="AO109" s="11">
        <v>136717</v>
      </c>
      <c r="AP109" s="11">
        <v>0.21</v>
      </c>
      <c r="AQ109" s="11">
        <v>0</v>
      </c>
      <c r="AR109" s="11">
        <v>7</v>
      </c>
      <c r="AS109" s="11">
        <v>578</v>
      </c>
      <c r="AT109" s="11">
        <v>2712.19</v>
      </c>
      <c r="AU109" s="11">
        <v>1</v>
      </c>
      <c r="AV109" s="11">
        <v>75</v>
      </c>
      <c r="AW109" s="11">
        <v>7</v>
      </c>
      <c r="AX109" s="11">
        <v>29</v>
      </c>
      <c r="AY109" s="11">
        <v>4</v>
      </c>
    </row>
    <row r="110" spans="1:52">
      <c r="A110" s="11" t="s">
        <v>118</v>
      </c>
      <c r="B110" s="149" t="s">
        <v>372</v>
      </c>
      <c r="C110" s="11" t="s">
        <v>222</v>
      </c>
      <c r="D110" s="11" t="s">
        <v>447</v>
      </c>
      <c r="E110" s="11" t="s">
        <v>564</v>
      </c>
      <c r="F110" s="185">
        <v>45233</v>
      </c>
      <c r="G110" s="11" t="s">
        <v>93</v>
      </c>
      <c r="H110" s="11">
        <v>0</v>
      </c>
      <c r="I110" s="11">
        <v>4500000</v>
      </c>
      <c r="J110" s="11">
        <v>3248005.79</v>
      </c>
      <c r="K110" s="11">
        <v>0</v>
      </c>
      <c r="L110" s="6">
        <f t="shared" si="0"/>
        <v>3248005.79</v>
      </c>
      <c r="M110" s="11">
        <v>44</v>
      </c>
      <c r="N110" s="11">
        <v>50</v>
      </c>
      <c r="O110" s="11">
        <v>11</v>
      </c>
      <c r="P110" s="11">
        <v>55</v>
      </c>
      <c r="Q110" s="11">
        <v>5</v>
      </c>
      <c r="R110" s="11">
        <v>2859496.68</v>
      </c>
      <c r="S110" s="11">
        <v>388509.11</v>
      </c>
      <c r="T110" s="11">
        <v>29</v>
      </c>
      <c r="U110" s="11">
        <v>11</v>
      </c>
      <c r="V110" s="11">
        <v>40</v>
      </c>
      <c r="W110" s="11">
        <v>0</v>
      </c>
      <c r="X110" s="11">
        <v>24</v>
      </c>
      <c r="Y110" s="11">
        <v>29</v>
      </c>
      <c r="Z110" s="11">
        <v>74</v>
      </c>
      <c r="AA110" s="11">
        <v>2</v>
      </c>
      <c r="AB110" s="11">
        <v>37</v>
      </c>
      <c r="AC110" s="11">
        <v>2</v>
      </c>
      <c r="AD110" s="11">
        <v>7</v>
      </c>
      <c r="AE110" s="11">
        <v>1</v>
      </c>
      <c r="AF110" s="11">
        <v>1</v>
      </c>
      <c r="AG110" s="11">
        <v>162</v>
      </c>
      <c r="AH110" s="11">
        <v>236</v>
      </c>
      <c r="AI110" s="11">
        <v>75</v>
      </c>
      <c r="AJ110" s="11">
        <v>43307</v>
      </c>
      <c r="AK110" s="11">
        <v>3</v>
      </c>
      <c r="AL110" s="11">
        <v>26530</v>
      </c>
      <c r="AM110" s="11">
        <v>0</v>
      </c>
      <c r="AN110" s="11">
        <v>8.2000000000000007E-3</v>
      </c>
      <c r="AO110" s="11">
        <v>81200</v>
      </c>
      <c r="AP110" s="11">
        <v>0.72</v>
      </c>
      <c r="AQ110" s="11">
        <v>0</v>
      </c>
      <c r="AR110" s="11">
        <v>83</v>
      </c>
      <c r="AS110" s="11">
        <v>757</v>
      </c>
      <c r="AT110" s="11">
        <v>4120.03</v>
      </c>
      <c r="AU110" s="11">
        <v>11</v>
      </c>
      <c r="AV110" s="11">
        <v>82</v>
      </c>
      <c r="AW110" s="11">
        <v>40</v>
      </c>
      <c r="AX110" s="11">
        <v>14</v>
      </c>
      <c r="AY110" s="11">
        <v>1</v>
      </c>
    </row>
    <row r="111" spans="1:52">
      <c r="A111" s="11" t="s">
        <v>118</v>
      </c>
      <c r="B111" s="149" t="s">
        <v>372</v>
      </c>
      <c r="C111" s="11" t="s">
        <v>223</v>
      </c>
      <c r="D111" s="11" t="s">
        <v>447</v>
      </c>
      <c r="E111" s="11" t="s">
        <v>565</v>
      </c>
      <c r="F111" s="185">
        <v>45236</v>
      </c>
      <c r="G111" s="11" t="s">
        <v>93</v>
      </c>
      <c r="H111" s="11">
        <v>0</v>
      </c>
      <c r="I111" s="11">
        <v>4500000</v>
      </c>
      <c r="J111" s="11">
        <v>3566609.44</v>
      </c>
      <c r="K111" s="11">
        <v>0</v>
      </c>
      <c r="L111" s="6">
        <f t="shared" si="0"/>
        <v>3566609.44</v>
      </c>
      <c r="M111" s="11">
        <v>58</v>
      </c>
      <c r="N111" s="11">
        <v>60</v>
      </c>
      <c r="O111" s="11">
        <v>5</v>
      </c>
      <c r="P111" s="11">
        <v>63</v>
      </c>
      <c r="Q111" s="11">
        <v>3</v>
      </c>
      <c r="R111" s="11">
        <v>3176977.98</v>
      </c>
      <c r="S111" s="11">
        <v>389631.46</v>
      </c>
      <c r="T111" s="11">
        <v>34</v>
      </c>
      <c r="U111" s="11">
        <v>5</v>
      </c>
      <c r="V111" s="11">
        <v>39</v>
      </c>
      <c r="W111" s="11">
        <v>0</v>
      </c>
      <c r="X111" s="11">
        <v>16</v>
      </c>
      <c r="Y111" s="11">
        <v>27</v>
      </c>
      <c r="Z111" s="11">
        <v>158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396</v>
      </c>
      <c r="AH111" s="11">
        <v>423</v>
      </c>
      <c r="AI111" s="11">
        <v>75</v>
      </c>
      <c r="AJ111" s="11">
        <v>47555</v>
      </c>
      <c r="AK111" s="11">
        <v>6</v>
      </c>
      <c r="AL111" s="11">
        <v>27680</v>
      </c>
      <c r="AM111" s="11">
        <v>0</v>
      </c>
      <c r="AN111" s="11">
        <v>7.7999999999999996E-3</v>
      </c>
      <c r="AO111" s="11">
        <v>91452</v>
      </c>
      <c r="AP111" s="11">
        <v>0.79</v>
      </c>
      <c r="AQ111" s="11">
        <v>0</v>
      </c>
      <c r="AR111" s="11">
        <v>143</v>
      </c>
      <c r="AS111" s="11">
        <v>550</v>
      </c>
      <c r="AT111" s="11">
        <v>5200.5</v>
      </c>
      <c r="AU111" s="11">
        <v>5</v>
      </c>
      <c r="AV111" s="11">
        <v>87</v>
      </c>
      <c r="AW111" s="11">
        <v>39</v>
      </c>
      <c r="AX111" s="11">
        <v>21</v>
      </c>
      <c r="AY111" s="11">
        <v>3</v>
      </c>
    </row>
    <row r="112" spans="1:52">
      <c r="A112" s="11" t="s">
        <v>118</v>
      </c>
      <c r="B112" s="149" t="s">
        <v>468</v>
      </c>
      <c r="C112" s="11" t="s">
        <v>224</v>
      </c>
      <c r="D112" s="11" t="s">
        <v>515</v>
      </c>
      <c r="E112" s="11" t="s">
        <v>566</v>
      </c>
      <c r="F112" s="185">
        <v>45236</v>
      </c>
      <c r="G112" s="11" t="s">
        <v>213</v>
      </c>
      <c r="H112" s="11">
        <v>0</v>
      </c>
      <c r="I112" s="11">
        <v>5850000</v>
      </c>
      <c r="J112" s="11">
        <v>4426940.24</v>
      </c>
      <c r="K112" s="11">
        <v>0</v>
      </c>
      <c r="L112" s="6">
        <f t="shared" si="0"/>
        <v>4426940.24</v>
      </c>
      <c r="M112" s="11">
        <v>31</v>
      </c>
      <c r="N112" s="11">
        <v>31</v>
      </c>
      <c r="O112" s="11">
        <v>1</v>
      </c>
      <c r="P112" s="11">
        <v>32</v>
      </c>
      <c r="Q112" s="11">
        <v>1</v>
      </c>
      <c r="R112" s="11">
        <v>4286103.38</v>
      </c>
      <c r="S112" s="11">
        <v>140836.85999999999</v>
      </c>
      <c r="T112" s="11">
        <v>18</v>
      </c>
      <c r="U112" s="11">
        <v>1</v>
      </c>
      <c r="V112" s="11">
        <v>19</v>
      </c>
      <c r="W112" s="11">
        <v>0</v>
      </c>
      <c r="X112" s="11">
        <v>7</v>
      </c>
      <c r="Y112" s="11">
        <v>9</v>
      </c>
      <c r="Z112" s="11">
        <v>115</v>
      </c>
      <c r="AA112" s="11">
        <v>1</v>
      </c>
      <c r="AB112" s="11">
        <v>2</v>
      </c>
      <c r="AC112" s="11">
        <v>0</v>
      </c>
      <c r="AD112" s="11">
        <v>0</v>
      </c>
      <c r="AE112" s="11">
        <v>0</v>
      </c>
      <c r="AF112" s="11">
        <v>0</v>
      </c>
      <c r="AG112" s="11">
        <v>265</v>
      </c>
      <c r="AH112" s="11">
        <v>276</v>
      </c>
      <c r="AI112" s="11">
        <v>72</v>
      </c>
      <c r="AJ112" s="11">
        <v>61485</v>
      </c>
      <c r="AK112" s="11">
        <v>4</v>
      </c>
      <c r="AL112" s="11">
        <v>29985</v>
      </c>
      <c r="AM112" s="11">
        <v>0</v>
      </c>
      <c r="AN112" s="11">
        <v>6.7999999999999996E-3</v>
      </c>
      <c r="AO112" s="11">
        <v>232997</v>
      </c>
      <c r="AP112" s="11">
        <v>0.76</v>
      </c>
      <c r="AQ112" s="11">
        <v>0</v>
      </c>
      <c r="AR112" s="11">
        <v>33</v>
      </c>
      <c r="AS112" s="11">
        <v>721</v>
      </c>
      <c r="AT112" s="11">
        <v>4778.18</v>
      </c>
      <c r="AU112" s="11">
        <v>1</v>
      </c>
      <c r="AV112" s="11">
        <v>154</v>
      </c>
      <c r="AW112" s="11">
        <v>19</v>
      </c>
      <c r="AX112" s="11">
        <v>12</v>
      </c>
      <c r="AY112" s="11">
        <v>1</v>
      </c>
    </row>
    <row r="113" spans="1:52">
      <c r="A113" s="11" t="s">
        <v>120</v>
      </c>
      <c r="B113" s="149" t="s">
        <v>206</v>
      </c>
      <c r="C113" s="11" t="s">
        <v>180</v>
      </c>
      <c r="D113" s="11" t="s">
        <v>206</v>
      </c>
      <c r="E113" s="11" t="s">
        <v>182</v>
      </c>
      <c r="F113" s="185">
        <v>45261</v>
      </c>
      <c r="G113" s="11" t="s">
        <v>120</v>
      </c>
      <c r="H113" s="11">
        <v>600000</v>
      </c>
      <c r="I113" s="11">
        <v>3600000</v>
      </c>
      <c r="J113" s="11">
        <v>3405908.69</v>
      </c>
      <c r="K113" s="11">
        <v>82865.53</v>
      </c>
      <c r="L113" s="6">
        <f t="shared" si="0"/>
        <v>3488774.2199999997</v>
      </c>
      <c r="M113" s="11">
        <v>83</v>
      </c>
      <c r="N113" s="11">
        <v>75</v>
      </c>
      <c r="O113" s="11">
        <v>4</v>
      </c>
      <c r="P113" s="11">
        <v>87</v>
      </c>
      <c r="Q113" s="11">
        <v>12</v>
      </c>
      <c r="R113" s="11">
        <v>3100996.02</v>
      </c>
      <c r="S113" s="11">
        <v>304912.67</v>
      </c>
      <c r="T113" s="11">
        <v>44</v>
      </c>
      <c r="U113" s="11">
        <v>4</v>
      </c>
      <c r="V113" s="11">
        <v>48</v>
      </c>
      <c r="W113" s="11">
        <v>1</v>
      </c>
      <c r="X113" s="11">
        <v>36</v>
      </c>
      <c r="Y113" s="11">
        <v>65</v>
      </c>
      <c r="Z113" s="11">
        <v>94</v>
      </c>
      <c r="AA113" s="11">
        <v>2</v>
      </c>
      <c r="AB113" s="11">
        <v>65</v>
      </c>
      <c r="AC113" s="11">
        <v>2</v>
      </c>
      <c r="AD113" s="11">
        <v>5</v>
      </c>
      <c r="AE113" s="11">
        <v>0</v>
      </c>
      <c r="AF113" s="11">
        <v>0</v>
      </c>
      <c r="AG113" s="11">
        <v>327</v>
      </c>
      <c r="AH113" s="11">
        <v>462</v>
      </c>
      <c r="AI113" s="11">
        <v>76</v>
      </c>
      <c r="AJ113" s="11">
        <v>44815</v>
      </c>
      <c r="AK113" s="11">
        <v>6</v>
      </c>
      <c r="AL113" s="11">
        <v>33784</v>
      </c>
      <c r="AM113" s="11">
        <v>0</v>
      </c>
      <c r="AN113" s="11">
        <v>9.9000000000000008E-3</v>
      </c>
      <c r="AO113" s="11">
        <v>70956</v>
      </c>
      <c r="AP113" s="11">
        <v>0.95</v>
      </c>
      <c r="AQ113" s="11">
        <v>0.14000000000000001</v>
      </c>
      <c r="AR113" s="11">
        <v>91</v>
      </c>
      <c r="AS113" s="11">
        <v>753</v>
      </c>
      <c r="AT113" s="11">
        <v>4580.46</v>
      </c>
      <c r="AU113" s="11">
        <v>4</v>
      </c>
      <c r="AV113" s="11">
        <v>61</v>
      </c>
      <c r="AW113" s="11">
        <v>48</v>
      </c>
      <c r="AX113" s="11">
        <v>27</v>
      </c>
      <c r="AY113" s="11">
        <v>12</v>
      </c>
    </row>
    <row r="114" spans="1:52">
      <c r="A114" s="11" t="s">
        <v>177</v>
      </c>
      <c r="B114" s="149" t="s">
        <v>364</v>
      </c>
      <c r="C114" s="11" t="s">
        <v>225</v>
      </c>
      <c r="D114" s="11" t="s">
        <v>568</v>
      </c>
      <c r="E114" s="11" t="s">
        <v>569</v>
      </c>
      <c r="F114" s="184">
        <v>45271</v>
      </c>
      <c r="G114" s="11" t="s">
        <v>177</v>
      </c>
      <c r="H114" s="11">
        <v>0</v>
      </c>
      <c r="I114" s="11">
        <v>0</v>
      </c>
      <c r="J114" s="11">
        <v>0</v>
      </c>
      <c r="K114" s="11">
        <v>0</v>
      </c>
      <c r="L114" s="6">
        <f t="shared" si="0"/>
        <v>0</v>
      </c>
      <c r="M114" s="11">
        <v>67</v>
      </c>
      <c r="N114" s="11">
        <v>21</v>
      </c>
      <c r="O114" s="11">
        <v>0</v>
      </c>
      <c r="P114" s="11">
        <v>67</v>
      </c>
      <c r="Q114" s="11">
        <v>46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9</v>
      </c>
      <c r="Y114" s="11">
        <v>14</v>
      </c>
      <c r="Z114" s="11">
        <v>83</v>
      </c>
      <c r="AA114" s="11">
        <v>6</v>
      </c>
      <c r="AB114" s="11">
        <v>40</v>
      </c>
      <c r="AC114" s="11">
        <v>0</v>
      </c>
      <c r="AD114" s="11">
        <v>0</v>
      </c>
      <c r="AE114" s="11">
        <v>50</v>
      </c>
      <c r="AF114" s="11">
        <v>87</v>
      </c>
      <c r="AG114" s="11">
        <v>25</v>
      </c>
      <c r="AH114" s="11">
        <v>166</v>
      </c>
      <c r="AI114" s="11">
        <v>64</v>
      </c>
      <c r="AJ114" s="11">
        <v>0</v>
      </c>
      <c r="AK114" s="11">
        <v>3</v>
      </c>
      <c r="AL114" s="11">
        <v>35410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589</v>
      </c>
      <c r="AT114" s="11">
        <v>7717.05</v>
      </c>
      <c r="AU114" s="11">
        <v>0</v>
      </c>
      <c r="AV114" s="11">
        <v>367</v>
      </c>
      <c r="AW114" s="11">
        <v>0</v>
      </c>
      <c r="AX114" s="11">
        <v>21</v>
      </c>
      <c r="AY114" s="11">
        <v>46</v>
      </c>
      <c r="AZ114" s="184">
        <v>45930</v>
      </c>
    </row>
    <row r="115" spans="1:52">
      <c r="A115" s="11" t="s">
        <v>118</v>
      </c>
      <c r="B115" s="149" t="s">
        <v>359</v>
      </c>
      <c r="C115" s="11" t="s">
        <v>226</v>
      </c>
      <c r="D115" s="11" t="s">
        <v>442</v>
      </c>
      <c r="E115" s="11" t="s">
        <v>571</v>
      </c>
      <c r="F115" s="184">
        <v>45278</v>
      </c>
      <c r="G115" s="11" t="s">
        <v>118</v>
      </c>
      <c r="H115" s="11">
        <v>0</v>
      </c>
      <c r="I115" s="11">
        <v>5100000</v>
      </c>
      <c r="J115" s="11">
        <v>3021098.09</v>
      </c>
      <c r="K115" s="11">
        <v>0</v>
      </c>
      <c r="L115" s="6">
        <f t="shared" si="0"/>
        <v>3021098.09</v>
      </c>
      <c r="M115" s="11">
        <v>65</v>
      </c>
      <c r="N115" s="11">
        <v>66</v>
      </c>
      <c r="O115" s="11">
        <v>4</v>
      </c>
      <c r="P115" s="11">
        <v>69</v>
      </c>
      <c r="Q115" s="11">
        <v>3</v>
      </c>
      <c r="R115" s="11">
        <v>2694809.17</v>
      </c>
      <c r="S115" s="11">
        <v>326288.92</v>
      </c>
      <c r="T115" s="11">
        <v>27</v>
      </c>
      <c r="U115" s="11">
        <v>4</v>
      </c>
      <c r="V115" s="11">
        <v>31</v>
      </c>
      <c r="W115" s="11">
        <v>0</v>
      </c>
      <c r="X115" s="11">
        <v>30</v>
      </c>
      <c r="Y115" s="11">
        <v>54</v>
      </c>
      <c r="Z115" s="11">
        <v>101</v>
      </c>
      <c r="AA115" s="11">
        <v>2</v>
      </c>
      <c r="AB115" s="11">
        <v>12</v>
      </c>
      <c r="AC115" s="11">
        <v>0</v>
      </c>
      <c r="AD115" s="11">
        <v>0</v>
      </c>
      <c r="AE115" s="11">
        <v>0</v>
      </c>
      <c r="AF115" s="11">
        <v>0</v>
      </c>
      <c r="AG115" s="11">
        <v>345</v>
      </c>
      <c r="AH115" s="11">
        <v>411</v>
      </c>
      <c r="AI115" s="11">
        <v>75</v>
      </c>
      <c r="AJ115" s="11">
        <v>40281</v>
      </c>
      <c r="AK115" s="11">
        <v>5</v>
      </c>
      <c r="AL115" s="11">
        <v>39855</v>
      </c>
      <c r="AM115" s="11">
        <v>0</v>
      </c>
      <c r="AN115" s="11">
        <v>1.32E-2</v>
      </c>
      <c r="AO115" s="11">
        <v>97455</v>
      </c>
      <c r="AP115" s="11">
        <v>0.59</v>
      </c>
      <c r="AQ115" s="11">
        <v>0</v>
      </c>
      <c r="AR115" s="11">
        <v>88</v>
      </c>
      <c r="AS115" s="11">
        <v>857</v>
      </c>
      <c r="AT115" s="11">
        <v>6634.64</v>
      </c>
      <c r="AU115" s="11">
        <v>4</v>
      </c>
      <c r="AV115" s="11">
        <v>101</v>
      </c>
      <c r="AW115" s="11">
        <v>31</v>
      </c>
      <c r="AX115" s="11">
        <v>35</v>
      </c>
      <c r="AY115" s="11">
        <v>3</v>
      </c>
    </row>
    <row r="116" spans="1:52">
      <c r="A116" s="11" t="s">
        <v>118</v>
      </c>
      <c r="B116" s="149" t="s">
        <v>484</v>
      </c>
      <c r="C116" s="11" t="s">
        <v>227</v>
      </c>
      <c r="D116" s="11" t="s">
        <v>572</v>
      </c>
      <c r="E116" s="11" t="s">
        <v>573</v>
      </c>
      <c r="F116" s="185">
        <v>45292</v>
      </c>
      <c r="G116" s="11" t="s">
        <v>118</v>
      </c>
      <c r="H116" s="11">
        <v>0</v>
      </c>
      <c r="I116" s="11">
        <v>4500000</v>
      </c>
      <c r="J116" s="11">
        <v>4668148.9400000004</v>
      </c>
      <c r="K116" s="11">
        <v>0</v>
      </c>
      <c r="L116" s="6">
        <f t="shared" si="0"/>
        <v>4668148.9400000004</v>
      </c>
      <c r="M116" s="11">
        <v>42</v>
      </c>
      <c r="N116" s="11">
        <v>32</v>
      </c>
      <c r="O116" s="11">
        <v>0</v>
      </c>
      <c r="P116" s="11">
        <v>42</v>
      </c>
      <c r="Q116" s="11">
        <v>10</v>
      </c>
      <c r="R116" s="11">
        <v>4668148.9400000004</v>
      </c>
      <c r="S116" s="11">
        <v>0</v>
      </c>
      <c r="T116" s="11">
        <v>26</v>
      </c>
      <c r="U116" s="11">
        <v>0</v>
      </c>
      <c r="V116" s="11">
        <v>26</v>
      </c>
      <c r="W116" s="11">
        <v>0</v>
      </c>
      <c r="X116" s="11">
        <v>10</v>
      </c>
      <c r="Y116" s="11">
        <v>17</v>
      </c>
      <c r="Z116" s="11">
        <v>77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371</v>
      </c>
      <c r="AH116" s="11">
        <v>388</v>
      </c>
      <c r="AI116" s="11">
        <v>69</v>
      </c>
      <c r="AJ116" s="11">
        <v>67654</v>
      </c>
      <c r="AK116" s="11">
        <v>6</v>
      </c>
      <c r="AL116" s="11">
        <v>29430</v>
      </c>
      <c r="AM116" s="11">
        <v>0</v>
      </c>
      <c r="AN116" s="11">
        <v>6.3E-3</v>
      </c>
      <c r="AO116" s="11">
        <v>179544</v>
      </c>
      <c r="AP116" s="11">
        <v>1.04</v>
      </c>
      <c r="AQ116" s="11">
        <v>0</v>
      </c>
      <c r="AR116" s="11">
        <v>50</v>
      </c>
      <c r="AS116" s="11">
        <v>816</v>
      </c>
      <c r="AT116" s="11">
        <v>1747.39</v>
      </c>
      <c r="AU116" s="11">
        <v>0</v>
      </c>
      <c r="AV116" s="11">
        <v>55</v>
      </c>
      <c r="AW116" s="11">
        <v>26</v>
      </c>
      <c r="AX116" s="11">
        <v>10</v>
      </c>
      <c r="AY116" s="11">
        <v>6</v>
      </c>
    </row>
    <row r="117" spans="1:52">
      <c r="A117" s="11" t="s">
        <v>118</v>
      </c>
      <c r="B117" s="149" t="s">
        <v>436</v>
      </c>
      <c r="C117" s="11" t="s">
        <v>228</v>
      </c>
      <c r="D117" s="11" t="s">
        <v>499</v>
      </c>
      <c r="E117" s="11" t="s">
        <v>449</v>
      </c>
      <c r="F117" s="185">
        <v>45294</v>
      </c>
      <c r="H117" s="11">
        <v>0</v>
      </c>
      <c r="I117" s="11">
        <v>5000001</v>
      </c>
      <c r="J117" s="11">
        <v>3579409.8</v>
      </c>
      <c r="K117" s="11">
        <v>0</v>
      </c>
      <c r="L117" s="6">
        <f t="shared" si="0"/>
        <v>3579409.8</v>
      </c>
      <c r="M117" s="11">
        <v>96</v>
      </c>
      <c r="N117" s="11">
        <v>62</v>
      </c>
      <c r="O117" s="11">
        <v>13</v>
      </c>
      <c r="P117" s="11">
        <v>109</v>
      </c>
      <c r="Q117" s="11">
        <v>47</v>
      </c>
      <c r="R117" s="11">
        <v>3132043.4</v>
      </c>
      <c r="S117" s="11">
        <v>447366.40000000002</v>
      </c>
      <c r="T117" s="11">
        <v>30</v>
      </c>
      <c r="U117" s="11">
        <v>12</v>
      </c>
      <c r="V117" s="11">
        <v>42</v>
      </c>
      <c r="W117" s="11">
        <v>0</v>
      </c>
      <c r="X117" s="11">
        <v>7</v>
      </c>
      <c r="Y117" s="11">
        <v>8</v>
      </c>
      <c r="Z117" s="11">
        <v>92</v>
      </c>
      <c r="AA117" s="11">
        <v>3</v>
      </c>
      <c r="AB117" s="11">
        <v>26</v>
      </c>
      <c r="AC117" s="11">
        <v>2</v>
      </c>
      <c r="AD117" s="11">
        <v>22</v>
      </c>
      <c r="AE117" s="11">
        <v>1</v>
      </c>
      <c r="AF117" s="11">
        <v>1</v>
      </c>
      <c r="AG117" s="11">
        <v>180</v>
      </c>
      <c r="AH117" s="11">
        <v>237</v>
      </c>
      <c r="AI117" s="11">
        <v>72</v>
      </c>
      <c r="AJ117" s="11">
        <v>49714</v>
      </c>
      <c r="AK117" s="11">
        <v>3</v>
      </c>
      <c r="AL117" s="11">
        <v>31870</v>
      </c>
      <c r="AM117" s="11">
        <v>0</v>
      </c>
      <c r="AN117" s="11">
        <v>8.8999999999999999E-3</v>
      </c>
      <c r="AO117" s="11">
        <v>85224</v>
      </c>
      <c r="AP117" s="11">
        <v>0.72</v>
      </c>
      <c r="AQ117" s="11">
        <v>0</v>
      </c>
      <c r="AR117" s="11">
        <v>78</v>
      </c>
      <c r="AS117" s="11">
        <v>770</v>
      </c>
      <c r="AT117" s="11">
        <v>4884.93</v>
      </c>
      <c r="AU117" s="11">
        <v>12</v>
      </c>
      <c r="AV117" s="11">
        <v>79</v>
      </c>
      <c r="AW117" s="11">
        <v>42</v>
      </c>
      <c r="AX117" s="11">
        <v>25</v>
      </c>
      <c r="AY117" s="11">
        <v>42</v>
      </c>
    </row>
    <row r="118" spans="1:52">
      <c r="A118" s="11" t="s">
        <v>118</v>
      </c>
      <c r="B118" s="149" t="s">
        <v>362</v>
      </c>
      <c r="C118" s="11" t="s">
        <v>229</v>
      </c>
      <c r="D118" s="11" t="s">
        <v>419</v>
      </c>
      <c r="E118" s="11" t="s">
        <v>539</v>
      </c>
      <c r="F118" s="185">
        <v>45295</v>
      </c>
      <c r="G118" s="11" t="s">
        <v>118</v>
      </c>
      <c r="H118" s="11">
        <v>0</v>
      </c>
      <c r="I118" s="11">
        <v>0</v>
      </c>
      <c r="J118" s="11">
        <v>0</v>
      </c>
      <c r="K118" s="11">
        <v>0</v>
      </c>
      <c r="L118" s="6">
        <f t="shared" si="0"/>
        <v>0</v>
      </c>
      <c r="M118" s="11">
        <v>165</v>
      </c>
      <c r="N118" s="11">
        <v>100</v>
      </c>
      <c r="O118" s="11">
        <v>9</v>
      </c>
      <c r="P118" s="11">
        <v>174</v>
      </c>
      <c r="Q118" s="11">
        <v>74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14</v>
      </c>
      <c r="Y118" s="11">
        <v>19</v>
      </c>
      <c r="Z118" s="11">
        <v>10</v>
      </c>
      <c r="AA118" s="11">
        <v>10</v>
      </c>
      <c r="AB118" s="11">
        <v>17</v>
      </c>
      <c r="AC118" s="11">
        <v>0</v>
      </c>
      <c r="AD118" s="11">
        <v>0</v>
      </c>
      <c r="AE118" s="11">
        <v>0</v>
      </c>
      <c r="AF118" s="11">
        <v>0</v>
      </c>
      <c r="AG118" s="11">
        <v>160</v>
      </c>
      <c r="AH118" s="11">
        <v>196</v>
      </c>
      <c r="AI118" s="11">
        <v>74</v>
      </c>
      <c r="AJ118" s="11">
        <v>0</v>
      </c>
      <c r="AK118" s="11">
        <v>3</v>
      </c>
      <c r="AL118" s="11">
        <v>88555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846</v>
      </c>
      <c r="AT118" s="11">
        <v>8864.19</v>
      </c>
      <c r="AU118" s="11">
        <v>0</v>
      </c>
      <c r="AV118" s="11">
        <v>89</v>
      </c>
      <c r="AW118" s="11">
        <v>0</v>
      </c>
      <c r="AX118" s="11">
        <v>100</v>
      </c>
      <c r="AY118" s="11">
        <v>74</v>
      </c>
    </row>
    <row r="119" spans="1:52">
      <c r="A119" s="11" t="s">
        <v>177</v>
      </c>
      <c r="B119" s="149" t="s">
        <v>364</v>
      </c>
      <c r="C119" s="11" t="s">
        <v>231</v>
      </c>
      <c r="D119" s="11" t="s">
        <v>576</v>
      </c>
      <c r="E119" s="11" t="s">
        <v>361</v>
      </c>
      <c r="F119" s="184">
        <v>45311</v>
      </c>
      <c r="H119" s="11">
        <v>0</v>
      </c>
      <c r="I119" s="11">
        <v>2499999</v>
      </c>
      <c r="J119" s="11">
        <v>1092550.17</v>
      </c>
      <c r="K119" s="11">
        <v>0</v>
      </c>
      <c r="L119" s="6">
        <f t="shared" si="0"/>
        <v>1092550.17</v>
      </c>
      <c r="M119" s="11">
        <v>73</v>
      </c>
      <c r="N119" s="11">
        <v>66</v>
      </c>
      <c r="O119" s="11">
        <v>1</v>
      </c>
      <c r="P119" s="11">
        <v>74</v>
      </c>
      <c r="Q119" s="11">
        <v>8</v>
      </c>
      <c r="R119" s="11">
        <v>1021372.73</v>
      </c>
      <c r="S119" s="11">
        <v>71177.440000000002</v>
      </c>
      <c r="T119" s="11">
        <v>63</v>
      </c>
      <c r="U119" s="11">
        <v>1</v>
      </c>
      <c r="V119" s="11">
        <v>64</v>
      </c>
      <c r="W119" s="11">
        <v>0</v>
      </c>
      <c r="X119" s="11">
        <v>23</v>
      </c>
      <c r="Y119" s="11">
        <v>39</v>
      </c>
      <c r="Z119" s="11">
        <v>209</v>
      </c>
      <c r="AA119" s="11">
        <v>1</v>
      </c>
      <c r="AB119" s="11">
        <v>48</v>
      </c>
      <c r="AC119" s="11">
        <v>0</v>
      </c>
      <c r="AD119" s="11">
        <v>0</v>
      </c>
      <c r="AE119" s="11">
        <v>0</v>
      </c>
      <c r="AF119" s="11">
        <v>0</v>
      </c>
      <c r="AG119" s="11">
        <v>396</v>
      </c>
      <c r="AH119" s="11">
        <v>483</v>
      </c>
      <c r="AI119" s="11">
        <v>70</v>
      </c>
      <c r="AJ119" s="11">
        <v>15608</v>
      </c>
      <c r="AK119" s="11">
        <v>7</v>
      </c>
      <c r="AL119" s="11">
        <v>32318</v>
      </c>
      <c r="AM119" s="11">
        <v>0</v>
      </c>
      <c r="AN119" s="11">
        <v>2.9600000000000001E-2</v>
      </c>
      <c r="AO119" s="11">
        <v>17071</v>
      </c>
      <c r="AP119" s="11">
        <v>0.44</v>
      </c>
      <c r="AQ119" s="11">
        <v>0</v>
      </c>
      <c r="AR119" s="11">
        <v>219</v>
      </c>
      <c r="AS119" s="11">
        <v>661</v>
      </c>
      <c r="AT119" s="11">
        <v>8548.56</v>
      </c>
      <c r="AU119" s="11">
        <v>1</v>
      </c>
      <c r="AV119" s="11">
        <v>130</v>
      </c>
      <c r="AW119" s="11">
        <v>64</v>
      </c>
      <c r="AX119" s="11">
        <v>2</v>
      </c>
      <c r="AY119" s="11">
        <v>8</v>
      </c>
    </row>
    <row r="120" spans="1:52">
      <c r="A120" s="11" t="s">
        <v>118</v>
      </c>
      <c r="B120" s="149" t="s">
        <v>484</v>
      </c>
      <c r="C120" s="11" t="s">
        <v>232</v>
      </c>
      <c r="D120" s="11" t="s">
        <v>574</v>
      </c>
      <c r="E120" s="11" t="s">
        <v>575</v>
      </c>
      <c r="F120" s="184">
        <v>45309</v>
      </c>
      <c r="G120" s="11" t="s">
        <v>118</v>
      </c>
      <c r="H120" s="11">
        <v>0</v>
      </c>
      <c r="I120" s="11">
        <v>4500000</v>
      </c>
      <c r="J120" s="11">
        <v>4038080.28</v>
      </c>
      <c r="K120" s="11">
        <v>0</v>
      </c>
      <c r="L120" s="6">
        <f t="shared" si="0"/>
        <v>4038080.28</v>
      </c>
      <c r="M120" s="11">
        <v>106</v>
      </c>
      <c r="N120" s="11">
        <v>83</v>
      </c>
      <c r="O120" s="11">
        <v>0</v>
      </c>
      <c r="P120" s="11">
        <v>106</v>
      </c>
      <c r="Q120" s="11">
        <v>23</v>
      </c>
      <c r="R120" s="11">
        <v>4038080.28</v>
      </c>
      <c r="S120" s="11">
        <v>0</v>
      </c>
      <c r="T120" s="11">
        <v>34</v>
      </c>
      <c r="U120" s="11">
        <v>0</v>
      </c>
      <c r="V120" s="11">
        <v>34</v>
      </c>
      <c r="W120" s="11">
        <v>0</v>
      </c>
      <c r="X120" s="11">
        <v>4</v>
      </c>
      <c r="Y120" s="11">
        <v>9</v>
      </c>
      <c r="Z120" s="11">
        <v>87</v>
      </c>
      <c r="AA120" s="11">
        <v>1</v>
      </c>
      <c r="AB120" s="11">
        <v>6</v>
      </c>
      <c r="AC120" s="11">
        <v>0</v>
      </c>
      <c r="AD120" s="11">
        <v>0</v>
      </c>
      <c r="AE120" s="11">
        <v>0</v>
      </c>
      <c r="AF120" s="11">
        <v>0</v>
      </c>
      <c r="AG120" s="11">
        <v>335</v>
      </c>
      <c r="AH120" s="11">
        <v>350</v>
      </c>
      <c r="AI120" s="11">
        <v>69</v>
      </c>
      <c r="AJ120" s="11">
        <v>58523</v>
      </c>
      <c r="AK120" s="11">
        <v>5</v>
      </c>
      <c r="AL120" s="11">
        <v>42820</v>
      </c>
      <c r="AM120" s="11">
        <v>0</v>
      </c>
      <c r="AN120" s="11">
        <v>1.06E-2</v>
      </c>
      <c r="AO120" s="11">
        <v>118767</v>
      </c>
      <c r="AP120" s="11">
        <v>0.9</v>
      </c>
      <c r="AQ120" s="11">
        <v>0</v>
      </c>
      <c r="AR120" s="11">
        <v>66</v>
      </c>
      <c r="AS120" s="11">
        <v>651</v>
      </c>
      <c r="AT120" s="11">
        <v>2880.31</v>
      </c>
      <c r="AU120" s="11">
        <v>0</v>
      </c>
      <c r="AV120" s="11">
        <v>35</v>
      </c>
      <c r="AW120" s="11">
        <v>34</v>
      </c>
      <c r="AX120" s="11">
        <v>53</v>
      </c>
      <c r="AY120" s="11">
        <v>19</v>
      </c>
    </row>
    <row r="121" spans="1:52">
      <c r="A121" s="11" t="s">
        <v>154</v>
      </c>
      <c r="B121" s="149" t="s">
        <v>367</v>
      </c>
      <c r="C121" s="11" t="s">
        <v>234</v>
      </c>
      <c r="D121" s="11" t="s">
        <v>577</v>
      </c>
      <c r="E121" s="11" t="s">
        <v>578</v>
      </c>
      <c r="F121" s="184">
        <v>45313</v>
      </c>
      <c r="G121" s="11" t="s">
        <v>196</v>
      </c>
      <c r="H121" s="11">
        <v>0</v>
      </c>
      <c r="I121" s="11">
        <v>0</v>
      </c>
      <c r="J121" s="11">
        <v>0</v>
      </c>
      <c r="K121" s="11">
        <v>0</v>
      </c>
      <c r="L121" s="6">
        <f t="shared" si="0"/>
        <v>0</v>
      </c>
      <c r="M121" s="11">
        <v>43</v>
      </c>
      <c r="N121" s="11">
        <v>0</v>
      </c>
      <c r="O121" s="11">
        <v>4</v>
      </c>
      <c r="P121" s="11">
        <v>47</v>
      </c>
      <c r="Q121" s="11">
        <v>47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362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24425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47</v>
      </c>
      <c r="AZ121" s="184">
        <v>45768</v>
      </c>
    </row>
    <row r="122" spans="1:52">
      <c r="A122" s="11" t="s">
        <v>118</v>
      </c>
      <c r="B122" s="149" t="s">
        <v>362</v>
      </c>
      <c r="C122" s="11" t="s">
        <v>235</v>
      </c>
      <c r="D122" s="11" t="s">
        <v>419</v>
      </c>
      <c r="E122" s="11" t="s">
        <v>579</v>
      </c>
      <c r="F122" s="185">
        <v>45323</v>
      </c>
      <c r="G122" s="11" t="s">
        <v>219</v>
      </c>
      <c r="H122" s="11">
        <v>0</v>
      </c>
      <c r="I122" s="11">
        <v>6000000</v>
      </c>
      <c r="J122" s="11">
        <v>4057547.8</v>
      </c>
      <c r="K122" s="11">
        <v>0</v>
      </c>
      <c r="L122" s="6">
        <f t="shared" si="0"/>
        <v>4057547.8</v>
      </c>
      <c r="M122" s="11">
        <v>64</v>
      </c>
      <c r="N122" s="11">
        <v>58</v>
      </c>
      <c r="O122" s="11">
        <v>3</v>
      </c>
      <c r="P122" s="11">
        <v>67</v>
      </c>
      <c r="Q122" s="11">
        <v>9</v>
      </c>
      <c r="R122" s="11">
        <v>3921241.1</v>
      </c>
      <c r="S122" s="11">
        <v>136306.70000000001</v>
      </c>
      <c r="T122" s="11">
        <v>37</v>
      </c>
      <c r="U122" s="11">
        <v>3</v>
      </c>
      <c r="V122" s="11">
        <v>40</v>
      </c>
      <c r="W122" s="11">
        <v>0</v>
      </c>
      <c r="X122" s="11">
        <v>57</v>
      </c>
      <c r="Y122" s="11">
        <v>81</v>
      </c>
      <c r="Z122" s="11">
        <v>175</v>
      </c>
      <c r="AA122" s="11">
        <v>1</v>
      </c>
      <c r="AB122" s="11">
        <v>12</v>
      </c>
      <c r="AC122" s="11">
        <v>0</v>
      </c>
      <c r="AD122" s="11">
        <v>0</v>
      </c>
      <c r="AE122" s="11">
        <v>0</v>
      </c>
      <c r="AF122" s="11">
        <v>0</v>
      </c>
      <c r="AG122" s="11">
        <v>286</v>
      </c>
      <c r="AH122" s="11">
        <v>379</v>
      </c>
      <c r="AI122" s="11">
        <v>72</v>
      </c>
      <c r="AJ122" s="11">
        <v>56355</v>
      </c>
      <c r="AK122" s="11">
        <v>5</v>
      </c>
      <c r="AL122" s="11">
        <v>30950</v>
      </c>
      <c r="AM122" s="11">
        <v>0</v>
      </c>
      <c r="AN122" s="11">
        <v>7.6E-3</v>
      </c>
      <c r="AO122" s="11">
        <v>101439</v>
      </c>
      <c r="AP122" s="11">
        <v>0.68</v>
      </c>
      <c r="AQ122" s="11">
        <v>0</v>
      </c>
      <c r="AR122" s="11">
        <v>95</v>
      </c>
      <c r="AS122" s="11">
        <v>834</v>
      </c>
      <c r="AT122" s="11">
        <v>4763.68</v>
      </c>
      <c r="AU122" s="11">
        <v>3</v>
      </c>
      <c r="AV122" s="11">
        <v>82</v>
      </c>
      <c r="AW122" s="11">
        <v>40</v>
      </c>
      <c r="AX122" s="11">
        <v>20</v>
      </c>
      <c r="AY122" s="11">
        <v>7</v>
      </c>
    </row>
    <row r="123" spans="1:52">
      <c r="A123" s="11" t="s">
        <v>201</v>
      </c>
      <c r="B123" s="149" t="s">
        <v>443</v>
      </c>
      <c r="C123" s="11" t="s">
        <v>236</v>
      </c>
      <c r="D123" s="11" t="s">
        <v>517</v>
      </c>
      <c r="E123" s="11" t="s">
        <v>563</v>
      </c>
      <c r="F123" s="185">
        <v>45331</v>
      </c>
      <c r="G123" s="11" t="s">
        <v>121</v>
      </c>
      <c r="H123" s="11">
        <v>0</v>
      </c>
      <c r="I123" s="11">
        <v>3450000</v>
      </c>
      <c r="J123" s="11">
        <v>2076503.64</v>
      </c>
      <c r="K123" s="11">
        <v>0</v>
      </c>
      <c r="L123" s="6">
        <f t="shared" si="0"/>
        <v>2076503.64</v>
      </c>
      <c r="M123" s="11">
        <v>30</v>
      </c>
      <c r="N123" s="11">
        <v>31</v>
      </c>
      <c r="O123" s="11">
        <v>3</v>
      </c>
      <c r="P123" s="11">
        <v>33</v>
      </c>
      <c r="Q123" s="11">
        <v>2</v>
      </c>
      <c r="R123" s="11">
        <v>1648289.5</v>
      </c>
      <c r="S123" s="11">
        <v>428214.14</v>
      </c>
      <c r="T123" s="11">
        <v>19</v>
      </c>
      <c r="U123" s="11">
        <v>3</v>
      </c>
      <c r="V123" s="11">
        <v>22</v>
      </c>
      <c r="W123" s="11">
        <v>0</v>
      </c>
      <c r="X123" s="11">
        <v>63</v>
      </c>
      <c r="Y123" s="11">
        <v>104</v>
      </c>
      <c r="Z123" s="11">
        <v>154</v>
      </c>
      <c r="AA123" s="11">
        <v>2</v>
      </c>
      <c r="AB123" s="11">
        <v>6</v>
      </c>
      <c r="AC123" s="11">
        <v>0</v>
      </c>
      <c r="AD123" s="11">
        <v>0</v>
      </c>
      <c r="AE123" s="11">
        <v>0</v>
      </c>
      <c r="AF123" s="11">
        <v>0</v>
      </c>
      <c r="AG123" s="11">
        <v>230</v>
      </c>
      <c r="AH123" s="11">
        <v>340</v>
      </c>
      <c r="AI123" s="11">
        <v>71</v>
      </c>
      <c r="AJ123" s="11">
        <v>29247</v>
      </c>
      <c r="AK123" s="11">
        <v>5</v>
      </c>
      <c r="AL123" s="11">
        <v>26212</v>
      </c>
      <c r="AM123" s="11">
        <v>0</v>
      </c>
      <c r="AN123" s="11">
        <v>1.26E-2</v>
      </c>
      <c r="AO123" s="11">
        <v>94387</v>
      </c>
      <c r="AP123" s="11">
        <v>0.6</v>
      </c>
      <c r="AQ123" s="11">
        <v>0</v>
      </c>
      <c r="AR123" s="11">
        <v>63</v>
      </c>
      <c r="AS123" s="11">
        <v>850</v>
      </c>
      <c r="AT123" s="11">
        <v>5323.15</v>
      </c>
      <c r="AU123" s="11">
        <v>3</v>
      </c>
      <c r="AV123" s="11">
        <v>172</v>
      </c>
      <c r="AW123" s="11">
        <v>22</v>
      </c>
      <c r="AX123" s="11">
        <v>10</v>
      </c>
      <c r="AY123" s="11">
        <v>1</v>
      </c>
    </row>
    <row r="124" spans="1:52">
      <c r="A124" s="11" t="s">
        <v>177</v>
      </c>
      <c r="B124" s="149" t="s">
        <v>364</v>
      </c>
      <c r="C124" s="11" t="s">
        <v>237</v>
      </c>
      <c r="D124" s="11" t="s">
        <v>576</v>
      </c>
      <c r="E124" s="11" t="s">
        <v>365</v>
      </c>
      <c r="F124" s="184">
        <v>45393</v>
      </c>
      <c r="H124" s="11">
        <v>0</v>
      </c>
      <c r="I124" s="11">
        <v>3750000</v>
      </c>
      <c r="J124" s="11">
        <v>1131770.3</v>
      </c>
      <c r="K124" s="11">
        <v>0</v>
      </c>
      <c r="L124" s="6">
        <f t="shared" si="0"/>
        <v>1131770.3</v>
      </c>
      <c r="M124" s="11">
        <v>143</v>
      </c>
      <c r="N124" s="11">
        <v>108</v>
      </c>
      <c r="O124" s="11">
        <v>6</v>
      </c>
      <c r="P124" s="11">
        <v>149</v>
      </c>
      <c r="Q124" s="11">
        <v>41</v>
      </c>
      <c r="R124" s="11">
        <v>1014749.91</v>
      </c>
      <c r="S124" s="11">
        <v>117020.39</v>
      </c>
      <c r="T124" s="11">
        <v>51</v>
      </c>
      <c r="U124" s="11">
        <v>6</v>
      </c>
      <c r="V124" s="11">
        <v>57</v>
      </c>
      <c r="W124" s="11">
        <v>0</v>
      </c>
      <c r="X124" s="11">
        <v>35</v>
      </c>
      <c r="Y124" s="11">
        <v>42</v>
      </c>
      <c r="Z124" s="11">
        <v>400</v>
      </c>
      <c r="AA124" s="11">
        <v>3</v>
      </c>
      <c r="AB124" s="11">
        <v>25</v>
      </c>
      <c r="AC124" s="11">
        <v>0</v>
      </c>
      <c r="AD124" s="11">
        <v>0</v>
      </c>
      <c r="AE124" s="11">
        <v>0</v>
      </c>
      <c r="AF124" s="11">
        <v>0</v>
      </c>
      <c r="AG124" s="11">
        <v>406</v>
      </c>
      <c r="AH124" s="11">
        <v>473</v>
      </c>
      <c r="AI124" s="11">
        <v>71</v>
      </c>
      <c r="AJ124" s="11">
        <v>15940</v>
      </c>
      <c r="AK124" s="11">
        <v>7</v>
      </c>
      <c r="AL124" s="11">
        <v>24116</v>
      </c>
      <c r="AM124" s="11">
        <v>0</v>
      </c>
      <c r="AN124" s="11">
        <v>2.1299999999999999E-2</v>
      </c>
      <c r="AO124" s="11">
        <v>19856</v>
      </c>
      <c r="AP124" s="11">
        <v>0.3</v>
      </c>
      <c r="AQ124" s="11">
        <v>0</v>
      </c>
      <c r="AR124" s="11">
        <v>114</v>
      </c>
      <c r="AS124" s="11">
        <v>632</v>
      </c>
      <c r="AT124" s="11">
        <v>4914.13</v>
      </c>
      <c r="AU124" s="11">
        <v>6</v>
      </c>
      <c r="AV124" s="11">
        <v>46</v>
      </c>
      <c r="AW124" s="11">
        <v>57</v>
      </c>
      <c r="AX124" s="11">
        <v>51</v>
      </c>
      <c r="AY124" s="11">
        <v>41</v>
      </c>
    </row>
    <row r="125" spans="1:52">
      <c r="A125" s="11" t="s">
        <v>120</v>
      </c>
      <c r="B125" s="149" t="s">
        <v>206</v>
      </c>
      <c r="C125" s="11" t="s">
        <v>238</v>
      </c>
      <c r="D125" s="11" t="s">
        <v>206</v>
      </c>
      <c r="E125" s="11" t="s">
        <v>360</v>
      </c>
      <c r="F125" s="185">
        <v>45384</v>
      </c>
      <c r="G125" s="11" t="s">
        <v>120</v>
      </c>
      <c r="H125" s="11">
        <v>900000</v>
      </c>
      <c r="I125" s="11">
        <v>3600000</v>
      </c>
      <c r="J125" s="11">
        <v>2541273.25</v>
      </c>
      <c r="K125" s="11">
        <v>98302.84</v>
      </c>
      <c r="L125" s="6">
        <f t="shared" si="0"/>
        <v>2639576.09</v>
      </c>
      <c r="M125" s="11">
        <v>60</v>
      </c>
      <c r="N125" s="11">
        <v>49</v>
      </c>
      <c r="O125" s="11">
        <v>3</v>
      </c>
      <c r="P125" s="11">
        <v>63</v>
      </c>
      <c r="Q125" s="11">
        <v>14</v>
      </c>
      <c r="R125" s="11">
        <v>2471993.13</v>
      </c>
      <c r="S125" s="11">
        <v>69280.12</v>
      </c>
      <c r="T125" s="11">
        <v>44</v>
      </c>
      <c r="U125" s="11">
        <v>3</v>
      </c>
      <c r="V125" s="11">
        <v>47</v>
      </c>
      <c r="W125" s="11">
        <v>1</v>
      </c>
      <c r="X125" s="11">
        <v>106</v>
      </c>
      <c r="Y125" s="11">
        <v>123</v>
      </c>
      <c r="Z125" s="11">
        <v>308</v>
      </c>
      <c r="AA125" s="11">
        <v>4</v>
      </c>
      <c r="AB125" s="11">
        <v>13</v>
      </c>
      <c r="AC125" s="11">
        <v>2</v>
      </c>
      <c r="AD125" s="11">
        <v>3</v>
      </c>
      <c r="AE125" s="11">
        <v>1</v>
      </c>
      <c r="AF125" s="11">
        <v>1</v>
      </c>
      <c r="AG125" s="11">
        <v>140</v>
      </c>
      <c r="AH125" s="11">
        <v>280</v>
      </c>
      <c r="AI125" s="11">
        <v>76</v>
      </c>
      <c r="AJ125" s="11">
        <v>33438</v>
      </c>
      <c r="AK125" s="11">
        <v>4</v>
      </c>
      <c r="AL125" s="11">
        <v>32500</v>
      </c>
      <c r="AM125" s="11">
        <v>0</v>
      </c>
      <c r="AN125" s="11">
        <v>1.2800000000000001E-2</v>
      </c>
      <c r="AO125" s="11">
        <v>54070</v>
      </c>
      <c r="AP125" s="11">
        <v>0.71</v>
      </c>
      <c r="AQ125" s="11">
        <v>0.11</v>
      </c>
      <c r="AR125" s="11">
        <v>112</v>
      </c>
      <c r="AS125" s="11">
        <v>798</v>
      </c>
      <c r="AT125" s="11">
        <v>5438.74</v>
      </c>
      <c r="AU125" s="11">
        <v>3</v>
      </c>
      <c r="AV125" s="11">
        <v>111</v>
      </c>
      <c r="AW125" s="11">
        <v>47</v>
      </c>
      <c r="AX125" s="11">
        <v>7</v>
      </c>
      <c r="AY125" s="11">
        <v>9</v>
      </c>
    </row>
    <row r="126" spans="1:52">
      <c r="A126" s="11" t="s">
        <v>177</v>
      </c>
      <c r="B126" s="149" t="s">
        <v>458</v>
      </c>
      <c r="C126" s="11" t="s">
        <v>239</v>
      </c>
      <c r="D126" s="11" t="s">
        <v>581</v>
      </c>
      <c r="E126" s="11" t="s">
        <v>582</v>
      </c>
      <c r="F126" s="184">
        <v>45411</v>
      </c>
      <c r="G126" s="11" t="s">
        <v>177</v>
      </c>
      <c r="H126" s="11">
        <v>0</v>
      </c>
      <c r="I126" s="11">
        <v>1166666</v>
      </c>
      <c r="J126" s="11">
        <v>418251.9</v>
      </c>
      <c r="K126" s="11">
        <v>0</v>
      </c>
      <c r="L126" s="6">
        <f t="shared" si="0"/>
        <v>418251.9</v>
      </c>
      <c r="M126" s="11">
        <v>88</v>
      </c>
      <c r="N126" s="11">
        <v>53</v>
      </c>
      <c r="O126" s="11">
        <v>8</v>
      </c>
      <c r="P126" s="11">
        <v>96</v>
      </c>
      <c r="Q126" s="11">
        <v>43</v>
      </c>
      <c r="R126" s="11">
        <v>369767.2</v>
      </c>
      <c r="S126" s="11">
        <v>48484.7</v>
      </c>
      <c r="T126" s="11">
        <v>14</v>
      </c>
      <c r="U126" s="11">
        <v>2</v>
      </c>
      <c r="V126" s="11">
        <v>16</v>
      </c>
      <c r="W126" s="11">
        <v>0</v>
      </c>
      <c r="X126" s="11">
        <v>66</v>
      </c>
      <c r="Y126" s="11">
        <v>83</v>
      </c>
      <c r="Z126" s="11">
        <v>540</v>
      </c>
      <c r="AA126" s="11">
        <v>0</v>
      </c>
      <c r="AB126" s="11">
        <v>0</v>
      </c>
      <c r="AC126" s="11">
        <v>0</v>
      </c>
      <c r="AD126" s="11">
        <v>0</v>
      </c>
      <c r="AE126" s="11">
        <v>4</v>
      </c>
      <c r="AF126" s="11">
        <v>5</v>
      </c>
      <c r="AG126" s="11">
        <v>94</v>
      </c>
      <c r="AH126" s="11">
        <v>182</v>
      </c>
      <c r="AI126" s="11">
        <v>28</v>
      </c>
      <c r="AJ126" s="11">
        <v>14938</v>
      </c>
      <c r="AK126" s="11">
        <v>7</v>
      </c>
      <c r="AL126" s="11">
        <v>25690</v>
      </c>
      <c r="AM126" s="11">
        <v>0</v>
      </c>
      <c r="AN126" s="11">
        <v>6.1400000000000003E-2</v>
      </c>
      <c r="AO126" s="11">
        <v>26141</v>
      </c>
      <c r="AP126" s="11">
        <v>0.36</v>
      </c>
      <c r="AQ126" s="11">
        <v>0</v>
      </c>
      <c r="AR126" s="11">
        <v>17</v>
      </c>
      <c r="AS126" s="11">
        <v>323</v>
      </c>
      <c r="AT126" s="11">
        <v>2453.5300000000002</v>
      </c>
      <c r="AU126" s="11">
        <v>2</v>
      </c>
      <c r="AV126" s="11">
        <v>46</v>
      </c>
      <c r="AW126" s="11">
        <v>16</v>
      </c>
      <c r="AX126" s="11">
        <v>41</v>
      </c>
      <c r="AY126" s="11">
        <v>39</v>
      </c>
      <c r="AZ126" s="184">
        <v>45887</v>
      </c>
    </row>
    <row r="127" spans="1:52">
      <c r="A127" s="11" t="s">
        <v>118</v>
      </c>
      <c r="B127" s="149" t="s">
        <v>468</v>
      </c>
      <c r="C127" s="11" t="s">
        <v>240</v>
      </c>
      <c r="D127" s="11" t="s">
        <v>509</v>
      </c>
      <c r="E127" s="11" t="s">
        <v>585</v>
      </c>
      <c r="F127" s="187">
        <v>45432</v>
      </c>
      <c r="G127" s="11" t="s">
        <v>213</v>
      </c>
      <c r="H127" s="11">
        <v>0</v>
      </c>
      <c r="I127" s="11">
        <v>7449999</v>
      </c>
      <c r="J127" s="11">
        <v>6802354.96</v>
      </c>
      <c r="K127" s="11">
        <v>0</v>
      </c>
      <c r="L127" s="6">
        <f t="shared" si="0"/>
        <v>6802354.96</v>
      </c>
      <c r="M127" s="11">
        <v>107</v>
      </c>
      <c r="N127" s="11">
        <v>91</v>
      </c>
      <c r="O127" s="11">
        <v>3</v>
      </c>
      <c r="P127" s="11">
        <v>110</v>
      </c>
      <c r="Q127" s="11">
        <v>19</v>
      </c>
      <c r="R127" s="11">
        <v>6743193.7599999998</v>
      </c>
      <c r="S127" s="11">
        <v>59161.2</v>
      </c>
      <c r="T127" s="11">
        <v>58</v>
      </c>
      <c r="U127" s="11">
        <v>3</v>
      </c>
      <c r="V127" s="11">
        <v>61</v>
      </c>
      <c r="W127" s="11">
        <v>0</v>
      </c>
      <c r="X127" s="11">
        <v>54</v>
      </c>
      <c r="Y127" s="11">
        <v>64</v>
      </c>
      <c r="Z127" s="11">
        <v>133</v>
      </c>
      <c r="AA127" s="11">
        <v>1</v>
      </c>
      <c r="AB127" s="11">
        <v>39</v>
      </c>
      <c r="AC127" s="11">
        <v>0</v>
      </c>
      <c r="AD127" s="11">
        <v>0</v>
      </c>
      <c r="AE127" s="11">
        <v>0</v>
      </c>
      <c r="AF127" s="11">
        <v>0</v>
      </c>
      <c r="AG127" s="11">
        <v>327</v>
      </c>
      <c r="AH127" s="11">
        <v>430</v>
      </c>
      <c r="AI127" s="11">
        <v>75</v>
      </c>
      <c r="AJ127" s="11">
        <v>90698</v>
      </c>
      <c r="AK127" s="11">
        <v>6</v>
      </c>
      <c r="AL127" s="11">
        <v>45100</v>
      </c>
      <c r="AM127" s="11">
        <v>0</v>
      </c>
      <c r="AN127" s="11">
        <v>6.6E-3</v>
      </c>
      <c r="AO127" s="11">
        <v>111514</v>
      </c>
      <c r="AP127" s="11">
        <v>0.91</v>
      </c>
      <c r="AQ127" s="11">
        <v>0</v>
      </c>
      <c r="AR127" s="11">
        <v>159</v>
      </c>
      <c r="AS127" s="11">
        <v>727</v>
      </c>
      <c r="AT127" s="11">
        <v>3092.85</v>
      </c>
      <c r="AU127" s="11">
        <v>3</v>
      </c>
      <c r="AV127" s="11">
        <v>34</v>
      </c>
      <c r="AW127" s="11">
        <v>61</v>
      </c>
      <c r="AX127" s="11">
        <v>34</v>
      </c>
      <c r="AY127" s="11">
        <v>15</v>
      </c>
    </row>
    <row r="128" spans="1:52">
      <c r="A128" s="11" t="s">
        <v>118</v>
      </c>
      <c r="B128" s="149" t="s">
        <v>359</v>
      </c>
      <c r="C128" s="11" t="s">
        <v>241</v>
      </c>
      <c r="D128" s="11" t="s">
        <v>442</v>
      </c>
      <c r="E128" s="11" t="s">
        <v>586</v>
      </c>
      <c r="F128" s="187">
        <v>45434</v>
      </c>
      <c r="G128" s="11" t="s">
        <v>118</v>
      </c>
      <c r="H128" s="11">
        <v>0</v>
      </c>
      <c r="I128" s="11">
        <v>6000000</v>
      </c>
      <c r="J128" s="11">
        <v>3763855.97</v>
      </c>
      <c r="K128" s="11">
        <v>0</v>
      </c>
      <c r="L128" s="6">
        <f t="shared" si="0"/>
        <v>3763855.97</v>
      </c>
      <c r="M128" s="11">
        <v>72</v>
      </c>
      <c r="N128" s="11">
        <v>57</v>
      </c>
      <c r="O128" s="11">
        <v>2</v>
      </c>
      <c r="P128" s="11">
        <v>74</v>
      </c>
      <c r="Q128" s="11">
        <v>17</v>
      </c>
      <c r="R128" s="11">
        <v>3625950.05</v>
      </c>
      <c r="S128" s="11">
        <v>137905.92000000001</v>
      </c>
      <c r="T128" s="11">
        <v>34</v>
      </c>
      <c r="U128" s="11">
        <v>2</v>
      </c>
      <c r="V128" s="11">
        <v>36</v>
      </c>
      <c r="W128" s="11">
        <v>0</v>
      </c>
      <c r="X128" s="11">
        <v>5</v>
      </c>
      <c r="Y128" s="11">
        <v>8</v>
      </c>
      <c r="Z128" s="11">
        <v>16</v>
      </c>
      <c r="AA128" s="11">
        <v>1</v>
      </c>
      <c r="AB128" s="11">
        <v>22</v>
      </c>
      <c r="AC128" s="11">
        <v>0</v>
      </c>
      <c r="AD128" s="11">
        <v>0</v>
      </c>
      <c r="AE128" s="11">
        <v>0</v>
      </c>
      <c r="AF128" s="11">
        <v>0</v>
      </c>
      <c r="AG128" s="11">
        <v>258</v>
      </c>
      <c r="AH128" s="11">
        <v>288</v>
      </c>
      <c r="AI128" s="11">
        <v>71</v>
      </c>
      <c r="AJ128" s="11">
        <v>53012</v>
      </c>
      <c r="AK128" s="11">
        <v>4</v>
      </c>
      <c r="AL128" s="11">
        <v>69400</v>
      </c>
      <c r="AM128" s="11">
        <v>0</v>
      </c>
      <c r="AN128" s="11">
        <v>1.84E-2</v>
      </c>
      <c r="AO128" s="11">
        <v>104552</v>
      </c>
      <c r="AP128" s="11">
        <v>0.63</v>
      </c>
      <c r="AQ128" s="11">
        <v>0</v>
      </c>
      <c r="AR128" s="11">
        <v>166</v>
      </c>
      <c r="AS128" s="11">
        <v>782</v>
      </c>
      <c r="AT128" s="11">
        <v>4942.93</v>
      </c>
      <c r="AU128" s="11">
        <v>2</v>
      </c>
      <c r="AV128" s="11">
        <v>87</v>
      </c>
      <c r="AW128" s="11">
        <v>36</v>
      </c>
      <c r="AX128" s="11">
        <v>22</v>
      </c>
      <c r="AY128" s="11">
        <v>16</v>
      </c>
    </row>
    <row r="129" spans="1:52">
      <c r="A129" s="11" t="s">
        <v>124</v>
      </c>
      <c r="B129" s="149" t="s">
        <v>443</v>
      </c>
      <c r="C129" s="11" t="s">
        <v>242</v>
      </c>
      <c r="D129" s="11" t="s">
        <v>517</v>
      </c>
      <c r="E129" s="11" t="s">
        <v>518</v>
      </c>
      <c r="F129" s="185">
        <v>45446</v>
      </c>
      <c r="G129" s="11" t="s">
        <v>142</v>
      </c>
      <c r="H129" s="11">
        <v>0</v>
      </c>
      <c r="I129" s="11">
        <v>3600000</v>
      </c>
      <c r="J129" s="11">
        <v>3831530.83</v>
      </c>
      <c r="K129" s="11">
        <v>0</v>
      </c>
      <c r="L129" s="6">
        <f t="shared" si="0"/>
        <v>3831530.83</v>
      </c>
      <c r="M129" s="11">
        <v>43</v>
      </c>
      <c r="N129" s="11">
        <v>34</v>
      </c>
      <c r="O129" s="11">
        <v>7</v>
      </c>
      <c r="P129" s="11">
        <v>50</v>
      </c>
      <c r="Q129" s="11">
        <v>16</v>
      </c>
      <c r="R129" s="11">
        <v>3412154.31</v>
      </c>
      <c r="S129" s="11">
        <v>419376.52</v>
      </c>
      <c r="T129" s="11">
        <v>11</v>
      </c>
      <c r="U129" s="11">
        <v>7</v>
      </c>
      <c r="V129" s="11">
        <v>18</v>
      </c>
      <c r="W129" s="11">
        <v>0</v>
      </c>
      <c r="X129" s="11">
        <v>54</v>
      </c>
      <c r="Y129" s="11">
        <v>74</v>
      </c>
      <c r="Z129" s="11">
        <v>167</v>
      </c>
      <c r="AA129" s="11">
        <v>6</v>
      </c>
      <c r="AB129" s="11">
        <v>68</v>
      </c>
      <c r="AC129" s="11">
        <v>0</v>
      </c>
      <c r="AD129" s="11">
        <v>0</v>
      </c>
      <c r="AE129" s="11">
        <v>1</v>
      </c>
      <c r="AF129" s="11">
        <v>1</v>
      </c>
      <c r="AG129" s="11">
        <v>158</v>
      </c>
      <c r="AH129" s="11">
        <v>301</v>
      </c>
      <c r="AI129" s="11">
        <v>76</v>
      </c>
      <c r="AJ129" s="11">
        <v>50415</v>
      </c>
      <c r="AK129" s="11">
        <v>4</v>
      </c>
      <c r="AL129" s="11">
        <v>39840</v>
      </c>
      <c r="AM129" s="11">
        <v>0</v>
      </c>
      <c r="AN129" s="11">
        <v>1.04E-2</v>
      </c>
      <c r="AO129" s="11">
        <v>212863</v>
      </c>
      <c r="AP129" s="11">
        <v>1.06</v>
      </c>
      <c r="AQ129" s="11">
        <v>0</v>
      </c>
      <c r="AR129" s="11">
        <v>88</v>
      </c>
      <c r="AS129" s="11">
        <v>773</v>
      </c>
      <c r="AT129" s="11">
        <v>3272.14</v>
      </c>
      <c r="AU129" s="11">
        <v>7</v>
      </c>
      <c r="AV129" s="11">
        <v>96</v>
      </c>
      <c r="AW129" s="11">
        <v>18</v>
      </c>
      <c r="AX129" s="11">
        <v>17</v>
      </c>
      <c r="AY129" s="11">
        <v>15</v>
      </c>
    </row>
    <row r="130" spans="1:52">
      <c r="A130" s="11" t="s">
        <v>118</v>
      </c>
      <c r="B130" s="149" t="s">
        <v>649</v>
      </c>
      <c r="C130" s="11" t="s">
        <v>243</v>
      </c>
      <c r="D130" s="11" t="s">
        <v>486</v>
      </c>
      <c r="E130" s="11" t="s">
        <v>512</v>
      </c>
      <c r="F130" s="184">
        <v>45453</v>
      </c>
      <c r="G130" s="11" t="s">
        <v>119</v>
      </c>
      <c r="H130" s="11">
        <v>0</v>
      </c>
      <c r="I130" s="11">
        <v>3600000</v>
      </c>
      <c r="J130" s="11">
        <v>2198464.9500000002</v>
      </c>
      <c r="K130" s="11">
        <v>0</v>
      </c>
      <c r="L130" s="6">
        <f t="shared" si="0"/>
        <v>2198464.9500000002</v>
      </c>
      <c r="M130" s="11">
        <v>124</v>
      </c>
      <c r="N130" s="11">
        <v>129</v>
      </c>
      <c r="O130" s="11">
        <v>12</v>
      </c>
      <c r="P130" s="11">
        <v>136</v>
      </c>
      <c r="Q130" s="11">
        <v>7</v>
      </c>
      <c r="R130" s="11">
        <v>1965577.35</v>
      </c>
      <c r="S130" s="11">
        <v>232887.6</v>
      </c>
      <c r="T130" s="11">
        <v>44</v>
      </c>
      <c r="U130" s="11">
        <v>12</v>
      </c>
      <c r="V130" s="11">
        <v>56</v>
      </c>
      <c r="W130" s="11">
        <v>0</v>
      </c>
      <c r="X130" s="11">
        <v>32</v>
      </c>
      <c r="Y130" s="11">
        <v>60</v>
      </c>
      <c r="Z130" s="11">
        <v>176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501</v>
      </c>
      <c r="AH130" s="11">
        <v>561</v>
      </c>
      <c r="AI130" s="11">
        <v>73</v>
      </c>
      <c r="AJ130" s="11">
        <v>30116</v>
      </c>
      <c r="AK130" s="11">
        <v>8</v>
      </c>
      <c r="AL130" s="11">
        <v>33570</v>
      </c>
      <c r="AM130" s="11">
        <v>0</v>
      </c>
      <c r="AN130" s="11">
        <v>1.5299999999999999E-2</v>
      </c>
      <c r="AO130" s="11">
        <v>39258</v>
      </c>
      <c r="AP130" s="11">
        <v>0.61</v>
      </c>
      <c r="AQ130" s="11">
        <v>0</v>
      </c>
      <c r="AR130" s="11">
        <v>102</v>
      </c>
      <c r="AS130" s="11">
        <v>916</v>
      </c>
      <c r="AT130" s="11">
        <v>5293</v>
      </c>
      <c r="AU130" s="11">
        <v>12</v>
      </c>
      <c r="AV130" s="11">
        <v>41</v>
      </c>
      <c r="AW130" s="11">
        <v>56</v>
      </c>
      <c r="AX130" s="11">
        <v>76</v>
      </c>
      <c r="AY130" s="11">
        <v>4</v>
      </c>
    </row>
    <row r="131" spans="1:52">
      <c r="A131" s="11" t="s">
        <v>118</v>
      </c>
      <c r="B131" s="149" t="s">
        <v>362</v>
      </c>
      <c r="C131" s="11" t="s">
        <v>245</v>
      </c>
      <c r="D131" s="11" t="s">
        <v>419</v>
      </c>
      <c r="E131" s="11" t="s">
        <v>591</v>
      </c>
      <c r="F131" s="184">
        <v>45460</v>
      </c>
      <c r="G131" s="11" t="s">
        <v>51</v>
      </c>
      <c r="H131" s="11">
        <v>0</v>
      </c>
      <c r="I131" s="11">
        <v>4500000</v>
      </c>
      <c r="J131" s="11">
        <v>4285925.87</v>
      </c>
      <c r="K131" s="11">
        <v>0</v>
      </c>
      <c r="L131" s="6">
        <f t="shared" si="0"/>
        <v>4285925.87</v>
      </c>
      <c r="M131" s="11">
        <v>69</v>
      </c>
      <c r="N131" s="11">
        <v>59</v>
      </c>
      <c r="O131" s="11">
        <v>4</v>
      </c>
      <c r="P131" s="11">
        <v>73</v>
      </c>
      <c r="Q131" s="11">
        <v>14</v>
      </c>
      <c r="R131" s="11">
        <v>3364695.47</v>
      </c>
      <c r="S131" s="11">
        <v>921230.4</v>
      </c>
      <c r="T131" s="11">
        <v>30</v>
      </c>
      <c r="U131" s="11">
        <v>4</v>
      </c>
      <c r="V131" s="11">
        <v>34</v>
      </c>
      <c r="W131" s="11">
        <v>0</v>
      </c>
      <c r="X131" s="11">
        <v>9</v>
      </c>
      <c r="Y131" s="11">
        <v>11</v>
      </c>
      <c r="Z131" s="11">
        <v>62</v>
      </c>
      <c r="AA131" s="11">
        <v>1</v>
      </c>
      <c r="AB131" s="11">
        <v>3</v>
      </c>
      <c r="AC131" s="11">
        <v>0</v>
      </c>
      <c r="AD131" s="11">
        <v>0</v>
      </c>
      <c r="AE131" s="11">
        <v>0</v>
      </c>
      <c r="AF131" s="11">
        <v>0</v>
      </c>
      <c r="AG131" s="11">
        <v>294</v>
      </c>
      <c r="AH131" s="11">
        <v>308</v>
      </c>
      <c r="AI131" s="11">
        <v>78</v>
      </c>
      <c r="AJ131" s="11">
        <v>54948</v>
      </c>
      <c r="AK131" s="11">
        <v>4</v>
      </c>
      <c r="AL131" s="11">
        <v>29900</v>
      </c>
      <c r="AM131" s="11">
        <v>0</v>
      </c>
      <c r="AN131" s="11">
        <v>7.0000000000000001E-3</v>
      </c>
      <c r="AO131" s="11">
        <v>126057</v>
      </c>
      <c r="AP131" s="11">
        <v>0.95</v>
      </c>
      <c r="AQ131" s="11">
        <v>0</v>
      </c>
      <c r="AR131" s="11">
        <v>77</v>
      </c>
      <c r="AS131" s="11">
        <v>858</v>
      </c>
      <c r="AT131" s="11">
        <v>4753.3999999999996</v>
      </c>
      <c r="AU131" s="11">
        <v>4</v>
      </c>
      <c r="AV131" s="11">
        <v>81</v>
      </c>
      <c r="AW131" s="11">
        <v>34</v>
      </c>
      <c r="AX131" s="11">
        <v>27</v>
      </c>
      <c r="AY131" s="11">
        <v>12</v>
      </c>
    </row>
    <row r="132" spans="1:52">
      <c r="A132" s="11" t="s">
        <v>118</v>
      </c>
      <c r="B132" s="149" t="s">
        <v>375</v>
      </c>
      <c r="C132" s="11" t="s">
        <v>246</v>
      </c>
      <c r="D132" s="11" t="s">
        <v>473</v>
      </c>
      <c r="E132" s="11" t="s">
        <v>594</v>
      </c>
      <c r="F132" s="184">
        <v>45462</v>
      </c>
      <c r="G132" s="11" t="s">
        <v>119</v>
      </c>
      <c r="H132" s="11">
        <v>0</v>
      </c>
      <c r="I132" s="11">
        <v>0</v>
      </c>
      <c r="J132" s="11">
        <v>0</v>
      </c>
      <c r="K132" s="11">
        <v>0</v>
      </c>
      <c r="L132" s="6">
        <f t="shared" si="0"/>
        <v>0</v>
      </c>
      <c r="M132" s="11">
        <v>48</v>
      </c>
      <c r="N132" s="11">
        <v>0</v>
      </c>
      <c r="O132" s="11">
        <v>0</v>
      </c>
      <c r="P132" s="11">
        <v>48</v>
      </c>
      <c r="Q132" s="11">
        <v>48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70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24116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48</v>
      </c>
      <c r="AZ132" s="184">
        <v>45838</v>
      </c>
    </row>
    <row r="133" spans="1:52">
      <c r="A133" s="11" t="s">
        <v>154</v>
      </c>
      <c r="B133" s="149" t="s">
        <v>367</v>
      </c>
      <c r="C133" s="11" t="s">
        <v>247</v>
      </c>
      <c r="D133" s="11" t="s">
        <v>577</v>
      </c>
      <c r="E133" s="11" t="s">
        <v>377</v>
      </c>
      <c r="F133" s="184">
        <v>45464</v>
      </c>
      <c r="G133" s="11" t="s">
        <v>196</v>
      </c>
      <c r="H133" s="11">
        <v>0</v>
      </c>
      <c r="I133" s="11">
        <v>0</v>
      </c>
      <c r="J133" s="11">
        <v>0</v>
      </c>
      <c r="K133" s="11">
        <v>0</v>
      </c>
      <c r="L133" s="6">
        <f t="shared" si="0"/>
        <v>0</v>
      </c>
      <c r="M133" s="11">
        <v>34</v>
      </c>
      <c r="N133" s="11">
        <v>0</v>
      </c>
      <c r="O133" s="11">
        <v>0</v>
      </c>
      <c r="P133" s="11">
        <v>34</v>
      </c>
      <c r="Q133" s="11">
        <v>34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402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38285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8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34</v>
      </c>
      <c r="AZ133" s="184">
        <v>45838</v>
      </c>
    </row>
    <row r="134" spans="1:52">
      <c r="A134" s="11" t="s">
        <v>201</v>
      </c>
      <c r="B134" s="149" t="s">
        <v>438</v>
      </c>
      <c r="C134" s="11" t="s">
        <v>248</v>
      </c>
      <c r="D134" s="11" t="s">
        <v>504</v>
      </c>
      <c r="E134" s="11" t="s">
        <v>604</v>
      </c>
      <c r="F134" s="184">
        <v>45467</v>
      </c>
      <c r="G134" s="11" t="s">
        <v>121</v>
      </c>
      <c r="H134" s="11">
        <v>0</v>
      </c>
      <c r="I134" s="11">
        <v>5000001</v>
      </c>
      <c r="J134" s="11">
        <v>1665321.2</v>
      </c>
      <c r="K134" s="11">
        <v>0</v>
      </c>
      <c r="L134" s="6">
        <f t="shared" si="0"/>
        <v>1665321.2</v>
      </c>
      <c r="M134" s="11">
        <v>47</v>
      </c>
      <c r="N134" s="11">
        <v>46</v>
      </c>
      <c r="O134" s="11">
        <v>1</v>
      </c>
      <c r="P134" s="11">
        <v>48</v>
      </c>
      <c r="Q134" s="11">
        <v>2</v>
      </c>
      <c r="R134" s="11">
        <v>1347566.32</v>
      </c>
      <c r="S134" s="11">
        <v>317754.88</v>
      </c>
      <c r="T134" s="11">
        <v>19</v>
      </c>
      <c r="U134" s="11">
        <v>1</v>
      </c>
      <c r="V134" s="11">
        <v>20</v>
      </c>
      <c r="W134" s="11">
        <v>0</v>
      </c>
      <c r="X134" s="11">
        <v>3</v>
      </c>
      <c r="Y134" s="11">
        <v>4</v>
      </c>
      <c r="Z134" s="11">
        <v>17</v>
      </c>
      <c r="AA134" s="11">
        <v>2</v>
      </c>
      <c r="AB134" s="11">
        <v>8</v>
      </c>
      <c r="AC134" s="11">
        <v>0</v>
      </c>
      <c r="AD134" s="11">
        <v>0</v>
      </c>
      <c r="AE134" s="11">
        <v>0</v>
      </c>
      <c r="AF134" s="11">
        <v>0</v>
      </c>
      <c r="AG134" s="11">
        <v>219</v>
      </c>
      <c r="AH134" s="11">
        <v>231</v>
      </c>
      <c r="AI134" s="11">
        <v>71</v>
      </c>
      <c r="AJ134" s="11">
        <v>23455</v>
      </c>
      <c r="AK134" s="11">
        <v>3</v>
      </c>
      <c r="AL134" s="11">
        <v>27260</v>
      </c>
      <c r="AM134" s="11">
        <v>0</v>
      </c>
      <c r="AN134" s="11">
        <v>1.6400000000000001E-2</v>
      </c>
      <c r="AO134" s="11">
        <v>83266</v>
      </c>
      <c r="AP134" s="11">
        <v>0.33</v>
      </c>
      <c r="AQ134" s="11">
        <v>0</v>
      </c>
      <c r="AR134" s="11">
        <v>27</v>
      </c>
      <c r="AS134" s="11">
        <v>674</v>
      </c>
      <c r="AT134" s="11">
        <v>3356.58</v>
      </c>
      <c r="AU134" s="11">
        <v>1</v>
      </c>
      <c r="AV134" s="11">
        <v>73</v>
      </c>
      <c r="AW134" s="11">
        <v>20</v>
      </c>
      <c r="AX134" s="11">
        <v>27</v>
      </c>
      <c r="AY134" s="11">
        <v>1</v>
      </c>
    </row>
    <row r="135" spans="1:52">
      <c r="A135" s="11" t="s">
        <v>118</v>
      </c>
      <c r="B135" s="149" t="s">
        <v>436</v>
      </c>
      <c r="C135" s="11" t="s">
        <v>249</v>
      </c>
      <c r="D135" s="11" t="s">
        <v>499</v>
      </c>
      <c r="E135" s="11" t="s">
        <v>606</v>
      </c>
      <c r="F135" s="185">
        <v>45474</v>
      </c>
      <c r="G135" s="11" t="s">
        <v>111</v>
      </c>
      <c r="H135" s="11">
        <v>0</v>
      </c>
      <c r="I135" s="11">
        <v>2500000</v>
      </c>
      <c r="J135" s="11">
        <v>0</v>
      </c>
      <c r="K135" s="11">
        <v>0</v>
      </c>
      <c r="L135" s="6">
        <f t="shared" si="0"/>
        <v>0</v>
      </c>
      <c r="M135" s="11">
        <v>21</v>
      </c>
      <c r="N135" s="11">
        <v>5</v>
      </c>
      <c r="O135" s="11">
        <v>0</v>
      </c>
      <c r="P135" s="11">
        <v>21</v>
      </c>
      <c r="Q135" s="11">
        <v>16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123</v>
      </c>
      <c r="Y135" s="11">
        <v>145</v>
      </c>
      <c r="Z135" s="11">
        <v>409</v>
      </c>
      <c r="AA135" s="11">
        <v>0</v>
      </c>
      <c r="AB135" s="11">
        <v>0</v>
      </c>
      <c r="AC135" s="11">
        <v>0</v>
      </c>
      <c r="AD135" s="11">
        <v>0</v>
      </c>
      <c r="AE135" s="11">
        <v>1</v>
      </c>
      <c r="AF135" s="11">
        <v>1</v>
      </c>
      <c r="AG135" s="11">
        <v>8</v>
      </c>
      <c r="AH135" s="11">
        <v>154</v>
      </c>
      <c r="AI135" s="11">
        <v>27</v>
      </c>
      <c r="AJ135" s="11">
        <v>0</v>
      </c>
      <c r="AK135" s="11">
        <v>6</v>
      </c>
      <c r="AL135" s="11">
        <v>35650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270</v>
      </c>
      <c r="AT135" s="11">
        <v>1959.47</v>
      </c>
      <c r="AU135" s="11">
        <v>0</v>
      </c>
      <c r="AV135" s="11">
        <v>392</v>
      </c>
      <c r="AW135" s="11">
        <v>0</v>
      </c>
      <c r="AX135" s="11">
        <v>5</v>
      </c>
      <c r="AY135" s="11">
        <v>16</v>
      </c>
      <c r="AZ135" s="185">
        <v>45877</v>
      </c>
    </row>
    <row r="136" spans="1:52">
      <c r="A136" s="11" t="s">
        <v>201</v>
      </c>
      <c r="B136" s="149" t="s">
        <v>431</v>
      </c>
      <c r="C136" s="11" t="s">
        <v>250</v>
      </c>
      <c r="D136" s="11" t="s">
        <v>431</v>
      </c>
      <c r="E136" s="11" t="s">
        <v>561</v>
      </c>
      <c r="F136" s="185">
        <v>45482</v>
      </c>
      <c r="G136" s="11" t="s">
        <v>106</v>
      </c>
      <c r="H136" s="11">
        <v>0</v>
      </c>
      <c r="I136" s="11">
        <v>4749999</v>
      </c>
      <c r="J136" s="11">
        <v>3817067.95</v>
      </c>
      <c r="K136" s="11">
        <v>0</v>
      </c>
      <c r="L136" s="6">
        <f t="shared" si="0"/>
        <v>3817067.95</v>
      </c>
      <c r="M136" s="11">
        <v>65</v>
      </c>
      <c r="N136" s="11">
        <v>57</v>
      </c>
      <c r="O136" s="11">
        <v>7</v>
      </c>
      <c r="P136" s="11">
        <v>72</v>
      </c>
      <c r="Q136" s="11">
        <v>15</v>
      </c>
      <c r="R136" s="11">
        <v>2412874.27</v>
      </c>
      <c r="S136" s="11">
        <v>1404193.68</v>
      </c>
      <c r="T136" s="11">
        <v>29</v>
      </c>
      <c r="U136" s="11">
        <v>7</v>
      </c>
      <c r="V136" s="11">
        <v>36</v>
      </c>
      <c r="W136" s="11">
        <v>0</v>
      </c>
      <c r="X136" s="11">
        <v>35</v>
      </c>
      <c r="Y136" s="11">
        <v>42</v>
      </c>
      <c r="Z136" s="11">
        <v>223</v>
      </c>
      <c r="AA136" s="11">
        <v>1</v>
      </c>
      <c r="AB136" s="11">
        <v>24</v>
      </c>
      <c r="AC136" s="11">
        <v>0</v>
      </c>
      <c r="AD136" s="11">
        <v>0</v>
      </c>
      <c r="AE136" s="11">
        <v>0</v>
      </c>
      <c r="AF136" s="11">
        <v>0</v>
      </c>
      <c r="AG136" s="11">
        <v>257</v>
      </c>
      <c r="AH136" s="11">
        <v>323</v>
      </c>
      <c r="AI136" s="11">
        <v>69</v>
      </c>
      <c r="AJ136" s="11">
        <v>55320</v>
      </c>
      <c r="AK136" s="11">
        <v>5</v>
      </c>
      <c r="AL136" s="11">
        <v>25165</v>
      </c>
      <c r="AM136" s="11">
        <v>0</v>
      </c>
      <c r="AN136" s="11">
        <v>6.6E-3</v>
      </c>
      <c r="AO136" s="11">
        <v>106030</v>
      </c>
      <c r="AP136" s="11">
        <v>0.8</v>
      </c>
      <c r="AQ136" s="11">
        <v>0</v>
      </c>
      <c r="AR136" s="11">
        <v>107</v>
      </c>
      <c r="AS136" s="11">
        <v>570</v>
      </c>
      <c r="AT136" s="11">
        <v>3756.28</v>
      </c>
      <c r="AU136" s="11">
        <v>7</v>
      </c>
      <c r="AV136" s="11">
        <v>66</v>
      </c>
      <c r="AW136" s="11">
        <v>36</v>
      </c>
      <c r="AX136" s="11">
        <v>23</v>
      </c>
      <c r="AY136" s="11">
        <v>13</v>
      </c>
    </row>
    <row r="137" spans="1:52">
      <c r="A137" s="11" t="s">
        <v>124</v>
      </c>
      <c r="B137" s="149" t="s">
        <v>443</v>
      </c>
      <c r="C137" s="11" t="s">
        <v>251</v>
      </c>
      <c r="D137" s="11" t="s">
        <v>517</v>
      </c>
      <c r="E137" s="11" t="s">
        <v>607</v>
      </c>
      <c r="F137" s="184">
        <v>45483</v>
      </c>
      <c r="G137" s="11" t="s">
        <v>142</v>
      </c>
      <c r="H137" s="11">
        <v>0</v>
      </c>
      <c r="I137" s="11">
        <v>3000000</v>
      </c>
      <c r="J137" s="11">
        <v>1720505.04</v>
      </c>
      <c r="K137" s="11">
        <v>0</v>
      </c>
      <c r="L137" s="6">
        <f t="shared" si="0"/>
        <v>1720505.04</v>
      </c>
      <c r="M137" s="11">
        <v>65</v>
      </c>
      <c r="N137" s="11">
        <v>69</v>
      </c>
      <c r="O137" s="11">
        <v>9</v>
      </c>
      <c r="P137" s="11">
        <v>74</v>
      </c>
      <c r="Q137" s="11">
        <v>5</v>
      </c>
      <c r="R137" s="11">
        <v>1663901.68</v>
      </c>
      <c r="S137" s="11">
        <v>56603.360000000001</v>
      </c>
      <c r="T137" s="11">
        <v>48</v>
      </c>
      <c r="U137" s="11">
        <v>9</v>
      </c>
      <c r="V137" s="11">
        <v>57</v>
      </c>
      <c r="W137" s="11">
        <v>0</v>
      </c>
      <c r="X137" s="11">
        <v>85</v>
      </c>
      <c r="Y137" s="11">
        <v>116</v>
      </c>
      <c r="Z137" s="11">
        <v>122</v>
      </c>
      <c r="AA137" s="11">
        <v>2</v>
      </c>
      <c r="AB137" s="11">
        <v>32</v>
      </c>
      <c r="AC137" s="11">
        <v>0</v>
      </c>
      <c r="AD137" s="11">
        <v>0</v>
      </c>
      <c r="AE137" s="11">
        <v>0</v>
      </c>
      <c r="AF137" s="11">
        <v>0</v>
      </c>
      <c r="AG137" s="11">
        <v>223</v>
      </c>
      <c r="AH137" s="11">
        <v>371</v>
      </c>
      <c r="AI137" s="11">
        <v>73</v>
      </c>
      <c r="AJ137" s="11">
        <v>23569</v>
      </c>
      <c r="AK137" s="11">
        <v>5</v>
      </c>
      <c r="AL137" s="11">
        <v>42475</v>
      </c>
      <c r="AM137" s="11">
        <v>0</v>
      </c>
      <c r="AN137" s="11">
        <v>2.47E-2</v>
      </c>
      <c r="AO137" s="11">
        <v>30184</v>
      </c>
      <c r="AP137" s="11">
        <v>0.56999999999999995</v>
      </c>
      <c r="AQ137" s="11">
        <v>0</v>
      </c>
      <c r="AR137" s="11">
        <v>123</v>
      </c>
      <c r="AS137" s="11">
        <v>628</v>
      </c>
      <c r="AT137" s="11">
        <v>6972.12</v>
      </c>
      <c r="AU137" s="11">
        <v>9</v>
      </c>
      <c r="AV137" s="11">
        <v>101</v>
      </c>
      <c r="AW137" s="11">
        <v>57</v>
      </c>
      <c r="AX137" s="11">
        <v>13</v>
      </c>
      <c r="AY137" s="11">
        <v>4</v>
      </c>
    </row>
    <row r="138" spans="1:52">
      <c r="A138" s="11" t="s">
        <v>108</v>
      </c>
      <c r="B138" s="149" t="s">
        <v>465</v>
      </c>
      <c r="C138" s="11" t="s">
        <v>252</v>
      </c>
      <c r="D138" s="11" t="s">
        <v>621</v>
      </c>
      <c r="E138" s="11" t="s">
        <v>622</v>
      </c>
      <c r="F138" s="185">
        <v>45597</v>
      </c>
      <c r="H138" s="11">
        <v>0</v>
      </c>
      <c r="I138" s="11">
        <v>3080000</v>
      </c>
      <c r="J138" s="11">
        <v>1885137.6</v>
      </c>
      <c r="K138" s="11">
        <v>0</v>
      </c>
      <c r="L138" s="6">
        <f t="shared" si="0"/>
        <v>1885137.6</v>
      </c>
      <c r="M138" s="11">
        <v>98</v>
      </c>
      <c r="N138" s="11">
        <v>86</v>
      </c>
      <c r="O138" s="11">
        <v>2</v>
      </c>
      <c r="P138" s="11">
        <v>100</v>
      </c>
      <c r="Q138" s="11">
        <v>14</v>
      </c>
      <c r="R138" s="11">
        <v>1840315.2</v>
      </c>
      <c r="S138" s="11">
        <v>44822.400000000001</v>
      </c>
      <c r="T138" s="11">
        <v>34</v>
      </c>
      <c r="U138" s="11">
        <v>2</v>
      </c>
      <c r="V138" s="11">
        <v>36</v>
      </c>
      <c r="W138" s="11">
        <v>0</v>
      </c>
      <c r="X138" s="11">
        <v>10</v>
      </c>
      <c r="Y138" s="11">
        <v>19</v>
      </c>
      <c r="Z138" s="11">
        <v>59</v>
      </c>
      <c r="AA138" s="11">
        <v>1</v>
      </c>
      <c r="AB138" s="11">
        <v>32</v>
      </c>
      <c r="AC138" s="11">
        <v>0</v>
      </c>
      <c r="AD138" s="11">
        <v>0</v>
      </c>
      <c r="AE138" s="11">
        <v>0</v>
      </c>
      <c r="AF138" s="11">
        <v>0</v>
      </c>
      <c r="AG138" s="11">
        <v>397</v>
      </c>
      <c r="AH138" s="11">
        <v>448</v>
      </c>
      <c r="AI138" s="11">
        <v>66</v>
      </c>
      <c r="AJ138" s="11">
        <v>28563</v>
      </c>
      <c r="AK138" s="11">
        <v>7</v>
      </c>
      <c r="AL138" s="11">
        <v>26800</v>
      </c>
      <c r="AM138" s="11">
        <v>0</v>
      </c>
      <c r="AN138" s="11">
        <v>0</v>
      </c>
      <c r="AO138" s="11">
        <v>52365</v>
      </c>
      <c r="AP138" s="11">
        <v>0.61</v>
      </c>
      <c r="AQ138" s="11">
        <v>0</v>
      </c>
      <c r="AR138" s="11">
        <v>69</v>
      </c>
      <c r="AS138" s="11">
        <v>610</v>
      </c>
      <c r="AT138" s="11">
        <v>3300.04</v>
      </c>
      <c r="AU138" s="11">
        <v>2</v>
      </c>
      <c r="AV138" s="11">
        <v>38</v>
      </c>
      <c r="AW138" s="11">
        <v>36</v>
      </c>
      <c r="AX138" s="11">
        <v>50</v>
      </c>
      <c r="AY138" s="11">
        <v>14</v>
      </c>
    </row>
    <row r="139" spans="1:52">
      <c r="A139" s="11" t="s">
        <v>108</v>
      </c>
      <c r="B139" s="149" t="s">
        <v>465</v>
      </c>
      <c r="C139" s="11" t="s">
        <v>253</v>
      </c>
      <c r="D139" s="11" t="s">
        <v>506</v>
      </c>
      <c r="E139" s="11" t="s">
        <v>467</v>
      </c>
      <c r="F139" s="184">
        <v>45488</v>
      </c>
      <c r="H139" s="11">
        <v>0</v>
      </c>
      <c r="I139" s="11">
        <v>2786300</v>
      </c>
      <c r="J139" s="11">
        <v>1972205.4</v>
      </c>
      <c r="K139" s="11">
        <v>0</v>
      </c>
      <c r="L139" s="6">
        <f t="shared" si="0"/>
        <v>1972205.4</v>
      </c>
      <c r="M139" s="11">
        <v>107</v>
      </c>
      <c r="N139" s="11">
        <v>98</v>
      </c>
      <c r="O139" s="11">
        <v>1</v>
      </c>
      <c r="P139" s="11">
        <v>108</v>
      </c>
      <c r="Q139" s="11">
        <v>10</v>
      </c>
      <c r="R139" s="11">
        <v>1960997.4</v>
      </c>
      <c r="S139" s="11">
        <v>11208</v>
      </c>
      <c r="T139" s="11">
        <v>59</v>
      </c>
      <c r="U139" s="11">
        <v>1</v>
      </c>
      <c r="V139" s="11">
        <v>60</v>
      </c>
      <c r="W139" s="11">
        <v>0</v>
      </c>
      <c r="X139" s="11">
        <v>7</v>
      </c>
      <c r="Y139" s="11">
        <v>10</v>
      </c>
      <c r="Z139" s="11">
        <v>44</v>
      </c>
      <c r="AA139" s="11">
        <v>2</v>
      </c>
      <c r="AB139" s="11">
        <v>17</v>
      </c>
      <c r="AC139" s="11">
        <v>0</v>
      </c>
      <c r="AD139" s="11">
        <v>0</v>
      </c>
      <c r="AE139" s="11">
        <v>0</v>
      </c>
      <c r="AF139" s="11">
        <v>0</v>
      </c>
      <c r="AG139" s="11">
        <v>471</v>
      </c>
      <c r="AH139" s="11">
        <v>498</v>
      </c>
      <c r="AI139" s="11">
        <v>71</v>
      </c>
      <c r="AJ139" s="11">
        <v>27778</v>
      </c>
      <c r="AK139" s="11">
        <v>7</v>
      </c>
      <c r="AM139" s="11">
        <v>0</v>
      </c>
      <c r="AN139" s="11">
        <v>0</v>
      </c>
      <c r="AO139" s="11">
        <v>32870</v>
      </c>
      <c r="AP139" s="11">
        <v>0.71</v>
      </c>
      <c r="AQ139" s="11">
        <v>0</v>
      </c>
      <c r="AR139" s="11">
        <v>163</v>
      </c>
      <c r="AS139" s="11">
        <v>657</v>
      </c>
      <c r="AT139" s="11">
        <v>5269.92</v>
      </c>
      <c r="AU139" s="11">
        <v>1</v>
      </c>
      <c r="AV139" s="11">
        <v>54</v>
      </c>
      <c r="AW139" s="11">
        <v>60</v>
      </c>
      <c r="AX139" s="11">
        <v>38</v>
      </c>
      <c r="AY139" s="11">
        <v>10</v>
      </c>
    </row>
    <row r="140" spans="1:52">
      <c r="A140" s="11" t="s">
        <v>118</v>
      </c>
      <c r="B140" s="149" t="s">
        <v>372</v>
      </c>
      <c r="C140" s="11" t="s">
        <v>254</v>
      </c>
      <c r="D140" s="11" t="s">
        <v>447</v>
      </c>
      <c r="E140" s="11" t="s">
        <v>610</v>
      </c>
      <c r="F140" s="184">
        <v>45488</v>
      </c>
      <c r="G140" s="11" t="s">
        <v>93</v>
      </c>
      <c r="H140" s="11">
        <v>0</v>
      </c>
      <c r="I140" s="11">
        <v>4500000</v>
      </c>
      <c r="J140" s="11">
        <v>2566769.73</v>
      </c>
      <c r="K140" s="11">
        <v>0</v>
      </c>
      <c r="L140" s="6">
        <f t="shared" si="0"/>
        <v>2566769.73</v>
      </c>
      <c r="M140" s="11">
        <v>53</v>
      </c>
      <c r="N140" s="11">
        <v>52</v>
      </c>
      <c r="O140" s="11">
        <v>6</v>
      </c>
      <c r="P140" s="11">
        <v>59</v>
      </c>
      <c r="Q140" s="11">
        <v>7</v>
      </c>
      <c r="R140" s="11">
        <v>1716328.88</v>
      </c>
      <c r="S140" s="11">
        <v>850440.85</v>
      </c>
      <c r="T140" s="11">
        <v>28</v>
      </c>
      <c r="U140" s="11">
        <v>6</v>
      </c>
      <c r="V140" s="11">
        <v>34</v>
      </c>
      <c r="W140" s="11">
        <v>0</v>
      </c>
      <c r="X140" s="11">
        <v>19</v>
      </c>
      <c r="Y140" s="11">
        <v>35</v>
      </c>
      <c r="Z140" s="11">
        <v>39</v>
      </c>
      <c r="AA140" s="11">
        <v>1</v>
      </c>
      <c r="AB140" s="11">
        <v>40</v>
      </c>
      <c r="AC140" s="11">
        <v>0</v>
      </c>
      <c r="AD140" s="11">
        <v>0</v>
      </c>
      <c r="AE140" s="11">
        <v>0</v>
      </c>
      <c r="AF140" s="11">
        <v>0</v>
      </c>
      <c r="AG140" s="11">
        <v>204</v>
      </c>
      <c r="AH140" s="11">
        <v>279</v>
      </c>
      <c r="AI140" s="11">
        <v>69</v>
      </c>
      <c r="AJ140" s="11">
        <v>37200</v>
      </c>
      <c r="AK140" s="11">
        <v>4</v>
      </c>
      <c r="AL140" s="11">
        <v>30950</v>
      </c>
      <c r="AM140" s="11">
        <v>0</v>
      </c>
      <c r="AN140" s="11">
        <v>1.21E-2</v>
      </c>
      <c r="AO140" s="11">
        <v>75493</v>
      </c>
      <c r="AP140" s="11">
        <v>0.56999999999999995</v>
      </c>
      <c r="AQ140" s="11">
        <v>0</v>
      </c>
      <c r="AR140" s="11">
        <v>66</v>
      </c>
      <c r="AS140" s="11">
        <v>761</v>
      </c>
      <c r="AT140" s="11">
        <v>5535.65</v>
      </c>
      <c r="AU140" s="11">
        <v>6</v>
      </c>
      <c r="AV140" s="11">
        <v>106</v>
      </c>
      <c r="AW140" s="11">
        <v>34</v>
      </c>
      <c r="AX140" s="11">
        <v>18</v>
      </c>
      <c r="AY140" s="11">
        <v>7</v>
      </c>
    </row>
    <row r="141" spans="1:52">
      <c r="A141" s="11" t="s">
        <v>201</v>
      </c>
      <c r="B141" s="149" t="s">
        <v>431</v>
      </c>
      <c r="C141" s="11" t="s">
        <v>255</v>
      </c>
      <c r="D141" s="11" t="s">
        <v>431</v>
      </c>
      <c r="E141" s="11" t="s">
        <v>612</v>
      </c>
      <c r="F141" s="185">
        <v>45506</v>
      </c>
      <c r="G141" s="11" t="s">
        <v>104</v>
      </c>
      <c r="H141" s="11">
        <v>300000</v>
      </c>
      <c r="I141" s="11">
        <v>3450000</v>
      </c>
      <c r="J141" s="11">
        <v>705190.24</v>
      </c>
      <c r="K141" s="11">
        <v>981195.98</v>
      </c>
      <c r="L141" s="6">
        <f t="shared" si="0"/>
        <v>1686386.22</v>
      </c>
      <c r="M141" s="11">
        <v>36</v>
      </c>
      <c r="N141" s="11">
        <v>30</v>
      </c>
      <c r="O141" s="11">
        <v>5</v>
      </c>
      <c r="P141" s="11">
        <v>41</v>
      </c>
      <c r="Q141" s="11">
        <v>11</v>
      </c>
      <c r="R141" s="11">
        <v>606745.43999999994</v>
      </c>
      <c r="S141" s="11">
        <v>98444.800000000003</v>
      </c>
      <c r="T141" s="11">
        <v>17</v>
      </c>
      <c r="U141" s="11">
        <v>3</v>
      </c>
      <c r="V141" s="11">
        <v>20</v>
      </c>
      <c r="W141" s="11">
        <v>1</v>
      </c>
      <c r="X141" s="11">
        <v>20</v>
      </c>
      <c r="Y141" s="11">
        <v>60</v>
      </c>
      <c r="Z141" s="11">
        <v>80</v>
      </c>
      <c r="AA141" s="11">
        <v>2</v>
      </c>
      <c r="AB141" s="11">
        <v>8</v>
      </c>
      <c r="AC141" s="11">
        <v>1</v>
      </c>
      <c r="AD141" s="11">
        <v>68</v>
      </c>
      <c r="AE141" s="11">
        <v>3</v>
      </c>
      <c r="AF141" s="11">
        <v>6</v>
      </c>
      <c r="AG141" s="11">
        <v>124</v>
      </c>
      <c r="AH141" s="11">
        <v>266</v>
      </c>
      <c r="AI141" s="11">
        <v>74</v>
      </c>
      <c r="AJ141" s="11">
        <v>9530</v>
      </c>
      <c r="AK141" s="11">
        <v>4</v>
      </c>
      <c r="AL141" s="11">
        <v>29360</v>
      </c>
      <c r="AM141" s="11">
        <v>0</v>
      </c>
      <c r="AN141" s="11">
        <v>4.1599999999999998E-2</v>
      </c>
      <c r="AO141" s="11">
        <v>35260</v>
      </c>
      <c r="AP141" s="11">
        <v>0.2</v>
      </c>
      <c r="AQ141" s="11">
        <v>3.27</v>
      </c>
      <c r="AR141" s="11">
        <v>30</v>
      </c>
      <c r="AS141" s="11">
        <v>717</v>
      </c>
      <c r="AT141" s="11">
        <v>1680.86</v>
      </c>
      <c r="AU141" s="11">
        <v>3</v>
      </c>
      <c r="AV141" s="11">
        <v>56</v>
      </c>
      <c r="AW141" s="11">
        <v>20</v>
      </c>
      <c r="AX141" s="11">
        <v>12</v>
      </c>
      <c r="AY141" s="11">
        <v>9</v>
      </c>
    </row>
    <row r="142" spans="1:52">
      <c r="A142" s="11" t="s">
        <v>154</v>
      </c>
      <c r="B142" s="149" t="s">
        <v>367</v>
      </c>
      <c r="C142" s="11" t="s">
        <v>257</v>
      </c>
      <c r="D142" s="11" t="s">
        <v>577</v>
      </c>
      <c r="E142" s="11" t="s">
        <v>611</v>
      </c>
      <c r="F142" s="184">
        <v>45502</v>
      </c>
      <c r="G142" s="11" t="s">
        <v>196</v>
      </c>
      <c r="H142" s="11">
        <v>0</v>
      </c>
      <c r="I142" s="11">
        <v>3000000</v>
      </c>
      <c r="J142" s="11">
        <v>138429.12</v>
      </c>
      <c r="K142" s="11">
        <v>0</v>
      </c>
      <c r="L142" s="6">
        <f t="shared" si="0"/>
        <v>138429.12</v>
      </c>
      <c r="M142" s="11">
        <v>31</v>
      </c>
      <c r="N142" s="11">
        <v>24</v>
      </c>
      <c r="O142" s="11">
        <v>0</v>
      </c>
      <c r="P142" s="11">
        <v>31</v>
      </c>
      <c r="Q142" s="11">
        <v>7</v>
      </c>
      <c r="R142" s="11">
        <v>138429.12</v>
      </c>
      <c r="S142" s="11">
        <v>0</v>
      </c>
      <c r="T142" s="11">
        <v>1</v>
      </c>
      <c r="U142" s="11">
        <v>0</v>
      </c>
      <c r="V142" s="11">
        <v>1</v>
      </c>
      <c r="W142" s="11">
        <v>0</v>
      </c>
      <c r="X142" s="11">
        <v>23</v>
      </c>
      <c r="Y142" s="11">
        <v>37</v>
      </c>
      <c r="Z142" s="11">
        <v>107</v>
      </c>
      <c r="AA142" s="11">
        <v>1</v>
      </c>
      <c r="AB142" s="11">
        <v>23</v>
      </c>
      <c r="AC142" s="11">
        <v>0</v>
      </c>
      <c r="AD142" s="11">
        <v>0</v>
      </c>
      <c r="AE142" s="11">
        <v>0</v>
      </c>
      <c r="AF142" s="11">
        <v>0</v>
      </c>
      <c r="AG142" s="11">
        <v>102</v>
      </c>
      <c r="AH142" s="11">
        <v>162</v>
      </c>
      <c r="AI142" s="11">
        <v>36</v>
      </c>
      <c r="AJ142" s="11">
        <v>3845</v>
      </c>
      <c r="AK142" s="11">
        <v>5</v>
      </c>
      <c r="AL142" s="11">
        <v>46670</v>
      </c>
      <c r="AM142" s="11">
        <v>0</v>
      </c>
      <c r="AN142" s="11">
        <v>0.33710000000000001</v>
      </c>
      <c r="AO142" s="11">
        <v>138429</v>
      </c>
      <c r="AP142" s="11">
        <v>0.05</v>
      </c>
      <c r="AQ142" s="11">
        <v>0</v>
      </c>
      <c r="AR142" s="11">
        <v>1</v>
      </c>
      <c r="AS142" s="11">
        <v>291</v>
      </c>
      <c r="AT142" s="11">
        <v>1172.55</v>
      </c>
      <c r="AU142" s="11">
        <v>0</v>
      </c>
      <c r="AV142" s="11">
        <v>49</v>
      </c>
      <c r="AW142" s="11">
        <v>1</v>
      </c>
      <c r="AX142" s="11">
        <v>24</v>
      </c>
      <c r="AY142" s="11">
        <v>6</v>
      </c>
      <c r="AZ142" s="184">
        <v>45882</v>
      </c>
    </row>
    <row r="143" spans="1:52">
      <c r="A143" s="11" t="s">
        <v>118</v>
      </c>
      <c r="B143" s="149" t="s">
        <v>372</v>
      </c>
      <c r="C143" s="11" t="s">
        <v>258</v>
      </c>
      <c r="D143" s="11" t="s">
        <v>447</v>
      </c>
      <c r="E143" s="11" t="s">
        <v>625</v>
      </c>
      <c r="F143" s="185">
        <v>45628</v>
      </c>
      <c r="G143" s="11" t="s">
        <v>93</v>
      </c>
      <c r="H143" s="11">
        <v>0</v>
      </c>
      <c r="I143" s="11">
        <v>4500000</v>
      </c>
      <c r="J143" s="11">
        <v>3537233.16</v>
      </c>
      <c r="K143" s="11">
        <v>0</v>
      </c>
      <c r="L143" s="6">
        <f t="shared" si="0"/>
        <v>3537233.16</v>
      </c>
      <c r="M143" s="11">
        <v>76</v>
      </c>
      <c r="N143" s="11">
        <v>71</v>
      </c>
      <c r="O143" s="11">
        <v>5</v>
      </c>
      <c r="P143" s="11">
        <v>81</v>
      </c>
      <c r="Q143" s="11">
        <v>10</v>
      </c>
      <c r="R143" s="11">
        <v>3280194.18</v>
      </c>
      <c r="S143" s="11">
        <v>257038.98</v>
      </c>
      <c r="T143" s="11">
        <v>38</v>
      </c>
      <c r="U143" s="11">
        <v>5</v>
      </c>
      <c r="V143" s="11">
        <v>43</v>
      </c>
      <c r="W143" s="11">
        <v>0</v>
      </c>
      <c r="X143" s="11">
        <v>62</v>
      </c>
      <c r="Y143" s="11">
        <v>82</v>
      </c>
      <c r="Z143" s="11">
        <v>102</v>
      </c>
      <c r="AA143" s="11">
        <v>1</v>
      </c>
      <c r="AB143" s="11">
        <v>16</v>
      </c>
      <c r="AC143" s="11">
        <v>0</v>
      </c>
      <c r="AD143" s="11">
        <v>0</v>
      </c>
      <c r="AE143" s="11">
        <v>3</v>
      </c>
      <c r="AF143" s="11">
        <v>3</v>
      </c>
      <c r="AG143" s="11">
        <v>297</v>
      </c>
      <c r="AH143" s="11">
        <v>398</v>
      </c>
      <c r="AI143" s="11">
        <v>72</v>
      </c>
      <c r="AJ143" s="11">
        <v>49128</v>
      </c>
      <c r="AK143" s="11">
        <v>6</v>
      </c>
      <c r="AL143" s="11">
        <v>26755</v>
      </c>
      <c r="AM143" s="11">
        <v>0</v>
      </c>
      <c r="AN143" s="11">
        <v>7.6E-3</v>
      </c>
      <c r="AO143" s="11">
        <v>82261</v>
      </c>
      <c r="AP143" s="11">
        <v>0.79</v>
      </c>
      <c r="AQ143" s="11">
        <v>0</v>
      </c>
      <c r="AR143" s="11">
        <v>72</v>
      </c>
      <c r="AS143" s="11">
        <v>757</v>
      </c>
      <c r="AT143" s="11">
        <v>3937.04</v>
      </c>
      <c r="AU143" s="11">
        <v>5</v>
      </c>
      <c r="AV143" s="11">
        <v>55</v>
      </c>
      <c r="AW143" s="11">
        <v>43</v>
      </c>
      <c r="AX143" s="11">
        <v>28</v>
      </c>
      <c r="AY143" s="11">
        <v>10</v>
      </c>
    </row>
    <row r="144" spans="1:52">
      <c r="A144" s="11" t="s">
        <v>118</v>
      </c>
      <c r="B144" s="149" t="s">
        <v>359</v>
      </c>
      <c r="C144" s="11" t="s">
        <v>260</v>
      </c>
      <c r="D144" s="11" t="s">
        <v>442</v>
      </c>
      <c r="E144" s="11" t="s">
        <v>613</v>
      </c>
      <c r="F144" s="184">
        <v>45516</v>
      </c>
      <c r="G144" s="11" t="s">
        <v>33</v>
      </c>
      <c r="H144" s="11">
        <v>0</v>
      </c>
      <c r="I144" s="11">
        <v>3000000</v>
      </c>
      <c r="J144" s="11">
        <v>0</v>
      </c>
      <c r="K144" s="11">
        <v>0</v>
      </c>
      <c r="L144" s="6">
        <f t="shared" si="0"/>
        <v>0</v>
      </c>
      <c r="M144" s="11">
        <v>11</v>
      </c>
      <c r="N144" s="11">
        <v>8</v>
      </c>
      <c r="O144" s="11">
        <v>0</v>
      </c>
      <c r="P144" s="11">
        <v>11</v>
      </c>
      <c r="Q144" s="11">
        <v>3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8</v>
      </c>
      <c r="Y144" s="11">
        <v>15</v>
      </c>
      <c r="Z144" s="11">
        <v>10</v>
      </c>
      <c r="AA144" s="11">
        <v>1</v>
      </c>
      <c r="AB144" s="11">
        <v>6</v>
      </c>
      <c r="AC144" s="11">
        <v>1</v>
      </c>
      <c r="AD144" s="11">
        <v>13</v>
      </c>
      <c r="AE144" s="11">
        <v>0</v>
      </c>
      <c r="AF144" s="11">
        <v>0</v>
      </c>
      <c r="AG144" s="11">
        <v>52</v>
      </c>
      <c r="AH144" s="11">
        <v>86</v>
      </c>
      <c r="AI144" s="11">
        <v>26</v>
      </c>
      <c r="AJ144" s="11">
        <v>0</v>
      </c>
      <c r="AK144" s="11">
        <v>3</v>
      </c>
      <c r="AL144" s="11">
        <v>25700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207</v>
      </c>
      <c r="AT144" s="11">
        <v>560.27</v>
      </c>
      <c r="AU144" s="11">
        <v>0</v>
      </c>
      <c r="AV144" s="11">
        <v>70</v>
      </c>
      <c r="AW144" s="11">
        <v>0</v>
      </c>
      <c r="AX144" s="11">
        <v>8</v>
      </c>
      <c r="AY144" s="11">
        <v>3</v>
      </c>
      <c r="AZ144" s="184">
        <v>45899</v>
      </c>
    </row>
    <row r="145" spans="1:52">
      <c r="A145" s="11" t="s">
        <v>124</v>
      </c>
      <c r="B145" s="149" t="s">
        <v>443</v>
      </c>
      <c r="C145" s="11" t="s">
        <v>261</v>
      </c>
      <c r="D145" s="11" t="s">
        <v>517</v>
      </c>
      <c r="E145" s="11" t="s">
        <v>614</v>
      </c>
      <c r="F145" s="184">
        <v>45516</v>
      </c>
      <c r="G145" s="11" t="s">
        <v>124</v>
      </c>
      <c r="H145" s="11">
        <v>0</v>
      </c>
      <c r="I145" s="11">
        <v>3000000</v>
      </c>
      <c r="J145" s="11">
        <v>1566592.54</v>
      </c>
      <c r="K145" s="11">
        <v>0</v>
      </c>
      <c r="L145" s="6">
        <f t="shared" si="0"/>
        <v>1566592.54</v>
      </c>
      <c r="M145" s="11">
        <v>136</v>
      </c>
      <c r="N145" s="11">
        <v>86</v>
      </c>
      <c r="O145" s="11">
        <v>0</v>
      </c>
      <c r="P145" s="11">
        <v>136</v>
      </c>
      <c r="Q145" s="11">
        <v>50</v>
      </c>
      <c r="R145" s="11">
        <v>1566592.54</v>
      </c>
      <c r="S145" s="11">
        <v>0</v>
      </c>
      <c r="T145" s="11">
        <v>51</v>
      </c>
      <c r="U145" s="11">
        <v>0</v>
      </c>
      <c r="V145" s="11">
        <v>51</v>
      </c>
      <c r="W145" s="11">
        <v>0</v>
      </c>
      <c r="X145" s="11">
        <v>150</v>
      </c>
      <c r="Y145" s="11">
        <v>172</v>
      </c>
      <c r="Z145" s="11">
        <v>222</v>
      </c>
      <c r="AA145" s="11">
        <v>1</v>
      </c>
      <c r="AB145" s="11">
        <v>5</v>
      </c>
      <c r="AC145" s="11">
        <v>0</v>
      </c>
      <c r="AD145" s="11">
        <v>0</v>
      </c>
      <c r="AE145" s="11">
        <v>0</v>
      </c>
      <c r="AF145" s="11">
        <v>0</v>
      </c>
      <c r="AG145" s="11">
        <v>154</v>
      </c>
      <c r="AH145" s="11">
        <v>331</v>
      </c>
      <c r="AI145" s="11">
        <v>72</v>
      </c>
      <c r="AJ145" s="11">
        <v>21758</v>
      </c>
      <c r="AK145" s="11">
        <v>5</v>
      </c>
      <c r="AL145" s="11">
        <v>27260</v>
      </c>
      <c r="AM145" s="11">
        <v>0</v>
      </c>
      <c r="AN145" s="11">
        <v>1.7399999999999999E-2</v>
      </c>
      <c r="AO145" s="11">
        <v>30718</v>
      </c>
      <c r="AP145" s="11">
        <v>0.52</v>
      </c>
      <c r="AQ145" s="11">
        <v>0</v>
      </c>
      <c r="AR145" s="11">
        <v>93</v>
      </c>
      <c r="AS145" s="11">
        <v>704</v>
      </c>
      <c r="AT145" s="11">
        <v>4499.8599999999997</v>
      </c>
      <c r="AU145" s="11">
        <v>0</v>
      </c>
      <c r="AV145" s="11">
        <v>52</v>
      </c>
      <c r="AW145" s="11">
        <v>51</v>
      </c>
      <c r="AX145" s="11">
        <v>46</v>
      </c>
      <c r="AY145" s="11">
        <v>39</v>
      </c>
    </row>
    <row r="146" spans="1:52">
      <c r="A146" s="11" t="s">
        <v>118</v>
      </c>
      <c r="B146" s="149" t="s">
        <v>615</v>
      </c>
      <c r="C146" s="11" t="s">
        <v>262</v>
      </c>
      <c r="D146" s="11" t="s">
        <v>615</v>
      </c>
      <c r="E146" s="11" t="s">
        <v>616</v>
      </c>
      <c r="F146" s="184">
        <v>45523</v>
      </c>
      <c r="G146" s="11" t="s">
        <v>118</v>
      </c>
      <c r="H146" s="11">
        <v>0</v>
      </c>
      <c r="I146" s="11">
        <v>0</v>
      </c>
      <c r="J146" s="11">
        <v>0</v>
      </c>
      <c r="K146" s="11">
        <v>0</v>
      </c>
      <c r="L146" s="6">
        <f t="shared" si="0"/>
        <v>0</v>
      </c>
      <c r="M146" s="11">
        <v>1</v>
      </c>
      <c r="N146" s="11">
        <v>0</v>
      </c>
      <c r="O146" s="11">
        <v>0</v>
      </c>
      <c r="P146" s="11">
        <v>1</v>
      </c>
      <c r="Q146" s="11">
        <v>1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5</v>
      </c>
      <c r="Y146" s="11">
        <v>6</v>
      </c>
      <c r="Z146" s="11">
        <v>48</v>
      </c>
      <c r="AA146" s="11">
        <v>0</v>
      </c>
      <c r="AB146" s="11">
        <v>0</v>
      </c>
      <c r="AC146" s="11">
        <v>0</v>
      </c>
      <c r="AD146" s="11">
        <v>0</v>
      </c>
      <c r="AE146" s="11">
        <v>32</v>
      </c>
      <c r="AF146" s="11">
        <v>48</v>
      </c>
      <c r="AG146" s="11">
        <v>0</v>
      </c>
      <c r="AH146" s="11">
        <v>54</v>
      </c>
      <c r="AI146" s="11">
        <v>17</v>
      </c>
      <c r="AJ146" s="11">
        <v>0</v>
      </c>
      <c r="AK146" s="11">
        <v>3</v>
      </c>
      <c r="AL146" s="11">
        <v>72970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200</v>
      </c>
      <c r="AT146" s="11">
        <v>2103.87</v>
      </c>
      <c r="AU146" s="11">
        <v>0</v>
      </c>
      <c r="AV146" s="11">
        <v>0</v>
      </c>
      <c r="AW146" s="11">
        <v>0</v>
      </c>
      <c r="AX146" s="11">
        <v>0</v>
      </c>
      <c r="AY146" s="11">
        <v>1</v>
      </c>
      <c r="AZ146" s="184">
        <v>45869</v>
      </c>
    </row>
    <row r="147" spans="1:52">
      <c r="A147" s="11" t="s">
        <v>154</v>
      </c>
      <c r="B147" s="149" t="s">
        <v>367</v>
      </c>
      <c r="C147" s="11" t="s">
        <v>263</v>
      </c>
      <c r="D147" s="11" t="s">
        <v>577</v>
      </c>
      <c r="E147" s="11" t="s">
        <v>368</v>
      </c>
      <c r="F147" s="184">
        <v>45518</v>
      </c>
      <c r="G147" s="11" t="s">
        <v>196</v>
      </c>
      <c r="H147" s="11">
        <v>0</v>
      </c>
      <c r="I147" s="11">
        <v>2100000</v>
      </c>
      <c r="J147" s="11">
        <v>873303.34</v>
      </c>
      <c r="K147" s="11">
        <v>0</v>
      </c>
      <c r="L147" s="6">
        <f t="shared" si="0"/>
        <v>873303.34</v>
      </c>
      <c r="M147" s="11">
        <v>72</v>
      </c>
      <c r="N147" s="11">
        <v>71</v>
      </c>
      <c r="O147" s="11">
        <v>7</v>
      </c>
      <c r="P147" s="11">
        <v>79</v>
      </c>
      <c r="Q147" s="11">
        <v>8</v>
      </c>
      <c r="R147" s="11">
        <v>627146.54</v>
      </c>
      <c r="S147" s="11">
        <v>246156.79999999999</v>
      </c>
      <c r="T147" s="11">
        <v>31</v>
      </c>
      <c r="U147" s="11">
        <v>7</v>
      </c>
      <c r="V147" s="11">
        <v>38</v>
      </c>
      <c r="W147" s="11">
        <v>0</v>
      </c>
      <c r="X147" s="11">
        <v>55</v>
      </c>
      <c r="Y147" s="11">
        <v>72</v>
      </c>
      <c r="Z147" s="11">
        <v>170</v>
      </c>
      <c r="AA147" s="11">
        <v>1</v>
      </c>
      <c r="AB147" s="11">
        <v>61</v>
      </c>
      <c r="AC147" s="11">
        <v>0</v>
      </c>
      <c r="AD147" s="11">
        <v>0</v>
      </c>
      <c r="AE147" s="11">
        <v>0</v>
      </c>
      <c r="AF147" s="11">
        <v>0</v>
      </c>
      <c r="AG147" s="11">
        <v>440</v>
      </c>
      <c r="AH147" s="11">
        <v>573</v>
      </c>
      <c r="AI147" s="11">
        <v>72</v>
      </c>
      <c r="AJ147" s="11">
        <v>12129</v>
      </c>
      <c r="AK147" s="11">
        <v>8</v>
      </c>
      <c r="AL147" s="11">
        <v>23570</v>
      </c>
      <c r="AM147" s="11">
        <v>0</v>
      </c>
      <c r="AN147" s="11">
        <v>2.7E-2</v>
      </c>
      <c r="AO147" s="11">
        <v>22982</v>
      </c>
      <c r="AP147" s="11">
        <v>0.42</v>
      </c>
      <c r="AQ147" s="11">
        <v>0</v>
      </c>
      <c r="AR147" s="11">
        <v>57</v>
      </c>
      <c r="AS147" s="11">
        <v>793</v>
      </c>
      <c r="AT147" s="11">
        <v>6495.58</v>
      </c>
      <c r="AU147" s="11">
        <v>7</v>
      </c>
      <c r="AV147" s="11">
        <v>91</v>
      </c>
      <c r="AW147" s="11">
        <v>38</v>
      </c>
      <c r="AX147" s="11">
        <v>34</v>
      </c>
      <c r="AY147" s="11">
        <v>7</v>
      </c>
    </row>
    <row r="148" spans="1:52">
      <c r="A148" s="11" t="s">
        <v>120</v>
      </c>
      <c r="B148" s="149" t="s">
        <v>163</v>
      </c>
      <c r="C148" s="11" t="s">
        <v>207</v>
      </c>
      <c r="D148" s="11" t="s">
        <v>617</v>
      </c>
      <c r="E148" s="11" t="s">
        <v>209</v>
      </c>
      <c r="F148" s="184">
        <v>45551</v>
      </c>
      <c r="G148" s="11" t="s">
        <v>120</v>
      </c>
      <c r="H148" s="11">
        <v>0</v>
      </c>
      <c r="I148" s="11">
        <v>3900000</v>
      </c>
      <c r="J148" s="11">
        <v>2955072.06</v>
      </c>
      <c r="K148" s="11">
        <v>0</v>
      </c>
      <c r="L148" s="6">
        <f t="shared" si="0"/>
        <v>2955072.06</v>
      </c>
      <c r="M148" s="11">
        <v>121</v>
      </c>
      <c r="N148" s="11">
        <v>98</v>
      </c>
      <c r="O148" s="11">
        <v>3</v>
      </c>
      <c r="P148" s="11">
        <v>124</v>
      </c>
      <c r="Q148" s="11">
        <v>26</v>
      </c>
      <c r="R148" s="11">
        <v>2825295.62</v>
      </c>
      <c r="S148" s="11">
        <v>129776.44</v>
      </c>
      <c r="T148" s="11">
        <v>75</v>
      </c>
      <c r="U148" s="11">
        <v>2</v>
      </c>
      <c r="V148" s="11">
        <v>77</v>
      </c>
      <c r="W148" s="11">
        <v>0</v>
      </c>
      <c r="X148" s="11">
        <v>48</v>
      </c>
      <c r="Y148" s="11">
        <v>60</v>
      </c>
      <c r="Z148" s="11">
        <v>124</v>
      </c>
      <c r="AA148" s="11">
        <v>2</v>
      </c>
      <c r="AB148" s="11">
        <v>38</v>
      </c>
      <c r="AC148" s="11">
        <v>0</v>
      </c>
      <c r="AD148" s="11">
        <v>0</v>
      </c>
      <c r="AE148" s="11">
        <v>3</v>
      </c>
      <c r="AF148" s="11">
        <v>3</v>
      </c>
      <c r="AG148" s="11">
        <v>376</v>
      </c>
      <c r="AH148" s="11">
        <v>477</v>
      </c>
      <c r="AI148" s="11">
        <v>75</v>
      </c>
      <c r="AJ148" s="11">
        <v>39401</v>
      </c>
      <c r="AK148" s="11">
        <v>6</v>
      </c>
      <c r="AL148" s="11">
        <v>28310</v>
      </c>
      <c r="AM148" s="11">
        <v>0</v>
      </c>
      <c r="AN148" s="11">
        <v>9.5999999999999992E-3</v>
      </c>
      <c r="AO148" s="11">
        <v>38378</v>
      </c>
      <c r="AP148" s="11">
        <v>0.76</v>
      </c>
      <c r="AQ148" s="11">
        <v>0</v>
      </c>
      <c r="AR148" s="11">
        <v>146</v>
      </c>
      <c r="AS148" s="11">
        <v>746</v>
      </c>
      <c r="AT148" s="11">
        <v>1705.59</v>
      </c>
      <c r="AU148" s="11">
        <v>2</v>
      </c>
      <c r="AV148" s="11">
        <v>17</v>
      </c>
      <c r="AW148" s="11">
        <v>77</v>
      </c>
      <c r="AX148" s="11">
        <v>23</v>
      </c>
      <c r="AY148" s="11">
        <v>24</v>
      </c>
    </row>
    <row r="149" spans="1:52">
      <c r="A149" s="11" t="s">
        <v>120</v>
      </c>
      <c r="B149" s="149" t="s">
        <v>206</v>
      </c>
      <c r="C149" s="11" t="s">
        <v>230</v>
      </c>
      <c r="D149" s="11" t="s">
        <v>618</v>
      </c>
      <c r="E149" s="11" t="s">
        <v>233</v>
      </c>
      <c r="F149" s="185">
        <v>45568</v>
      </c>
      <c r="G149" s="11" t="s">
        <v>120</v>
      </c>
      <c r="H149" s="11">
        <v>600000</v>
      </c>
      <c r="I149" s="11">
        <v>3600000</v>
      </c>
      <c r="J149" s="11">
        <v>2681766.61</v>
      </c>
      <c r="K149" s="11">
        <v>60503.28</v>
      </c>
      <c r="L149" s="6">
        <f t="shared" si="0"/>
        <v>2742269.8899999997</v>
      </c>
      <c r="M149" s="11">
        <v>24</v>
      </c>
      <c r="N149" s="11">
        <v>23</v>
      </c>
      <c r="O149" s="11">
        <v>0</v>
      </c>
      <c r="P149" s="11">
        <v>24</v>
      </c>
      <c r="Q149" s="11">
        <v>1</v>
      </c>
      <c r="R149" s="11">
        <v>2681766.61</v>
      </c>
      <c r="S149" s="11">
        <v>0</v>
      </c>
      <c r="T149" s="11">
        <v>21</v>
      </c>
      <c r="U149" s="11">
        <v>0</v>
      </c>
      <c r="V149" s="11">
        <v>21</v>
      </c>
      <c r="W149" s="11">
        <v>1</v>
      </c>
      <c r="X149" s="11">
        <v>37</v>
      </c>
      <c r="Y149" s="11">
        <v>84</v>
      </c>
      <c r="Z149" s="11">
        <v>122</v>
      </c>
      <c r="AA149" s="11">
        <v>2</v>
      </c>
      <c r="AB149" s="11">
        <v>27</v>
      </c>
      <c r="AC149" s="11">
        <v>4</v>
      </c>
      <c r="AD149" s="11">
        <v>46</v>
      </c>
      <c r="AE149" s="11">
        <v>0</v>
      </c>
      <c r="AF149" s="11">
        <v>0</v>
      </c>
      <c r="AG149" s="11">
        <v>178</v>
      </c>
      <c r="AH149" s="11">
        <v>335</v>
      </c>
      <c r="AI149" s="11">
        <v>76</v>
      </c>
      <c r="AJ149" s="11">
        <v>35286</v>
      </c>
      <c r="AK149" s="11">
        <v>4</v>
      </c>
      <c r="AL149" s="11">
        <v>30405</v>
      </c>
      <c r="AM149" s="11">
        <v>0</v>
      </c>
      <c r="AN149" s="11">
        <v>1.1299999999999999E-2</v>
      </c>
      <c r="AO149" s="11">
        <v>127703</v>
      </c>
      <c r="AP149" s="11">
        <v>0.74</v>
      </c>
      <c r="AQ149" s="11">
        <v>0.1</v>
      </c>
      <c r="AR149" s="11">
        <v>44</v>
      </c>
      <c r="AS149" s="11">
        <v>596</v>
      </c>
      <c r="AT149" s="11">
        <v>3573.94</v>
      </c>
      <c r="AU149" s="11">
        <v>0</v>
      </c>
      <c r="AV149" s="11">
        <v>155</v>
      </c>
      <c r="AW149" s="11">
        <v>21</v>
      </c>
      <c r="AX149" s="11">
        <v>2</v>
      </c>
      <c r="AY149" s="11">
        <v>1</v>
      </c>
    </row>
    <row r="150" spans="1:52">
      <c r="A150" s="11" t="s">
        <v>118</v>
      </c>
      <c r="B150" s="149" t="s">
        <v>615</v>
      </c>
      <c r="C150" s="11" t="s">
        <v>264</v>
      </c>
      <c r="D150" s="11" t="s">
        <v>615</v>
      </c>
      <c r="E150" s="11" t="s">
        <v>619</v>
      </c>
      <c r="F150" s="185">
        <v>45569</v>
      </c>
      <c r="G150" s="11" t="s">
        <v>118</v>
      </c>
      <c r="H150" s="11">
        <v>0</v>
      </c>
      <c r="I150" s="11">
        <v>0</v>
      </c>
      <c r="J150" s="11">
        <v>0</v>
      </c>
      <c r="K150" s="11">
        <v>0</v>
      </c>
      <c r="L150" s="6">
        <f t="shared" si="0"/>
        <v>0</v>
      </c>
      <c r="M150" s="11">
        <v>5</v>
      </c>
      <c r="N150" s="11">
        <v>4</v>
      </c>
      <c r="O150" s="11">
        <v>0</v>
      </c>
      <c r="P150" s="11">
        <v>5</v>
      </c>
      <c r="Q150" s="11">
        <v>1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10</v>
      </c>
      <c r="Y150" s="11">
        <v>15</v>
      </c>
      <c r="Z150" s="11">
        <v>42</v>
      </c>
      <c r="AA150" s="11">
        <v>0</v>
      </c>
      <c r="AB150" s="11">
        <v>0</v>
      </c>
      <c r="AC150" s="11">
        <v>0</v>
      </c>
      <c r="AD150" s="11">
        <v>0</v>
      </c>
      <c r="AE150" s="11">
        <v>71</v>
      </c>
      <c r="AF150" s="11">
        <v>354</v>
      </c>
      <c r="AG150" s="11">
        <v>16</v>
      </c>
      <c r="AH150" s="11">
        <v>385</v>
      </c>
      <c r="AI150" s="11">
        <v>77</v>
      </c>
      <c r="AJ150" s="11">
        <v>0</v>
      </c>
      <c r="AK150" s="11">
        <v>5</v>
      </c>
      <c r="AL150" s="11">
        <v>151000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822</v>
      </c>
      <c r="AT150" s="11">
        <v>6554.71</v>
      </c>
      <c r="AU150" s="11">
        <v>0</v>
      </c>
      <c r="AV150" s="11">
        <v>1639</v>
      </c>
      <c r="AW150" s="11">
        <v>0</v>
      </c>
      <c r="AX150" s="11">
        <v>4</v>
      </c>
      <c r="AY150" s="11">
        <v>1</v>
      </c>
    </row>
    <row r="151" spans="1:52">
      <c r="A151" s="11" t="s">
        <v>118</v>
      </c>
      <c r="B151" s="149" t="s">
        <v>615</v>
      </c>
      <c r="C151" s="11" t="s">
        <v>265</v>
      </c>
      <c r="D151" s="11" t="s">
        <v>615</v>
      </c>
      <c r="E151" s="11" t="s">
        <v>620</v>
      </c>
      <c r="F151" s="185">
        <v>45569</v>
      </c>
      <c r="G151" s="11" t="s">
        <v>118</v>
      </c>
      <c r="H151" s="11">
        <v>0</v>
      </c>
      <c r="I151" s="11">
        <v>0</v>
      </c>
      <c r="J151" s="11">
        <v>0</v>
      </c>
      <c r="K151" s="11">
        <v>0</v>
      </c>
      <c r="L151" s="6">
        <f t="shared" si="0"/>
        <v>0</v>
      </c>
      <c r="M151" s="11">
        <v>2</v>
      </c>
      <c r="N151" s="11">
        <v>0</v>
      </c>
      <c r="O151" s="11">
        <v>0</v>
      </c>
      <c r="P151" s="11">
        <v>2</v>
      </c>
      <c r="Q151" s="11">
        <v>2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50</v>
      </c>
      <c r="AA151" s="11">
        <v>0</v>
      </c>
      <c r="AB151" s="11">
        <v>0</v>
      </c>
      <c r="AC151" s="11">
        <v>1</v>
      </c>
      <c r="AD151" s="11">
        <v>2</v>
      </c>
      <c r="AE151" s="11">
        <v>54</v>
      </c>
      <c r="AF151" s="11">
        <v>67</v>
      </c>
      <c r="AG151" s="11">
        <v>0</v>
      </c>
      <c r="AH151" s="11">
        <v>69</v>
      </c>
      <c r="AI151" s="11">
        <v>17</v>
      </c>
      <c r="AJ151" s="11">
        <v>0</v>
      </c>
      <c r="AK151" s="11">
        <v>4</v>
      </c>
      <c r="AL151" s="11">
        <v>153110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193</v>
      </c>
      <c r="AT151" s="11">
        <v>2937.68</v>
      </c>
      <c r="AU151" s="11">
        <v>0</v>
      </c>
      <c r="AV151" s="11">
        <v>0</v>
      </c>
      <c r="AW151" s="11">
        <v>0</v>
      </c>
      <c r="AX151" s="11">
        <v>0</v>
      </c>
      <c r="AY151" s="11">
        <v>2</v>
      </c>
      <c r="AZ151" s="184">
        <v>45856</v>
      </c>
    </row>
    <row r="152" spans="1:52">
      <c r="A152" s="11" t="s">
        <v>201</v>
      </c>
      <c r="B152" s="149" t="s">
        <v>431</v>
      </c>
      <c r="C152" s="11" t="s">
        <v>266</v>
      </c>
      <c r="D152" s="11" t="s">
        <v>431</v>
      </c>
      <c r="E152" s="11" t="s">
        <v>531</v>
      </c>
      <c r="F152" s="185">
        <v>45600</v>
      </c>
      <c r="G152" s="11" t="s">
        <v>310</v>
      </c>
      <c r="H152" s="11">
        <v>0</v>
      </c>
      <c r="I152" s="11">
        <v>6249999</v>
      </c>
      <c r="J152" s="11">
        <v>7145672.8499999996</v>
      </c>
      <c r="K152" s="11">
        <v>0</v>
      </c>
      <c r="L152" s="6">
        <f t="shared" si="0"/>
        <v>7145672.8499999996</v>
      </c>
      <c r="M152" s="11">
        <v>132</v>
      </c>
      <c r="N152" s="11">
        <v>105</v>
      </c>
      <c r="O152" s="11">
        <v>11</v>
      </c>
      <c r="P152" s="11">
        <v>143</v>
      </c>
      <c r="Q152" s="11">
        <v>38</v>
      </c>
      <c r="R152" s="11">
        <v>6457520.0499999998</v>
      </c>
      <c r="S152" s="11">
        <v>688152.8</v>
      </c>
      <c r="T152" s="11">
        <v>49</v>
      </c>
      <c r="U152" s="11">
        <v>7</v>
      </c>
      <c r="V152" s="11">
        <v>56</v>
      </c>
      <c r="W152" s="11">
        <v>0</v>
      </c>
      <c r="X152" s="11">
        <v>13</v>
      </c>
      <c r="Y152" s="11">
        <v>18</v>
      </c>
      <c r="Z152" s="11">
        <v>66</v>
      </c>
      <c r="AA152" s="11">
        <v>2</v>
      </c>
      <c r="AB152" s="11">
        <v>23</v>
      </c>
      <c r="AC152" s="11">
        <v>0</v>
      </c>
      <c r="AD152" s="11">
        <v>0</v>
      </c>
      <c r="AE152" s="11">
        <v>0</v>
      </c>
      <c r="AF152" s="11">
        <v>0</v>
      </c>
      <c r="AG152" s="11">
        <v>326</v>
      </c>
      <c r="AH152" s="11">
        <v>367</v>
      </c>
      <c r="AI152" s="11">
        <v>77</v>
      </c>
      <c r="AJ152" s="11">
        <v>92801</v>
      </c>
      <c r="AK152" s="11">
        <v>5</v>
      </c>
      <c r="AL152" s="11">
        <v>51910</v>
      </c>
      <c r="AM152" s="11">
        <v>0</v>
      </c>
      <c r="AN152" s="11">
        <v>7.3000000000000001E-3</v>
      </c>
      <c r="AO152" s="11">
        <v>127601</v>
      </c>
      <c r="AP152" s="11">
        <v>1.1399999999999999</v>
      </c>
      <c r="AQ152" s="11">
        <v>0</v>
      </c>
      <c r="AR152" s="11">
        <v>100</v>
      </c>
      <c r="AS152" s="11">
        <v>626</v>
      </c>
      <c r="AT152" s="11">
        <v>5025.49</v>
      </c>
      <c r="AU152" s="11">
        <v>7</v>
      </c>
      <c r="AV152" s="11">
        <v>48</v>
      </c>
      <c r="AW152" s="11">
        <v>56</v>
      </c>
      <c r="AX152" s="11">
        <v>51</v>
      </c>
      <c r="AY152" s="11">
        <v>36</v>
      </c>
    </row>
    <row r="153" spans="1:52">
      <c r="A153" s="11" t="s">
        <v>201</v>
      </c>
      <c r="B153" s="149" t="s">
        <v>431</v>
      </c>
      <c r="C153" s="11" t="s">
        <v>267</v>
      </c>
      <c r="D153" s="11" t="s">
        <v>431</v>
      </c>
      <c r="E153" s="11" t="s">
        <v>531</v>
      </c>
      <c r="F153" s="184">
        <v>45607</v>
      </c>
      <c r="G153" s="11" t="s">
        <v>310</v>
      </c>
      <c r="H153" s="11">
        <v>0</v>
      </c>
      <c r="I153" s="11">
        <v>5499999</v>
      </c>
      <c r="J153" s="11">
        <v>2406114.4700000002</v>
      </c>
      <c r="K153" s="11">
        <v>0</v>
      </c>
      <c r="L153" s="6">
        <f t="shared" si="0"/>
        <v>2406114.4700000002</v>
      </c>
      <c r="M153" s="11">
        <v>117</v>
      </c>
      <c r="N153" s="11">
        <v>114</v>
      </c>
      <c r="O153" s="11">
        <v>14</v>
      </c>
      <c r="P153" s="11">
        <v>131</v>
      </c>
      <c r="Q153" s="11">
        <v>17</v>
      </c>
      <c r="R153" s="11">
        <v>1965430.54</v>
      </c>
      <c r="S153" s="11">
        <v>440683.93</v>
      </c>
      <c r="T153" s="11">
        <v>30</v>
      </c>
      <c r="U153" s="11">
        <v>11</v>
      </c>
      <c r="V153" s="11">
        <v>41</v>
      </c>
      <c r="W153" s="11">
        <v>0</v>
      </c>
      <c r="X153" s="11">
        <v>57</v>
      </c>
      <c r="Y153" s="11">
        <v>80</v>
      </c>
      <c r="Z153" s="11">
        <v>94</v>
      </c>
      <c r="AA153" s="11">
        <v>2</v>
      </c>
      <c r="AB153" s="11">
        <v>33</v>
      </c>
      <c r="AC153" s="11">
        <v>0</v>
      </c>
      <c r="AD153" s="11">
        <v>0</v>
      </c>
      <c r="AE153" s="11">
        <v>0</v>
      </c>
      <c r="AF153" s="11">
        <v>0</v>
      </c>
      <c r="AG153" s="11">
        <v>398</v>
      </c>
      <c r="AH153" s="11">
        <v>511</v>
      </c>
      <c r="AI153" s="11">
        <v>77</v>
      </c>
      <c r="AJ153" s="11">
        <v>31248</v>
      </c>
      <c r="AK153" s="11">
        <v>7</v>
      </c>
      <c r="AL153" s="11">
        <v>33050</v>
      </c>
      <c r="AM153" s="11">
        <v>0</v>
      </c>
      <c r="AN153" s="11">
        <v>0</v>
      </c>
      <c r="AO153" s="11">
        <v>58686</v>
      </c>
      <c r="AP153" s="11">
        <v>0.44</v>
      </c>
      <c r="AQ153" s="11">
        <v>0</v>
      </c>
      <c r="AR153" s="11">
        <v>88</v>
      </c>
      <c r="AS153" s="11">
        <v>692</v>
      </c>
      <c r="AT153" s="11">
        <v>3544.45</v>
      </c>
      <c r="AU153" s="11">
        <v>11</v>
      </c>
      <c r="AV153" s="11">
        <v>31</v>
      </c>
      <c r="AW153" s="11">
        <v>41</v>
      </c>
      <c r="AX153" s="11">
        <v>73</v>
      </c>
      <c r="AY153" s="11">
        <v>17</v>
      </c>
    </row>
    <row r="154" spans="1:52">
      <c r="A154" s="11" t="s">
        <v>118</v>
      </c>
      <c r="B154" s="149" t="s">
        <v>362</v>
      </c>
      <c r="C154" s="11" t="s">
        <v>268</v>
      </c>
      <c r="D154" s="11" t="s">
        <v>623</v>
      </c>
      <c r="E154" s="11" t="s">
        <v>624</v>
      </c>
      <c r="F154" s="184">
        <v>45614</v>
      </c>
      <c r="G154" s="11" t="s">
        <v>219</v>
      </c>
      <c r="H154" s="11">
        <v>0</v>
      </c>
      <c r="I154" s="11">
        <v>0</v>
      </c>
      <c r="J154" s="11">
        <v>941822.48</v>
      </c>
      <c r="K154" s="11">
        <v>0</v>
      </c>
      <c r="L154" s="6">
        <f t="shared" si="0"/>
        <v>941822.48</v>
      </c>
      <c r="M154" s="11">
        <v>74</v>
      </c>
      <c r="N154" s="11">
        <v>64</v>
      </c>
      <c r="O154" s="11">
        <v>16</v>
      </c>
      <c r="P154" s="11">
        <v>90</v>
      </c>
      <c r="Q154" s="11">
        <v>26</v>
      </c>
      <c r="R154" s="11">
        <v>547684.5</v>
      </c>
      <c r="S154" s="11">
        <v>394137.98</v>
      </c>
      <c r="T154" s="11">
        <v>26</v>
      </c>
      <c r="U154" s="11">
        <v>16</v>
      </c>
      <c r="V154" s="11">
        <v>42</v>
      </c>
      <c r="W154" s="11">
        <v>0</v>
      </c>
      <c r="X154" s="11">
        <v>39</v>
      </c>
      <c r="Y154" s="11">
        <v>45</v>
      </c>
      <c r="Z154" s="11">
        <v>73</v>
      </c>
      <c r="AA154" s="11">
        <v>2</v>
      </c>
      <c r="AB154" s="11">
        <v>60</v>
      </c>
      <c r="AC154" s="11">
        <v>0</v>
      </c>
      <c r="AD154" s="11">
        <v>0</v>
      </c>
      <c r="AE154" s="11">
        <v>2</v>
      </c>
      <c r="AF154" s="11">
        <v>6</v>
      </c>
      <c r="AG154" s="11">
        <v>270</v>
      </c>
      <c r="AH154" s="11">
        <v>381</v>
      </c>
      <c r="AI154" s="11">
        <v>73</v>
      </c>
      <c r="AJ154" s="11">
        <v>12902</v>
      </c>
      <c r="AK154" s="11">
        <v>5</v>
      </c>
      <c r="AL154" s="11">
        <v>46670</v>
      </c>
      <c r="AM154" s="11">
        <v>0</v>
      </c>
      <c r="AN154" s="11">
        <v>4.9599999999999998E-2</v>
      </c>
      <c r="AO154" s="11">
        <v>22424</v>
      </c>
      <c r="AP154" s="11">
        <v>0</v>
      </c>
      <c r="AQ154" s="11">
        <v>0</v>
      </c>
      <c r="AR154" s="11">
        <v>65</v>
      </c>
      <c r="AS154" s="11">
        <v>701</v>
      </c>
      <c r="AT154" s="11">
        <v>2812.04</v>
      </c>
      <c r="AU154" s="11">
        <v>16</v>
      </c>
      <c r="AV154" s="11">
        <v>44</v>
      </c>
      <c r="AW154" s="11">
        <v>42</v>
      </c>
      <c r="AX154" s="11">
        <v>22</v>
      </c>
      <c r="AY154" s="11">
        <v>26</v>
      </c>
    </row>
    <row r="155" spans="1:52">
      <c r="A155" s="11" t="s">
        <v>118</v>
      </c>
      <c r="B155" s="149" t="s">
        <v>649</v>
      </c>
      <c r="C155" s="11" t="s">
        <v>269</v>
      </c>
      <c r="D155" s="11" t="s">
        <v>486</v>
      </c>
      <c r="E155" s="11" t="s">
        <v>519</v>
      </c>
      <c r="F155" s="184">
        <v>45636</v>
      </c>
      <c r="G155" s="11" t="s">
        <v>119</v>
      </c>
      <c r="H155" s="11">
        <v>0</v>
      </c>
      <c r="I155" s="11">
        <v>4250000</v>
      </c>
      <c r="J155" s="11">
        <v>3422805.13</v>
      </c>
      <c r="K155" s="11">
        <v>0</v>
      </c>
      <c r="L155" s="6">
        <f t="shared" si="0"/>
        <v>3422805.13</v>
      </c>
      <c r="M155" s="11">
        <v>129</v>
      </c>
      <c r="N155" s="11">
        <v>98</v>
      </c>
      <c r="O155" s="11">
        <v>24</v>
      </c>
      <c r="P155" s="11">
        <v>153</v>
      </c>
      <c r="Q155" s="11">
        <v>55</v>
      </c>
      <c r="R155" s="11">
        <v>2083235.64</v>
      </c>
      <c r="S155" s="11">
        <v>1339569.49</v>
      </c>
      <c r="T155" s="11">
        <v>35</v>
      </c>
      <c r="U155" s="11">
        <v>24</v>
      </c>
      <c r="V155" s="11">
        <v>59</v>
      </c>
      <c r="W155" s="11">
        <v>0</v>
      </c>
      <c r="X155" s="11">
        <v>100</v>
      </c>
      <c r="Y155" s="11">
        <v>141</v>
      </c>
      <c r="Z155" s="11">
        <v>226</v>
      </c>
      <c r="AA155" s="11">
        <v>2</v>
      </c>
      <c r="AB155" s="11">
        <v>11</v>
      </c>
      <c r="AC155" s="11">
        <v>1</v>
      </c>
      <c r="AD155" s="11">
        <v>1</v>
      </c>
      <c r="AE155" s="11">
        <v>2</v>
      </c>
      <c r="AF155" s="11">
        <v>4</v>
      </c>
      <c r="AG155" s="11">
        <v>224</v>
      </c>
      <c r="AH155" s="11">
        <v>381</v>
      </c>
      <c r="AI155" s="11">
        <v>41</v>
      </c>
      <c r="AJ155" s="11">
        <v>83483</v>
      </c>
      <c r="AK155" s="11">
        <v>9</v>
      </c>
      <c r="AL155" s="11">
        <v>51900</v>
      </c>
      <c r="AM155" s="11">
        <v>0</v>
      </c>
      <c r="AN155" s="11">
        <v>1.52E-2</v>
      </c>
      <c r="AO155" s="11">
        <v>58014</v>
      </c>
      <c r="AP155" s="11">
        <v>0.81</v>
      </c>
      <c r="AQ155" s="11">
        <v>0</v>
      </c>
      <c r="AR155" s="11">
        <v>84</v>
      </c>
      <c r="AS155" s="11">
        <v>489</v>
      </c>
      <c r="AT155" s="11">
        <v>3837.34</v>
      </c>
      <c r="AU155" s="11">
        <v>24</v>
      </c>
      <c r="AV155" s="11">
        <v>39</v>
      </c>
      <c r="AW155" s="11">
        <v>59</v>
      </c>
      <c r="AX155" s="11">
        <v>47</v>
      </c>
      <c r="AY155" s="11">
        <v>47</v>
      </c>
    </row>
    <row r="156" spans="1:52">
      <c r="A156" s="11" t="s">
        <v>118</v>
      </c>
      <c r="B156" s="149" t="s">
        <v>436</v>
      </c>
      <c r="C156" s="11" t="s">
        <v>270</v>
      </c>
      <c r="D156" s="11" t="s">
        <v>499</v>
      </c>
      <c r="E156" s="11" t="s">
        <v>449</v>
      </c>
      <c r="F156" s="185">
        <v>45635</v>
      </c>
      <c r="G156" s="11" t="s">
        <v>228</v>
      </c>
      <c r="H156" s="11">
        <v>0</v>
      </c>
      <c r="I156" s="11">
        <v>3750000</v>
      </c>
      <c r="J156" s="11">
        <v>3151505.7</v>
      </c>
      <c r="K156" s="11">
        <v>0</v>
      </c>
      <c r="L156" s="6">
        <f t="shared" si="0"/>
        <v>3151505.7</v>
      </c>
      <c r="M156" s="11">
        <v>93</v>
      </c>
      <c r="N156" s="11">
        <v>108</v>
      </c>
      <c r="O156" s="11">
        <v>26</v>
      </c>
      <c r="P156" s="11">
        <v>119</v>
      </c>
      <c r="Q156" s="11">
        <v>11</v>
      </c>
      <c r="R156" s="11">
        <v>2531983.5</v>
      </c>
      <c r="S156" s="11">
        <v>619522.19999999995</v>
      </c>
      <c r="T156" s="11">
        <v>41</v>
      </c>
      <c r="U156" s="11">
        <v>25</v>
      </c>
      <c r="V156" s="11">
        <v>66</v>
      </c>
      <c r="W156" s="11">
        <v>0</v>
      </c>
      <c r="X156" s="11">
        <v>35</v>
      </c>
      <c r="Y156" s="11">
        <v>54</v>
      </c>
      <c r="Z156" s="11">
        <v>49</v>
      </c>
      <c r="AA156" s="11">
        <v>5</v>
      </c>
      <c r="AB156" s="11">
        <v>72</v>
      </c>
      <c r="AC156" s="11">
        <v>2</v>
      </c>
      <c r="AD156" s="11">
        <v>3</v>
      </c>
      <c r="AE156" s="11">
        <v>2</v>
      </c>
      <c r="AF156" s="11">
        <v>6</v>
      </c>
      <c r="AG156" s="11">
        <v>548</v>
      </c>
      <c r="AH156" s="11">
        <v>683</v>
      </c>
      <c r="AI156" s="11">
        <v>77</v>
      </c>
      <c r="AJ156" s="11">
        <v>40929</v>
      </c>
      <c r="AK156" s="11">
        <v>9</v>
      </c>
      <c r="AL156" s="11">
        <v>36190</v>
      </c>
      <c r="AM156" s="11">
        <v>0</v>
      </c>
      <c r="AN156" s="11">
        <v>1.15E-2</v>
      </c>
      <c r="AO156" s="11">
        <v>47750</v>
      </c>
      <c r="AP156" s="11">
        <v>0.84</v>
      </c>
      <c r="AQ156" s="11">
        <v>0</v>
      </c>
      <c r="AR156" s="11">
        <v>176</v>
      </c>
      <c r="AS156" s="11">
        <v>918</v>
      </c>
      <c r="AT156" s="11">
        <v>6246.87</v>
      </c>
      <c r="AU156" s="11">
        <v>25</v>
      </c>
      <c r="AV156" s="11">
        <v>58</v>
      </c>
      <c r="AW156" s="11">
        <v>66</v>
      </c>
      <c r="AX156" s="11">
        <v>42</v>
      </c>
      <c r="AY156" s="11">
        <v>11</v>
      </c>
    </row>
    <row r="157" spans="1:52">
      <c r="A157" s="11" t="s">
        <v>201</v>
      </c>
      <c r="B157" s="149" t="s">
        <v>431</v>
      </c>
      <c r="C157" s="11" t="s">
        <v>271</v>
      </c>
      <c r="D157" s="11" t="s">
        <v>431</v>
      </c>
      <c r="E157" s="11" t="s">
        <v>433</v>
      </c>
      <c r="F157" s="184">
        <v>45639</v>
      </c>
      <c r="G157" s="11" t="s">
        <v>104</v>
      </c>
      <c r="H157" s="11">
        <v>0</v>
      </c>
      <c r="I157" s="11">
        <v>5375001</v>
      </c>
      <c r="J157" s="11">
        <v>1962658.71</v>
      </c>
      <c r="K157" s="11">
        <v>0</v>
      </c>
      <c r="L157" s="6">
        <f t="shared" si="0"/>
        <v>1962658.71</v>
      </c>
      <c r="M157" s="11">
        <v>51</v>
      </c>
      <c r="N157" s="11">
        <v>43</v>
      </c>
      <c r="O157" s="11">
        <v>8</v>
      </c>
      <c r="P157" s="11">
        <v>59</v>
      </c>
      <c r="Q157" s="11">
        <v>16</v>
      </c>
      <c r="R157" s="11">
        <v>1478610.09</v>
      </c>
      <c r="S157" s="11">
        <v>484048.62</v>
      </c>
      <c r="T157" s="11">
        <v>20</v>
      </c>
      <c r="U157" s="11">
        <v>8</v>
      </c>
      <c r="V157" s="11">
        <v>28</v>
      </c>
      <c r="W157" s="11">
        <v>0</v>
      </c>
      <c r="X157" s="11">
        <v>50</v>
      </c>
      <c r="Y157" s="11">
        <v>72</v>
      </c>
      <c r="Z157" s="11">
        <v>73</v>
      </c>
      <c r="AA157" s="11">
        <v>4</v>
      </c>
      <c r="AB157" s="11">
        <v>49</v>
      </c>
      <c r="AC157" s="11">
        <v>0</v>
      </c>
      <c r="AD157" s="11">
        <v>0</v>
      </c>
      <c r="AE157" s="11">
        <v>0</v>
      </c>
      <c r="AF157" s="11">
        <v>0</v>
      </c>
      <c r="AG157" s="11">
        <v>193</v>
      </c>
      <c r="AH157" s="11">
        <v>314</v>
      </c>
      <c r="AI157" s="11">
        <v>56</v>
      </c>
      <c r="AJ157" s="11">
        <v>35047</v>
      </c>
      <c r="AK157" s="11">
        <v>6</v>
      </c>
      <c r="AL157" s="11">
        <v>35140</v>
      </c>
      <c r="AM157" s="11">
        <v>0</v>
      </c>
      <c r="AN157" s="11">
        <v>1.7899999999999999E-2</v>
      </c>
      <c r="AO157" s="11">
        <v>70095</v>
      </c>
      <c r="AP157" s="11">
        <v>0.37</v>
      </c>
      <c r="AQ157" s="11">
        <v>0</v>
      </c>
      <c r="AR157" s="11">
        <v>42</v>
      </c>
      <c r="AS157" s="11">
        <v>433</v>
      </c>
      <c r="AT157" s="11">
        <v>1750.26</v>
      </c>
      <c r="AU157" s="11">
        <v>8</v>
      </c>
      <c r="AV157" s="11">
        <v>41</v>
      </c>
      <c r="AW157" s="11">
        <v>28</v>
      </c>
      <c r="AX157" s="11">
        <v>19</v>
      </c>
      <c r="AY157" s="11">
        <v>12</v>
      </c>
      <c r="AZ157" s="184">
        <v>45913</v>
      </c>
    </row>
    <row r="158" spans="1:52">
      <c r="A158" s="11" t="s">
        <v>118</v>
      </c>
      <c r="B158" s="149" t="s">
        <v>362</v>
      </c>
      <c r="C158" s="11" t="s">
        <v>272</v>
      </c>
      <c r="D158" s="11" t="s">
        <v>419</v>
      </c>
      <c r="E158" s="11" t="s">
        <v>627</v>
      </c>
      <c r="F158" s="184">
        <v>45637</v>
      </c>
      <c r="G158" s="11" t="s">
        <v>67</v>
      </c>
      <c r="H158" s="11">
        <v>0</v>
      </c>
      <c r="I158" s="11">
        <v>12750000</v>
      </c>
      <c r="J158" s="11">
        <v>7811685.5800000001</v>
      </c>
      <c r="K158" s="11">
        <v>0</v>
      </c>
      <c r="L158" s="6">
        <f t="shared" si="0"/>
        <v>7811685.5800000001</v>
      </c>
      <c r="M158" s="11">
        <v>84</v>
      </c>
      <c r="N158" s="11">
        <v>82</v>
      </c>
      <c r="O158" s="11">
        <v>6</v>
      </c>
      <c r="P158" s="11">
        <v>90</v>
      </c>
      <c r="Q158" s="11">
        <v>8</v>
      </c>
      <c r="R158" s="11">
        <v>7043416.9900000002</v>
      </c>
      <c r="S158" s="11">
        <v>768268.59</v>
      </c>
      <c r="T158" s="11">
        <v>42</v>
      </c>
      <c r="U158" s="11">
        <v>5</v>
      </c>
      <c r="V158" s="11">
        <v>47</v>
      </c>
      <c r="W158" s="11">
        <v>0</v>
      </c>
      <c r="X158" s="11">
        <v>4</v>
      </c>
      <c r="Y158" s="11">
        <v>4</v>
      </c>
      <c r="Z158" s="11">
        <v>32</v>
      </c>
      <c r="AA158" s="11">
        <v>2</v>
      </c>
      <c r="AB158" s="11">
        <v>9</v>
      </c>
      <c r="AC158" s="11">
        <v>0</v>
      </c>
      <c r="AD158" s="11">
        <v>0</v>
      </c>
      <c r="AE158" s="11">
        <v>0</v>
      </c>
      <c r="AF158" s="11">
        <v>0</v>
      </c>
      <c r="AG158" s="11">
        <v>403</v>
      </c>
      <c r="AH158" s="11">
        <v>416</v>
      </c>
      <c r="AI158" s="11">
        <v>75</v>
      </c>
      <c r="AJ158" s="11">
        <v>104156</v>
      </c>
      <c r="AK158" s="11">
        <v>6</v>
      </c>
      <c r="AL158" s="11">
        <v>34090</v>
      </c>
      <c r="AM158" s="11">
        <v>0</v>
      </c>
      <c r="AN158" s="11">
        <v>4.4000000000000003E-3</v>
      </c>
      <c r="AO158" s="11">
        <v>166206</v>
      </c>
      <c r="AP158" s="11">
        <v>0.61</v>
      </c>
      <c r="AQ158" s="11">
        <v>0</v>
      </c>
      <c r="AR158" s="11">
        <v>94</v>
      </c>
      <c r="AS158" s="11">
        <v>813</v>
      </c>
      <c r="AT158" s="11">
        <v>6414.5</v>
      </c>
      <c r="AU158" s="11">
        <v>5</v>
      </c>
      <c r="AV158" s="11">
        <v>78</v>
      </c>
      <c r="AW158" s="11">
        <v>47</v>
      </c>
      <c r="AX158" s="11">
        <v>35</v>
      </c>
      <c r="AY158" s="11">
        <v>8</v>
      </c>
    </row>
    <row r="159" spans="1:52">
      <c r="A159" s="11" t="s">
        <v>118</v>
      </c>
      <c r="B159" s="149" t="s">
        <v>468</v>
      </c>
      <c r="C159" s="11" t="s">
        <v>273</v>
      </c>
      <c r="D159" s="11" t="s">
        <v>509</v>
      </c>
      <c r="E159" s="11" t="s">
        <v>555</v>
      </c>
      <c r="F159" s="184">
        <v>45639</v>
      </c>
      <c r="G159" s="11" t="s">
        <v>213</v>
      </c>
      <c r="H159" s="11">
        <v>0</v>
      </c>
      <c r="I159" s="11">
        <v>6000000</v>
      </c>
      <c r="J159" s="11">
        <v>4718496.6100000003</v>
      </c>
      <c r="K159" s="11">
        <v>0</v>
      </c>
      <c r="L159" s="6">
        <f t="shared" si="0"/>
        <v>4718496.6100000003</v>
      </c>
      <c r="M159" s="11">
        <v>92</v>
      </c>
      <c r="N159" s="11">
        <v>70</v>
      </c>
      <c r="O159" s="11">
        <v>4</v>
      </c>
      <c r="P159" s="11">
        <v>96</v>
      </c>
      <c r="Q159" s="11">
        <v>26</v>
      </c>
      <c r="R159" s="11">
        <v>4141368.92</v>
      </c>
      <c r="S159" s="11">
        <v>577127.68999999994</v>
      </c>
      <c r="T159" s="11">
        <v>35</v>
      </c>
      <c r="U159" s="11">
        <v>3</v>
      </c>
      <c r="V159" s="11">
        <v>38</v>
      </c>
      <c r="W159" s="11">
        <v>0</v>
      </c>
      <c r="X159" s="11">
        <v>64</v>
      </c>
      <c r="Y159" s="11">
        <v>92</v>
      </c>
      <c r="Z159" s="11">
        <v>145</v>
      </c>
      <c r="AA159" s="11">
        <v>1</v>
      </c>
      <c r="AB159" s="11">
        <v>23</v>
      </c>
      <c r="AC159" s="11">
        <v>0</v>
      </c>
      <c r="AD159" s="11">
        <v>0</v>
      </c>
      <c r="AE159" s="11">
        <v>0</v>
      </c>
      <c r="AF159" s="11">
        <v>0</v>
      </c>
      <c r="AG159" s="11">
        <v>223</v>
      </c>
      <c r="AH159" s="11">
        <v>338</v>
      </c>
      <c r="AI159" s="11">
        <v>70</v>
      </c>
      <c r="AJ159" s="11">
        <v>67407</v>
      </c>
      <c r="AK159" s="11">
        <v>5</v>
      </c>
      <c r="AL159" s="11">
        <v>33570</v>
      </c>
      <c r="AM159" s="11">
        <v>0</v>
      </c>
      <c r="AN159" s="11">
        <v>7.1000000000000004E-3</v>
      </c>
      <c r="AO159" s="11">
        <v>124171</v>
      </c>
      <c r="AP159" s="11">
        <v>0.79</v>
      </c>
      <c r="AQ159" s="11">
        <v>0</v>
      </c>
      <c r="AR159" s="11">
        <v>62</v>
      </c>
      <c r="AS159" s="11">
        <v>659</v>
      </c>
      <c r="AT159" s="11">
        <v>4086.41</v>
      </c>
      <c r="AU159" s="11">
        <v>3</v>
      </c>
      <c r="AV159" s="11">
        <v>58</v>
      </c>
      <c r="AW159" s="11">
        <v>38</v>
      </c>
      <c r="AX159" s="11">
        <v>34</v>
      </c>
      <c r="AY159" s="11">
        <v>24</v>
      </c>
    </row>
    <row r="160" spans="1:52">
      <c r="A160" s="11" t="s">
        <v>118</v>
      </c>
      <c r="B160" s="149" t="s">
        <v>372</v>
      </c>
      <c r="C160" s="11" t="s">
        <v>274</v>
      </c>
      <c r="D160" s="11" t="s">
        <v>447</v>
      </c>
      <c r="E160" s="11" t="s">
        <v>629</v>
      </c>
      <c r="F160" s="184">
        <v>45640</v>
      </c>
      <c r="G160" s="11" t="s">
        <v>93</v>
      </c>
      <c r="H160" s="11">
        <v>0</v>
      </c>
      <c r="I160" s="11">
        <v>6000000</v>
      </c>
      <c r="J160" s="11">
        <v>3577695.17</v>
      </c>
      <c r="K160" s="11">
        <v>0</v>
      </c>
      <c r="L160" s="6">
        <f t="shared" si="0"/>
        <v>3577695.17</v>
      </c>
      <c r="M160" s="11">
        <v>22</v>
      </c>
      <c r="N160" s="11">
        <v>25</v>
      </c>
      <c r="O160" s="11">
        <v>3</v>
      </c>
      <c r="P160" s="11">
        <v>25</v>
      </c>
      <c r="Q160" s="11">
        <v>0</v>
      </c>
      <c r="R160" s="11">
        <v>3159355.94</v>
      </c>
      <c r="S160" s="11">
        <v>418339.23</v>
      </c>
      <c r="T160" s="11">
        <v>17</v>
      </c>
      <c r="U160" s="11">
        <v>3</v>
      </c>
      <c r="V160" s="11">
        <v>20</v>
      </c>
      <c r="W160" s="11">
        <v>0</v>
      </c>
      <c r="X160" s="11">
        <v>50</v>
      </c>
      <c r="Y160" s="11">
        <v>76</v>
      </c>
      <c r="Z160" s="11">
        <v>64</v>
      </c>
      <c r="AA160" s="11">
        <v>1</v>
      </c>
      <c r="AB160" s="11">
        <v>13</v>
      </c>
      <c r="AC160" s="11">
        <v>0</v>
      </c>
      <c r="AD160" s="11">
        <v>0</v>
      </c>
      <c r="AE160" s="11">
        <v>0</v>
      </c>
      <c r="AF160" s="11">
        <v>0</v>
      </c>
      <c r="AG160" s="11">
        <v>160</v>
      </c>
      <c r="AH160" s="11">
        <v>249</v>
      </c>
      <c r="AI160" s="11">
        <v>66</v>
      </c>
      <c r="AJ160" s="11">
        <v>54208</v>
      </c>
      <c r="AK160" s="11">
        <v>4</v>
      </c>
      <c r="AL160" s="11">
        <v>28850</v>
      </c>
      <c r="AM160" s="11">
        <v>0</v>
      </c>
      <c r="AN160" s="11">
        <v>8.0999999999999996E-3</v>
      </c>
      <c r="AO160" s="11">
        <v>178885</v>
      </c>
      <c r="AP160" s="11">
        <v>0.6</v>
      </c>
      <c r="AQ160" s="11">
        <v>0</v>
      </c>
      <c r="AR160" s="11">
        <v>65</v>
      </c>
      <c r="AS160" s="11">
        <v>751</v>
      </c>
      <c r="AT160" s="11">
        <v>3995.75</v>
      </c>
      <c r="AU160" s="11">
        <v>3</v>
      </c>
      <c r="AV160" s="11">
        <v>160</v>
      </c>
      <c r="AW160" s="11">
        <v>20</v>
      </c>
      <c r="AX160" s="11">
        <v>5</v>
      </c>
      <c r="AY160" s="11">
        <v>0</v>
      </c>
    </row>
    <row r="161" spans="1:52">
      <c r="A161" s="11" t="s">
        <v>118</v>
      </c>
      <c r="B161" s="149" t="s">
        <v>436</v>
      </c>
      <c r="C161" s="11" t="s">
        <v>275</v>
      </c>
      <c r="D161" s="11" t="s">
        <v>499</v>
      </c>
      <c r="E161" s="11" t="s">
        <v>630</v>
      </c>
      <c r="F161" s="184">
        <v>45646</v>
      </c>
      <c r="G161" s="11" t="s">
        <v>228</v>
      </c>
      <c r="H161" s="11">
        <v>0</v>
      </c>
      <c r="I161" s="11">
        <v>0</v>
      </c>
      <c r="J161" s="11">
        <v>0</v>
      </c>
      <c r="K161" s="11">
        <v>0</v>
      </c>
      <c r="L161" s="6">
        <f t="shared" si="0"/>
        <v>0</v>
      </c>
      <c r="M161" s="11">
        <v>30</v>
      </c>
      <c r="N161" s="11">
        <v>0</v>
      </c>
      <c r="O161" s="11">
        <v>3</v>
      </c>
      <c r="P161" s="11">
        <v>33</v>
      </c>
      <c r="Q161" s="11">
        <v>33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95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33570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33</v>
      </c>
      <c r="AZ161" s="184">
        <v>45762</v>
      </c>
    </row>
    <row r="162" spans="1:52">
      <c r="A162" s="11" t="s">
        <v>124</v>
      </c>
      <c r="B162" s="149" t="s">
        <v>443</v>
      </c>
      <c r="C162" s="11" t="s">
        <v>276</v>
      </c>
      <c r="D162" s="11" t="s">
        <v>517</v>
      </c>
      <c r="E162" s="11" t="s">
        <v>524</v>
      </c>
      <c r="F162" s="184">
        <v>45651</v>
      </c>
      <c r="G162" s="11" t="s">
        <v>124</v>
      </c>
      <c r="H162" s="11">
        <v>0</v>
      </c>
      <c r="I162" s="11">
        <v>2000000</v>
      </c>
      <c r="J162" s="11">
        <v>327933</v>
      </c>
      <c r="K162" s="11">
        <v>0</v>
      </c>
      <c r="L162" s="6">
        <f t="shared" si="0"/>
        <v>327933</v>
      </c>
      <c r="M162" s="11">
        <v>79</v>
      </c>
      <c r="N162" s="11">
        <v>57</v>
      </c>
      <c r="O162" s="11">
        <v>1</v>
      </c>
      <c r="P162" s="11">
        <v>80</v>
      </c>
      <c r="Q162" s="11">
        <v>23</v>
      </c>
      <c r="R162" s="11">
        <v>265650</v>
      </c>
      <c r="S162" s="11">
        <v>62283</v>
      </c>
      <c r="T162" s="11">
        <v>7</v>
      </c>
      <c r="U162" s="11">
        <v>1</v>
      </c>
      <c r="V162" s="11">
        <v>8</v>
      </c>
      <c r="W162" s="11">
        <v>0</v>
      </c>
      <c r="X162" s="11">
        <v>30</v>
      </c>
      <c r="Y162" s="11">
        <v>44</v>
      </c>
      <c r="Z162" s="11">
        <v>44</v>
      </c>
      <c r="AA162" s="11">
        <v>1</v>
      </c>
      <c r="AB162" s="11">
        <v>21</v>
      </c>
      <c r="AC162" s="11">
        <v>0</v>
      </c>
      <c r="AD162" s="11">
        <v>0</v>
      </c>
      <c r="AE162" s="11">
        <v>0</v>
      </c>
      <c r="AF162" s="11">
        <v>0</v>
      </c>
      <c r="AG162" s="11">
        <v>118</v>
      </c>
      <c r="AH162" s="11">
        <v>183</v>
      </c>
      <c r="AI162" s="11">
        <v>46</v>
      </c>
      <c r="AJ162" s="11">
        <v>7129</v>
      </c>
      <c r="AK162" s="11">
        <v>4</v>
      </c>
      <c r="AL162" s="11">
        <v>25165</v>
      </c>
      <c r="AM162" s="11">
        <v>0</v>
      </c>
      <c r="AN162" s="11">
        <v>7.6700000000000004E-2</v>
      </c>
      <c r="AO162" s="11">
        <v>40992</v>
      </c>
      <c r="AP162" s="11">
        <v>0.16</v>
      </c>
      <c r="AQ162" s="11">
        <v>0</v>
      </c>
      <c r="AR162" s="11">
        <v>11</v>
      </c>
      <c r="AS162" s="11">
        <v>476</v>
      </c>
      <c r="AT162" s="11">
        <v>3301.74</v>
      </c>
      <c r="AU162" s="11">
        <v>1</v>
      </c>
      <c r="AV162" s="11">
        <v>58</v>
      </c>
      <c r="AW162" s="11">
        <v>8</v>
      </c>
      <c r="AX162" s="11">
        <v>49</v>
      </c>
      <c r="AY162" s="11">
        <v>23</v>
      </c>
      <c r="AZ162" s="184">
        <v>45899</v>
      </c>
    </row>
    <row r="163" spans="1:52">
      <c r="A163" s="11" t="s">
        <v>120</v>
      </c>
      <c r="B163" s="149" t="s">
        <v>286</v>
      </c>
      <c r="C163" s="11" t="s">
        <v>256</v>
      </c>
      <c r="D163" s="11" t="s">
        <v>631</v>
      </c>
      <c r="E163" s="11" t="s">
        <v>259</v>
      </c>
      <c r="F163" s="185">
        <v>45658</v>
      </c>
      <c r="G163" s="11" t="s">
        <v>120</v>
      </c>
      <c r="H163" s="11">
        <v>0</v>
      </c>
      <c r="I163" s="11">
        <v>3600000</v>
      </c>
      <c r="J163" s="11">
        <v>2303434.5299999998</v>
      </c>
      <c r="K163" s="11">
        <v>0</v>
      </c>
      <c r="L163" s="6">
        <f t="shared" si="0"/>
        <v>2303434.5299999998</v>
      </c>
      <c r="M163" s="11">
        <v>40</v>
      </c>
      <c r="N163" s="11">
        <v>43</v>
      </c>
      <c r="O163" s="11">
        <v>17</v>
      </c>
      <c r="P163" s="11">
        <v>57</v>
      </c>
      <c r="Q163" s="11">
        <v>14</v>
      </c>
      <c r="R163" s="11">
        <v>991596.22</v>
      </c>
      <c r="S163" s="11">
        <v>1311838.31</v>
      </c>
      <c r="T163" s="11">
        <v>17</v>
      </c>
      <c r="U163" s="11">
        <v>17</v>
      </c>
      <c r="V163" s="11">
        <v>34</v>
      </c>
      <c r="W163" s="11">
        <v>0</v>
      </c>
      <c r="X163" s="11">
        <v>103</v>
      </c>
      <c r="Y163" s="11">
        <v>138</v>
      </c>
      <c r="Z163" s="11">
        <v>145</v>
      </c>
      <c r="AA163" s="11">
        <v>6</v>
      </c>
      <c r="AB163" s="11">
        <v>44</v>
      </c>
      <c r="AC163" s="11">
        <v>1</v>
      </c>
      <c r="AD163" s="11">
        <v>4</v>
      </c>
      <c r="AE163" s="11">
        <v>37</v>
      </c>
      <c r="AF163" s="11">
        <v>101</v>
      </c>
      <c r="AG163" s="11">
        <v>121</v>
      </c>
      <c r="AH163" s="11">
        <v>408</v>
      </c>
      <c r="AI163" s="11">
        <v>77</v>
      </c>
      <c r="AJ163" s="11">
        <v>29915</v>
      </c>
      <c r="AK163" s="11">
        <v>5</v>
      </c>
      <c r="AL163" s="11">
        <v>31455</v>
      </c>
      <c r="AM163" s="11">
        <v>0</v>
      </c>
      <c r="AN163" s="11">
        <v>1.37E-2</v>
      </c>
      <c r="AO163" s="11">
        <v>67748</v>
      </c>
      <c r="AP163" s="11">
        <v>0.64</v>
      </c>
      <c r="AQ163" s="11">
        <v>0</v>
      </c>
      <c r="AR163" s="11">
        <v>75</v>
      </c>
      <c r="AS163" s="11">
        <v>699</v>
      </c>
      <c r="AT163" s="11">
        <v>6058.05</v>
      </c>
      <c r="AU163" s="11">
        <v>17</v>
      </c>
      <c r="AV163" s="11">
        <v>141</v>
      </c>
      <c r="AW163" s="11">
        <v>34</v>
      </c>
      <c r="AX163" s="11">
        <v>11</v>
      </c>
      <c r="AY163" s="11">
        <v>12</v>
      </c>
    </row>
    <row r="164" spans="1:52">
      <c r="A164" s="11" t="s">
        <v>201</v>
      </c>
      <c r="B164" s="149" t="s">
        <v>469</v>
      </c>
      <c r="C164" s="11" t="s">
        <v>277</v>
      </c>
      <c r="D164" s="11" t="s">
        <v>470</v>
      </c>
      <c r="E164" s="11" t="s">
        <v>491</v>
      </c>
      <c r="F164" s="185">
        <v>45658</v>
      </c>
      <c r="G164" s="11" t="s">
        <v>110</v>
      </c>
      <c r="H164" s="11">
        <v>0</v>
      </c>
      <c r="I164" s="11">
        <v>3500001</v>
      </c>
      <c r="J164" s="11">
        <v>1249646.5</v>
      </c>
      <c r="K164" s="11">
        <v>0</v>
      </c>
      <c r="L164" s="6">
        <f t="shared" si="0"/>
        <v>1249646.5</v>
      </c>
      <c r="M164" s="11">
        <v>42</v>
      </c>
      <c r="N164" s="11">
        <v>45</v>
      </c>
      <c r="O164" s="11">
        <v>8</v>
      </c>
      <c r="P164" s="11">
        <v>50</v>
      </c>
      <c r="Q164" s="11">
        <v>5</v>
      </c>
      <c r="R164" s="11">
        <v>880507.13</v>
      </c>
      <c r="S164" s="11">
        <v>369139.37</v>
      </c>
      <c r="T164" s="11">
        <v>18</v>
      </c>
      <c r="U164" s="11">
        <v>8</v>
      </c>
      <c r="V164" s="11">
        <v>26</v>
      </c>
      <c r="W164" s="11">
        <v>0</v>
      </c>
      <c r="X164" s="11">
        <v>108</v>
      </c>
      <c r="Y164" s="11">
        <v>149</v>
      </c>
      <c r="Z164" s="11">
        <v>168</v>
      </c>
      <c r="AA164" s="11">
        <v>1</v>
      </c>
      <c r="AB164" s="11">
        <v>5</v>
      </c>
      <c r="AC164" s="11">
        <v>0</v>
      </c>
      <c r="AD164" s="11">
        <v>0</v>
      </c>
      <c r="AE164" s="11">
        <v>0</v>
      </c>
      <c r="AF164" s="11">
        <v>0</v>
      </c>
      <c r="AG164" s="11">
        <v>251</v>
      </c>
      <c r="AH164" s="11">
        <v>405</v>
      </c>
      <c r="AI164" s="11">
        <v>73</v>
      </c>
      <c r="AJ164" s="11">
        <v>17118</v>
      </c>
      <c r="AK164" s="11">
        <v>6</v>
      </c>
      <c r="AL164" s="11">
        <v>36190</v>
      </c>
      <c r="AM164" s="11">
        <v>0</v>
      </c>
      <c r="AN164" s="11">
        <v>2.9000000000000001E-2</v>
      </c>
      <c r="AO164" s="11">
        <v>48063</v>
      </c>
      <c r="AP164" s="11">
        <v>0.36</v>
      </c>
      <c r="AQ164" s="11">
        <v>0</v>
      </c>
      <c r="AR164" s="11">
        <v>47</v>
      </c>
      <c r="AS164" s="11">
        <v>609</v>
      </c>
      <c r="AT164" s="11">
        <v>3752.89</v>
      </c>
      <c r="AU164" s="11">
        <v>8</v>
      </c>
      <c r="AV164" s="11">
        <v>83</v>
      </c>
      <c r="AW164" s="11">
        <v>26</v>
      </c>
      <c r="AX164" s="11">
        <v>19</v>
      </c>
      <c r="AY164" s="11">
        <v>5</v>
      </c>
    </row>
    <row r="165" spans="1:52">
      <c r="A165" s="11" t="s">
        <v>118</v>
      </c>
      <c r="B165" s="149" t="s">
        <v>436</v>
      </c>
      <c r="C165" s="11" t="s">
        <v>278</v>
      </c>
      <c r="D165" s="11" t="s">
        <v>499</v>
      </c>
      <c r="E165" s="11" t="s">
        <v>632</v>
      </c>
      <c r="F165" s="185">
        <v>45660</v>
      </c>
      <c r="G165" s="11" t="s">
        <v>111</v>
      </c>
      <c r="H165" s="11">
        <v>0</v>
      </c>
      <c r="I165" s="11">
        <v>0</v>
      </c>
      <c r="J165" s="11">
        <v>0</v>
      </c>
      <c r="K165" s="11">
        <v>0</v>
      </c>
      <c r="L165" s="6">
        <f t="shared" si="0"/>
        <v>0</v>
      </c>
      <c r="M165" s="11">
        <v>73</v>
      </c>
      <c r="N165" s="11">
        <v>0</v>
      </c>
      <c r="O165" s="11">
        <v>1</v>
      </c>
      <c r="P165" s="11">
        <v>74</v>
      </c>
      <c r="Q165" s="11">
        <v>74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94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33885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74</v>
      </c>
      <c r="AZ165" s="184">
        <v>45819</v>
      </c>
    </row>
    <row r="166" spans="1:52">
      <c r="A166" s="11" t="s">
        <v>177</v>
      </c>
      <c r="B166" s="149" t="s">
        <v>458</v>
      </c>
      <c r="C166" s="11" t="s">
        <v>279</v>
      </c>
      <c r="D166" s="11" t="s">
        <v>581</v>
      </c>
      <c r="E166" s="11" t="s">
        <v>633</v>
      </c>
      <c r="F166" s="185">
        <v>45663</v>
      </c>
      <c r="G166" s="11" t="s">
        <v>177</v>
      </c>
      <c r="H166" s="11">
        <v>0</v>
      </c>
      <c r="I166" s="11">
        <v>0</v>
      </c>
      <c r="J166" s="11">
        <v>0</v>
      </c>
      <c r="K166" s="11">
        <v>0</v>
      </c>
      <c r="L166" s="6">
        <f t="shared" si="0"/>
        <v>0</v>
      </c>
      <c r="M166" s="11">
        <v>23</v>
      </c>
      <c r="N166" s="11">
        <v>23</v>
      </c>
      <c r="O166" s="11">
        <v>12</v>
      </c>
      <c r="P166" s="11">
        <v>35</v>
      </c>
      <c r="Q166" s="11">
        <v>12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50</v>
      </c>
      <c r="Y166" s="11">
        <v>67</v>
      </c>
      <c r="Z166" s="11">
        <v>66</v>
      </c>
      <c r="AA166" s="11">
        <v>3</v>
      </c>
      <c r="AB166" s="11">
        <v>39</v>
      </c>
      <c r="AC166" s="11">
        <v>0</v>
      </c>
      <c r="AD166" s="11">
        <v>0</v>
      </c>
      <c r="AE166" s="11">
        <v>48</v>
      </c>
      <c r="AF166" s="11">
        <v>173</v>
      </c>
      <c r="AG166" s="11">
        <v>48</v>
      </c>
      <c r="AH166" s="11">
        <v>327</v>
      </c>
      <c r="AI166" s="11">
        <v>73</v>
      </c>
      <c r="AJ166" s="11">
        <v>0</v>
      </c>
      <c r="AK166" s="11">
        <v>4</v>
      </c>
      <c r="AL166" s="11">
        <v>66667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768</v>
      </c>
      <c r="AT166" s="11">
        <v>4983.1000000000004</v>
      </c>
      <c r="AU166" s="11">
        <v>0</v>
      </c>
      <c r="AV166" s="11">
        <v>217</v>
      </c>
      <c r="AW166" s="11">
        <v>0</v>
      </c>
      <c r="AX166" s="11">
        <v>23</v>
      </c>
      <c r="AY166" s="11">
        <v>12</v>
      </c>
    </row>
    <row r="167" spans="1:52">
      <c r="A167" s="11" t="s">
        <v>177</v>
      </c>
      <c r="B167" s="149" t="s">
        <v>458</v>
      </c>
      <c r="C167" s="11" t="s">
        <v>280</v>
      </c>
      <c r="D167" s="11" t="s">
        <v>581</v>
      </c>
      <c r="E167" s="11" t="s">
        <v>634</v>
      </c>
      <c r="F167" s="185">
        <v>45663</v>
      </c>
      <c r="G167" s="11" t="s">
        <v>177</v>
      </c>
      <c r="H167" s="11">
        <v>0</v>
      </c>
      <c r="I167" s="11">
        <v>0</v>
      </c>
      <c r="J167" s="11">
        <v>286897.21999999997</v>
      </c>
      <c r="K167" s="11">
        <v>0</v>
      </c>
      <c r="L167" s="6">
        <f t="shared" si="0"/>
        <v>286897.21999999997</v>
      </c>
      <c r="M167" s="11">
        <v>6</v>
      </c>
      <c r="N167" s="11">
        <v>5</v>
      </c>
      <c r="O167" s="11">
        <v>2</v>
      </c>
      <c r="P167" s="11">
        <v>8</v>
      </c>
      <c r="Q167" s="11">
        <v>3</v>
      </c>
      <c r="R167" s="11">
        <v>0.01</v>
      </c>
      <c r="S167" s="11">
        <v>286897.21000000002</v>
      </c>
      <c r="T167" s="11">
        <v>0</v>
      </c>
      <c r="U167" s="11">
        <v>2</v>
      </c>
      <c r="V167" s="11">
        <v>2</v>
      </c>
      <c r="W167" s="11">
        <v>0</v>
      </c>
      <c r="X167" s="11">
        <v>39</v>
      </c>
      <c r="Y167" s="11">
        <v>53</v>
      </c>
      <c r="Z167" s="11">
        <v>72</v>
      </c>
      <c r="AA167" s="11">
        <v>3</v>
      </c>
      <c r="AB167" s="11">
        <v>35</v>
      </c>
      <c r="AC167" s="11">
        <v>0</v>
      </c>
      <c r="AD167" s="11">
        <v>0</v>
      </c>
      <c r="AE167" s="11">
        <v>35</v>
      </c>
      <c r="AF167" s="11">
        <v>131</v>
      </c>
      <c r="AG167" s="11">
        <v>26</v>
      </c>
      <c r="AH167" s="11">
        <v>245</v>
      </c>
      <c r="AI167" s="11">
        <v>70</v>
      </c>
      <c r="AJ167" s="11">
        <v>4099</v>
      </c>
      <c r="AK167" s="11">
        <v>4</v>
      </c>
      <c r="AL167" s="11">
        <v>62500</v>
      </c>
      <c r="AM167" s="11">
        <v>0</v>
      </c>
      <c r="AN167" s="11">
        <v>0.21779999999999999</v>
      </c>
      <c r="AO167" s="11">
        <v>143449</v>
      </c>
      <c r="AP167" s="11">
        <v>0</v>
      </c>
      <c r="AQ167" s="11">
        <v>0</v>
      </c>
      <c r="AR167" s="11">
        <v>6</v>
      </c>
      <c r="AS167" s="11">
        <v>713</v>
      </c>
      <c r="AT167" s="11">
        <v>3426.04</v>
      </c>
      <c r="AU167" s="11">
        <v>2</v>
      </c>
      <c r="AV167" s="11">
        <v>685</v>
      </c>
      <c r="AW167" s="11">
        <v>2</v>
      </c>
      <c r="AX167" s="11">
        <v>3</v>
      </c>
      <c r="AY167" s="11">
        <v>3</v>
      </c>
    </row>
    <row r="168" spans="1:52">
      <c r="A168" s="11" t="s">
        <v>118</v>
      </c>
      <c r="B168" s="149" t="s">
        <v>362</v>
      </c>
      <c r="C168" s="11" t="s">
        <v>281</v>
      </c>
      <c r="D168" s="11" t="s">
        <v>419</v>
      </c>
      <c r="E168" s="11" t="s">
        <v>635</v>
      </c>
      <c r="F168" s="184">
        <v>45670</v>
      </c>
      <c r="G168" s="11" t="s">
        <v>219</v>
      </c>
      <c r="H168" s="11">
        <v>0</v>
      </c>
      <c r="I168" s="11">
        <v>4500000</v>
      </c>
      <c r="J168" s="11">
        <v>3562351.59</v>
      </c>
      <c r="K168" s="11">
        <v>0</v>
      </c>
      <c r="L168" s="6">
        <f t="shared" si="0"/>
        <v>3562351.59</v>
      </c>
      <c r="M168" s="11">
        <v>29</v>
      </c>
      <c r="N168" s="11">
        <v>36</v>
      </c>
      <c r="O168" s="11">
        <v>9</v>
      </c>
      <c r="P168" s="11">
        <v>38</v>
      </c>
      <c r="Q168" s="11">
        <v>2</v>
      </c>
      <c r="R168" s="11">
        <v>2038957.01</v>
      </c>
      <c r="S168" s="11">
        <v>1523394.58</v>
      </c>
      <c r="T168" s="11">
        <v>21</v>
      </c>
      <c r="U168" s="11">
        <v>8</v>
      </c>
      <c r="V168" s="11">
        <v>29</v>
      </c>
      <c r="W168" s="11">
        <v>0</v>
      </c>
      <c r="X168" s="11">
        <v>26</v>
      </c>
      <c r="Y168" s="11">
        <v>33</v>
      </c>
      <c r="Z168" s="11">
        <v>120</v>
      </c>
      <c r="AA168" s="11">
        <v>1</v>
      </c>
      <c r="AB168" s="11">
        <v>33</v>
      </c>
      <c r="AC168" s="11">
        <v>0</v>
      </c>
      <c r="AD168" s="11">
        <v>0</v>
      </c>
      <c r="AE168" s="11">
        <v>0</v>
      </c>
      <c r="AF168" s="11">
        <v>0</v>
      </c>
      <c r="AG168" s="11">
        <v>167</v>
      </c>
      <c r="AH168" s="11">
        <v>233</v>
      </c>
      <c r="AI168" s="11">
        <v>69</v>
      </c>
      <c r="AJ168" s="11">
        <v>51628</v>
      </c>
      <c r="AK168" s="11">
        <v>3</v>
      </c>
      <c r="AL168" s="11">
        <v>29375</v>
      </c>
      <c r="AM168" s="11">
        <v>0</v>
      </c>
      <c r="AN168" s="11">
        <v>8.2000000000000007E-3</v>
      </c>
      <c r="AO168" s="11">
        <v>122840</v>
      </c>
      <c r="AP168" s="11">
        <v>0.79</v>
      </c>
      <c r="AQ168" s="11">
        <v>0</v>
      </c>
      <c r="AR168" s="11">
        <v>48</v>
      </c>
      <c r="AS168" s="11">
        <v>795</v>
      </c>
      <c r="AT168" s="11">
        <v>1806.11</v>
      </c>
      <c r="AU168" s="11">
        <v>8</v>
      </c>
      <c r="AV168" s="11">
        <v>50</v>
      </c>
      <c r="AW168" s="11">
        <v>29</v>
      </c>
      <c r="AX168" s="11">
        <v>8</v>
      </c>
      <c r="AY168" s="11">
        <v>1</v>
      </c>
    </row>
    <row r="169" spans="1:52">
      <c r="A169" s="11" t="s">
        <v>108</v>
      </c>
      <c r="B169" s="149" t="s">
        <v>465</v>
      </c>
      <c r="C169" s="11" t="s">
        <v>282</v>
      </c>
      <c r="D169" s="11" t="s">
        <v>506</v>
      </c>
      <c r="E169" s="11" t="s">
        <v>475</v>
      </c>
      <c r="F169" s="185">
        <v>45694</v>
      </c>
      <c r="G169" s="11" t="s">
        <v>317</v>
      </c>
      <c r="H169" s="11">
        <v>0</v>
      </c>
      <c r="I169" s="11">
        <v>2112000</v>
      </c>
      <c r="J169" s="11">
        <v>415664.4</v>
      </c>
      <c r="K169" s="11">
        <v>0</v>
      </c>
      <c r="L169" s="6">
        <f t="shared" si="0"/>
        <v>415664.4</v>
      </c>
      <c r="M169" s="11">
        <v>69</v>
      </c>
      <c r="N169" s="11">
        <v>55</v>
      </c>
      <c r="O169" s="11">
        <v>3</v>
      </c>
      <c r="P169" s="11">
        <v>72</v>
      </c>
      <c r="Q169" s="11">
        <v>17</v>
      </c>
      <c r="R169" s="11">
        <v>385064.4</v>
      </c>
      <c r="S169" s="11">
        <v>30600</v>
      </c>
      <c r="T169" s="11">
        <v>28</v>
      </c>
      <c r="U169" s="11">
        <v>3</v>
      </c>
      <c r="V169" s="11">
        <v>31</v>
      </c>
      <c r="W169" s="11">
        <v>0</v>
      </c>
      <c r="X169" s="11">
        <v>9</v>
      </c>
      <c r="Y169" s="11">
        <v>14</v>
      </c>
      <c r="Z169" s="11">
        <v>10</v>
      </c>
      <c r="AA169" s="11">
        <v>1</v>
      </c>
      <c r="AB169" s="11">
        <v>18</v>
      </c>
      <c r="AC169" s="11">
        <v>0</v>
      </c>
      <c r="AD169" s="11">
        <v>0</v>
      </c>
      <c r="AE169" s="11">
        <v>0</v>
      </c>
      <c r="AF169" s="11">
        <v>0</v>
      </c>
      <c r="AG169" s="11">
        <v>223</v>
      </c>
      <c r="AH169" s="11">
        <v>255</v>
      </c>
      <c r="AI169" s="11">
        <v>34</v>
      </c>
      <c r="AJ169" s="11">
        <v>12225</v>
      </c>
      <c r="AK169" s="11">
        <v>8</v>
      </c>
      <c r="AL169" s="11">
        <v>23000</v>
      </c>
      <c r="AM169" s="11">
        <v>0</v>
      </c>
      <c r="AN169" s="11">
        <v>5.5300000000000002E-2</v>
      </c>
      <c r="AO169" s="11">
        <v>13409</v>
      </c>
      <c r="AP169" s="11">
        <v>0.2</v>
      </c>
      <c r="AQ169" s="11">
        <v>0</v>
      </c>
      <c r="AR169" s="11">
        <v>48</v>
      </c>
      <c r="AS169" s="11">
        <v>330</v>
      </c>
      <c r="AT169" s="11">
        <v>2123.59</v>
      </c>
      <c r="AU169" s="11">
        <v>3</v>
      </c>
      <c r="AV169" s="11">
        <v>39</v>
      </c>
      <c r="AW169" s="11">
        <v>31</v>
      </c>
      <c r="AX169" s="11">
        <v>24</v>
      </c>
      <c r="AY169" s="11">
        <v>17</v>
      </c>
      <c r="AZ169" s="184">
        <v>45899</v>
      </c>
    </row>
    <row r="170" spans="1:52">
      <c r="A170" s="11" t="s">
        <v>108</v>
      </c>
      <c r="B170" s="149" t="s">
        <v>465</v>
      </c>
      <c r="C170" s="11" t="s">
        <v>283</v>
      </c>
      <c r="D170" s="11" t="s">
        <v>506</v>
      </c>
      <c r="E170" s="11" t="s">
        <v>475</v>
      </c>
      <c r="F170" s="185">
        <v>45719</v>
      </c>
      <c r="G170" s="11" t="s">
        <v>317</v>
      </c>
      <c r="H170" s="11">
        <v>0</v>
      </c>
      <c r="I170" s="11">
        <v>3520000</v>
      </c>
      <c r="J170" s="11">
        <v>2774024.99</v>
      </c>
      <c r="K170" s="11">
        <v>0</v>
      </c>
      <c r="L170" s="6">
        <f t="shared" si="0"/>
        <v>2774024.99</v>
      </c>
      <c r="M170" s="11">
        <v>104</v>
      </c>
      <c r="N170" s="11">
        <v>58</v>
      </c>
      <c r="O170" s="11">
        <v>8</v>
      </c>
      <c r="P170" s="11">
        <v>112</v>
      </c>
      <c r="Q170" s="11">
        <v>54</v>
      </c>
      <c r="R170" s="11">
        <v>2481835.19</v>
      </c>
      <c r="S170" s="11">
        <v>292189.8</v>
      </c>
      <c r="T170" s="11">
        <v>33</v>
      </c>
      <c r="U170" s="11">
        <v>8</v>
      </c>
      <c r="V170" s="11">
        <v>41</v>
      </c>
      <c r="W170" s="11">
        <v>0</v>
      </c>
      <c r="X170" s="11">
        <v>2</v>
      </c>
      <c r="Y170" s="11">
        <v>6</v>
      </c>
      <c r="Z170" s="11">
        <v>3</v>
      </c>
      <c r="AA170" s="11">
        <v>1</v>
      </c>
      <c r="AB170" s="11">
        <v>8</v>
      </c>
      <c r="AC170" s="11">
        <v>0</v>
      </c>
      <c r="AD170" s="11">
        <v>0</v>
      </c>
      <c r="AE170" s="11">
        <v>0</v>
      </c>
      <c r="AF170" s="11">
        <v>0</v>
      </c>
      <c r="AG170" s="11">
        <v>400</v>
      </c>
      <c r="AH170" s="11">
        <v>414</v>
      </c>
      <c r="AI170" s="11">
        <v>71</v>
      </c>
      <c r="AJ170" s="11">
        <v>39071</v>
      </c>
      <c r="AK170" s="11">
        <v>6</v>
      </c>
      <c r="AL170" s="11">
        <v>23000</v>
      </c>
      <c r="AM170" s="11">
        <v>0</v>
      </c>
      <c r="AN170" s="11">
        <v>8.3000000000000001E-3</v>
      </c>
      <c r="AO170" s="11">
        <v>67659</v>
      </c>
      <c r="AP170" s="11">
        <v>0.79</v>
      </c>
      <c r="AQ170" s="11">
        <v>0</v>
      </c>
      <c r="AR170" s="11">
        <v>110</v>
      </c>
      <c r="AS170" s="11">
        <v>681</v>
      </c>
      <c r="AT170" s="11">
        <v>4121.57</v>
      </c>
      <c r="AU170" s="11">
        <v>8</v>
      </c>
      <c r="AV170" s="11">
        <v>71</v>
      </c>
      <c r="AW170" s="11">
        <v>41</v>
      </c>
      <c r="AX170" s="11">
        <v>19</v>
      </c>
      <c r="AY170" s="11">
        <v>52</v>
      </c>
    </row>
    <row r="171" spans="1:52">
      <c r="A171" s="11" t="s">
        <v>120</v>
      </c>
      <c r="B171" s="149" t="s">
        <v>206</v>
      </c>
      <c r="C171" s="11" t="s">
        <v>284</v>
      </c>
      <c r="D171" s="11" t="s">
        <v>206</v>
      </c>
      <c r="E171" s="11" t="s">
        <v>358</v>
      </c>
      <c r="F171" s="185">
        <v>45722</v>
      </c>
      <c r="G171" s="11" t="s">
        <v>120</v>
      </c>
      <c r="H171" s="11">
        <v>0</v>
      </c>
      <c r="I171" s="11">
        <v>3600000</v>
      </c>
      <c r="J171" s="11">
        <v>1834714.17</v>
      </c>
      <c r="K171" s="11">
        <v>0</v>
      </c>
      <c r="L171" s="6">
        <f t="shared" si="0"/>
        <v>1834714.17</v>
      </c>
      <c r="M171" s="11">
        <v>70</v>
      </c>
      <c r="N171" s="11">
        <v>68</v>
      </c>
      <c r="O171" s="11">
        <v>11</v>
      </c>
      <c r="P171" s="11">
        <v>81</v>
      </c>
      <c r="Q171" s="11">
        <v>13</v>
      </c>
      <c r="R171" s="11">
        <v>1693065.32</v>
      </c>
      <c r="S171" s="11">
        <v>141648.85</v>
      </c>
      <c r="T171" s="11">
        <v>30</v>
      </c>
      <c r="U171" s="11">
        <v>11</v>
      </c>
      <c r="V171" s="11">
        <v>41</v>
      </c>
      <c r="W171" s="11">
        <v>0</v>
      </c>
      <c r="X171" s="11">
        <v>195</v>
      </c>
      <c r="Y171" s="11">
        <v>302</v>
      </c>
      <c r="Z171" s="11">
        <v>103</v>
      </c>
      <c r="AA171" s="11">
        <v>4</v>
      </c>
      <c r="AB171" s="11">
        <v>46</v>
      </c>
      <c r="AC171" s="11">
        <v>2</v>
      </c>
      <c r="AD171" s="11">
        <v>2</v>
      </c>
      <c r="AE171" s="11">
        <v>5</v>
      </c>
      <c r="AF171" s="11">
        <v>5</v>
      </c>
      <c r="AG171" s="11">
        <v>297</v>
      </c>
      <c r="AH171" s="11">
        <v>652</v>
      </c>
      <c r="AI171" s="11">
        <v>74</v>
      </c>
      <c r="AJ171" s="11">
        <v>24793</v>
      </c>
      <c r="AK171" s="11">
        <v>9</v>
      </c>
      <c r="AL171" s="11">
        <v>27260</v>
      </c>
      <c r="AM171" s="11">
        <v>0</v>
      </c>
      <c r="AN171" s="11">
        <v>1.49E-2</v>
      </c>
      <c r="AO171" s="11">
        <v>44749</v>
      </c>
      <c r="AP171" s="11">
        <v>0.51</v>
      </c>
      <c r="AQ171" s="11">
        <v>0</v>
      </c>
      <c r="AR171" s="11">
        <v>93</v>
      </c>
      <c r="AS171" s="11">
        <v>748</v>
      </c>
      <c r="AT171" s="11">
        <v>6522.53</v>
      </c>
      <c r="AU171" s="11">
        <v>11</v>
      </c>
      <c r="AV171" s="11">
        <v>96</v>
      </c>
      <c r="AW171" s="11">
        <v>41</v>
      </c>
      <c r="AX171" s="11">
        <v>28</v>
      </c>
      <c r="AY171" s="11">
        <v>12</v>
      </c>
    </row>
    <row r="172" spans="1:52">
      <c r="A172" s="11" t="s">
        <v>120</v>
      </c>
      <c r="B172" s="149" t="s">
        <v>356</v>
      </c>
      <c r="C172" s="11" t="s">
        <v>285</v>
      </c>
      <c r="D172" s="11" t="s">
        <v>770</v>
      </c>
      <c r="E172" s="11" t="s">
        <v>291</v>
      </c>
      <c r="F172" s="184">
        <v>45736</v>
      </c>
      <c r="G172" s="11" t="s">
        <v>120</v>
      </c>
      <c r="H172" s="11">
        <v>150000</v>
      </c>
      <c r="I172" s="11">
        <v>3600000</v>
      </c>
      <c r="J172" s="11">
        <v>2368954.44</v>
      </c>
      <c r="K172" s="11">
        <v>94065.8</v>
      </c>
      <c r="L172" s="6">
        <f t="shared" si="0"/>
        <v>2463020.2399999998</v>
      </c>
      <c r="M172" s="11">
        <v>26</v>
      </c>
      <c r="N172" s="11">
        <v>28</v>
      </c>
      <c r="O172" s="11">
        <v>6</v>
      </c>
      <c r="P172" s="11">
        <v>32</v>
      </c>
      <c r="Q172" s="11">
        <v>4</v>
      </c>
      <c r="R172" s="11">
        <v>1485832.36</v>
      </c>
      <c r="S172" s="11">
        <v>883122.08</v>
      </c>
      <c r="T172" s="11">
        <v>10</v>
      </c>
      <c r="U172" s="11">
        <v>6</v>
      </c>
      <c r="V172" s="11">
        <v>16</v>
      </c>
      <c r="W172" s="11">
        <v>1</v>
      </c>
      <c r="X172" s="11">
        <v>136</v>
      </c>
      <c r="Y172" s="11">
        <v>274</v>
      </c>
      <c r="Z172" s="11">
        <v>79</v>
      </c>
      <c r="AA172" s="11">
        <v>3</v>
      </c>
      <c r="AB172" s="11">
        <v>11</v>
      </c>
      <c r="AC172" s="11">
        <v>4</v>
      </c>
      <c r="AD172" s="11">
        <v>20</v>
      </c>
      <c r="AE172" s="11">
        <v>1</v>
      </c>
      <c r="AF172" s="11">
        <v>6</v>
      </c>
      <c r="AG172" s="11">
        <v>129</v>
      </c>
      <c r="AH172" s="11">
        <v>440</v>
      </c>
      <c r="AI172" s="11">
        <v>75</v>
      </c>
      <c r="AJ172" s="11">
        <v>31586</v>
      </c>
      <c r="AK172" s="11">
        <v>6</v>
      </c>
      <c r="AL172" s="11">
        <v>27260</v>
      </c>
      <c r="AM172" s="11">
        <v>0</v>
      </c>
      <c r="AN172" s="11">
        <v>1.15E-2</v>
      </c>
      <c r="AO172" s="11">
        <v>148060</v>
      </c>
      <c r="AP172" s="11">
        <v>0.66</v>
      </c>
      <c r="AQ172" s="11">
        <v>0.63</v>
      </c>
      <c r="AR172" s="11">
        <v>45</v>
      </c>
      <c r="AS172" s="11">
        <v>667</v>
      </c>
      <c r="AT172" s="11">
        <v>2278.63</v>
      </c>
      <c r="AU172" s="11">
        <v>6</v>
      </c>
      <c r="AV172" s="11">
        <v>81</v>
      </c>
      <c r="AW172" s="11">
        <v>16</v>
      </c>
      <c r="AX172" s="11">
        <v>12</v>
      </c>
      <c r="AY172" s="11">
        <v>4</v>
      </c>
    </row>
    <row r="173" spans="1:52">
      <c r="A173" s="11" t="s">
        <v>154</v>
      </c>
      <c r="B173" s="149" t="s">
        <v>367</v>
      </c>
      <c r="C173" s="11" t="s">
        <v>287</v>
      </c>
      <c r="D173" s="11" t="s">
        <v>577</v>
      </c>
      <c r="E173" s="11" t="s">
        <v>371</v>
      </c>
      <c r="F173" s="184">
        <v>45733</v>
      </c>
      <c r="G173" s="11" t="s">
        <v>196</v>
      </c>
      <c r="H173" s="11">
        <v>0</v>
      </c>
      <c r="I173" s="11">
        <v>4000000</v>
      </c>
      <c r="J173" s="11">
        <v>2078331.13</v>
      </c>
      <c r="K173" s="11">
        <v>0</v>
      </c>
      <c r="L173" s="6">
        <f t="shared" si="0"/>
        <v>2078331.13</v>
      </c>
      <c r="M173" s="11">
        <v>76</v>
      </c>
      <c r="N173" s="11">
        <v>73</v>
      </c>
      <c r="O173" s="11">
        <v>4</v>
      </c>
      <c r="P173" s="11">
        <v>80</v>
      </c>
      <c r="Q173" s="11">
        <v>7</v>
      </c>
      <c r="R173" s="11">
        <v>1783160.4</v>
      </c>
      <c r="S173" s="11">
        <v>295170.73</v>
      </c>
      <c r="T173" s="11">
        <v>30</v>
      </c>
      <c r="U173" s="11">
        <v>4</v>
      </c>
      <c r="V173" s="11">
        <v>34</v>
      </c>
      <c r="W173" s="11">
        <v>0</v>
      </c>
      <c r="X173" s="11">
        <v>129</v>
      </c>
      <c r="Y173" s="11">
        <v>183</v>
      </c>
      <c r="Z173" s="11">
        <v>59</v>
      </c>
      <c r="AA173" s="11">
        <v>3</v>
      </c>
      <c r="AB173" s="11">
        <v>29</v>
      </c>
      <c r="AC173" s="11">
        <v>0</v>
      </c>
      <c r="AD173" s="11">
        <v>0</v>
      </c>
      <c r="AE173" s="11">
        <v>8</v>
      </c>
      <c r="AF173" s="11">
        <v>24</v>
      </c>
      <c r="AG173" s="11">
        <v>275</v>
      </c>
      <c r="AH173" s="11">
        <v>511</v>
      </c>
      <c r="AI173" s="11">
        <v>71</v>
      </c>
      <c r="AJ173" s="11">
        <v>29272</v>
      </c>
      <c r="AK173" s="11">
        <v>7</v>
      </c>
      <c r="AL173" s="11">
        <v>33550</v>
      </c>
      <c r="AM173" s="11">
        <v>0</v>
      </c>
      <c r="AN173" s="11">
        <v>1.61E-2</v>
      </c>
      <c r="AO173" s="11">
        <v>61127</v>
      </c>
      <c r="AP173" s="11">
        <v>0.52</v>
      </c>
      <c r="AQ173" s="11">
        <v>0</v>
      </c>
      <c r="AR173" s="11">
        <v>59</v>
      </c>
      <c r="AS173" s="11">
        <v>700</v>
      </c>
      <c r="AT173" s="11">
        <v>8127.73</v>
      </c>
      <c r="AU173" s="11">
        <v>4</v>
      </c>
      <c r="AV173" s="11">
        <v>111</v>
      </c>
      <c r="AW173" s="11">
        <v>34</v>
      </c>
      <c r="AX173" s="11">
        <v>40</v>
      </c>
      <c r="AY173" s="11">
        <v>6</v>
      </c>
    </row>
    <row r="174" spans="1:52">
      <c r="A174" s="11" t="s">
        <v>154</v>
      </c>
      <c r="B174" s="149" t="s">
        <v>367</v>
      </c>
      <c r="C174" s="11" t="s">
        <v>288</v>
      </c>
      <c r="D174" s="11" t="s">
        <v>577</v>
      </c>
      <c r="E174" s="11" t="s">
        <v>637</v>
      </c>
      <c r="F174" s="184">
        <v>45735</v>
      </c>
      <c r="G174" s="11" t="s">
        <v>196</v>
      </c>
      <c r="H174" s="11">
        <v>0</v>
      </c>
      <c r="I174" s="11">
        <v>2100000</v>
      </c>
      <c r="J174" s="11">
        <v>602283.86</v>
      </c>
      <c r="K174" s="11">
        <v>0</v>
      </c>
      <c r="L174" s="6">
        <f t="shared" si="0"/>
        <v>602283.86</v>
      </c>
      <c r="M174" s="11">
        <v>65</v>
      </c>
      <c r="N174" s="11">
        <v>52</v>
      </c>
      <c r="O174" s="11">
        <v>10</v>
      </c>
      <c r="P174" s="11">
        <v>75</v>
      </c>
      <c r="Q174" s="11">
        <v>23</v>
      </c>
      <c r="R174" s="11">
        <v>263379.96000000002</v>
      </c>
      <c r="S174" s="11">
        <v>338903.9</v>
      </c>
      <c r="T174" s="11">
        <v>10</v>
      </c>
      <c r="U174" s="11">
        <v>10</v>
      </c>
      <c r="V174" s="11">
        <v>20</v>
      </c>
      <c r="W174" s="11">
        <v>0</v>
      </c>
      <c r="X174" s="11">
        <v>119</v>
      </c>
      <c r="Y174" s="11">
        <v>252</v>
      </c>
      <c r="Z174" s="11">
        <v>82</v>
      </c>
      <c r="AA174" s="11">
        <v>3</v>
      </c>
      <c r="AB174" s="11">
        <v>48</v>
      </c>
      <c r="AC174" s="11">
        <v>0</v>
      </c>
      <c r="AD174" s="11">
        <v>0</v>
      </c>
      <c r="AE174" s="11">
        <v>8</v>
      </c>
      <c r="AF174" s="11">
        <v>47</v>
      </c>
      <c r="AG174" s="11">
        <v>234</v>
      </c>
      <c r="AH174" s="11">
        <v>581</v>
      </c>
      <c r="AI174" s="11">
        <v>72</v>
      </c>
      <c r="AJ174" s="11">
        <v>8365</v>
      </c>
      <c r="AK174" s="11">
        <v>8</v>
      </c>
      <c r="AL174" s="11">
        <v>25165</v>
      </c>
      <c r="AM174" s="11">
        <v>0</v>
      </c>
      <c r="AN174" s="11">
        <v>4.1799999999999997E-2</v>
      </c>
      <c r="AO174" s="11">
        <v>30114</v>
      </c>
      <c r="AP174" s="11">
        <v>0.28999999999999998</v>
      </c>
      <c r="AQ174" s="11">
        <v>0</v>
      </c>
      <c r="AR174" s="11">
        <v>33</v>
      </c>
      <c r="AS174" s="11">
        <v>842</v>
      </c>
      <c r="AT174" s="11">
        <v>4661.26</v>
      </c>
      <c r="AU174" s="11">
        <v>10</v>
      </c>
      <c r="AV174" s="11">
        <v>90</v>
      </c>
      <c r="AW174" s="11">
        <v>20</v>
      </c>
      <c r="AX174" s="11">
        <v>35</v>
      </c>
      <c r="AY174" s="11">
        <v>20</v>
      </c>
      <c r="AZ174" s="185">
        <v>45938</v>
      </c>
    </row>
    <row r="175" spans="1:52">
      <c r="A175" s="11" t="s">
        <v>154</v>
      </c>
      <c r="B175" s="149" t="s">
        <v>367</v>
      </c>
      <c r="C175" s="11" t="s">
        <v>289</v>
      </c>
      <c r="D175" s="11" t="s">
        <v>577</v>
      </c>
      <c r="E175" s="11" t="s">
        <v>578</v>
      </c>
      <c r="F175" s="184">
        <v>45736</v>
      </c>
      <c r="G175" s="11" t="s">
        <v>196</v>
      </c>
      <c r="H175" s="11">
        <v>0</v>
      </c>
      <c r="I175" s="11">
        <v>0</v>
      </c>
      <c r="J175" s="11">
        <v>0</v>
      </c>
      <c r="K175" s="11">
        <v>0</v>
      </c>
      <c r="L175" s="6">
        <f t="shared" si="0"/>
        <v>0</v>
      </c>
      <c r="M175" s="11">
        <v>37</v>
      </c>
      <c r="N175" s="11">
        <v>22</v>
      </c>
      <c r="O175" s="11">
        <v>5</v>
      </c>
      <c r="P175" s="11">
        <v>42</v>
      </c>
      <c r="Q175" s="11">
        <v>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64</v>
      </c>
      <c r="Y175" s="11">
        <v>103</v>
      </c>
      <c r="Z175" s="11">
        <v>59</v>
      </c>
      <c r="AA175" s="11">
        <v>3</v>
      </c>
      <c r="AB175" s="11">
        <v>22</v>
      </c>
      <c r="AC175" s="11">
        <v>0</v>
      </c>
      <c r="AD175" s="11">
        <v>0</v>
      </c>
      <c r="AE175" s="11">
        <v>8</v>
      </c>
      <c r="AF175" s="11">
        <v>23</v>
      </c>
      <c r="AG175" s="11">
        <v>46</v>
      </c>
      <c r="AH175" s="11">
        <v>194</v>
      </c>
      <c r="AI175" s="11">
        <v>59</v>
      </c>
      <c r="AJ175" s="11">
        <v>0</v>
      </c>
      <c r="AK175" s="11">
        <v>3</v>
      </c>
      <c r="AL175" s="11">
        <v>37740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598</v>
      </c>
      <c r="AT175" s="11">
        <v>7889.29</v>
      </c>
      <c r="AU175" s="11">
        <v>0</v>
      </c>
      <c r="AV175" s="11">
        <v>359</v>
      </c>
      <c r="AW175" s="11">
        <v>0</v>
      </c>
      <c r="AX175" s="11">
        <v>22</v>
      </c>
      <c r="AY175" s="11">
        <v>20</v>
      </c>
      <c r="AZ175" s="184">
        <v>45919</v>
      </c>
    </row>
    <row r="176" spans="1:52">
      <c r="A176" s="11" t="s">
        <v>108</v>
      </c>
      <c r="B176" s="149" t="s">
        <v>465</v>
      </c>
      <c r="C176" s="11" t="s">
        <v>290</v>
      </c>
      <c r="D176" s="11" t="s">
        <v>506</v>
      </c>
      <c r="E176" s="11" t="s">
        <v>639</v>
      </c>
      <c r="F176" s="185">
        <v>45751</v>
      </c>
      <c r="G176" s="11" t="s">
        <v>108</v>
      </c>
      <c r="H176" s="11">
        <v>0</v>
      </c>
      <c r="I176" s="11">
        <v>2979900</v>
      </c>
      <c r="J176" s="11">
        <v>570957.30000000005</v>
      </c>
      <c r="K176" s="11">
        <v>0</v>
      </c>
      <c r="L176" s="6">
        <f t="shared" si="0"/>
        <v>570957.30000000005</v>
      </c>
      <c r="M176" s="11">
        <v>227</v>
      </c>
      <c r="N176" s="11">
        <v>57</v>
      </c>
      <c r="O176" s="11">
        <v>5</v>
      </c>
      <c r="P176" s="11">
        <v>232</v>
      </c>
      <c r="Q176" s="11">
        <v>175</v>
      </c>
      <c r="R176" s="11">
        <v>495648.5</v>
      </c>
      <c r="S176" s="11">
        <v>75308.800000000003</v>
      </c>
      <c r="T176" s="11">
        <v>23</v>
      </c>
      <c r="U176" s="11">
        <v>4</v>
      </c>
      <c r="V176" s="11">
        <v>27</v>
      </c>
      <c r="W176" s="11">
        <v>0</v>
      </c>
      <c r="X176" s="11">
        <v>37</v>
      </c>
      <c r="Y176" s="11">
        <v>54</v>
      </c>
      <c r="Z176" s="11">
        <v>35</v>
      </c>
      <c r="AA176" s="11">
        <v>2</v>
      </c>
      <c r="AB176" s="11">
        <v>25</v>
      </c>
      <c r="AC176" s="11">
        <v>0</v>
      </c>
      <c r="AD176" s="11">
        <v>0</v>
      </c>
      <c r="AE176" s="11">
        <v>0</v>
      </c>
      <c r="AF176" s="11">
        <v>0</v>
      </c>
      <c r="AG176" s="11">
        <v>138</v>
      </c>
      <c r="AH176" s="11">
        <v>217</v>
      </c>
      <c r="AI176" s="11">
        <v>33</v>
      </c>
      <c r="AJ176" s="11">
        <v>17302</v>
      </c>
      <c r="AK176" s="11">
        <v>7</v>
      </c>
      <c r="AL176" s="11">
        <v>37760</v>
      </c>
      <c r="AM176" s="11">
        <v>0</v>
      </c>
      <c r="AN176" s="11">
        <v>6.6100000000000006E-2</v>
      </c>
      <c r="AO176" s="11">
        <v>21147</v>
      </c>
      <c r="AP176" s="11">
        <v>0.19</v>
      </c>
      <c r="AQ176" s="11">
        <v>0</v>
      </c>
      <c r="AR176" s="11">
        <v>40</v>
      </c>
      <c r="AS176" s="11">
        <v>324</v>
      </c>
      <c r="AT176" s="11">
        <v>2299.21</v>
      </c>
      <c r="AU176" s="11">
        <v>4</v>
      </c>
      <c r="AV176" s="11">
        <v>40</v>
      </c>
      <c r="AW176" s="11">
        <v>27</v>
      </c>
      <c r="AX176" s="11">
        <v>34</v>
      </c>
      <c r="AY176" s="11">
        <v>171</v>
      </c>
      <c r="AZ176" s="184">
        <v>45881</v>
      </c>
    </row>
    <row r="177" spans="1:52">
      <c r="A177" s="11" t="s">
        <v>154</v>
      </c>
      <c r="B177" s="149" t="s">
        <v>367</v>
      </c>
      <c r="C177" s="11" t="s">
        <v>292</v>
      </c>
      <c r="D177" s="11" t="s">
        <v>577</v>
      </c>
      <c r="E177" s="11" t="s">
        <v>377</v>
      </c>
      <c r="F177" s="184">
        <v>45761</v>
      </c>
      <c r="G177" s="11" t="s">
        <v>196</v>
      </c>
      <c r="H177" s="11">
        <v>0</v>
      </c>
      <c r="I177" s="11">
        <v>0</v>
      </c>
      <c r="J177" s="11">
        <v>0</v>
      </c>
      <c r="K177" s="11">
        <v>0</v>
      </c>
      <c r="L177" s="6">
        <f t="shared" si="0"/>
        <v>0</v>
      </c>
      <c r="M177" s="11">
        <v>8</v>
      </c>
      <c r="N177" s="11">
        <v>0</v>
      </c>
      <c r="O177" s="11">
        <v>0</v>
      </c>
      <c r="P177" s="11">
        <v>8</v>
      </c>
      <c r="Q177" s="11">
        <v>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9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65000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8</v>
      </c>
      <c r="AZ177" s="184">
        <v>45771</v>
      </c>
    </row>
    <row r="178" spans="1:52">
      <c r="A178" s="11" t="s">
        <v>177</v>
      </c>
      <c r="B178" s="149" t="s">
        <v>458</v>
      </c>
      <c r="C178" s="11" t="s">
        <v>293</v>
      </c>
      <c r="D178" s="11" t="s">
        <v>581</v>
      </c>
      <c r="E178" s="11" t="s">
        <v>582</v>
      </c>
      <c r="F178" s="184">
        <v>45761</v>
      </c>
      <c r="G178" s="11" t="s">
        <v>279</v>
      </c>
      <c r="H178" s="11">
        <v>0</v>
      </c>
      <c r="I178" s="11">
        <v>2000001</v>
      </c>
      <c r="J178" s="11">
        <v>1531128.13</v>
      </c>
      <c r="K178" s="11">
        <v>0</v>
      </c>
      <c r="L178" s="6">
        <f t="shared" si="0"/>
        <v>1531128.13</v>
      </c>
      <c r="M178" s="11">
        <v>30</v>
      </c>
      <c r="N178" s="11">
        <v>57</v>
      </c>
      <c r="O178" s="11">
        <v>31</v>
      </c>
      <c r="P178" s="11">
        <v>61</v>
      </c>
      <c r="Q178" s="11">
        <v>4</v>
      </c>
      <c r="R178" s="11">
        <v>591287.41</v>
      </c>
      <c r="S178" s="11">
        <v>939840.72</v>
      </c>
      <c r="T178" s="11">
        <v>14</v>
      </c>
      <c r="U178" s="11">
        <v>31</v>
      </c>
      <c r="V178" s="11">
        <v>45</v>
      </c>
      <c r="W178" s="11">
        <v>0</v>
      </c>
      <c r="X178" s="11">
        <v>192</v>
      </c>
      <c r="Y178" s="11">
        <v>297</v>
      </c>
      <c r="Z178" s="11">
        <v>64</v>
      </c>
      <c r="AA178" s="11">
        <v>1</v>
      </c>
      <c r="AB178" s="11">
        <v>27</v>
      </c>
      <c r="AC178" s="11">
        <v>0</v>
      </c>
      <c r="AD178" s="11">
        <v>0</v>
      </c>
      <c r="AE178" s="11">
        <v>6</v>
      </c>
      <c r="AF178" s="11">
        <v>8</v>
      </c>
      <c r="AG178" s="11">
        <v>121</v>
      </c>
      <c r="AH178" s="11">
        <v>453</v>
      </c>
      <c r="AI178" s="11">
        <v>70</v>
      </c>
      <c r="AJ178" s="11">
        <v>21873</v>
      </c>
      <c r="AK178" s="11">
        <v>6</v>
      </c>
      <c r="AL178" s="11">
        <v>24120</v>
      </c>
      <c r="AM178" s="11">
        <v>0</v>
      </c>
      <c r="AN178" s="11">
        <v>1.5800000000000002E-2</v>
      </c>
      <c r="AO178" s="11">
        <v>34025</v>
      </c>
      <c r="AP178" s="11">
        <v>0.77</v>
      </c>
      <c r="AQ178" s="11">
        <v>0</v>
      </c>
      <c r="AR178" s="11">
        <v>73</v>
      </c>
      <c r="AS178" s="11">
        <v>709</v>
      </c>
      <c r="AT178" s="11">
        <v>2921.52</v>
      </c>
      <c r="AU178" s="11">
        <v>31</v>
      </c>
      <c r="AV178" s="11">
        <v>51</v>
      </c>
      <c r="AW178" s="11">
        <v>45</v>
      </c>
      <c r="AX178" s="11">
        <v>13</v>
      </c>
      <c r="AY178" s="11">
        <v>3</v>
      </c>
      <c r="AZ178" s="185">
        <v>45938</v>
      </c>
    </row>
    <row r="179" spans="1:52">
      <c r="A179" s="11" t="s">
        <v>136</v>
      </c>
      <c r="B179" s="149" t="s">
        <v>653</v>
      </c>
      <c r="C179" s="11" t="s">
        <v>294</v>
      </c>
      <c r="D179" s="11" t="s">
        <v>421</v>
      </c>
      <c r="E179" s="11" t="s">
        <v>427</v>
      </c>
      <c r="F179" s="184">
        <v>45765</v>
      </c>
      <c r="G179" s="11" t="s">
        <v>136</v>
      </c>
      <c r="H179" s="11">
        <v>500001</v>
      </c>
      <c r="I179" s="11">
        <v>3000000</v>
      </c>
      <c r="J179" s="11">
        <v>1635461.55</v>
      </c>
      <c r="K179" s="11">
        <v>341103.89</v>
      </c>
      <c r="L179" s="6">
        <f t="shared" si="0"/>
        <v>1976565.44</v>
      </c>
      <c r="M179" s="11">
        <v>12</v>
      </c>
      <c r="N179" s="11">
        <v>18</v>
      </c>
      <c r="O179" s="11">
        <v>8</v>
      </c>
      <c r="P179" s="11">
        <v>20</v>
      </c>
      <c r="Q179" s="11">
        <v>2</v>
      </c>
      <c r="R179" s="11">
        <v>914572.55</v>
      </c>
      <c r="S179" s="11">
        <v>720889</v>
      </c>
      <c r="T179" s="11">
        <v>10</v>
      </c>
      <c r="U179" s="11">
        <v>8</v>
      </c>
      <c r="V179" s="11">
        <v>18</v>
      </c>
      <c r="W179" s="11">
        <v>3</v>
      </c>
      <c r="X179" s="11">
        <v>85</v>
      </c>
      <c r="Y179" s="11">
        <v>171</v>
      </c>
      <c r="Z179" s="11">
        <v>32</v>
      </c>
      <c r="AA179" s="11">
        <v>3</v>
      </c>
      <c r="AB179" s="11">
        <v>63</v>
      </c>
      <c r="AC179" s="11">
        <v>3</v>
      </c>
      <c r="AD179" s="11">
        <v>13</v>
      </c>
      <c r="AE179" s="11">
        <v>0</v>
      </c>
      <c r="AF179" s="11">
        <v>0</v>
      </c>
      <c r="AG179" s="11">
        <v>60</v>
      </c>
      <c r="AH179" s="11">
        <v>307</v>
      </c>
      <c r="AI179" s="11">
        <v>74</v>
      </c>
      <c r="AJ179" s="11">
        <v>22101</v>
      </c>
      <c r="AK179" s="11">
        <v>4</v>
      </c>
      <c r="AL179" s="11">
        <v>25700</v>
      </c>
      <c r="AM179" s="11">
        <v>0</v>
      </c>
      <c r="AN179" s="11">
        <v>0</v>
      </c>
      <c r="AO179" s="11">
        <v>90859</v>
      </c>
      <c r="AP179" s="11">
        <v>0.55000000000000004</v>
      </c>
      <c r="AQ179" s="11">
        <v>0.68</v>
      </c>
      <c r="AR179" s="11">
        <v>70</v>
      </c>
      <c r="AS179" s="11">
        <v>674</v>
      </c>
      <c r="AT179" s="11">
        <v>4117.07</v>
      </c>
      <c r="AU179" s="11">
        <v>8</v>
      </c>
      <c r="AV179" s="11">
        <v>229</v>
      </c>
      <c r="AW179" s="11">
        <v>18</v>
      </c>
      <c r="AX179" s="11">
        <v>0</v>
      </c>
      <c r="AY179" s="11">
        <v>2</v>
      </c>
      <c r="AZ179" s="184">
        <v>45944</v>
      </c>
    </row>
    <row r="180" spans="1:52">
      <c r="A180" s="11" t="s">
        <v>118</v>
      </c>
      <c r="B180" s="149" t="s">
        <v>362</v>
      </c>
      <c r="C180" s="11" t="s">
        <v>295</v>
      </c>
      <c r="D180" s="11" t="s">
        <v>419</v>
      </c>
      <c r="E180" s="11" t="s">
        <v>643</v>
      </c>
      <c r="F180" s="186">
        <v>45784</v>
      </c>
      <c r="G180" s="11" t="s">
        <v>67</v>
      </c>
      <c r="H180" s="11">
        <v>0</v>
      </c>
      <c r="I180" s="11">
        <v>7500000</v>
      </c>
      <c r="J180" s="11">
        <v>6323740.2199999997</v>
      </c>
      <c r="K180" s="11">
        <v>0</v>
      </c>
      <c r="L180" s="6">
        <f t="shared" si="0"/>
        <v>6323740.2199999997</v>
      </c>
      <c r="M180" s="11">
        <v>42</v>
      </c>
      <c r="N180" s="11">
        <v>48</v>
      </c>
      <c r="O180" s="11">
        <v>6</v>
      </c>
      <c r="P180" s="11">
        <v>48</v>
      </c>
      <c r="Q180" s="11">
        <v>0</v>
      </c>
      <c r="R180" s="11">
        <v>6105047.8600000003</v>
      </c>
      <c r="S180" s="11">
        <v>218692.36</v>
      </c>
      <c r="T180" s="11">
        <v>25</v>
      </c>
      <c r="U180" s="11">
        <v>6</v>
      </c>
      <c r="V180" s="11">
        <v>31</v>
      </c>
      <c r="W180" s="11">
        <v>0</v>
      </c>
      <c r="X180" s="11">
        <v>16</v>
      </c>
      <c r="Y180" s="11">
        <v>38</v>
      </c>
      <c r="Z180" s="11">
        <v>9</v>
      </c>
      <c r="AA180" s="11">
        <v>2</v>
      </c>
      <c r="AB180" s="11">
        <v>5</v>
      </c>
      <c r="AC180" s="11">
        <v>0</v>
      </c>
      <c r="AD180" s="11">
        <v>0</v>
      </c>
      <c r="AE180" s="11">
        <v>0</v>
      </c>
      <c r="AF180" s="11">
        <v>0</v>
      </c>
      <c r="AG180" s="11">
        <v>371</v>
      </c>
      <c r="AH180" s="11">
        <v>414</v>
      </c>
      <c r="AI180" s="11">
        <v>73</v>
      </c>
      <c r="AJ180" s="11">
        <v>86627</v>
      </c>
      <c r="AK180" s="11">
        <v>6</v>
      </c>
      <c r="AL180" s="11">
        <v>25985</v>
      </c>
      <c r="AM180" s="11">
        <v>0</v>
      </c>
      <c r="AN180" s="11">
        <v>4.1000000000000003E-3</v>
      </c>
      <c r="AO180" s="11">
        <v>203992</v>
      </c>
      <c r="AP180" s="11">
        <v>0.84</v>
      </c>
      <c r="AQ180" s="11">
        <v>0</v>
      </c>
      <c r="AR180" s="11">
        <v>119</v>
      </c>
      <c r="AS180" s="11">
        <v>746</v>
      </c>
      <c r="AT180" s="11">
        <v>6200.36</v>
      </c>
      <c r="AU180" s="11">
        <v>6</v>
      </c>
      <c r="AV180" s="11">
        <v>129</v>
      </c>
      <c r="AW180" s="11">
        <v>31</v>
      </c>
      <c r="AX180" s="11">
        <v>17</v>
      </c>
      <c r="AY180" s="11">
        <v>0</v>
      </c>
    </row>
    <row r="181" spans="1:52">
      <c r="A181" s="11" t="s">
        <v>177</v>
      </c>
      <c r="B181" s="149" t="s">
        <v>364</v>
      </c>
      <c r="C181" s="11" t="s">
        <v>296</v>
      </c>
      <c r="D181" s="11" t="s">
        <v>576</v>
      </c>
      <c r="E181" s="11" t="s">
        <v>641</v>
      </c>
      <c r="F181" s="186">
        <v>45782</v>
      </c>
      <c r="G181" s="11" t="s">
        <v>177</v>
      </c>
      <c r="H181" s="11">
        <v>0</v>
      </c>
      <c r="I181" s="11">
        <v>0</v>
      </c>
      <c r="J181" s="11">
        <v>0</v>
      </c>
      <c r="K181" s="11">
        <v>0</v>
      </c>
      <c r="L181" s="6">
        <f t="shared" si="0"/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1</v>
      </c>
      <c r="Y181" s="11">
        <v>3</v>
      </c>
      <c r="Z181" s="11">
        <v>9</v>
      </c>
      <c r="AA181" s="11">
        <v>2</v>
      </c>
      <c r="AB181" s="11">
        <v>20</v>
      </c>
      <c r="AC181" s="11">
        <v>0</v>
      </c>
      <c r="AD181" s="11">
        <v>0</v>
      </c>
      <c r="AE181" s="11">
        <v>96</v>
      </c>
      <c r="AF181" s="11">
        <v>310</v>
      </c>
      <c r="AG181" s="11">
        <v>0</v>
      </c>
      <c r="AH181" s="11">
        <v>333</v>
      </c>
      <c r="AI181" s="11">
        <v>67</v>
      </c>
      <c r="AJ181" s="11">
        <v>0</v>
      </c>
      <c r="AK181" s="11">
        <v>5</v>
      </c>
      <c r="AL181" s="11">
        <v>64585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780</v>
      </c>
      <c r="AT181" s="11">
        <v>9498.5400000000009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</row>
    <row r="182" spans="1:52">
      <c r="A182" s="11" t="s">
        <v>108</v>
      </c>
      <c r="B182" s="149" t="s">
        <v>465</v>
      </c>
      <c r="C182" s="11" t="s">
        <v>297</v>
      </c>
      <c r="D182" s="11" t="s">
        <v>506</v>
      </c>
      <c r="E182" s="11" t="s">
        <v>478</v>
      </c>
      <c r="F182" s="187">
        <v>45793</v>
      </c>
      <c r="G182" s="11" t="s">
        <v>317</v>
      </c>
      <c r="H182" s="11">
        <v>0</v>
      </c>
      <c r="I182" s="11">
        <v>3520000</v>
      </c>
      <c r="J182" s="11">
        <v>2931753</v>
      </c>
      <c r="K182" s="11">
        <v>0</v>
      </c>
      <c r="L182" s="6">
        <f t="shared" si="0"/>
        <v>2931753</v>
      </c>
      <c r="M182" s="11">
        <v>61</v>
      </c>
      <c r="N182" s="11">
        <v>64</v>
      </c>
      <c r="O182" s="11">
        <v>19</v>
      </c>
      <c r="P182" s="11">
        <v>80</v>
      </c>
      <c r="Q182" s="11">
        <v>16</v>
      </c>
      <c r="R182" s="11">
        <v>2446990.2000000002</v>
      </c>
      <c r="S182" s="11">
        <v>484762.8</v>
      </c>
      <c r="T182" s="11">
        <v>37</v>
      </c>
      <c r="U182" s="11">
        <v>19</v>
      </c>
      <c r="V182" s="11">
        <v>56</v>
      </c>
      <c r="W182" s="11">
        <v>0</v>
      </c>
      <c r="X182" s="11">
        <v>2</v>
      </c>
      <c r="Y182" s="11">
        <v>5</v>
      </c>
      <c r="Z182" s="11">
        <v>3</v>
      </c>
      <c r="AA182" s="11">
        <v>1</v>
      </c>
      <c r="AB182" s="11">
        <v>6</v>
      </c>
      <c r="AC182" s="11">
        <v>0</v>
      </c>
      <c r="AD182" s="11">
        <v>0</v>
      </c>
      <c r="AE182" s="11">
        <v>0</v>
      </c>
      <c r="AF182" s="11">
        <v>0</v>
      </c>
      <c r="AG182" s="11">
        <v>416</v>
      </c>
      <c r="AH182" s="11">
        <v>427</v>
      </c>
      <c r="AI182" s="11">
        <v>71</v>
      </c>
      <c r="AJ182" s="11">
        <v>41292</v>
      </c>
      <c r="AK182" s="11">
        <v>6</v>
      </c>
      <c r="AL182" s="11">
        <v>27000</v>
      </c>
      <c r="AM182" s="11">
        <v>0</v>
      </c>
      <c r="AN182" s="11">
        <v>9.1999999999999998E-3</v>
      </c>
      <c r="AO182" s="11">
        <v>52353</v>
      </c>
      <c r="AP182" s="11">
        <v>0.83</v>
      </c>
      <c r="AQ182" s="11">
        <v>0</v>
      </c>
      <c r="AR182" s="11">
        <v>113</v>
      </c>
      <c r="AS182" s="11">
        <v>707</v>
      </c>
      <c r="AT182" s="11">
        <v>3385.79</v>
      </c>
      <c r="AU182" s="11">
        <v>19</v>
      </c>
      <c r="AV182" s="11">
        <v>53</v>
      </c>
      <c r="AW182" s="11">
        <v>56</v>
      </c>
      <c r="AX182" s="11">
        <v>10</v>
      </c>
      <c r="AY182" s="11">
        <v>14</v>
      </c>
    </row>
    <row r="183" spans="1:52">
      <c r="A183" s="11" t="s">
        <v>118</v>
      </c>
      <c r="B183" s="149" t="s">
        <v>372</v>
      </c>
      <c r="C183" s="11" t="s">
        <v>216</v>
      </c>
      <c r="D183" s="11" t="s">
        <v>447</v>
      </c>
      <c r="E183" s="11" t="s">
        <v>514</v>
      </c>
      <c r="F183" s="187">
        <v>45797</v>
      </c>
      <c r="G183" s="11" t="s">
        <v>118</v>
      </c>
      <c r="H183" s="11">
        <v>0</v>
      </c>
      <c r="I183" s="11">
        <v>0</v>
      </c>
      <c r="J183" s="11">
        <v>0</v>
      </c>
      <c r="K183" s="11">
        <v>0</v>
      </c>
      <c r="L183" s="6">
        <f t="shared" si="0"/>
        <v>0</v>
      </c>
      <c r="M183" s="11">
        <v>55</v>
      </c>
      <c r="N183" s="11">
        <v>54</v>
      </c>
      <c r="O183" s="11">
        <v>1</v>
      </c>
      <c r="P183" s="11">
        <v>56</v>
      </c>
      <c r="Q183" s="11">
        <v>2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16</v>
      </c>
      <c r="Y183" s="11">
        <v>24</v>
      </c>
      <c r="Z183" s="11">
        <v>4</v>
      </c>
      <c r="AA183" s="11">
        <v>8</v>
      </c>
      <c r="AB183" s="11">
        <v>25</v>
      </c>
      <c r="AC183" s="11">
        <v>2</v>
      </c>
      <c r="AD183" s="11">
        <v>2</v>
      </c>
      <c r="AE183" s="11">
        <v>7</v>
      </c>
      <c r="AF183" s="11">
        <v>7</v>
      </c>
      <c r="AG183" s="11">
        <v>62</v>
      </c>
      <c r="AH183" s="11">
        <v>120</v>
      </c>
      <c r="AI183" s="11">
        <v>30</v>
      </c>
      <c r="AJ183" s="11">
        <v>0</v>
      </c>
      <c r="AK183" s="11">
        <v>4</v>
      </c>
      <c r="AL183" s="11">
        <v>119300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282</v>
      </c>
      <c r="AT183" s="11">
        <v>2093.9699999999998</v>
      </c>
      <c r="AU183" s="11">
        <v>0</v>
      </c>
      <c r="AV183" s="11">
        <v>39</v>
      </c>
      <c r="AW183" s="11">
        <v>0</v>
      </c>
      <c r="AX183" s="11">
        <v>54</v>
      </c>
      <c r="AY183" s="11">
        <v>2</v>
      </c>
      <c r="AZ183" s="184">
        <v>45899</v>
      </c>
    </row>
    <row r="184" spans="1:52">
      <c r="A184" s="11" t="s">
        <v>118</v>
      </c>
      <c r="B184" s="149" t="s">
        <v>362</v>
      </c>
      <c r="C184" s="11" t="s">
        <v>299</v>
      </c>
      <c r="D184" s="11" t="s">
        <v>419</v>
      </c>
      <c r="E184" s="11" t="s">
        <v>645</v>
      </c>
      <c r="F184" s="187">
        <v>45796</v>
      </c>
      <c r="G184" s="11" t="s">
        <v>118</v>
      </c>
      <c r="H184" s="11">
        <v>0</v>
      </c>
      <c r="I184" s="11">
        <v>0</v>
      </c>
      <c r="J184" s="11">
        <v>0</v>
      </c>
      <c r="K184" s="11">
        <v>0</v>
      </c>
      <c r="L184" s="6">
        <f t="shared" si="0"/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22000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87">
        <v>45804</v>
      </c>
    </row>
    <row r="185" spans="1:52">
      <c r="A185" s="11" t="s">
        <v>201</v>
      </c>
      <c r="B185" s="149" t="s">
        <v>431</v>
      </c>
      <c r="C185" s="11" t="s">
        <v>300</v>
      </c>
      <c r="D185" s="11" t="s">
        <v>431</v>
      </c>
      <c r="E185" s="11" t="s">
        <v>646</v>
      </c>
      <c r="F185" s="187">
        <v>45797</v>
      </c>
      <c r="G185" s="11" t="s">
        <v>106</v>
      </c>
      <c r="H185" s="11">
        <v>0</v>
      </c>
      <c r="I185" s="11">
        <v>3600000</v>
      </c>
      <c r="J185" s="11">
        <v>1129271.6200000001</v>
      </c>
      <c r="K185" s="11">
        <v>0</v>
      </c>
      <c r="L185" s="6">
        <f t="shared" si="0"/>
        <v>1129271.6200000001</v>
      </c>
      <c r="M185" s="11">
        <v>38</v>
      </c>
      <c r="N185" s="11">
        <v>45</v>
      </c>
      <c r="O185" s="11">
        <v>12</v>
      </c>
      <c r="P185" s="11">
        <v>50</v>
      </c>
      <c r="Q185" s="11">
        <v>5</v>
      </c>
      <c r="R185" s="11">
        <v>320342.78999999998</v>
      </c>
      <c r="S185" s="11">
        <v>808928.83</v>
      </c>
      <c r="T185" s="11">
        <v>4</v>
      </c>
      <c r="U185" s="11">
        <v>12</v>
      </c>
      <c r="V185" s="11">
        <v>16</v>
      </c>
      <c r="W185" s="11">
        <v>0</v>
      </c>
      <c r="X185" s="11">
        <v>133</v>
      </c>
      <c r="Y185" s="11">
        <v>283</v>
      </c>
      <c r="Z185" s="11">
        <v>37</v>
      </c>
      <c r="AA185" s="11">
        <v>1</v>
      </c>
      <c r="AB185" s="11">
        <v>11</v>
      </c>
      <c r="AC185" s="11">
        <v>0</v>
      </c>
      <c r="AD185" s="11">
        <v>0</v>
      </c>
      <c r="AE185" s="11">
        <v>0</v>
      </c>
      <c r="AF185" s="11">
        <v>0</v>
      </c>
      <c r="AG185" s="11">
        <v>171</v>
      </c>
      <c r="AH185" s="11">
        <v>465</v>
      </c>
      <c r="AI185" s="11">
        <v>73</v>
      </c>
      <c r="AJ185" s="11">
        <v>15469</v>
      </c>
      <c r="AK185" s="11">
        <v>6</v>
      </c>
      <c r="AL185" s="11">
        <v>33050</v>
      </c>
      <c r="AM185" s="11">
        <v>0</v>
      </c>
      <c r="AN185" s="11">
        <v>2.93E-2</v>
      </c>
      <c r="AO185" s="11">
        <v>70579</v>
      </c>
      <c r="AP185" s="11">
        <v>0.31</v>
      </c>
      <c r="AQ185" s="11">
        <v>0</v>
      </c>
      <c r="AR185" s="11">
        <v>28</v>
      </c>
      <c r="AS185" s="11">
        <v>764</v>
      </c>
      <c r="AT185" s="11">
        <v>5394.88</v>
      </c>
      <c r="AU185" s="11">
        <v>12</v>
      </c>
      <c r="AV185" s="11">
        <v>120</v>
      </c>
      <c r="AW185" s="11">
        <v>16</v>
      </c>
      <c r="AX185" s="11">
        <v>30</v>
      </c>
      <c r="AY185" s="11">
        <v>4</v>
      </c>
    </row>
    <row r="186" spans="1:52">
      <c r="A186" s="11" t="s">
        <v>118</v>
      </c>
      <c r="B186" s="149" t="s">
        <v>436</v>
      </c>
      <c r="C186" s="11" t="s">
        <v>301</v>
      </c>
      <c r="D186" s="11" t="s">
        <v>499</v>
      </c>
      <c r="E186" s="11" t="s">
        <v>648</v>
      </c>
      <c r="F186" s="185">
        <v>45817</v>
      </c>
      <c r="G186" s="11" t="s">
        <v>228</v>
      </c>
      <c r="H186" s="11">
        <v>0</v>
      </c>
      <c r="I186" s="11">
        <v>4500000</v>
      </c>
      <c r="J186" s="11">
        <v>143117.70000000001</v>
      </c>
      <c r="K186" s="11">
        <v>0</v>
      </c>
      <c r="L186" s="6">
        <f t="shared" si="0"/>
        <v>143117.70000000001</v>
      </c>
      <c r="M186" s="11">
        <v>17</v>
      </c>
      <c r="N186" s="11">
        <v>25</v>
      </c>
      <c r="O186" s="11">
        <v>8</v>
      </c>
      <c r="P186" s="11">
        <v>25</v>
      </c>
      <c r="Q186" s="11">
        <v>0</v>
      </c>
      <c r="R186" s="11">
        <v>23980</v>
      </c>
      <c r="S186" s="11">
        <v>119137.7</v>
      </c>
      <c r="T186" s="11">
        <v>1</v>
      </c>
      <c r="U186" s="11">
        <v>4</v>
      </c>
      <c r="V186" s="11">
        <v>5</v>
      </c>
      <c r="W186" s="11">
        <v>0</v>
      </c>
      <c r="X186" s="11">
        <v>18</v>
      </c>
      <c r="Y186" s="11">
        <v>46</v>
      </c>
      <c r="Z186" s="11">
        <v>0</v>
      </c>
      <c r="AA186" s="11">
        <v>1</v>
      </c>
      <c r="AB186" s="11">
        <v>2</v>
      </c>
      <c r="AC186" s="11">
        <v>0</v>
      </c>
      <c r="AD186" s="11">
        <v>0</v>
      </c>
      <c r="AE186" s="11">
        <v>0</v>
      </c>
      <c r="AF186" s="11">
        <v>0</v>
      </c>
      <c r="AG186" s="11">
        <v>139</v>
      </c>
      <c r="AH186" s="11">
        <v>187</v>
      </c>
      <c r="AI186" s="11">
        <v>53</v>
      </c>
      <c r="AJ186" s="11">
        <v>2700</v>
      </c>
      <c r="AK186" s="11">
        <v>4</v>
      </c>
      <c r="AL186" s="11">
        <v>24120</v>
      </c>
      <c r="AM186" s="11">
        <v>0</v>
      </c>
      <c r="AN186" s="11">
        <v>0.16850000000000001</v>
      </c>
      <c r="AO186" s="11">
        <v>28624</v>
      </c>
      <c r="AP186" s="11">
        <v>0.03</v>
      </c>
      <c r="AQ186" s="11">
        <v>0</v>
      </c>
      <c r="AR186" s="11">
        <v>6</v>
      </c>
      <c r="AS186" s="11">
        <v>590</v>
      </c>
      <c r="AT186" s="11">
        <v>4175.2</v>
      </c>
      <c r="AU186" s="11">
        <v>4</v>
      </c>
      <c r="AV186" s="11">
        <v>167</v>
      </c>
      <c r="AW186" s="11">
        <v>5</v>
      </c>
      <c r="AX186" s="11">
        <v>20</v>
      </c>
      <c r="AY186" s="11">
        <v>0</v>
      </c>
    </row>
    <row r="187" spans="1:52">
      <c r="A187" s="11" t="s">
        <v>154</v>
      </c>
      <c r="B187" s="149" t="s">
        <v>367</v>
      </c>
      <c r="C187" s="11" t="s">
        <v>302</v>
      </c>
      <c r="D187" s="11" t="s">
        <v>577</v>
      </c>
      <c r="E187" s="11" t="s">
        <v>377</v>
      </c>
      <c r="F187" s="185">
        <v>45812</v>
      </c>
      <c r="G187" s="11" t="s">
        <v>196</v>
      </c>
      <c r="H187" s="11">
        <v>0</v>
      </c>
      <c r="I187" s="11">
        <v>0</v>
      </c>
      <c r="J187" s="11">
        <v>11039</v>
      </c>
      <c r="K187" s="11">
        <v>0</v>
      </c>
      <c r="L187" s="6">
        <f t="shared" si="0"/>
        <v>11039</v>
      </c>
      <c r="M187" s="11">
        <v>12</v>
      </c>
      <c r="N187" s="11">
        <v>7</v>
      </c>
      <c r="O187" s="11">
        <v>0</v>
      </c>
      <c r="P187" s="11">
        <v>12</v>
      </c>
      <c r="Q187" s="11">
        <v>5</v>
      </c>
      <c r="R187" s="11">
        <v>11039</v>
      </c>
      <c r="S187" s="11">
        <v>0</v>
      </c>
      <c r="T187" s="11">
        <v>1</v>
      </c>
      <c r="U187" s="11">
        <v>0</v>
      </c>
      <c r="V187" s="11">
        <v>1</v>
      </c>
      <c r="W187" s="11">
        <v>0</v>
      </c>
      <c r="X187" s="11">
        <v>0</v>
      </c>
      <c r="Y187" s="11">
        <v>0</v>
      </c>
      <c r="Z187" s="11">
        <v>77</v>
      </c>
      <c r="AA187" s="11">
        <v>1</v>
      </c>
      <c r="AB187" s="11">
        <v>2</v>
      </c>
      <c r="AC187" s="11">
        <v>0</v>
      </c>
      <c r="AD187" s="11">
        <v>0</v>
      </c>
      <c r="AE187" s="11">
        <v>2</v>
      </c>
      <c r="AF187" s="11">
        <v>2</v>
      </c>
      <c r="AG187" s="11">
        <v>11</v>
      </c>
      <c r="AH187" s="11">
        <v>15</v>
      </c>
      <c r="AI187" s="11">
        <v>6</v>
      </c>
      <c r="AJ187" s="11">
        <v>1840</v>
      </c>
      <c r="AK187" s="11">
        <v>3</v>
      </c>
      <c r="AL187" s="11">
        <v>24120</v>
      </c>
      <c r="AM187" s="11">
        <v>0</v>
      </c>
      <c r="AN187" s="11">
        <v>2.1850000000000001</v>
      </c>
      <c r="AO187" s="11">
        <v>11039</v>
      </c>
      <c r="AP187" s="11">
        <v>0</v>
      </c>
      <c r="AQ187" s="11">
        <v>0</v>
      </c>
      <c r="AR187" s="11">
        <v>1</v>
      </c>
      <c r="AS187" s="11">
        <v>61</v>
      </c>
      <c r="AT187" s="11">
        <v>377.39</v>
      </c>
      <c r="AU187" s="11">
        <v>0</v>
      </c>
      <c r="AV187" s="11">
        <v>54</v>
      </c>
      <c r="AW187" s="11">
        <v>1</v>
      </c>
      <c r="AX187" s="11">
        <v>6</v>
      </c>
      <c r="AY187" s="11">
        <v>5</v>
      </c>
      <c r="AZ187" s="184">
        <v>45849</v>
      </c>
    </row>
    <row r="188" spans="1:52">
      <c r="A188" s="11" t="s">
        <v>117</v>
      </c>
      <c r="B188" s="149" t="s">
        <v>450</v>
      </c>
      <c r="C188" s="11" t="s">
        <v>303</v>
      </c>
      <c r="D188" s="11" t="s">
        <v>482</v>
      </c>
      <c r="E188" s="11" t="s">
        <v>647</v>
      </c>
      <c r="F188" s="185">
        <v>45810</v>
      </c>
      <c r="G188" s="11" t="s">
        <v>117</v>
      </c>
      <c r="H188" s="11">
        <v>0</v>
      </c>
      <c r="I188" s="11">
        <v>2400000</v>
      </c>
      <c r="J188" s="11">
        <v>615905.03</v>
      </c>
      <c r="K188" s="11">
        <v>0</v>
      </c>
      <c r="L188" s="6">
        <f t="shared" si="0"/>
        <v>615905.03</v>
      </c>
      <c r="M188" s="11">
        <v>21</v>
      </c>
      <c r="N188" s="11">
        <v>31</v>
      </c>
      <c r="O188" s="11">
        <v>12</v>
      </c>
      <c r="P188" s="11">
        <v>33</v>
      </c>
      <c r="Q188" s="11">
        <v>2</v>
      </c>
      <c r="R188" s="11">
        <v>380111.73</v>
      </c>
      <c r="S188" s="11">
        <v>235793.3</v>
      </c>
      <c r="T188" s="11">
        <v>11</v>
      </c>
      <c r="U188" s="11">
        <v>12</v>
      </c>
      <c r="V188" s="11">
        <v>23</v>
      </c>
      <c r="W188" s="11">
        <v>0</v>
      </c>
      <c r="X188" s="11">
        <v>98</v>
      </c>
      <c r="Y188" s="11">
        <v>194</v>
      </c>
      <c r="Z188" s="11">
        <v>17</v>
      </c>
      <c r="AA188" s="11">
        <v>1</v>
      </c>
      <c r="AB188" s="11">
        <v>19</v>
      </c>
      <c r="AC188" s="11">
        <v>0</v>
      </c>
      <c r="AD188" s="11">
        <v>0</v>
      </c>
      <c r="AE188" s="11">
        <v>1</v>
      </c>
      <c r="AF188" s="11">
        <v>1</v>
      </c>
      <c r="AG188" s="11">
        <v>118</v>
      </c>
      <c r="AH188" s="11">
        <v>332</v>
      </c>
      <c r="AI188" s="11">
        <v>72</v>
      </c>
      <c r="AJ188" s="11">
        <v>8554</v>
      </c>
      <c r="AK188" s="11">
        <v>5</v>
      </c>
      <c r="AL188" s="11">
        <v>38285</v>
      </c>
      <c r="AM188" s="11">
        <v>0</v>
      </c>
      <c r="AN188" s="11">
        <v>6.2199999999999998E-2</v>
      </c>
      <c r="AO188" s="11">
        <v>26778</v>
      </c>
      <c r="AP188" s="11">
        <v>0.26</v>
      </c>
      <c r="AQ188" s="11">
        <v>0</v>
      </c>
      <c r="AR188" s="11">
        <v>72</v>
      </c>
      <c r="AS188" s="11">
        <v>568</v>
      </c>
      <c r="AT188" s="11">
        <v>1792.87</v>
      </c>
      <c r="AU188" s="11">
        <v>12</v>
      </c>
      <c r="AV188" s="11">
        <v>58</v>
      </c>
      <c r="AW188" s="11">
        <v>23</v>
      </c>
      <c r="AX188" s="11">
        <v>8</v>
      </c>
      <c r="AY188" s="11">
        <v>2</v>
      </c>
    </row>
    <row r="189" spans="1:52">
      <c r="A189" s="11" t="s">
        <v>118</v>
      </c>
      <c r="B189" s="149" t="s">
        <v>362</v>
      </c>
      <c r="C189" s="11" t="s">
        <v>304</v>
      </c>
      <c r="D189" s="11" t="s">
        <v>419</v>
      </c>
      <c r="E189" s="11" t="s">
        <v>539</v>
      </c>
      <c r="F189" s="185">
        <v>45817</v>
      </c>
      <c r="G189" s="11" t="s">
        <v>229</v>
      </c>
      <c r="H189" s="11">
        <v>0</v>
      </c>
      <c r="I189" s="11">
        <v>4500000</v>
      </c>
      <c r="J189" s="11">
        <v>1006481.48</v>
      </c>
      <c r="K189" s="11">
        <v>0</v>
      </c>
      <c r="L189" s="6">
        <f t="shared" si="0"/>
        <v>1006481.48</v>
      </c>
      <c r="M189" s="11">
        <v>50</v>
      </c>
      <c r="N189" s="11">
        <v>59</v>
      </c>
      <c r="O189" s="11">
        <v>21</v>
      </c>
      <c r="P189" s="11">
        <v>71</v>
      </c>
      <c r="Q189" s="11">
        <v>12</v>
      </c>
      <c r="R189" s="11">
        <v>395991.62</v>
      </c>
      <c r="S189" s="11">
        <v>610489.86</v>
      </c>
      <c r="T189" s="11">
        <v>8</v>
      </c>
      <c r="U189" s="11">
        <v>14</v>
      </c>
      <c r="V189" s="11">
        <v>22</v>
      </c>
      <c r="W189" s="11">
        <v>0</v>
      </c>
      <c r="X189" s="11">
        <v>158</v>
      </c>
      <c r="Y189" s="11">
        <v>248</v>
      </c>
      <c r="Z189" s="11">
        <v>48</v>
      </c>
      <c r="AA189" s="11">
        <v>2</v>
      </c>
      <c r="AB189" s="11">
        <v>7</v>
      </c>
      <c r="AC189" s="11">
        <v>0</v>
      </c>
      <c r="AD189" s="11">
        <v>0</v>
      </c>
      <c r="AE189" s="11">
        <v>0</v>
      </c>
      <c r="AF189" s="11">
        <v>0</v>
      </c>
      <c r="AG189" s="11">
        <v>178</v>
      </c>
      <c r="AH189" s="11">
        <v>433</v>
      </c>
      <c r="AI189" s="11">
        <v>72</v>
      </c>
      <c r="AJ189" s="11">
        <v>13979</v>
      </c>
      <c r="AK189" s="11">
        <v>6</v>
      </c>
      <c r="AL189" s="11">
        <v>32500</v>
      </c>
      <c r="AM189" s="11">
        <v>0</v>
      </c>
      <c r="AN189" s="11">
        <v>3.2300000000000002E-2</v>
      </c>
      <c r="AO189" s="11">
        <v>45749</v>
      </c>
      <c r="AP189" s="11">
        <v>0.22</v>
      </c>
      <c r="AQ189" s="11">
        <v>0</v>
      </c>
      <c r="AR189" s="11">
        <v>38</v>
      </c>
      <c r="AS189" s="11">
        <v>741</v>
      </c>
      <c r="AT189" s="11">
        <v>4358.3500000000004</v>
      </c>
      <c r="AU189" s="11">
        <v>14</v>
      </c>
      <c r="AV189" s="11">
        <v>74</v>
      </c>
      <c r="AW189" s="11">
        <v>22</v>
      </c>
      <c r="AX189" s="11">
        <v>37</v>
      </c>
      <c r="AY189" s="11">
        <v>12</v>
      </c>
    </row>
    <row r="190" spans="1:52">
      <c r="A190" s="11" t="s">
        <v>118</v>
      </c>
      <c r="B190" s="149" t="s">
        <v>362</v>
      </c>
      <c r="C190" s="11" t="s">
        <v>305</v>
      </c>
      <c r="D190" s="11" t="s">
        <v>419</v>
      </c>
      <c r="E190" s="11" t="s">
        <v>650</v>
      </c>
      <c r="F190" s="184">
        <v>45824</v>
      </c>
      <c r="G190" s="11" t="s">
        <v>29</v>
      </c>
      <c r="H190" s="11">
        <v>0</v>
      </c>
      <c r="I190" s="11">
        <v>0</v>
      </c>
      <c r="J190" s="11">
        <v>13728</v>
      </c>
      <c r="K190" s="11">
        <v>0</v>
      </c>
      <c r="L190" s="6">
        <f t="shared" si="0"/>
        <v>13728</v>
      </c>
      <c r="M190" s="11">
        <v>12</v>
      </c>
      <c r="N190" s="11">
        <v>2</v>
      </c>
      <c r="O190" s="11">
        <v>0</v>
      </c>
      <c r="P190" s="11">
        <v>12</v>
      </c>
      <c r="Q190" s="11">
        <v>10</v>
      </c>
      <c r="R190" s="11">
        <v>13728</v>
      </c>
      <c r="S190" s="11">
        <v>0</v>
      </c>
      <c r="T190" s="11">
        <v>1</v>
      </c>
      <c r="U190" s="11">
        <v>0</v>
      </c>
      <c r="V190" s="11">
        <v>1</v>
      </c>
      <c r="W190" s="11">
        <v>0</v>
      </c>
      <c r="X190" s="11">
        <v>0</v>
      </c>
      <c r="Y190" s="11">
        <v>0</v>
      </c>
      <c r="Z190" s="11">
        <v>2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2</v>
      </c>
      <c r="AH190" s="11">
        <v>2</v>
      </c>
      <c r="AI190" s="11">
        <v>4</v>
      </c>
      <c r="AJ190" s="11">
        <v>3432</v>
      </c>
      <c r="AK190" s="11">
        <v>1</v>
      </c>
      <c r="AL190" s="11">
        <v>28850</v>
      </c>
      <c r="AM190" s="11">
        <v>0</v>
      </c>
      <c r="AN190" s="11">
        <v>2.1015000000000001</v>
      </c>
      <c r="AO190" s="11">
        <v>13728</v>
      </c>
      <c r="AP190" s="11">
        <v>0</v>
      </c>
      <c r="AQ190" s="11">
        <v>0</v>
      </c>
      <c r="AR190" s="11">
        <v>1</v>
      </c>
      <c r="AS190" s="11">
        <v>44</v>
      </c>
      <c r="AT190" s="11">
        <v>119.48</v>
      </c>
      <c r="AU190" s="11">
        <v>0</v>
      </c>
      <c r="AV190" s="11">
        <v>60</v>
      </c>
      <c r="AW190" s="11">
        <v>1</v>
      </c>
      <c r="AX190" s="11">
        <v>2</v>
      </c>
      <c r="AY190" s="11">
        <v>9</v>
      </c>
      <c r="AZ190" s="184">
        <v>45852</v>
      </c>
    </row>
    <row r="191" spans="1:52">
      <c r="A191" s="11" t="s">
        <v>118</v>
      </c>
      <c r="B191" s="149" t="s">
        <v>436</v>
      </c>
      <c r="C191" s="11" t="s">
        <v>306</v>
      </c>
      <c r="D191" s="11" t="s">
        <v>499</v>
      </c>
      <c r="E191" s="11" t="s">
        <v>651</v>
      </c>
      <c r="F191" s="184">
        <v>45824</v>
      </c>
      <c r="G191" s="11" t="s">
        <v>118</v>
      </c>
      <c r="H191" s="11">
        <v>0</v>
      </c>
      <c r="I191" s="11">
        <v>4500000</v>
      </c>
      <c r="J191" s="11">
        <v>191794.85</v>
      </c>
      <c r="K191" s="11">
        <v>0</v>
      </c>
      <c r="L191" s="6">
        <f t="shared" si="0"/>
        <v>191794.85</v>
      </c>
      <c r="M191" s="11">
        <v>23</v>
      </c>
      <c r="N191" s="11">
        <v>25</v>
      </c>
      <c r="O191" s="11">
        <v>4</v>
      </c>
      <c r="P191" s="11">
        <v>27</v>
      </c>
      <c r="Q191" s="11">
        <v>2</v>
      </c>
      <c r="R191" s="11">
        <v>11153</v>
      </c>
      <c r="S191" s="11">
        <v>180641.85</v>
      </c>
      <c r="T191" s="11">
        <v>2</v>
      </c>
      <c r="U191" s="11">
        <v>4</v>
      </c>
      <c r="V191" s="11">
        <v>6</v>
      </c>
      <c r="W191" s="11">
        <v>0</v>
      </c>
      <c r="X191" s="11">
        <v>87</v>
      </c>
      <c r="Y191" s="11">
        <v>225</v>
      </c>
      <c r="Z191" s="11">
        <v>12</v>
      </c>
      <c r="AA191" s="11">
        <v>1</v>
      </c>
      <c r="AB191" s="11">
        <v>1</v>
      </c>
      <c r="AC191" s="11">
        <v>0</v>
      </c>
      <c r="AD191" s="11">
        <v>0</v>
      </c>
      <c r="AE191" s="11">
        <v>8</v>
      </c>
      <c r="AF191" s="11">
        <v>15</v>
      </c>
      <c r="AG191" s="11">
        <v>86</v>
      </c>
      <c r="AH191" s="11">
        <v>327</v>
      </c>
      <c r="AI191" s="11">
        <v>72</v>
      </c>
      <c r="AJ191" s="11">
        <v>2664</v>
      </c>
      <c r="AK191" s="11">
        <v>5</v>
      </c>
      <c r="AL191" s="11">
        <v>32500</v>
      </c>
      <c r="AM191" s="11">
        <v>0</v>
      </c>
      <c r="AN191" s="11">
        <v>2.0000000000000001E-4</v>
      </c>
      <c r="AO191" s="11">
        <v>31966</v>
      </c>
      <c r="AP191" s="11">
        <v>0.04</v>
      </c>
      <c r="AQ191" s="11">
        <v>0</v>
      </c>
      <c r="AR191" s="11">
        <v>9</v>
      </c>
      <c r="AS191" s="11">
        <v>629</v>
      </c>
      <c r="AT191" s="11">
        <v>2270.9499999999998</v>
      </c>
      <c r="AU191" s="11">
        <v>4</v>
      </c>
      <c r="AV191" s="11">
        <v>91</v>
      </c>
      <c r="AW191" s="11">
        <v>6</v>
      </c>
      <c r="AX191" s="11">
        <v>19</v>
      </c>
      <c r="AY191" s="11">
        <v>2</v>
      </c>
    </row>
    <row r="192" spans="1:52">
      <c r="A192" s="11" t="s">
        <v>120</v>
      </c>
      <c r="B192" s="149" t="s">
        <v>286</v>
      </c>
      <c r="C192" s="11" t="s">
        <v>307</v>
      </c>
      <c r="D192" s="11" t="s">
        <v>631</v>
      </c>
      <c r="E192" s="11" t="s">
        <v>357</v>
      </c>
      <c r="F192" s="184">
        <v>45828</v>
      </c>
      <c r="G192" s="11" t="s">
        <v>120</v>
      </c>
      <c r="H192" s="11">
        <v>0</v>
      </c>
      <c r="I192" s="11">
        <v>0</v>
      </c>
      <c r="J192" s="11">
        <v>0</v>
      </c>
      <c r="K192" s="11">
        <v>0</v>
      </c>
      <c r="L192" s="6">
        <f t="shared" si="0"/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1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24120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84">
        <v>45831</v>
      </c>
    </row>
    <row r="193" spans="1:52">
      <c r="A193" s="11" t="s">
        <v>120</v>
      </c>
      <c r="B193" s="149" t="s">
        <v>163</v>
      </c>
      <c r="C193" s="11" t="s">
        <v>308</v>
      </c>
      <c r="D193" s="11" t="s">
        <v>534</v>
      </c>
      <c r="E193" s="11" t="s">
        <v>652</v>
      </c>
      <c r="F193" s="184">
        <v>45831</v>
      </c>
      <c r="G193" s="11" t="s">
        <v>120</v>
      </c>
      <c r="H193" s="11">
        <v>150000</v>
      </c>
      <c r="I193" s="11">
        <v>3000000</v>
      </c>
      <c r="J193" s="11">
        <v>225872.96</v>
      </c>
      <c r="K193" s="11">
        <v>80988.160000000003</v>
      </c>
      <c r="L193" s="6">
        <f t="shared" si="0"/>
        <v>306861.12</v>
      </c>
      <c r="M193" s="11">
        <v>14</v>
      </c>
      <c r="N193" s="11">
        <v>22</v>
      </c>
      <c r="O193" s="11">
        <v>9</v>
      </c>
      <c r="P193" s="11">
        <v>23</v>
      </c>
      <c r="Q193" s="11">
        <v>1</v>
      </c>
      <c r="R193" s="11">
        <v>6968.5</v>
      </c>
      <c r="S193" s="11">
        <v>218904.46</v>
      </c>
      <c r="T193" s="11">
        <v>1</v>
      </c>
      <c r="U193" s="11">
        <v>9</v>
      </c>
      <c r="V193" s="11">
        <v>10</v>
      </c>
      <c r="W193" s="11">
        <v>1</v>
      </c>
      <c r="X193" s="11">
        <v>251</v>
      </c>
      <c r="Y193" s="11">
        <v>477</v>
      </c>
      <c r="Z193" s="11">
        <v>19</v>
      </c>
      <c r="AA193" s="11">
        <v>2</v>
      </c>
      <c r="AB193" s="11">
        <v>19</v>
      </c>
      <c r="AC193" s="11">
        <v>1</v>
      </c>
      <c r="AD193" s="11">
        <v>3</v>
      </c>
      <c r="AE193" s="11">
        <v>6</v>
      </c>
      <c r="AF193" s="11">
        <v>10</v>
      </c>
      <c r="AG193" s="11">
        <v>58</v>
      </c>
      <c r="AH193" s="11">
        <v>567</v>
      </c>
      <c r="AI193" s="11">
        <v>75</v>
      </c>
      <c r="AJ193" s="11">
        <v>3012</v>
      </c>
      <c r="AK193" s="11">
        <v>8</v>
      </c>
      <c r="AL193" s="11">
        <v>24120</v>
      </c>
      <c r="AM193" s="11">
        <v>0</v>
      </c>
      <c r="AN193" s="11">
        <v>0.10680000000000001</v>
      </c>
      <c r="AO193" s="11">
        <v>22587</v>
      </c>
      <c r="AP193" s="11">
        <v>0.08</v>
      </c>
      <c r="AQ193" s="11">
        <v>0.54</v>
      </c>
      <c r="AR193" s="11">
        <v>19</v>
      </c>
      <c r="AS193" s="11">
        <v>597</v>
      </c>
      <c r="AT193" s="11">
        <v>1539.17</v>
      </c>
      <c r="AU193" s="11">
        <v>9</v>
      </c>
      <c r="AV193" s="11">
        <v>70</v>
      </c>
      <c r="AW193" s="11">
        <v>10</v>
      </c>
      <c r="AX193" s="11">
        <v>12</v>
      </c>
      <c r="AY193" s="11">
        <v>1</v>
      </c>
      <c r="AZ193" s="184">
        <v>45930</v>
      </c>
    </row>
    <row r="194" spans="1:52">
      <c r="A194" s="11" t="s">
        <v>118</v>
      </c>
      <c r="B194" s="149" t="s">
        <v>436</v>
      </c>
      <c r="C194" s="11" t="s">
        <v>309</v>
      </c>
      <c r="D194" s="11" t="s">
        <v>499</v>
      </c>
      <c r="E194" s="11" t="s">
        <v>437</v>
      </c>
      <c r="F194" s="184">
        <v>45831</v>
      </c>
      <c r="G194" s="11" t="s">
        <v>111</v>
      </c>
      <c r="H194" s="11">
        <v>0</v>
      </c>
      <c r="I194" s="11">
        <v>4500000</v>
      </c>
      <c r="J194" s="11">
        <v>477284.34</v>
      </c>
      <c r="K194" s="11">
        <v>0</v>
      </c>
      <c r="L194" s="6">
        <f t="shared" si="0"/>
        <v>477284.34</v>
      </c>
      <c r="M194" s="11">
        <v>83</v>
      </c>
      <c r="N194" s="11">
        <v>78</v>
      </c>
      <c r="O194" s="11">
        <v>9</v>
      </c>
      <c r="P194" s="11">
        <v>92</v>
      </c>
      <c r="Q194" s="11">
        <v>14</v>
      </c>
      <c r="R194" s="11">
        <v>337695.64</v>
      </c>
      <c r="S194" s="11">
        <v>139588.70000000001</v>
      </c>
      <c r="T194" s="11">
        <v>21</v>
      </c>
      <c r="U194" s="11">
        <v>9</v>
      </c>
      <c r="V194" s="11">
        <v>30</v>
      </c>
      <c r="W194" s="11">
        <v>0</v>
      </c>
      <c r="X194" s="11">
        <v>127</v>
      </c>
      <c r="Y194" s="11">
        <v>339</v>
      </c>
      <c r="Z194" s="11">
        <v>22</v>
      </c>
      <c r="AA194" s="11">
        <v>2</v>
      </c>
      <c r="AB194" s="11">
        <v>4</v>
      </c>
      <c r="AC194" s="11">
        <v>0</v>
      </c>
      <c r="AD194" s="11">
        <v>0</v>
      </c>
      <c r="AE194" s="11">
        <v>0</v>
      </c>
      <c r="AF194" s="11">
        <v>0</v>
      </c>
      <c r="AG194" s="11">
        <v>203</v>
      </c>
      <c r="AH194" s="11">
        <v>546</v>
      </c>
      <c r="AI194" s="11">
        <v>73</v>
      </c>
      <c r="AJ194" s="11">
        <v>6538</v>
      </c>
      <c r="AK194" s="11">
        <v>7</v>
      </c>
      <c r="AL194" s="11">
        <v>27785</v>
      </c>
      <c r="AM194" s="11">
        <v>0</v>
      </c>
      <c r="AN194" s="11">
        <v>1E-4</v>
      </c>
      <c r="AO194" s="11">
        <v>15909</v>
      </c>
      <c r="AP194" s="11">
        <v>0.11</v>
      </c>
      <c r="AQ194" s="11">
        <v>0</v>
      </c>
      <c r="AR194" s="11">
        <v>175</v>
      </c>
      <c r="AS194" s="11">
        <v>820</v>
      </c>
      <c r="AT194" s="11">
        <v>8374.43</v>
      </c>
      <c r="AU194" s="11">
        <v>9</v>
      </c>
      <c r="AV194" s="11">
        <v>107</v>
      </c>
      <c r="AW194" s="11">
        <v>30</v>
      </c>
      <c r="AX194" s="11">
        <v>48</v>
      </c>
      <c r="AY194" s="11">
        <v>14</v>
      </c>
    </row>
    <row r="195" spans="1:52">
      <c r="A195" s="11" t="s">
        <v>201</v>
      </c>
      <c r="B195" s="149" t="s">
        <v>431</v>
      </c>
      <c r="C195" s="11" t="s">
        <v>310</v>
      </c>
      <c r="D195" s="11" t="s">
        <v>431</v>
      </c>
      <c r="E195" s="11" t="s">
        <v>531</v>
      </c>
      <c r="F195" s="185">
        <v>45839</v>
      </c>
      <c r="G195" s="11" t="s">
        <v>121</v>
      </c>
      <c r="H195" s="11">
        <v>4500000</v>
      </c>
      <c r="I195" s="11">
        <v>6000000</v>
      </c>
      <c r="J195" s="11">
        <v>0</v>
      </c>
      <c r="K195" s="11">
        <v>0</v>
      </c>
      <c r="L195" s="6">
        <f t="shared" si="0"/>
        <v>0</v>
      </c>
      <c r="M195" s="11">
        <v>111</v>
      </c>
      <c r="N195" s="11">
        <v>105</v>
      </c>
      <c r="O195" s="11">
        <v>10</v>
      </c>
      <c r="P195" s="11">
        <v>121</v>
      </c>
      <c r="Q195" s="11">
        <v>16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52</v>
      </c>
      <c r="Y195" s="11">
        <v>63</v>
      </c>
      <c r="Z195" s="11">
        <v>5</v>
      </c>
      <c r="AA195" s="11">
        <v>4</v>
      </c>
      <c r="AB195" s="11">
        <v>56</v>
      </c>
      <c r="AC195" s="11">
        <v>0</v>
      </c>
      <c r="AD195" s="11">
        <v>0</v>
      </c>
      <c r="AE195" s="11">
        <v>0</v>
      </c>
      <c r="AF195" s="11">
        <v>0</v>
      </c>
      <c r="AG195" s="11">
        <v>171</v>
      </c>
      <c r="AH195" s="11">
        <v>290</v>
      </c>
      <c r="AI195" s="11">
        <v>70</v>
      </c>
      <c r="AJ195" s="11">
        <v>0</v>
      </c>
      <c r="AK195" s="11">
        <v>4</v>
      </c>
      <c r="AL195" s="11">
        <v>99750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612</v>
      </c>
      <c r="AT195" s="11">
        <v>4397.12</v>
      </c>
      <c r="AU195" s="11">
        <v>0</v>
      </c>
      <c r="AV195" s="11">
        <v>42</v>
      </c>
      <c r="AW195" s="11">
        <v>0</v>
      </c>
      <c r="AX195" s="11">
        <v>105</v>
      </c>
      <c r="AY195" s="11">
        <v>16</v>
      </c>
    </row>
    <row r="196" spans="1:52">
      <c r="A196" s="11" t="s">
        <v>201</v>
      </c>
      <c r="B196" s="149" t="s">
        <v>438</v>
      </c>
      <c r="C196" s="11" t="s">
        <v>311</v>
      </c>
      <c r="D196" s="11" t="s">
        <v>504</v>
      </c>
      <c r="E196" s="11" t="s">
        <v>505</v>
      </c>
      <c r="F196" s="185">
        <v>45839</v>
      </c>
      <c r="G196" s="11" t="s">
        <v>121</v>
      </c>
      <c r="H196" s="11">
        <v>0</v>
      </c>
      <c r="I196" s="11">
        <v>4950000</v>
      </c>
      <c r="J196" s="11">
        <v>1433187.69</v>
      </c>
      <c r="K196" s="11">
        <v>0</v>
      </c>
      <c r="L196" s="6">
        <f t="shared" si="0"/>
        <v>1433187.69</v>
      </c>
      <c r="M196" s="11">
        <v>66</v>
      </c>
      <c r="N196" s="11">
        <v>66</v>
      </c>
      <c r="O196" s="11">
        <v>5</v>
      </c>
      <c r="P196" s="11">
        <v>71</v>
      </c>
      <c r="Q196" s="11">
        <v>5</v>
      </c>
      <c r="R196" s="11">
        <v>1291142.4099999999</v>
      </c>
      <c r="S196" s="11">
        <v>142045.28</v>
      </c>
      <c r="T196" s="11">
        <v>35</v>
      </c>
      <c r="U196" s="11">
        <v>5</v>
      </c>
      <c r="V196" s="11">
        <v>40</v>
      </c>
      <c r="W196" s="11">
        <v>0</v>
      </c>
      <c r="X196" s="11">
        <v>25</v>
      </c>
      <c r="Y196" s="11">
        <v>59</v>
      </c>
      <c r="Z196" s="11">
        <v>2</v>
      </c>
      <c r="AA196" s="11">
        <v>1</v>
      </c>
      <c r="AB196" s="11">
        <v>17</v>
      </c>
      <c r="AC196" s="11">
        <v>0</v>
      </c>
      <c r="AD196" s="11">
        <v>0</v>
      </c>
      <c r="AE196" s="11">
        <v>0</v>
      </c>
      <c r="AF196" s="11">
        <v>0</v>
      </c>
      <c r="AG196" s="11">
        <v>230</v>
      </c>
      <c r="AH196" s="11">
        <v>306</v>
      </c>
      <c r="AI196" s="11">
        <v>64</v>
      </c>
      <c r="AJ196" s="11">
        <v>22394</v>
      </c>
      <c r="AK196" s="11">
        <v>5</v>
      </c>
      <c r="AL196" s="11">
        <v>27800</v>
      </c>
      <c r="AM196" s="11">
        <v>0</v>
      </c>
      <c r="AN196" s="11">
        <v>1.9400000000000001E-2</v>
      </c>
      <c r="AO196" s="11">
        <v>35830</v>
      </c>
      <c r="AP196" s="11">
        <v>0.28999999999999998</v>
      </c>
      <c r="AQ196" s="11">
        <v>0</v>
      </c>
      <c r="AR196" s="11">
        <v>78</v>
      </c>
      <c r="AS196" s="11">
        <v>599</v>
      </c>
      <c r="AT196" s="11">
        <v>3787.5</v>
      </c>
      <c r="AU196" s="11">
        <v>5</v>
      </c>
      <c r="AV196" s="11">
        <v>57</v>
      </c>
      <c r="AW196" s="11">
        <v>40</v>
      </c>
      <c r="AX196" s="11">
        <v>26</v>
      </c>
      <c r="AY196" s="11">
        <v>5</v>
      </c>
    </row>
    <row r="197" spans="1:52">
      <c r="A197" s="11" t="s">
        <v>108</v>
      </c>
      <c r="B197" s="149" t="s">
        <v>465</v>
      </c>
      <c r="C197" s="11" t="s">
        <v>312</v>
      </c>
      <c r="D197" s="11" t="s">
        <v>506</v>
      </c>
      <c r="E197" s="11" t="s">
        <v>654</v>
      </c>
      <c r="F197" s="185">
        <v>45842</v>
      </c>
      <c r="G197" s="11" t="s">
        <v>108</v>
      </c>
      <c r="H197" s="11">
        <v>0</v>
      </c>
      <c r="I197" s="11">
        <v>2860000</v>
      </c>
      <c r="J197" s="11">
        <v>0</v>
      </c>
      <c r="K197" s="11">
        <v>0</v>
      </c>
      <c r="L197" s="6">
        <f t="shared" si="0"/>
        <v>0</v>
      </c>
      <c r="M197" s="11">
        <v>22</v>
      </c>
      <c r="N197" s="11">
        <v>22</v>
      </c>
      <c r="O197" s="11">
        <v>0</v>
      </c>
      <c r="P197" s="11">
        <v>22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10</v>
      </c>
      <c r="Y197" s="11">
        <v>34</v>
      </c>
      <c r="Z197" s="11">
        <v>0</v>
      </c>
      <c r="AA197" s="11">
        <v>3</v>
      </c>
      <c r="AB197" s="11">
        <v>7</v>
      </c>
      <c r="AC197" s="11">
        <v>0</v>
      </c>
      <c r="AD197" s="11">
        <v>0</v>
      </c>
      <c r="AE197" s="11">
        <v>0</v>
      </c>
      <c r="AF197" s="11">
        <v>0</v>
      </c>
      <c r="AG197" s="11">
        <v>97</v>
      </c>
      <c r="AH197" s="11">
        <v>138</v>
      </c>
      <c r="AI197" s="11">
        <v>47</v>
      </c>
      <c r="AJ197" s="11">
        <v>0</v>
      </c>
      <c r="AK197" s="11">
        <v>3</v>
      </c>
      <c r="AL197" s="11">
        <v>36190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384</v>
      </c>
      <c r="AT197" s="11">
        <v>2452.88</v>
      </c>
      <c r="AU197" s="11">
        <v>0</v>
      </c>
      <c r="AV197" s="11">
        <v>111</v>
      </c>
      <c r="AW197" s="11">
        <v>0</v>
      </c>
      <c r="AX197" s="11">
        <v>22</v>
      </c>
      <c r="AY197" s="11">
        <v>0</v>
      </c>
      <c r="AZ197" s="184">
        <v>45911</v>
      </c>
    </row>
    <row r="198" spans="1:52">
      <c r="A198" s="11" t="s">
        <v>108</v>
      </c>
      <c r="B198" s="149" t="s">
        <v>465</v>
      </c>
      <c r="C198" s="11" t="s">
        <v>313</v>
      </c>
      <c r="D198" s="11" t="s">
        <v>506</v>
      </c>
      <c r="E198" s="11" t="s">
        <v>475</v>
      </c>
      <c r="F198" s="185">
        <v>45842</v>
      </c>
      <c r="G198" s="11" t="s">
        <v>108</v>
      </c>
      <c r="H198" s="11">
        <v>0</v>
      </c>
      <c r="I198" s="11">
        <v>4400000</v>
      </c>
      <c r="J198" s="11">
        <v>2760078.1</v>
      </c>
      <c r="K198" s="11">
        <v>0</v>
      </c>
      <c r="L198" s="6">
        <f t="shared" si="0"/>
        <v>2760078.1</v>
      </c>
      <c r="M198" s="11">
        <v>78</v>
      </c>
      <c r="N198" s="11">
        <v>64</v>
      </c>
      <c r="O198" s="11">
        <v>1</v>
      </c>
      <c r="P198" s="11">
        <v>79</v>
      </c>
      <c r="Q198" s="11">
        <v>15</v>
      </c>
      <c r="R198" s="11">
        <v>2752236.1</v>
      </c>
      <c r="S198" s="11">
        <v>7842</v>
      </c>
      <c r="T198" s="11">
        <v>10</v>
      </c>
      <c r="U198" s="11">
        <v>1</v>
      </c>
      <c r="V198" s="11">
        <v>11</v>
      </c>
      <c r="W198" s="11">
        <v>0</v>
      </c>
      <c r="X198" s="11">
        <v>81</v>
      </c>
      <c r="Y198" s="11">
        <v>139</v>
      </c>
      <c r="Z198" s="11">
        <v>23</v>
      </c>
      <c r="AA198" s="11">
        <v>3</v>
      </c>
      <c r="AB198" s="11">
        <v>12</v>
      </c>
      <c r="AC198" s="11">
        <v>0</v>
      </c>
      <c r="AD198" s="11">
        <v>0</v>
      </c>
      <c r="AE198" s="11">
        <v>0</v>
      </c>
      <c r="AF198" s="11">
        <v>0</v>
      </c>
      <c r="AG198" s="11">
        <v>192</v>
      </c>
      <c r="AH198" s="11">
        <v>343</v>
      </c>
      <c r="AI198" s="11">
        <v>58</v>
      </c>
      <c r="AJ198" s="11">
        <v>47588</v>
      </c>
      <c r="AK198" s="11">
        <v>6</v>
      </c>
      <c r="AL198" s="11">
        <v>48765</v>
      </c>
      <c r="AM198" s="11">
        <v>0</v>
      </c>
      <c r="AN198" s="11">
        <v>1.77E-2</v>
      </c>
      <c r="AO198" s="11">
        <v>250916</v>
      </c>
      <c r="AP198" s="11">
        <v>0.63</v>
      </c>
      <c r="AQ198" s="11">
        <v>0</v>
      </c>
      <c r="AR198" s="11">
        <v>63</v>
      </c>
      <c r="AS198" s="11">
        <v>536</v>
      </c>
      <c r="AT198" s="11">
        <v>4725.88</v>
      </c>
      <c r="AU198" s="11">
        <v>1</v>
      </c>
      <c r="AV198" s="11">
        <v>74</v>
      </c>
      <c r="AW198" s="11">
        <v>11</v>
      </c>
      <c r="AX198" s="11">
        <v>53</v>
      </c>
      <c r="AY198" s="11">
        <v>15</v>
      </c>
    </row>
    <row r="199" spans="1:52">
      <c r="A199" s="11" t="s">
        <v>154</v>
      </c>
      <c r="B199" s="149" t="s">
        <v>370</v>
      </c>
      <c r="C199" s="11" t="s">
        <v>314</v>
      </c>
      <c r="D199" s="11" t="s">
        <v>542</v>
      </c>
      <c r="E199" s="11" t="s">
        <v>655</v>
      </c>
      <c r="F199" s="185">
        <v>45845</v>
      </c>
      <c r="G199" s="11" t="s">
        <v>196</v>
      </c>
      <c r="H199" s="11">
        <v>0</v>
      </c>
      <c r="I199" s="11">
        <v>0</v>
      </c>
      <c r="J199" s="11">
        <v>0</v>
      </c>
      <c r="K199" s="11">
        <v>0</v>
      </c>
      <c r="L199" s="6">
        <f t="shared" si="0"/>
        <v>0</v>
      </c>
      <c r="M199" s="11">
        <v>4</v>
      </c>
      <c r="N199" s="11">
        <v>4</v>
      </c>
      <c r="O199" s="11">
        <v>0</v>
      </c>
      <c r="P199" s="11">
        <v>4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29</v>
      </c>
      <c r="Y199" s="11">
        <v>85</v>
      </c>
      <c r="Z199" s="11">
        <v>0</v>
      </c>
      <c r="AA199" s="11">
        <v>1</v>
      </c>
      <c r="AB199" s="11">
        <v>1</v>
      </c>
      <c r="AC199" s="11">
        <v>0</v>
      </c>
      <c r="AD199" s="11">
        <v>0</v>
      </c>
      <c r="AE199" s="11">
        <v>5</v>
      </c>
      <c r="AF199" s="11">
        <v>8</v>
      </c>
      <c r="AG199" s="11">
        <v>14</v>
      </c>
      <c r="AH199" s="11">
        <v>108</v>
      </c>
      <c r="AI199" s="11">
        <v>20</v>
      </c>
      <c r="AJ199" s="11">
        <v>0</v>
      </c>
      <c r="AK199" s="11">
        <v>5</v>
      </c>
      <c r="AL199" s="11">
        <v>37760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170</v>
      </c>
      <c r="AT199" s="11">
        <v>1535.72</v>
      </c>
      <c r="AU199" s="11">
        <v>0</v>
      </c>
      <c r="AV199" s="11">
        <v>384</v>
      </c>
      <c r="AW199" s="11">
        <v>0</v>
      </c>
      <c r="AX199" s="11">
        <v>4</v>
      </c>
      <c r="AY199" s="11">
        <v>0</v>
      </c>
      <c r="AZ199" s="184">
        <v>45869</v>
      </c>
    </row>
    <row r="200" spans="1:52">
      <c r="A200" s="11" t="s">
        <v>118</v>
      </c>
      <c r="B200" s="149" t="s">
        <v>362</v>
      </c>
      <c r="C200" s="11" t="s">
        <v>315</v>
      </c>
      <c r="D200" s="11" t="s">
        <v>419</v>
      </c>
      <c r="E200" s="11" t="s">
        <v>656</v>
      </c>
      <c r="F200" s="185">
        <v>45845</v>
      </c>
      <c r="G200" s="11" t="s">
        <v>67</v>
      </c>
      <c r="H200" s="11">
        <v>0</v>
      </c>
      <c r="I200" s="11">
        <v>6000000</v>
      </c>
      <c r="J200" s="11">
        <v>2684398.08</v>
      </c>
      <c r="K200" s="11">
        <v>0</v>
      </c>
      <c r="L200" s="6">
        <f t="shared" si="0"/>
        <v>2684398.08</v>
      </c>
      <c r="M200" s="11">
        <v>42</v>
      </c>
      <c r="N200" s="11">
        <v>52</v>
      </c>
      <c r="O200" s="11">
        <v>14</v>
      </c>
      <c r="P200" s="11">
        <v>56</v>
      </c>
      <c r="Q200" s="11">
        <v>4</v>
      </c>
      <c r="R200" s="11">
        <v>2032569.99</v>
      </c>
      <c r="S200" s="11">
        <v>651828.09</v>
      </c>
      <c r="T200" s="11">
        <v>16</v>
      </c>
      <c r="U200" s="11">
        <v>14</v>
      </c>
      <c r="V200" s="11">
        <v>30</v>
      </c>
      <c r="W200" s="11">
        <v>0</v>
      </c>
      <c r="X200" s="11">
        <v>48</v>
      </c>
      <c r="Y200" s="11">
        <v>115</v>
      </c>
      <c r="Z200" s="11">
        <v>2</v>
      </c>
      <c r="AA200" s="11">
        <v>2</v>
      </c>
      <c r="AB200" s="11">
        <v>5</v>
      </c>
      <c r="AC200" s="11">
        <v>0</v>
      </c>
      <c r="AD200" s="11">
        <v>0</v>
      </c>
      <c r="AE200" s="11">
        <v>0</v>
      </c>
      <c r="AF200" s="11">
        <v>0</v>
      </c>
      <c r="AG200" s="11">
        <v>237</v>
      </c>
      <c r="AH200" s="11">
        <v>357</v>
      </c>
      <c r="AI200" s="11">
        <v>68</v>
      </c>
      <c r="AJ200" s="11">
        <v>39476</v>
      </c>
      <c r="AK200" s="11">
        <v>5</v>
      </c>
      <c r="AL200" s="11">
        <v>24120</v>
      </c>
      <c r="AM200" s="11">
        <v>0</v>
      </c>
      <c r="AN200" s="11">
        <v>8.9999999999999993E-3</v>
      </c>
      <c r="AO200" s="11">
        <v>89480</v>
      </c>
      <c r="AP200" s="11">
        <v>0.45</v>
      </c>
      <c r="AQ200" s="11">
        <v>0</v>
      </c>
      <c r="AR200" s="11">
        <v>45</v>
      </c>
      <c r="AS200" s="11">
        <v>794</v>
      </c>
      <c r="AT200" s="11">
        <v>6827.14</v>
      </c>
      <c r="AU200" s="11">
        <v>14</v>
      </c>
      <c r="AV200" s="11">
        <v>131</v>
      </c>
      <c r="AW200" s="11">
        <v>30</v>
      </c>
      <c r="AX200" s="11">
        <v>22</v>
      </c>
      <c r="AY200" s="11">
        <v>4</v>
      </c>
    </row>
    <row r="201" spans="1:52">
      <c r="A201" s="11" t="s">
        <v>201</v>
      </c>
      <c r="B201" s="149" t="s">
        <v>431</v>
      </c>
      <c r="C201" s="11" t="s">
        <v>316</v>
      </c>
      <c r="D201" s="11" t="s">
        <v>431</v>
      </c>
      <c r="E201" s="11" t="s">
        <v>513</v>
      </c>
      <c r="F201" s="185">
        <v>45843</v>
      </c>
      <c r="G201" s="11" t="s">
        <v>135</v>
      </c>
      <c r="H201" s="11">
        <v>0</v>
      </c>
      <c r="I201" s="11">
        <v>6000000</v>
      </c>
      <c r="J201" s="11">
        <v>1042989.62</v>
      </c>
      <c r="K201" s="11">
        <v>0</v>
      </c>
      <c r="L201" s="6">
        <f t="shared" si="0"/>
        <v>1042989.62</v>
      </c>
      <c r="M201" s="11">
        <v>42</v>
      </c>
      <c r="N201" s="11">
        <v>50</v>
      </c>
      <c r="O201" s="11">
        <v>17</v>
      </c>
      <c r="P201" s="11">
        <v>59</v>
      </c>
      <c r="Q201" s="11">
        <v>9</v>
      </c>
      <c r="R201" s="11">
        <v>843876.4</v>
      </c>
      <c r="S201" s="11">
        <v>199113.22</v>
      </c>
      <c r="T201" s="11">
        <v>12</v>
      </c>
      <c r="U201" s="11">
        <v>12</v>
      </c>
      <c r="V201" s="11">
        <v>24</v>
      </c>
      <c r="W201" s="11">
        <v>0</v>
      </c>
      <c r="X201" s="11">
        <v>14</v>
      </c>
      <c r="Y201" s="11">
        <v>19</v>
      </c>
      <c r="Z201" s="11">
        <v>2</v>
      </c>
      <c r="AA201" s="11">
        <v>3</v>
      </c>
      <c r="AB201" s="11">
        <v>32</v>
      </c>
      <c r="AC201" s="11">
        <v>0</v>
      </c>
      <c r="AD201" s="11">
        <v>0</v>
      </c>
      <c r="AE201" s="11">
        <v>0</v>
      </c>
      <c r="AF201" s="11">
        <v>0</v>
      </c>
      <c r="AG201" s="11">
        <v>169</v>
      </c>
      <c r="AH201" s="11">
        <v>220</v>
      </c>
      <c r="AI201" s="11">
        <v>65</v>
      </c>
      <c r="AJ201" s="11">
        <v>16046</v>
      </c>
      <c r="AK201" s="11">
        <v>3</v>
      </c>
      <c r="AL201" s="11">
        <v>41430</v>
      </c>
      <c r="AM201" s="11">
        <v>0</v>
      </c>
      <c r="AN201" s="11">
        <v>3.9699999999999999E-2</v>
      </c>
      <c r="AO201" s="11">
        <v>43458</v>
      </c>
      <c r="AP201" s="11">
        <v>0.17</v>
      </c>
      <c r="AQ201" s="11">
        <v>0</v>
      </c>
      <c r="AR201" s="11">
        <v>37</v>
      </c>
      <c r="AS201" s="11">
        <v>661</v>
      </c>
      <c r="AT201" s="11">
        <v>5847.13</v>
      </c>
      <c r="AU201" s="11">
        <v>12</v>
      </c>
      <c r="AV201" s="11">
        <v>117</v>
      </c>
      <c r="AW201" s="11">
        <v>24</v>
      </c>
      <c r="AX201" s="11">
        <v>26</v>
      </c>
      <c r="AY201" s="11">
        <v>9</v>
      </c>
    </row>
    <row r="202" spans="1:52">
      <c r="A202" s="11" t="s">
        <v>108</v>
      </c>
      <c r="B202" s="149" t="s">
        <v>465</v>
      </c>
      <c r="C202" s="11" t="s">
        <v>317</v>
      </c>
      <c r="D202" s="11" t="s">
        <v>506</v>
      </c>
      <c r="E202" s="11" t="s">
        <v>507</v>
      </c>
      <c r="F202" s="184">
        <v>45859</v>
      </c>
      <c r="G202" s="11" t="s">
        <v>108</v>
      </c>
      <c r="H202" s="11">
        <v>0</v>
      </c>
      <c r="I202" s="11">
        <v>0</v>
      </c>
      <c r="J202" s="11">
        <v>0</v>
      </c>
      <c r="K202" s="11">
        <v>0</v>
      </c>
      <c r="L202" s="6">
        <f t="shared" si="0"/>
        <v>0</v>
      </c>
      <c r="M202" s="11">
        <v>134</v>
      </c>
      <c r="N202" s="11">
        <v>111</v>
      </c>
      <c r="O202" s="11">
        <v>16</v>
      </c>
      <c r="P202" s="11">
        <v>150</v>
      </c>
      <c r="Q202" s="11">
        <v>39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5</v>
      </c>
      <c r="Y202" s="11">
        <v>7</v>
      </c>
      <c r="Z202" s="11">
        <v>3</v>
      </c>
      <c r="AA202" s="11">
        <v>1</v>
      </c>
      <c r="AB202" s="11">
        <v>6</v>
      </c>
      <c r="AC202" s="11">
        <v>0</v>
      </c>
      <c r="AD202" s="11">
        <v>0</v>
      </c>
      <c r="AE202" s="11">
        <v>0</v>
      </c>
      <c r="AF202" s="11">
        <v>0</v>
      </c>
      <c r="AG202" s="11">
        <v>217</v>
      </c>
      <c r="AH202" s="11">
        <v>230</v>
      </c>
      <c r="AI202" s="11">
        <v>57</v>
      </c>
      <c r="AJ202" s="11">
        <v>0</v>
      </c>
      <c r="AK202" s="11">
        <v>4</v>
      </c>
      <c r="AL202" s="11">
        <v>51910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620</v>
      </c>
      <c r="AT202" s="11">
        <v>5206.3900000000003</v>
      </c>
      <c r="AU202" s="11">
        <v>0</v>
      </c>
      <c r="AV202" s="11">
        <v>47</v>
      </c>
      <c r="AW202" s="11">
        <v>0</v>
      </c>
      <c r="AX202" s="11">
        <v>111</v>
      </c>
      <c r="AY202" s="11">
        <v>39</v>
      </c>
    </row>
    <row r="203" spans="1:52">
      <c r="A203" s="11" t="s">
        <v>124</v>
      </c>
      <c r="B203" s="149" t="s">
        <v>443</v>
      </c>
      <c r="C203" s="11" t="s">
        <v>318</v>
      </c>
      <c r="D203" s="11" t="s">
        <v>517</v>
      </c>
      <c r="E203" s="11" t="s">
        <v>657</v>
      </c>
      <c r="F203" s="184">
        <v>45862</v>
      </c>
      <c r="G203" s="11" t="s">
        <v>124</v>
      </c>
      <c r="H203" s="11">
        <v>0</v>
      </c>
      <c r="I203" s="11">
        <v>2400000</v>
      </c>
      <c r="J203" s="11">
        <v>113402.6</v>
      </c>
      <c r="K203" s="11">
        <v>0</v>
      </c>
      <c r="L203" s="6">
        <f t="shared" si="0"/>
        <v>113402.6</v>
      </c>
      <c r="M203" s="11">
        <v>31</v>
      </c>
      <c r="N203" s="11">
        <v>33</v>
      </c>
      <c r="O203" s="11">
        <v>4</v>
      </c>
      <c r="P203" s="11">
        <v>35</v>
      </c>
      <c r="Q203" s="11">
        <v>2</v>
      </c>
      <c r="R203" s="11">
        <v>73260.3</v>
      </c>
      <c r="S203" s="11">
        <v>40142.300000000003</v>
      </c>
      <c r="T203" s="11">
        <v>6</v>
      </c>
      <c r="U203" s="11">
        <v>4</v>
      </c>
      <c r="V203" s="11">
        <v>10</v>
      </c>
      <c r="W203" s="11">
        <v>0</v>
      </c>
      <c r="X203" s="11">
        <v>76</v>
      </c>
      <c r="Y203" s="11">
        <v>111</v>
      </c>
      <c r="Z203" s="11">
        <v>11</v>
      </c>
      <c r="AA203" s="11">
        <v>1</v>
      </c>
      <c r="AB203" s="11">
        <v>1</v>
      </c>
      <c r="AC203" s="11">
        <v>0</v>
      </c>
      <c r="AD203" s="11">
        <v>0</v>
      </c>
      <c r="AE203" s="11">
        <v>0</v>
      </c>
      <c r="AF203" s="11">
        <v>0</v>
      </c>
      <c r="AG203" s="11">
        <v>83</v>
      </c>
      <c r="AH203" s="11">
        <v>195</v>
      </c>
      <c r="AI203" s="11">
        <v>51</v>
      </c>
      <c r="AJ203" s="11">
        <v>2224</v>
      </c>
      <c r="AK203" s="11">
        <v>4</v>
      </c>
      <c r="AL203" s="11">
        <v>39330</v>
      </c>
      <c r="AM203" s="11">
        <v>0</v>
      </c>
      <c r="AN203" s="11">
        <v>0.3468</v>
      </c>
      <c r="AO203" s="11">
        <v>11340</v>
      </c>
      <c r="AP203" s="11">
        <v>0.05</v>
      </c>
      <c r="AQ203" s="11">
        <v>0</v>
      </c>
      <c r="AR203" s="11">
        <v>11</v>
      </c>
      <c r="AS203" s="11">
        <v>468</v>
      </c>
      <c r="AT203" s="11">
        <v>2876.94</v>
      </c>
      <c r="AU203" s="11">
        <v>4</v>
      </c>
      <c r="AV203" s="11">
        <v>87</v>
      </c>
      <c r="AW203" s="11">
        <v>10</v>
      </c>
      <c r="AX203" s="11">
        <v>23</v>
      </c>
      <c r="AY203" s="11">
        <v>2</v>
      </c>
    </row>
    <row r="204" spans="1:52">
      <c r="A204" s="11" t="s">
        <v>154</v>
      </c>
      <c r="B204" s="149" t="s">
        <v>367</v>
      </c>
      <c r="C204" s="11" t="s">
        <v>319</v>
      </c>
      <c r="D204" s="11" t="s">
        <v>577</v>
      </c>
      <c r="E204" s="11" t="s">
        <v>658</v>
      </c>
      <c r="F204" s="184">
        <v>45862</v>
      </c>
      <c r="G204" s="11" t="s">
        <v>196</v>
      </c>
      <c r="H204" s="11">
        <v>0</v>
      </c>
      <c r="I204" s="11">
        <v>1000000</v>
      </c>
      <c r="J204" s="11">
        <v>85000.6</v>
      </c>
      <c r="K204" s="11">
        <v>0</v>
      </c>
      <c r="L204" s="6">
        <f t="shared" si="0"/>
        <v>85000.6</v>
      </c>
      <c r="M204" s="11">
        <v>6</v>
      </c>
      <c r="N204" s="11">
        <v>14</v>
      </c>
      <c r="O204" s="11">
        <v>8</v>
      </c>
      <c r="P204" s="11">
        <v>14</v>
      </c>
      <c r="Q204" s="11">
        <v>0</v>
      </c>
      <c r="R204" s="11">
        <v>0</v>
      </c>
      <c r="S204" s="11">
        <v>85000.6</v>
      </c>
      <c r="T204" s="11">
        <v>0</v>
      </c>
      <c r="U204" s="11">
        <v>7</v>
      </c>
      <c r="V204" s="11">
        <v>7</v>
      </c>
      <c r="W204" s="11">
        <v>0</v>
      </c>
      <c r="X204" s="11">
        <v>82</v>
      </c>
      <c r="Y204" s="11">
        <v>204</v>
      </c>
      <c r="Z204" s="11">
        <v>20</v>
      </c>
      <c r="AA204" s="11">
        <v>1</v>
      </c>
      <c r="AB204" s="11">
        <v>29</v>
      </c>
      <c r="AC204" s="11">
        <v>0</v>
      </c>
      <c r="AD204" s="11">
        <v>0</v>
      </c>
      <c r="AE204" s="11">
        <v>6</v>
      </c>
      <c r="AF204" s="11">
        <v>21</v>
      </c>
      <c r="AG204" s="11">
        <v>54</v>
      </c>
      <c r="AH204" s="11">
        <v>308</v>
      </c>
      <c r="AI204" s="11">
        <v>54</v>
      </c>
      <c r="AJ204" s="11">
        <v>1574</v>
      </c>
      <c r="AK204" s="11">
        <v>6</v>
      </c>
      <c r="AL204" s="11">
        <v>25215</v>
      </c>
      <c r="AM204" s="11">
        <v>0</v>
      </c>
      <c r="AN204" s="11">
        <v>0.29659999999999997</v>
      </c>
      <c r="AO204" s="11">
        <v>12143</v>
      </c>
      <c r="AP204" s="11">
        <v>0.09</v>
      </c>
      <c r="AQ204" s="11">
        <v>0</v>
      </c>
      <c r="AR204" s="11">
        <v>9</v>
      </c>
      <c r="AS204" s="11">
        <v>443</v>
      </c>
      <c r="AT204" s="11">
        <v>1873.04</v>
      </c>
      <c r="AU204" s="11">
        <v>7</v>
      </c>
      <c r="AV204" s="11">
        <v>134</v>
      </c>
      <c r="AW204" s="11">
        <v>7</v>
      </c>
      <c r="AX204" s="11">
        <v>7</v>
      </c>
      <c r="AY204" s="11">
        <v>0</v>
      </c>
    </row>
    <row r="205" spans="1:52">
      <c r="A205" s="11" t="s">
        <v>154</v>
      </c>
      <c r="B205" s="149" t="s">
        <v>367</v>
      </c>
      <c r="C205" s="11" t="s">
        <v>320</v>
      </c>
      <c r="D205" s="11" t="s">
        <v>577</v>
      </c>
      <c r="E205" s="11" t="s">
        <v>373</v>
      </c>
      <c r="F205" s="184">
        <v>45861</v>
      </c>
      <c r="G205" s="11" t="s">
        <v>196</v>
      </c>
      <c r="H205" s="11">
        <v>0</v>
      </c>
      <c r="I205" s="11">
        <v>1000000</v>
      </c>
      <c r="J205" s="11">
        <v>73202</v>
      </c>
      <c r="K205" s="11">
        <v>0</v>
      </c>
      <c r="L205" s="6">
        <f t="shared" si="0"/>
        <v>73202</v>
      </c>
      <c r="M205" s="11">
        <v>11</v>
      </c>
      <c r="N205" s="11">
        <v>12</v>
      </c>
      <c r="O205" s="11">
        <v>2</v>
      </c>
      <c r="P205" s="11">
        <v>13</v>
      </c>
      <c r="Q205" s="11">
        <v>1</v>
      </c>
      <c r="R205" s="11">
        <v>30460</v>
      </c>
      <c r="S205" s="11">
        <v>42742</v>
      </c>
      <c r="T205" s="11">
        <v>1</v>
      </c>
      <c r="U205" s="11">
        <v>2</v>
      </c>
      <c r="V205" s="11">
        <v>3</v>
      </c>
      <c r="W205" s="11">
        <v>0</v>
      </c>
      <c r="X205" s="11">
        <v>158</v>
      </c>
      <c r="Y205" s="11">
        <v>361</v>
      </c>
      <c r="Z205" s="11">
        <v>28</v>
      </c>
      <c r="AA205" s="11">
        <v>2</v>
      </c>
      <c r="AB205" s="11">
        <v>20</v>
      </c>
      <c r="AC205" s="11">
        <v>0</v>
      </c>
      <c r="AD205" s="11">
        <v>0</v>
      </c>
      <c r="AE205" s="11">
        <v>2</v>
      </c>
      <c r="AF205" s="11">
        <v>3</v>
      </c>
      <c r="AG205" s="11">
        <v>33</v>
      </c>
      <c r="AH205" s="11">
        <v>417</v>
      </c>
      <c r="AI205" s="11">
        <v>52</v>
      </c>
      <c r="AJ205" s="11">
        <v>1408</v>
      </c>
      <c r="AK205" s="11">
        <v>8</v>
      </c>
      <c r="AL205" s="11">
        <v>24120</v>
      </c>
      <c r="AM205" s="11">
        <v>0</v>
      </c>
      <c r="AN205" s="11">
        <v>0.32950000000000002</v>
      </c>
      <c r="AO205" s="11">
        <v>24401</v>
      </c>
      <c r="AP205" s="11">
        <v>7.0000000000000007E-2</v>
      </c>
      <c r="AQ205" s="11">
        <v>0</v>
      </c>
      <c r="AR205" s="11">
        <v>3</v>
      </c>
      <c r="AS205" s="11">
        <v>507</v>
      </c>
      <c r="AT205" s="11">
        <v>3880.32</v>
      </c>
      <c r="AU205" s="11">
        <v>2</v>
      </c>
      <c r="AV205" s="11">
        <v>323</v>
      </c>
      <c r="AW205" s="11">
        <v>3</v>
      </c>
      <c r="AX205" s="11">
        <v>9</v>
      </c>
      <c r="AY205" s="11">
        <v>1</v>
      </c>
    </row>
    <row r="206" spans="1:52">
      <c r="A206" s="11" t="s">
        <v>120</v>
      </c>
      <c r="B206" s="149" t="s">
        <v>206</v>
      </c>
      <c r="C206" s="11" t="s">
        <v>321</v>
      </c>
      <c r="D206" s="11" t="s">
        <v>206</v>
      </c>
      <c r="E206" s="11" t="s">
        <v>659</v>
      </c>
      <c r="F206" s="185">
        <v>45873</v>
      </c>
      <c r="G206" s="11" t="s">
        <v>120</v>
      </c>
      <c r="H206" s="11">
        <v>0</v>
      </c>
      <c r="I206" s="11">
        <v>0</v>
      </c>
      <c r="J206" s="11">
        <v>0</v>
      </c>
      <c r="K206" s="11">
        <v>0</v>
      </c>
      <c r="L206" s="6">
        <f t="shared" si="0"/>
        <v>0</v>
      </c>
      <c r="M206" s="11">
        <v>1</v>
      </c>
      <c r="N206" s="11">
        <v>1</v>
      </c>
      <c r="O206" s="11">
        <v>0</v>
      </c>
      <c r="P206" s="11">
        <v>1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12</v>
      </c>
      <c r="Y206" s="11">
        <v>14</v>
      </c>
      <c r="Z206" s="11">
        <v>0</v>
      </c>
      <c r="AA206" s="11">
        <v>1</v>
      </c>
      <c r="AB206" s="11">
        <v>1</v>
      </c>
      <c r="AC206" s="11">
        <v>1</v>
      </c>
      <c r="AD206" s="11">
        <v>1</v>
      </c>
      <c r="AE206" s="11">
        <v>1</v>
      </c>
      <c r="AF206" s="11">
        <v>1</v>
      </c>
      <c r="AG206" s="11">
        <v>1</v>
      </c>
      <c r="AH206" s="11">
        <v>18</v>
      </c>
      <c r="AI206" s="11">
        <v>4</v>
      </c>
      <c r="AJ206" s="11">
        <v>0</v>
      </c>
      <c r="AK206" s="11">
        <v>5</v>
      </c>
      <c r="AL206" s="11">
        <v>34600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44</v>
      </c>
      <c r="AT206" s="11">
        <v>271.86</v>
      </c>
      <c r="AU206" s="11">
        <v>0</v>
      </c>
      <c r="AV206" s="11">
        <v>272</v>
      </c>
      <c r="AW206" s="11">
        <v>0</v>
      </c>
      <c r="AX206" s="11">
        <v>1</v>
      </c>
      <c r="AY206" s="11">
        <v>0</v>
      </c>
      <c r="AZ206" s="184">
        <v>45890</v>
      </c>
    </row>
    <row r="207" spans="1:52">
      <c r="A207" s="11" t="s">
        <v>118</v>
      </c>
      <c r="B207" s="149" t="s">
        <v>362</v>
      </c>
      <c r="C207" s="11" t="s">
        <v>322</v>
      </c>
      <c r="D207" s="11" t="s">
        <v>419</v>
      </c>
      <c r="E207" s="11" t="s">
        <v>539</v>
      </c>
      <c r="F207" s="185">
        <v>45876</v>
      </c>
      <c r="G207" s="11" t="s">
        <v>29</v>
      </c>
      <c r="H207" s="11">
        <v>0</v>
      </c>
      <c r="I207" s="11">
        <v>3000000</v>
      </c>
      <c r="J207" s="11">
        <v>2369704.33</v>
      </c>
      <c r="K207" s="11">
        <v>0</v>
      </c>
      <c r="L207" s="6">
        <f t="shared" si="0"/>
        <v>2369704.33</v>
      </c>
      <c r="M207" s="11">
        <v>44</v>
      </c>
      <c r="N207" s="11">
        <v>48</v>
      </c>
      <c r="O207" s="11">
        <v>13</v>
      </c>
      <c r="P207" s="11">
        <v>57</v>
      </c>
      <c r="Q207" s="11">
        <v>9</v>
      </c>
      <c r="R207" s="11">
        <v>1741793.81</v>
      </c>
      <c r="S207" s="11">
        <v>627910.52</v>
      </c>
      <c r="T207" s="11">
        <v>16</v>
      </c>
      <c r="U207" s="11">
        <v>11</v>
      </c>
      <c r="V207" s="11">
        <v>27</v>
      </c>
      <c r="W207" s="11">
        <v>0</v>
      </c>
      <c r="X207" s="11">
        <v>13</v>
      </c>
      <c r="Y207" s="11">
        <v>24</v>
      </c>
      <c r="Z207" s="11">
        <v>0</v>
      </c>
      <c r="AA207" s="11">
        <v>1</v>
      </c>
      <c r="AB207" s="11">
        <v>1</v>
      </c>
      <c r="AC207" s="11">
        <v>0</v>
      </c>
      <c r="AD207" s="11">
        <v>0</v>
      </c>
      <c r="AE207" s="11">
        <v>0</v>
      </c>
      <c r="AF207" s="11">
        <v>0</v>
      </c>
      <c r="AG207" s="11">
        <v>124</v>
      </c>
      <c r="AH207" s="11">
        <v>149</v>
      </c>
      <c r="AI207" s="11">
        <v>36</v>
      </c>
      <c r="AJ207" s="11">
        <v>65825</v>
      </c>
      <c r="AK207" s="11">
        <v>4</v>
      </c>
      <c r="AL207" s="11">
        <v>33570</v>
      </c>
      <c r="AM207" s="11">
        <v>0</v>
      </c>
      <c r="AN207" s="11">
        <v>1.4200000000000001E-2</v>
      </c>
      <c r="AO207" s="11">
        <v>87767</v>
      </c>
      <c r="AP207" s="11">
        <v>0.79</v>
      </c>
      <c r="AQ207" s="11">
        <v>0</v>
      </c>
      <c r="AR207" s="11">
        <v>38</v>
      </c>
      <c r="AS207" s="11">
        <v>377</v>
      </c>
      <c r="AT207" s="11">
        <v>3348.63</v>
      </c>
      <c r="AU207" s="11">
        <v>11</v>
      </c>
      <c r="AV207" s="11">
        <v>70</v>
      </c>
      <c r="AW207" s="11">
        <v>27</v>
      </c>
      <c r="AX207" s="11">
        <v>21</v>
      </c>
      <c r="AY207" s="11">
        <v>9</v>
      </c>
    </row>
    <row r="208" spans="1:52">
      <c r="A208" s="11" t="s">
        <v>120</v>
      </c>
      <c r="B208" s="149" t="s">
        <v>286</v>
      </c>
      <c r="C208" s="11" t="s">
        <v>323</v>
      </c>
      <c r="D208" s="11" t="s">
        <v>631</v>
      </c>
      <c r="E208" s="11" t="s">
        <v>357</v>
      </c>
      <c r="F208" s="184">
        <v>45887</v>
      </c>
      <c r="G208" s="11" t="s">
        <v>120</v>
      </c>
      <c r="H208" s="11">
        <v>0</v>
      </c>
      <c r="I208" s="11">
        <v>1703226</v>
      </c>
      <c r="J208" s="11">
        <v>1299417.23</v>
      </c>
      <c r="K208" s="11">
        <v>0</v>
      </c>
      <c r="L208" s="6">
        <f t="shared" si="0"/>
        <v>1299417.23</v>
      </c>
      <c r="M208" s="11">
        <v>85</v>
      </c>
      <c r="N208" s="11">
        <v>73</v>
      </c>
      <c r="O208" s="11">
        <v>9</v>
      </c>
      <c r="P208" s="11">
        <v>94</v>
      </c>
      <c r="Q208" s="11">
        <v>21</v>
      </c>
      <c r="R208" s="11">
        <v>1077915.23</v>
      </c>
      <c r="S208" s="11">
        <v>221502</v>
      </c>
      <c r="T208" s="11">
        <v>36</v>
      </c>
      <c r="U208" s="11">
        <v>9</v>
      </c>
      <c r="V208" s="11">
        <v>45</v>
      </c>
      <c r="W208" s="11">
        <v>0</v>
      </c>
      <c r="X208" s="11">
        <v>44</v>
      </c>
      <c r="Y208" s="11">
        <v>61</v>
      </c>
      <c r="Z208" s="11">
        <v>15</v>
      </c>
      <c r="AA208" s="11">
        <v>4</v>
      </c>
      <c r="AB208" s="11">
        <v>19</v>
      </c>
      <c r="AC208" s="11">
        <v>2</v>
      </c>
      <c r="AD208" s="11">
        <v>3</v>
      </c>
      <c r="AE208" s="11">
        <v>0</v>
      </c>
      <c r="AF208" s="11">
        <v>0</v>
      </c>
      <c r="AG208" s="11">
        <v>190</v>
      </c>
      <c r="AH208" s="11">
        <v>273</v>
      </c>
      <c r="AI208" s="11">
        <v>36</v>
      </c>
      <c r="AJ208" s="11">
        <v>36095</v>
      </c>
      <c r="AK208" s="11">
        <v>8</v>
      </c>
      <c r="AL208" s="11">
        <v>28835</v>
      </c>
      <c r="AM208" s="11">
        <v>0</v>
      </c>
      <c r="AN208" s="11">
        <v>2.2200000000000001E-2</v>
      </c>
      <c r="AO208" s="11">
        <v>28876</v>
      </c>
      <c r="AP208" s="11">
        <v>0.76</v>
      </c>
      <c r="AQ208" s="11">
        <v>0</v>
      </c>
      <c r="AR208" s="11">
        <v>61</v>
      </c>
      <c r="AS208" s="11">
        <v>346</v>
      </c>
      <c r="AT208" s="11">
        <v>2377.86</v>
      </c>
      <c r="AU208" s="11">
        <v>9</v>
      </c>
      <c r="AV208" s="11">
        <v>33</v>
      </c>
      <c r="AW208" s="11">
        <v>45</v>
      </c>
      <c r="AX208" s="11">
        <v>28</v>
      </c>
      <c r="AY208" s="11">
        <v>21</v>
      </c>
    </row>
    <row r="209" spans="1:51">
      <c r="A209" s="11" t="s">
        <v>124</v>
      </c>
      <c r="B209" s="149" t="s">
        <v>443</v>
      </c>
      <c r="C209" s="11" t="s">
        <v>324</v>
      </c>
      <c r="D209" s="11" t="s">
        <v>517</v>
      </c>
      <c r="E209" s="11" t="s">
        <v>524</v>
      </c>
      <c r="F209" s="184">
        <v>45887</v>
      </c>
      <c r="G209" s="11" t="s">
        <v>142</v>
      </c>
      <c r="H209" s="11">
        <v>0</v>
      </c>
      <c r="I209" s="11">
        <v>2400000</v>
      </c>
      <c r="J209" s="11">
        <v>365966.8</v>
      </c>
      <c r="K209" s="11">
        <v>0</v>
      </c>
      <c r="L209" s="6">
        <f t="shared" si="0"/>
        <v>365966.8</v>
      </c>
      <c r="M209" s="11">
        <v>50</v>
      </c>
      <c r="N209" s="11">
        <v>44</v>
      </c>
      <c r="O209" s="11">
        <v>1</v>
      </c>
      <c r="P209" s="11">
        <v>51</v>
      </c>
      <c r="Q209" s="11">
        <v>7</v>
      </c>
      <c r="R209" s="11">
        <v>244509.4</v>
      </c>
      <c r="S209" s="11">
        <v>121457.4</v>
      </c>
      <c r="T209" s="11">
        <v>10</v>
      </c>
      <c r="U209" s="11">
        <v>1</v>
      </c>
      <c r="V209" s="11">
        <v>11</v>
      </c>
      <c r="W209" s="11">
        <v>0</v>
      </c>
      <c r="X209" s="11">
        <v>44</v>
      </c>
      <c r="Y209" s="11">
        <v>47</v>
      </c>
      <c r="Z209" s="11">
        <v>15</v>
      </c>
      <c r="AA209" s="11">
        <v>1</v>
      </c>
      <c r="AB209" s="11">
        <v>20</v>
      </c>
      <c r="AC209" s="11">
        <v>0</v>
      </c>
      <c r="AD209" s="11">
        <v>0</v>
      </c>
      <c r="AE209" s="11">
        <v>0</v>
      </c>
      <c r="AF209" s="11">
        <v>0</v>
      </c>
      <c r="AG209" s="11">
        <v>61</v>
      </c>
      <c r="AH209" s="11">
        <v>128</v>
      </c>
      <c r="AI209" s="11">
        <v>31</v>
      </c>
      <c r="AJ209" s="11">
        <v>11805</v>
      </c>
      <c r="AK209" s="11">
        <v>4</v>
      </c>
      <c r="AL209" s="11">
        <v>40885</v>
      </c>
      <c r="AM209" s="11">
        <v>0</v>
      </c>
      <c r="AN209" s="11">
        <v>0.11169999999999999</v>
      </c>
      <c r="AO209" s="11">
        <v>33270</v>
      </c>
      <c r="AP209" s="11">
        <v>0.21</v>
      </c>
      <c r="AQ209" s="11">
        <v>0</v>
      </c>
      <c r="AR209" s="11">
        <v>12</v>
      </c>
      <c r="AS209" s="11">
        <v>307</v>
      </c>
      <c r="AT209" s="11">
        <v>1893.6</v>
      </c>
      <c r="AU209" s="11">
        <v>1</v>
      </c>
      <c r="AV209" s="11">
        <v>43</v>
      </c>
      <c r="AW209" s="11">
        <v>11</v>
      </c>
      <c r="AX209" s="11">
        <v>33</v>
      </c>
      <c r="AY209" s="11">
        <v>7</v>
      </c>
    </row>
    <row r="210" spans="1:51">
      <c r="A210" s="11" t="s">
        <v>108</v>
      </c>
      <c r="B210" s="149" t="s">
        <v>465</v>
      </c>
      <c r="C210" s="11" t="s">
        <v>325</v>
      </c>
      <c r="D210" s="11" t="s">
        <v>621</v>
      </c>
      <c r="E210" s="11" t="s">
        <v>660</v>
      </c>
      <c r="F210" s="184">
        <v>45894</v>
      </c>
      <c r="G210" s="11" t="s">
        <v>108</v>
      </c>
      <c r="H210" s="11">
        <v>0</v>
      </c>
      <c r="I210" s="11">
        <v>1144000</v>
      </c>
      <c r="J210" s="11">
        <v>0</v>
      </c>
      <c r="K210" s="11">
        <v>0</v>
      </c>
      <c r="L210" s="6">
        <f t="shared" si="0"/>
        <v>0</v>
      </c>
      <c r="M210" s="11">
        <v>39</v>
      </c>
      <c r="N210" s="11">
        <v>28</v>
      </c>
      <c r="O210" s="11">
        <v>1</v>
      </c>
      <c r="P210" s="11">
        <v>40</v>
      </c>
      <c r="Q210" s="11">
        <v>12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8</v>
      </c>
      <c r="Y210" s="11">
        <v>17</v>
      </c>
      <c r="Z210" s="11">
        <v>2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53</v>
      </c>
      <c r="AH210" s="11">
        <v>70</v>
      </c>
      <c r="AI210" s="11">
        <v>14</v>
      </c>
      <c r="AJ210" s="11">
        <v>0</v>
      </c>
      <c r="AK210" s="11">
        <v>5</v>
      </c>
      <c r="AL210" s="11">
        <v>36190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193</v>
      </c>
      <c r="AT210" s="11">
        <v>633.74</v>
      </c>
      <c r="AU210" s="11">
        <v>0</v>
      </c>
      <c r="AV210" s="11">
        <v>23</v>
      </c>
      <c r="AW210" s="11">
        <v>0</v>
      </c>
      <c r="AX210" s="11">
        <v>28</v>
      </c>
      <c r="AY210" s="11">
        <v>12</v>
      </c>
    </row>
    <row r="211" spans="1:51">
      <c r="A211" s="11" t="s">
        <v>118</v>
      </c>
      <c r="B211" s="149" t="s">
        <v>362</v>
      </c>
      <c r="C211" s="11" t="s">
        <v>326</v>
      </c>
      <c r="D211" s="11" t="s">
        <v>419</v>
      </c>
      <c r="E211" s="11" t="s">
        <v>661</v>
      </c>
      <c r="F211" s="184">
        <v>45894</v>
      </c>
      <c r="G211" s="11" t="s">
        <v>29</v>
      </c>
      <c r="H211" s="11">
        <v>0</v>
      </c>
      <c r="I211" s="11">
        <v>1500000</v>
      </c>
      <c r="J211" s="11">
        <v>784306.95</v>
      </c>
      <c r="K211" s="11">
        <v>0</v>
      </c>
      <c r="L211" s="6">
        <f t="shared" si="0"/>
        <v>784306.95</v>
      </c>
      <c r="M211" s="11">
        <v>78</v>
      </c>
      <c r="N211" s="11">
        <v>75</v>
      </c>
      <c r="O211" s="11">
        <v>2</v>
      </c>
      <c r="P211" s="11">
        <v>80</v>
      </c>
      <c r="Q211" s="11">
        <v>5</v>
      </c>
      <c r="R211" s="11">
        <v>404381.15</v>
      </c>
      <c r="S211" s="11">
        <v>379925.8</v>
      </c>
      <c r="T211" s="11">
        <v>12</v>
      </c>
      <c r="U211" s="11">
        <v>1</v>
      </c>
      <c r="V211" s="11">
        <v>13</v>
      </c>
      <c r="W211" s="11">
        <v>0</v>
      </c>
      <c r="X211" s="11">
        <v>7</v>
      </c>
      <c r="Y211" s="11">
        <v>10</v>
      </c>
      <c r="Z211" s="11">
        <v>0</v>
      </c>
      <c r="AA211" s="11">
        <v>1</v>
      </c>
      <c r="AB211" s="11">
        <v>2</v>
      </c>
      <c r="AC211" s="11">
        <v>0</v>
      </c>
      <c r="AD211" s="11">
        <v>0</v>
      </c>
      <c r="AE211" s="11">
        <v>0</v>
      </c>
      <c r="AF211" s="11">
        <v>0</v>
      </c>
      <c r="AG211" s="11">
        <v>102</v>
      </c>
      <c r="AH211" s="11">
        <v>114</v>
      </c>
      <c r="AI211" s="11">
        <v>26</v>
      </c>
      <c r="AJ211" s="11">
        <v>30166</v>
      </c>
      <c r="AK211" s="11">
        <v>4</v>
      </c>
      <c r="AL211" s="11">
        <v>27260</v>
      </c>
      <c r="AM211" s="11">
        <v>0</v>
      </c>
      <c r="AN211" s="11">
        <v>3.4799999999999998E-2</v>
      </c>
      <c r="AO211" s="11">
        <v>60331</v>
      </c>
      <c r="AP211" s="11">
        <v>0.52</v>
      </c>
      <c r="AQ211" s="11">
        <v>0</v>
      </c>
      <c r="AR211" s="11">
        <v>16</v>
      </c>
      <c r="AS211" s="11">
        <v>264</v>
      </c>
      <c r="AT211" s="11">
        <v>1501.65</v>
      </c>
      <c r="AU211" s="11">
        <v>1</v>
      </c>
      <c r="AV211" s="11">
        <v>20</v>
      </c>
      <c r="AW211" s="11">
        <v>13</v>
      </c>
      <c r="AX211" s="11">
        <v>62</v>
      </c>
      <c r="AY211" s="11">
        <v>5</v>
      </c>
    </row>
    <row r="212" spans="1:51">
      <c r="A212" s="11" t="s">
        <v>124</v>
      </c>
      <c r="B212" s="149" t="s">
        <v>443</v>
      </c>
      <c r="C212" s="11" t="s">
        <v>327</v>
      </c>
      <c r="D212" s="11" t="s">
        <v>517</v>
      </c>
      <c r="E212" s="11" t="s">
        <v>537</v>
      </c>
      <c r="F212" s="184">
        <v>45910</v>
      </c>
      <c r="G212" s="11" t="s">
        <v>124</v>
      </c>
      <c r="H212" s="11">
        <v>0</v>
      </c>
      <c r="I212" s="11">
        <v>2400000</v>
      </c>
      <c r="J212" s="11">
        <v>121882.38</v>
      </c>
      <c r="K212" s="11">
        <v>0</v>
      </c>
      <c r="L212" s="6">
        <f t="shared" si="0"/>
        <v>121882.38</v>
      </c>
      <c r="M212" s="11">
        <v>4</v>
      </c>
      <c r="N212" s="11">
        <v>8</v>
      </c>
      <c r="O212" s="11">
        <v>5</v>
      </c>
      <c r="P212" s="11">
        <v>9</v>
      </c>
      <c r="Q212" s="11">
        <v>1</v>
      </c>
      <c r="R212" s="11">
        <v>0</v>
      </c>
      <c r="S212" s="11">
        <v>121882.38</v>
      </c>
      <c r="T212" s="11">
        <v>0</v>
      </c>
      <c r="U212" s="11">
        <v>5</v>
      </c>
      <c r="V212" s="11">
        <v>5</v>
      </c>
      <c r="W212" s="11">
        <v>0</v>
      </c>
      <c r="X212" s="11">
        <v>42</v>
      </c>
      <c r="Y212" s="11">
        <v>65</v>
      </c>
      <c r="Z212" s="11">
        <v>26</v>
      </c>
      <c r="AA212" s="11">
        <v>1</v>
      </c>
      <c r="AB212" s="11">
        <v>2</v>
      </c>
      <c r="AC212" s="11">
        <v>0</v>
      </c>
      <c r="AD212" s="11">
        <v>0</v>
      </c>
      <c r="AE212" s="11">
        <v>1</v>
      </c>
      <c r="AF212" s="11">
        <v>4</v>
      </c>
      <c r="AG212" s="11">
        <v>22</v>
      </c>
      <c r="AH212" s="11">
        <v>93</v>
      </c>
      <c r="AI212" s="11">
        <v>13</v>
      </c>
      <c r="AJ212" s="11">
        <v>9376</v>
      </c>
      <c r="AK212" s="11">
        <v>7</v>
      </c>
      <c r="AL212" s="11">
        <v>40885</v>
      </c>
      <c r="AM212" s="11">
        <v>0</v>
      </c>
      <c r="AN212" s="11">
        <v>0.33539999999999998</v>
      </c>
      <c r="AO212" s="11">
        <v>24376</v>
      </c>
      <c r="AP212" s="11">
        <v>0.1</v>
      </c>
      <c r="AQ212" s="11">
        <v>0</v>
      </c>
      <c r="AR212" s="11">
        <v>6</v>
      </c>
      <c r="AS212" s="11">
        <v>132</v>
      </c>
      <c r="AT212" s="11">
        <v>548.62</v>
      </c>
      <c r="AU212" s="11">
        <v>5</v>
      </c>
      <c r="AV212" s="11">
        <v>69</v>
      </c>
      <c r="AW212" s="11">
        <v>5</v>
      </c>
      <c r="AX212" s="11">
        <v>3</v>
      </c>
      <c r="AY212" s="11">
        <v>1</v>
      </c>
    </row>
    <row r="213" spans="1:51">
      <c r="A213" s="11" t="s">
        <v>120</v>
      </c>
      <c r="B213" s="149" t="s">
        <v>206</v>
      </c>
      <c r="C213" s="11" t="s">
        <v>328</v>
      </c>
      <c r="D213" s="11" t="s">
        <v>206</v>
      </c>
      <c r="E213" s="11" t="s">
        <v>659</v>
      </c>
      <c r="F213" s="184">
        <v>45917</v>
      </c>
      <c r="G213" s="11" t="s">
        <v>120</v>
      </c>
      <c r="H213" s="11">
        <v>0</v>
      </c>
      <c r="I213" s="11">
        <v>520000</v>
      </c>
      <c r="J213" s="11">
        <v>0</v>
      </c>
      <c r="K213" s="11">
        <v>0</v>
      </c>
      <c r="L213" s="6">
        <f t="shared" si="0"/>
        <v>0</v>
      </c>
      <c r="M213" s="11">
        <v>7</v>
      </c>
      <c r="N213" s="11">
        <v>5</v>
      </c>
      <c r="O213" s="11">
        <v>0</v>
      </c>
      <c r="P213" s="11">
        <v>7</v>
      </c>
      <c r="Q213" s="11">
        <v>2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42</v>
      </c>
      <c r="Y213" s="11">
        <v>52</v>
      </c>
      <c r="Z213" s="11">
        <v>33</v>
      </c>
      <c r="AA213" s="11">
        <v>1</v>
      </c>
      <c r="AB213" s="11">
        <v>1</v>
      </c>
      <c r="AC213" s="11">
        <v>1</v>
      </c>
      <c r="AD213" s="11">
        <v>1</v>
      </c>
      <c r="AE213" s="11">
        <v>1</v>
      </c>
      <c r="AF213" s="11">
        <v>1</v>
      </c>
      <c r="AG213" s="11">
        <v>5</v>
      </c>
      <c r="AH213" s="11">
        <v>60</v>
      </c>
      <c r="AI213" s="11">
        <v>10</v>
      </c>
      <c r="AJ213" s="11">
        <v>0</v>
      </c>
      <c r="AK213" s="11">
        <v>6</v>
      </c>
      <c r="AL213" s="11">
        <v>32500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105</v>
      </c>
      <c r="AT213" s="11">
        <v>941.54</v>
      </c>
      <c r="AU213" s="11">
        <v>0</v>
      </c>
      <c r="AV213" s="11">
        <v>188</v>
      </c>
      <c r="AW213" s="11">
        <v>0</v>
      </c>
      <c r="AX213" s="11">
        <v>5</v>
      </c>
      <c r="AY213" s="11">
        <v>2</v>
      </c>
    </row>
    <row r="214" spans="1:51">
      <c r="A214" s="11" t="s">
        <v>154</v>
      </c>
      <c r="B214" s="149" t="s">
        <v>370</v>
      </c>
      <c r="C214" s="11" t="s">
        <v>329</v>
      </c>
      <c r="D214" s="11" t="s">
        <v>542</v>
      </c>
      <c r="E214" s="11" t="s">
        <v>662</v>
      </c>
      <c r="F214" s="184">
        <v>45922</v>
      </c>
      <c r="G214" s="11" t="s">
        <v>196</v>
      </c>
      <c r="I214" s="11">
        <v>222222</v>
      </c>
      <c r="J214" s="11">
        <v>0</v>
      </c>
      <c r="K214" s="11">
        <v>0</v>
      </c>
      <c r="L214" s="6">
        <f t="shared" si="0"/>
        <v>0</v>
      </c>
      <c r="M214" s="11">
        <v>7</v>
      </c>
      <c r="N214" s="11">
        <v>2</v>
      </c>
      <c r="O214" s="11">
        <v>0</v>
      </c>
      <c r="P214" s="11">
        <v>7</v>
      </c>
      <c r="Q214" s="11">
        <v>5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15</v>
      </c>
      <c r="Y214" s="11">
        <v>15</v>
      </c>
      <c r="Z214" s="11">
        <v>43</v>
      </c>
      <c r="AA214" s="11">
        <v>1</v>
      </c>
      <c r="AB214" s="11">
        <v>1</v>
      </c>
      <c r="AC214" s="11">
        <v>0</v>
      </c>
      <c r="AD214" s="11">
        <v>0</v>
      </c>
      <c r="AE214" s="11">
        <v>1</v>
      </c>
      <c r="AF214" s="11">
        <v>2</v>
      </c>
      <c r="AG214" s="11">
        <v>2</v>
      </c>
      <c r="AH214" s="11">
        <v>20</v>
      </c>
      <c r="AI214" s="11">
        <v>5</v>
      </c>
      <c r="AJ214" s="11">
        <v>0</v>
      </c>
      <c r="AK214" s="11">
        <v>4</v>
      </c>
      <c r="AL214" s="11">
        <v>41430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1">
        <v>42</v>
      </c>
      <c r="AT214" s="11">
        <v>405.69</v>
      </c>
      <c r="AU214" s="11">
        <v>0</v>
      </c>
      <c r="AV214" s="11">
        <v>203</v>
      </c>
      <c r="AW214" s="11">
        <v>0</v>
      </c>
      <c r="AX214" s="11">
        <v>2</v>
      </c>
      <c r="AY214" s="11">
        <v>5</v>
      </c>
    </row>
    <row r="215" spans="1:51">
      <c r="A215" s="11" t="s">
        <v>124</v>
      </c>
      <c r="B215" s="11" t="s">
        <v>517</v>
      </c>
      <c r="C215" s="11" t="s">
        <v>330</v>
      </c>
      <c r="D215" s="11" t="s">
        <v>517</v>
      </c>
      <c r="E215" s="11" t="s">
        <v>663</v>
      </c>
      <c r="F215" s="185">
        <v>45936</v>
      </c>
      <c r="G215" s="11" t="s">
        <v>142</v>
      </c>
      <c r="H215" s="11">
        <v>0</v>
      </c>
      <c r="I215" s="11">
        <v>0</v>
      </c>
      <c r="J215" s="11">
        <v>0</v>
      </c>
      <c r="K215" s="11">
        <v>0</v>
      </c>
      <c r="L215" s="6">
        <f t="shared" si="0"/>
        <v>0</v>
      </c>
      <c r="M215" s="11">
        <v>4</v>
      </c>
      <c r="N215" s="11">
        <v>0</v>
      </c>
      <c r="O215" s="11">
        <v>0</v>
      </c>
      <c r="P215" s="11">
        <v>4</v>
      </c>
      <c r="Q215" s="11">
        <v>4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33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34100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4</v>
      </c>
    </row>
    <row r="216" spans="1:51">
      <c r="A216" s="11" t="s">
        <v>108</v>
      </c>
      <c r="B216" s="11" t="s">
        <v>506</v>
      </c>
      <c r="C216" s="11" t="s">
        <v>331</v>
      </c>
      <c r="D216" s="11" t="s">
        <v>506</v>
      </c>
      <c r="E216" s="11" t="s">
        <v>489</v>
      </c>
      <c r="F216" s="185">
        <v>45933</v>
      </c>
      <c r="G216" s="11" t="s">
        <v>108</v>
      </c>
      <c r="H216" s="11">
        <v>0</v>
      </c>
      <c r="I216" s="11">
        <v>0</v>
      </c>
      <c r="J216" s="11">
        <v>0</v>
      </c>
      <c r="K216" s="11">
        <v>0</v>
      </c>
      <c r="L216" s="6">
        <f t="shared" si="0"/>
        <v>0</v>
      </c>
      <c r="M216" s="11">
        <v>43</v>
      </c>
      <c r="N216" s="11">
        <v>0</v>
      </c>
      <c r="O216" s="11">
        <v>3</v>
      </c>
      <c r="P216" s="11">
        <v>46</v>
      </c>
      <c r="Q216" s="11">
        <v>46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14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27000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46</v>
      </c>
    </row>
    <row r="217" spans="1:51">
      <c r="A217" s="11" t="s">
        <v>177</v>
      </c>
      <c r="B217" s="11" t="s">
        <v>581</v>
      </c>
      <c r="C217" s="11" t="s">
        <v>332</v>
      </c>
      <c r="D217" s="11" t="s">
        <v>581</v>
      </c>
      <c r="E217" s="11" t="s">
        <v>664</v>
      </c>
      <c r="F217" s="184">
        <v>45944</v>
      </c>
      <c r="G217" s="11" t="s">
        <v>279</v>
      </c>
      <c r="H217" s="11">
        <v>0</v>
      </c>
      <c r="I217" s="11">
        <v>0</v>
      </c>
      <c r="J217" s="11">
        <v>0</v>
      </c>
      <c r="K217" s="11">
        <v>0</v>
      </c>
      <c r="L217" s="6">
        <f t="shared" si="0"/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24115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</row>
    <row r="218" spans="1:51">
      <c r="A218" s="11"/>
      <c r="B218" s="149"/>
      <c r="C218" s="11"/>
      <c r="D218" s="11"/>
      <c r="E218" s="11"/>
      <c r="F218" s="184"/>
      <c r="G218" s="11"/>
      <c r="H218" s="11"/>
      <c r="I218" s="11"/>
      <c r="J218" s="11"/>
      <c r="K218" s="11"/>
      <c r="L218" s="6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</row>
    <row r="219" spans="1:51">
      <c r="A219" s="11"/>
      <c r="B219" s="149"/>
      <c r="C219" s="11"/>
      <c r="D219" s="11" t="s">
        <v>856</v>
      </c>
      <c r="E219" s="11" t="s">
        <v>857</v>
      </c>
      <c r="F219" s="184"/>
      <c r="G219" s="11"/>
      <c r="H219" s="11"/>
      <c r="I219" s="11"/>
      <c r="J219" s="11"/>
      <c r="K219" s="11"/>
      <c r="L219" s="6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</row>
    <row r="220" spans="1:51">
      <c r="A220" s="11"/>
      <c r="B220" s="149" t="e">
        <f t="array" aca="1" ref="B220:B246" ca="1">_xludf.UNIQUE(B2:B217)</f>
        <v>#NAME?</v>
      </c>
      <c r="C220" s="11">
        <f ca="1">SUMIF(Data!$B:$B,$B220,Data!$I:$I)+SUMIF(Data!$B:$B,$B220,Data!$J:$J)</f>
        <v>0</v>
      </c>
      <c r="D220" s="11">
        <f t="shared" ref="D220:D246" ca="1" si="1">SUMIF($B$1:$B$217,$B220,$L:$L)</f>
        <v>0</v>
      </c>
      <c r="E220" s="11">
        <f ca="1">SUMIF('25-26(Q1)'!$B:$B,$B220,'25-26(Q1)'!$I:$I)+SUMIF('25-26(Q1)'!$B:$B,$B220,'25-26(Q1)'!$J:$J)</f>
        <v>0</v>
      </c>
      <c r="F220" s="43">
        <f t="shared" ref="F220:F246" ca="1" si="2">D220+E220</f>
        <v>0</v>
      </c>
      <c r="G220" s="43">
        <f t="shared" ref="G220:G246" ca="1" si="3">F220-C220</f>
        <v>0</v>
      </c>
      <c r="H220" s="11"/>
      <c r="I220" s="11"/>
      <c r="J220" s="11"/>
      <c r="K220" s="11"/>
      <c r="L220" s="6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</row>
    <row r="221" spans="1:51">
      <c r="A221" s="11"/>
      <c r="B221" s="149" t="e">
        <f ca="1"/>
        <v>#NAME?</v>
      </c>
      <c r="C221" s="11">
        <f ca="1">SUMIF(Data!$B:$B,$B221,Data!$I:$I)+SUMIF(Data!$B:$B,$B221,Data!$J:$J)</f>
        <v>0</v>
      </c>
      <c r="D221" s="11">
        <f t="shared" ca="1" si="1"/>
        <v>0</v>
      </c>
      <c r="E221" s="11">
        <f ca="1">SUMIF('25-26(Q1)'!$B:$B,$B221,'25-26(Q1)'!$I:$I)+SUMIF('25-26(Q1)'!$B:$B,$B221,'25-26(Q1)'!$J:$J)</f>
        <v>0</v>
      </c>
      <c r="F221" s="43">
        <f t="shared" ca="1" si="2"/>
        <v>0</v>
      </c>
      <c r="G221" s="43">
        <f t="shared" ca="1" si="3"/>
        <v>0</v>
      </c>
      <c r="H221" s="11"/>
      <c r="I221" s="11"/>
      <c r="J221" s="11"/>
      <c r="K221" s="11"/>
      <c r="L221" s="6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</row>
    <row r="222" spans="1:51">
      <c r="A222" s="11"/>
      <c r="B222" s="149" t="e">
        <f ca="1"/>
        <v>#NAME?</v>
      </c>
      <c r="C222" s="11">
        <f ca="1">SUMIF(Data!$B:$B,$B222,Data!$I:$I)+SUMIF(Data!$B:$B,$B222,Data!$J:$J)</f>
        <v>0</v>
      </c>
      <c r="D222" s="11">
        <f t="shared" ca="1" si="1"/>
        <v>0</v>
      </c>
      <c r="E222" s="11">
        <f ca="1">SUMIF('25-26(Q1)'!$B:$B,$B222,'25-26(Q1)'!$I:$I)+SUMIF('25-26(Q1)'!$B:$B,$B222,'25-26(Q1)'!$J:$J)</f>
        <v>0</v>
      </c>
      <c r="F222" s="43">
        <f t="shared" ca="1" si="2"/>
        <v>0</v>
      </c>
      <c r="G222" s="43">
        <f t="shared" ca="1" si="3"/>
        <v>0</v>
      </c>
      <c r="H222" s="11"/>
      <c r="I222" s="11"/>
      <c r="J222" s="11"/>
      <c r="K222" s="11"/>
      <c r="L222" s="6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</row>
    <row r="223" spans="1:51">
      <c r="A223" s="11"/>
      <c r="B223" s="149" t="e">
        <f ca="1"/>
        <v>#NAME?</v>
      </c>
      <c r="C223" s="11">
        <f ca="1">SUMIF(Data!$B:$B,$B223,Data!$I:$I)+SUMIF(Data!$B:$B,$B223,Data!$J:$J)</f>
        <v>0</v>
      </c>
      <c r="D223" s="11">
        <f t="shared" ca="1" si="1"/>
        <v>0</v>
      </c>
      <c r="E223" s="11">
        <f ca="1">SUMIF('25-26(Q1)'!$B:$B,$B223,'25-26(Q1)'!$I:$I)+SUMIF('25-26(Q1)'!$B:$B,$B223,'25-26(Q1)'!$J:$J)</f>
        <v>0</v>
      </c>
      <c r="F223" s="43">
        <f t="shared" ca="1" si="2"/>
        <v>0</v>
      </c>
      <c r="G223" s="43">
        <f t="shared" ca="1" si="3"/>
        <v>0</v>
      </c>
      <c r="H223" s="11"/>
      <c r="I223" s="11"/>
      <c r="J223" s="11"/>
      <c r="K223" s="11"/>
      <c r="L223" s="6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</row>
    <row r="224" spans="1:51">
      <c r="A224" s="11"/>
      <c r="B224" s="149" t="e">
        <f ca="1"/>
        <v>#NAME?</v>
      </c>
      <c r="C224" s="11">
        <f ca="1">SUMIF(Data!$B:$B,$B224,Data!$I:$I)+SUMIF(Data!$B:$B,$B224,Data!$J:$J)</f>
        <v>0</v>
      </c>
      <c r="D224" s="11">
        <f t="shared" ca="1" si="1"/>
        <v>0</v>
      </c>
      <c r="E224" s="11">
        <f ca="1">SUMIF('25-26(Q1)'!$B:$B,$B224,'25-26(Q1)'!$I:$I)+SUMIF('25-26(Q1)'!$B:$B,$B224,'25-26(Q1)'!$J:$J)</f>
        <v>0</v>
      </c>
      <c r="F224" s="43">
        <f t="shared" ca="1" si="2"/>
        <v>0</v>
      </c>
      <c r="G224" s="43">
        <f t="shared" ca="1" si="3"/>
        <v>0</v>
      </c>
      <c r="H224" s="11"/>
      <c r="I224" s="11"/>
      <c r="J224" s="11"/>
      <c r="K224" s="11"/>
      <c r="L224" s="6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</row>
    <row r="225" spans="1:51">
      <c r="A225" s="11"/>
      <c r="B225" s="149" t="e">
        <f ca="1"/>
        <v>#NAME?</v>
      </c>
      <c r="C225" s="11">
        <f ca="1">SUMIF(Data!$B:$B,$B225,Data!$I:$I)+SUMIF(Data!$B:$B,$B225,Data!$J:$J)</f>
        <v>0</v>
      </c>
      <c r="D225" s="11">
        <f t="shared" ca="1" si="1"/>
        <v>0</v>
      </c>
      <c r="E225" s="11">
        <f ca="1">SUMIF('25-26(Q1)'!$B:$B,$B225,'25-26(Q1)'!$I:$I)+SUMIF('25-26(Q1)'!$B:$B,$B225,'25-26(Q1)'!$J:$J)</f>
        <v>0</v>
      </c>
      <c r="F225" s="43">
        <f t="shared" ca="1" si="2"/>
        <v>0</v>
      </c>
      <c r="G225" s="43">
        <f t="shared" ca="1" si="3"/>
        <v>0</v>
      </c>
      <c r="H225" s="11"/>
      <c r="I225" s="11"/>
      <c r="J225" s="11"/>
      <c r="K225" s="11"/>
      <c r="L225" s="6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</row>
    <row r="226" spans="1:51">
      <c r="A226" s="11"/>
      <c r="B226" s="149" t="e">
        <f ca="1"/>
        <v>#NAME?</v>
      </c>
      <c r="C226" s="11">
        <f ca="1">SUMIF(Data!$B:$B,$B226,Data!$I:$I)+SUMIF(Data!$B:$B,$B226,Data!$J:$J)</f>
        <v>0</v>
      </c>
      <c r="D226" s="11">
        <f t="shared" ca="1" si="1"/>
        <v>0</v>
      </c>
      <c r="E226" s="11">
        <f ca="1">SUMIF('25-26(Q1)'!$B:$B,$B226,'25-26(Q1)'!$I:$I)+SUMIF('25-26(Q1)'!$B:$B,$B226,'25-26(Q1)'!$J:$J)</f>
        <v>0</v>
      </c>
      <c r="F226" s="43">
        <f t="shared" ca="1" si="2"/>
        <v>0</v>
      </c>
      <c r="G226" s="43">
        <f t="shared" ca="1" si="3"/>
        <v>0</v>
      </c>
      <c r="H226" s="11"/>
      <c r="I226" s="11"/>
      <c r="J226" s="11"/>
      <c r="K226" s="11"/>
      <c r="L226" s="6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</row>
    <row r="227" spans="1:51">
      <c r="A227" s="11"/>
      <c r="B227" s="149" t="e">
        <f ca="1"/>
        <v>#NAME?</v>
      </c>
      <c r="C227" s="11">
        <f ca="1">SUMIF(Data!$B:$B,$B227,Data!$I:$I)+SUMIF(Data!$B:$B,$B227,Data!$J:$J)</f>
        <v>0</v>
      </c>
      <c r="D227" s="11">
        <f t="shared" ca="1" si="1"/>
        <v>0</v>
      </c>
      <c r="E227" s="11">
        <f ca="1">SUMIF('25-26(Q1)'!$B:$B,$B227,'25-26(Q1)'!$I:$I)+SUMIF('25-26(Q1)'!$B:$B,$B227,'25-26(Q1)'!$J:$J)</f>
        <v>0</v>
      </c>
      <c r="F227" s="43">
        <f t="shared" ca="1" si="2"/>
        <v>0</v>
      </c>
      <c r="G227" s="43">
        <f t="shared" ca="1" si="3"/>
        <v>0</v>
      </c>
      <c r="H227" s="11"/>
      <c r="I227" s="11"/>
      <c r="J227" s="11"/>
      <c r="K227" s="11"/>
      <c r="L227" s="6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</row>
    <row r="228" spans="1:51">
      <c r="A228" s="11"/>
      <c r="B228" s="149" t="e">
        <f ca="1"/>
        <v>#NAME?</v>
      </c>
      <c r="C228" s="11">
        <f ca="1">SUMIF(Data!$B:$B,$B228,Data!$I:$I)+SUMIF(Data!$B:$B,$B228,Data!$J:$J)</f>
        <v>0</v>
      </c>
      <c r="D228" s="11">
        <f t="shared" ca="1" si="1"/>
        <v>0</v>
      </c>
      <c r="E228" s="11">
        <f ca="1">SUMIF('25-26(Q1)'!$B:$B,$B228,'25-26(Q1)'!$I:$I)+SUMIF('25-26(Q1)'!$B:$B,$B228,'25-26(Q1)'!$J:$J)</f>
        <v>0</v>
      </c>
      <c r="F228" s="43">
        <f t="shared" ca="1" si="2"/>
        <v>0</v>
      </c>
      <c r="G228" s="43">
        <f t="shared" ca="1" si="3"/>
        <v>0</v>
      </c>
      <c r="H228" s="11"/>
      <c r="I228" s="11"/>
      <c r="J228" s="11"/>
      <c r="K228" s="11"/>
      <c r="L228" s="6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</row>
    <row r="229" spans="1:51">
      <c r="A229" s="11"/>
      <c r="B229" s="149" t="e">
        <f ca="1"/>
        <v>#NAME?</v>
      </c>
      <c r="C229" s="11">
        <f ca="1">SUMIF(Data!$B:$B,$B229,Data!$I:$I)+SUMIF(Data!$B:$B,$B229,Data!$J:$J)</f>
        <v>0</v>
      </c>
      <c r="D229" s="11">
        <f t="shared" ca="1" si="1"/>
        <v>0</v>
      </c>
      <c r="E229" s="11">
        <f ca="1">SUMIF('25-26(Q1)'!$B:$B,$B229,'25-26(Q1)'!$I:$I)+SUMIF('25-26(Q1)'!$B:$B,$B229,'25-26(Q1)'!$J:$J)</f>
        <v>0</v>
      </c>
      <c r="F229" s="43">
        <f t="shared" ca="1" si="2"/>
        <v>0</v>
      </c>
      <c r="G229" s="43">
        <f t="shared" ca="1" si="3"/>
        <v>0</v>
      </c>
      <c r="H229" s="11"/>
      <c r="I229" s="11"/>
      <c r="J229" s="11"/>
      <c r="K229" s="11"/>
      <c r="L229" s="6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</row>
    <row r="230" spans="1:51">
      <c r="A230" s="11"/>
      <c r="B230" s="149" t="e">
        <f ca="1"/>
        <v>#NAME?</v>
      </c>
      <c r="C230" s="11">
        <f ca="1">SUMIF(Data!$B:$B,$B230,Data!$I:$I)+SUMIF(Data!$B:$B,$B230,Data!$J:$J)</f>
        <v>0</v>
      </c>
      <c r="D230" s="11">
        <f t="shared" ca="1" si="1"/>
        <v>0</v>
      </c>
      <c r="E230" s="11">
        <f ca="1">SUMIF('25-26(Q1)'!$B:$B,$B230,'25-26(Q1)'!$I:$I)+SUMIF('25-26(Q1)'!$B:$B,$B230,'25-26(Q1)'!$J:$J)</f>
        <v>0</v>
      </c>
      <c r="F230" s="43">
        <f t="shared" ca="1" si="2"/>
        <v>0</v>
      </c>
      <c r="G230" s="43">
        <f t="shared" ca="1" si="3"/>
        <v>0</v>
      </c>
      <c r="H230" s="11"/>
      <c r="I230" s="11"/>
      <c r="J230" s="11"/>
      <c r="K230" s="11"/>
      <c r="L230" s="6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</row>
    <row r="231" spans="1:51">
      <c r="A231" s="11"/>
      <c r="B231" s="149" t="e">
        <f ca="1"/>
        <v>#NAME?</v>
      </c>
      <c r="C231" s="11">
        <f ca="1">SUMIF(Data!$B:$B,$B231,Data!$I:$I)+SUMIF(Data!$B:$B,$B231,Data!$J:$J)</f>
        <v>0</v>
      </c>
      <c r="D231" s="11">
        <f t="shared" ca="1" si="1"/>
        <v>0</v>
      </c>
      <c r="E231" s="11">
        <f ca="1">SUMIF('25-26(Q1)'!$B:$B,$B231,'25-26(Q1)'!$I:$I)+SUMIF('25-26(Q1)'!$B:$B,$B231,'25-26(Q1)'!$J:$J)</f>
        <v>0</v>
      </c>
      <c r="F231" s="43">
        <f t="shared" ca="1" si="2"/>
        <v>0</v>
      </c>
      <c r="G231" s="43">
        <f t="shared" ca="1" si="3"/>
        <v>0</v>
      </c>
      <c r="H231" s="11"/>
      <c r="I231" s="11"/>
      <c r="J231" s="11"/>
      <c r="K231" s="11"/>
      <c r="L231" s="6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</row>
    <row r="232" spans="1:51">
      <c r="A232" s="11"/>
      <c r="B232" s="149" t="e">
        <f ca="1"/>
        <v>#NAME?</v>
      </c>
      <c r="C232" s="11">
        <f ca="1">SUMIF(Data!$B:$B,$B232,Data!$I:$I)+SUMIF(Data!$B:$B,$B232,Data!$J:$J)</f>
        <v>0</v>
      </c>
      <c r="D232" s="11">
        <f t="shared" ca="1" si="1"/>
        <v>0</v>
      </c>
      <c r="E232" s="11">
        <f ca="1">SUMIF('25-26(Q1)'!$B:$B,$B232,'25-26(Q1)'!$I:$I)+SUMIF('25-26(Q1)'!$B:$B,$B232,'25-26(Q1)'!$J:$J)</f>
        <v>0</v>
      </c>
      <c r="F232" s="43">
        <f t="shared" ca="1" si="2"/>
        <v>0</v>
      </c>
      <c r="G232" s="43">
        <f t="shared" ca="1" si="3"/>
        <v>0</v>
      </c>
      <c r="H232" s="11"/>
      <c r="I232" s="11"/>
      <c r="J232" s="11"/>
      <c r="K232" s="11"/>
      <c r="L232" s="6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</row>
    <row r="233" spans="1:51">
      <c r="A233" s="11"/>
      <c r="B233" s="149" t="e">
        <f ca="1"/>
        <v>#NAME?</v>
      </c>
      <c r="C233" s="11">
        <f ca="1">SUMIF(Data!$B:$B,$B233,Data!$I:$I)+SUMIF(Data!$B:$B,$B233,Data!$J:$J)</f>
        <v>0</v>
      </c>
      <c r="D233" s="11">
        <f t="shared" ca="1" si="1"/>
        <v>0</v>
      </c>
      <c r="E233" s="11">
        <f ca="1">SUMIF('25-26(Q1)'!$B:$B,$B233,'25-26(Q1)'!$I:$I)+SUMIF('25-26(Q1)'!$B:$B,$B233,'25-26(Q1)'!$J:$J)</f>
        <v>0</v>
      </c>
      <c r="F233" s="43">
        <f t="shared" ca="1" si="2"/>
        <v>0</v>
      </c>
      <c r="G233" s="43">
        <f t="shared" ca="1" si="3"/>
        <v>0</v>
      </c>
      <c r="H233" s="11"/>
      <c r="I233" s="11"/>
      <c r="J233" s="11"/>
      <c r="K233" s="11"/>
      <c r="L233" s="6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</row>
    <row r="234" spans="1:51">
      <c r="A234" s="11"/>
      <c r="B234" s="149" t="e">
        <f ca="1"/>
        <v>#NAME?</v>
      </c>
      <c r="C234" s="11">
        <f ca="1">SUMIF(Data!$B:$B,$B234,Data!$I:$I)+SUMIF(Data!$B:$B,$B234,Data!$J:$J)</f>
        <v>0</v>
      </c>
      <c r="D234" s="11">
        <f t="shared" ca="1" si="1"/>
        <v>0</v>
      </c>
      <c r="E234" s="11">
        <f ca="1">SUMIF('25-26(Q1)'!$B:$B,$B234,'25-26(Q1)'!$I:$I)+SUMIF('25-26(Q1)'!$B:$B,$B234,'25-26(Q1)'!$J:$J)</f>
        <v>0</v>
      </c>
      <c r="F234" s="43">
        <f t="shared" ca="1" si="2"/>
        <v>0</v>
      </c>
      <c r="G234" s="43">
        <f t="shared" ca="1" si="3"/>
        <v>0</v>
      </c>
      <c r="H234" s="11"/>
      <c r="I234" s="11"/>
      <c r="J234" s="11"/>
      <c r="K234" s="11"/>
      <c r="L234" s="6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</row>
    <row r="235" spans="1:51">
      <c r="A235" s="11"/>
      <c r="B235" s="149" t="e">
        <f ca="1"/>
        <v>#NAME?</v>
      </c>
      <c r="C235" s="11">
        <f ca="1">SUMIF(Data!$B:$B,$B235,Data!$I:$I)+SUMIF(Data!$B:$B,$B235,Data!$J:$J)</f>
        <v>0</v>
      </c>
      <c r="D235" s="11">
        <f t="shared" ca="1" si="1"/>
        <v>0</v>
      </c>
      <c r="E235" s="11">
        <f ca="1">SUMIF('25-26(Q1)'!$B:$B,$B235,'25-26(Q1)'!$I:$I)+SUMIF('25-26(Q1)'!$B:$B,$B235,'25-26(Q1)'!$J:$J)</f>
        <v>0</v>
      </c>
      <c r="F235" s="43">
        <f t="shared" ca="1" si="2"/>
        <v>0</v>
      </c>
      <c r="G235" s="43">
        <f t="shared" ca="1" si="3"/>
        <v>0</v>
      </c>
      <c r="H235" s="11"/>
      <c r="I235" s="11"/>
      <c r="J235" s="11"/>
      <c r="K235" s="11"/>
      <c r="L235" s="6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</row>
    <row r="236" spans="1:51">
      <c r="A236" s="11"/>
      <c r="B236" s="149" t="e">
        <f ca="1"/>
        <v>#NAME?</v>
      </c>
      <c r="C236" s="11">
        <f ca="1">SUMIF(Data!$B:$B,$B236,Data!$I:$I)+SUMIF(Data!$B:$B,$B236,Data!$J:$J)</f>
        <v>0</v>
      </c>
      <c r="D236" s="11">
        <f t="shared" ca="1" si="1"/>
        <v>0</v>
      </c>
      <c r="E236" s="11">
        <f ca="1">SUMIF('25-26(Q1)'!$B:$B,$B236,'25-26(Q1)'!$I:$I)+SUMIF('25-26(Q1)'!$B:$B,$B236,'25-26(Q1)'!$J:$J)</f>
        <v>0</v>
      </c>
      <c r="F236" s="43">
        <f t="shared" ca="1" si="2"/>
        <v>0</v>
      </c>
      <c r="G236" s="43">
        <f t="shared" ca="1" si="3"/>
        <v>0</v>
      </c>
      <c r="H236" s="11"/>
      <c r="I236" s="11"/>
      <c r="J236" s="11"/>
      <c r="K236" s="11"/>
      <c r="L236" s="6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</row>
    <row r="237" spans="1:51">
      <c r="A237" s="11"/>
      <c r="B237" s="149" t="e">
        <f ca="1"/>
        <v>#NAME?</v>
      </c>
      <c r="C237" s="11">
        <f ca="1">SUMIF(Data!$B:$B,$B237,Data!$I:$I)+SUMIF(Data!$B:$B,$B237,Data!$J:$J)</f>
        <v>0</v>
      </c>
      <c r="D237" s="11">
        <f t="shared" ca="1" si="1"/>
        <v>0</v>
      </c>
      <c r="E237" s="11">
        <f ca="1">SUMIF('25-26(Q1)'!$B:$B,$B237,'25-26(Q1)'!$I:$I)+SUMIF('25-26(Q1)'!$B:$B,$B237,'25-26(Q1)'!$J:$J)</f>
        <v>0</v>
      </c>
      <c r="F237" s="43">
        <f t="shared" ca="1" si="2"/>
        <v>0</v>
      </c>
      <c r="G237" s="43">
        <f t="shared" ca="1" si="3"/>
        <v>0</v>
      </c>
      <c r="H237" s="11"/>
      <c r="I237" s="11"/>
      <c r="J237" s="11"/>
      <c r="K237" s="11"/>
      <c r="L237" s="6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</row>
    <row r="238" spans="1:51">
      <c r="A238" s="11"/>
      <c r="B238" s="149" t="e">
        <f ca="1"/>
        <v>#NAME?</v>
      </c>
      <c r="C238" s="11">
        <f ca="1">SUMIF(Data!$B:$B,$B238,Data!$I:$I)+SUMIF(Data!$B:$B,$B238,Data!$J:$J)</f>
        <v>0</v>
      </c>
      <c r="D238" s="11">
        <f t="shared" ca="1" si="1"/>
        <v>0</v>
      </c>
      <c r="E238" s="11">
        <f ca="1">SUMIF('25-26(Q1)'!$B:$B,$B238,'25-26(Q1)'!$I:$I)+SUMIF('25-26(Q1)'!$B:$B,$B238,'25-26(Q1)'!$J:$J)</f>
        <v>0</v>
      </c>
      <c r="F238" s="43">
        <f t="shared" ca="1" si="2"/>
        <v>0</v>
      </c>
      <c r="G238" s="43">
        <f t="shared" ca="1" si="3"/>
        <v>0</v>
      </c>
      <c r="H238" s="11"/>
      <c r="I238" s="11"/>
      <c r="J238" s="11"/>
      <c r="K238" s="11"/>
      <c r="L238" s="6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</row>
    <row r="239" spans="1:51">
      <c r="A239" s="11"/>
      <c r="B239" s="149" t="e">
        <f ca="1"/>
        <v>#NAME?</v>
      </c>
      <c r="C239" s="11">
        <f ca="1">SUMIF(Data!$B:$B,$B239,Data!$I:$I)+SUMIF(Data!$B:$B,$B239,Data!$J:$J)</f>
        <v>0</v>
      </c>
      <c r="D239" s="11">
        <f t="shared" ca="1" si="1"/>
        <v>0</v>
      </c>
      <c r="E239" s="11">
        <f ca="1">SUMIF('25-26(Q1)'!$B:$B,$B239,'25-26(Q1)'!$I:$I)+SUMIF('25-26(Q1)'!$B:$B,$B239,'25-26(Q1)'!$J:$J)</f>
        <v>0</v>
      </c>
      <c r="F239" s="43">
        <f t="shared" ca="1" si="2"/>
        <v>0</v>
      </c>
      <c r="G239" s="43">
        <f t="shared" ca="1" si="3"/>
        <v>0</v>
      </c>
      <c r="H239" s="11"/>
      <c r="I239" s="11"/>
      <c r="J239" s="11"/>
      <c r="K239" s="11"/>
      <c r="L239" s="6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</row>
    <row r="240" spans="1:51">
      <c r="A240" s="11"/>
      <c r="B240" s="149" t="e">
        <f ca="1"/>
        <v>#NAME?</v>
      </c>
      <c r="C240" s="11">
        <f ca="1">SUMIF(Data!$B:$B,$B240,Data!$I:$I)+SUMIF(Data!$B:$B,$B240,Data!$J:$J)</f>
        <v>0</v>
      </c>
      <c r="D240" s="11">
        <f t="shared" ca="1" si="1"/>
        <v>0</v>
      </c>
      <c r="E240" s="11">
        <f ca="1">SUMIF('25-26(Q1)'!$B:$B,$B240,'25-26(Q1)'!$I:$I)+SUMIF('25-26(Q1)'!$B:$B,$B240,'25-26(Q1)'!$J:$J)</f>
        <v>0</v>
      </c>
      <c r="F240" s="43">
        <f t="shared" ca="1" si="2"/>
        <v>0</v>
      </c>
      <c r="G240" s="43">
        <f t="shared" ca="1" si="3"/>
        <v>0</v>
      </c>
      <c r="H240" s="11"/>
      <c r="I240" s="11"/>
      <c r="J240" s="11"/>
      <c r="K240" s="11"/>
      <c r="L240" s="6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</row>
    <row r="241" spans="1:51">
      <c r="A241" s="11"/>
      <c r="B241" s="149" t="e">
        <f ca="1"/>
        <v>#NAME?</v>
      </c>
      <c r="C241" s="11">
        <f ca="1">SUMIF(Data!$B:$B,$B241,Data!$I:$I)+SUMIF(Data!$B:$B,$B241,Data!$J:$J)</f>
        <v>0</v>
      </c>
      <c r="D241" s="11">
        <f t="shared" ca="1" si="1"/>
        <v>0</v>
      </c>
      <c r="E241" s="11">
        <f ca="1">SUMIF('25-26(Q1)'!$B:$B,$B241,'25-26(Q1)'!$I:$I)+SUMIF('25-26(Q1)'!$B:$B,$B241,'25-26(Q1)'!$J:$J)</f>
        <v>0</v>
      </c>
      <c r="F241" s="43">
        <f t="shared" ca="1" si="2"/>
        <v>0</v>
      </c>
      <c r="G241" s="43">
        <f t="shared" ca="1" si="3"/>
        <v>0</v>
      </c>
      <c r="H241" s="11"/>
      <c r="I241" s="11"/>
      <c r="J241" s="11"/>
      <c r="K241" s="11"/>
      <c r="L241" s="6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</row>
    <row r="242" spans="1:51">
      <c r="A242" s="11"/>
      <c r="B242" s="149" t="e">
        <f ca="1"/>
        <v>#NAME?</v>
      </c>
      <c r="C242" s="11">
        <f ca="1">SUMIF(Data!$B:$B,$B242,Data!$I:$I)+SUMIF(Data!$B:$B,$B242,Data!$J:$J)</f>
        <v>0</v>
      </c>
      <c r="D242" s="11">
        <f t="shared" ca="1" si="1"/>
        <v>0</v>
      </c>
      <c r="E242" s="11">
        <f ca="1">SUMIF('25-26(Q1)'!$B:$B,$B242,'25-26(Q1)'!$I:$I)+SUMIF('25-26(Q1)'!$B:$B,$B242,'25-26(Q1)'!$J:$J)</f>
        <v>0</v>
      </c>
      <c r="F242" s="43">
        <f t="shared" ca="1" si="2"/>
        <v>0</v>
      </c>
      <c r="G242" s="43">
        <f t="shared" ca="1" si="3"/>
        <v>0</v>
      </c>
      <c r="H242" s="11"/>
      <c r="I242" s="11"/>
      <c r="J242" s="11"/>
      <c r="K242" s="11"/>
      <c r="L242" s="6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</row>
    <row r="243" spans="1:51">
      <c r="A243" s="11"/>
      <c r="B243" s="149" t="e">
        <f ca="1"/>
        <v>#NAME?</v>
      </c>
      <c r="C243" s="11">
        <f ca="1">SUMIF(Data!$B:$B,$B243,Data!$I:$I)+SUMIF(Data!$B:$B,$B243,Data!$J:$J)</f>
        <v>0</v>
      </c>
      <c r="D243" s="11">
        <f t="shared" ca="1" si="1"/>
        <v>0</v>
      </c>
      <c r="E243" s="11">
        <f ca="1">SUMIF('25-26(Q1)'!$B:$B,$B243,'25-26(Q1)'!$I:$I)+SUMIF('25-26(Q1)'!$B:$B,$B243,'25-26(Q1)'!$J:$J)</f>
        <v>0</v>
      </c>
      <c r="F243" s="43">
        <f t="shared" ca="1" si="2"/>
        <v>0</v>
      </c>
      <c r="G243" s="43">
        <f t="shared" ca="1" si="3"/>
        <v>0</v>
      </c>
      <c r="H243" s="11"/>
      <c r="I243" s="11"/>
      <c r="J243" s="11"/>
      <c r="K243" s="11"/>
      <c r="L243" s="6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</row>
    <row r="244" spans="1:51">
      <c r="A244" s="11"/>
      <c r="B244" s="149" t="e">
        <f ca="1"/>
        <v>#NAME?</v>
      </c>
      <c r="C244" s="11">
        <f ca="1">SUMIF(Data!$B:$B,$B244,Data!$I:$I)+SUMIF(Data!$B:$B,$B244,Data!$J:$J)</f>
        <v>0</v>
      </c>
      <c r="D244" s="11">
        <f t="shared" ca="1" si="1"/>
        <v>0</v>
      </c>
      <c r="E244" s="11">
        <f ca="1">SUMIF('25-26(Q1)'!$B:$B,$B244,'25-26(Q1)'!$I:$I)+SUMIF('25-26(Q1)'!$B:$B,$B244,'25-26(Q1)'!$J:$J)</f>
        <v>0</v>
      </c>
      <c r="F244" s="43">
        <f t="shared" ca="1" si="2"/>
        <v>0</v>
      </c>
      <c r="G244" s="43">
        <f t="shared" ca="1" si="3"/>
        <v>0</v>
      </c>
      <c r="H244" s="11"/>
      <c r="I244" s="11"/>
      <c r="J244" s="11"/>
      <c r="K244" s="11"/>
      <c r="L244" s="6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</row>
    <row r="245" spans="1:51">
      <c r="A245" s="11"/>
      <c r="B245" s="149" t="e">
        <f ca="1"/>
        <v>#NAME?</v>
      </c>
      <c r="C245" s="11">
        <f ca="1">SUMIF(Data!$B:$B,$B245,Data!$I:$I)+SUMIF(Data!$B:$B,$B245,Data!$J:$J)</f>
        <v>0</v>
      </c>
      <c r="D245" s="11">
        <f t="shared" ca="1" si="1"/>
        <v>0</v>
      </c>
      <c r="E245" s="11">
        <f ca="1">SUMIF('25-26(Q1)'!$B:$B,$B245,'25-26(Q1)'!$I:$I)+SUMIF('25-26(Q1)'!$B:$B,$B245,'25-26(Q1)'!$J:$J)</f>
        <v>0</v>
      </c>
      <c r="F245" s="43">
        <f t="shared" ca="1" si="2"/>
        <v>0</v>
      </c>
      <c r="G245" s="43">
        <f t="shared" ca="1" si="3"/>
        <v>0</v>
      </c>
      <c r="H245" s="11"/>
      <c r="I245" s="11"/>
      <c r="J245" s="11"/>
      <c r="K245" s="11"/>
      <c r="L245" s="6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</row>
    <row r="246" spans="1:51">
      <c r="A246" s="11"/>
      <c r="B246" s="149" t="e">
        <f ca="1"/>
        <v>#NAME?</v>
      </c>
      <c r="C246" s="11">
        <f ca="1">SUMIF(Data!$B:$B,$B246,Data!$I:$I)+SUMIF(Data!$B:$B,$B246,Data!$J:$J)</f>
        <v>0</v>
      </c>
      <c r="D246" s="11">
        <f t="shared" ca="1" si="1"/>
        <v>0</v>
      </c>
      <c r="E246" s="11">
        <f ca="1">SUMIF('25-26(Q1)'!$B:$B,$B246,'25-26(Q1)'!$I:$I)+SUMIF('25-26(Q1)'!$B:$B,$B246,'25-26(Q1)'!$J:$J)</f>
        <v>0</v>
      </c>
      <c r="F246" s="43">
        <f t="shared" ca="1" si="2"/>
        <v>0</v>
      </c>
      <c r="G246" s="43">
        <f t="shared" ca="1" si="3"/>
        <v>0</v>
      </c>
      <c r="H246" s="11"/>
      <c r="I246" s="11"/>
      <c r="J246" s="11"/>
      <c r="K246" s="11"/>
      <c r="L246" s="6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</row>
    <row r="247" spans="1:51">
      <c r="A247" s="11"/>
      <c r="B247" s="149"/>
      <c r="C247" s="11"/>
      <c r="D247" s="11"/>
      <c r="E247" s="11"/>
      <c r="F247" s="184"/>
      <c r="G247" s="11"/>
      <c r="H247" s="11"/>
      <c r="I247" s="11"/>
      <c r="J247" s="11"/>
      <c r="K247" s="11"/>
      <c r="L247" s="6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</row>
    <row r="248" spans="1:51">
      <c r="A248" s="11"/>
      <c r="B248" s="149"/>
      <c r="C248" s="11"/>
      <c r="D248" s="11" t="s">
        <v>856</v>
      </c>
      <c r="E248" s="11" t="s">
        <v>857</v>
      </c>
      <c r="F248" s="184"/>
      <c r="G248" s="11"/>
      <c r="H248" s="11"/>
      <c r="I248" s="11"/>
      <c r="J248" s="11"/>
      <c r="K248" s="11"/>
      <c r="L248" s="6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</row>
    <row r="249" spans="1:51">
      <c r="A249" s="11"/>
      <c r="B249" s="149" t="e">
        <f t="array" aca="1" ref="B249:B258" ca="1">_xludf.UNIQUE(A31:A246)</f>
        <v>#NAME?</v>
      </c>
      <c r="C249" s="11">
        <f ca="1">SUMIF(Data!$A:$A,$B249,Data!$I:$I)+SUMIF(Data!$A:$A,$B249,Data!$J:$J)</f>
        <v>0</v>
      </c>
      <c r="D249" s="11">
        <f ca="1">SUMIF(A:A,B249,L:L)</f>
        <v>0</v>
      </c>
      <c r="E249" s="11">
        <f ca="1">SUMIF('25-26(Q1)'!$A:$A,$B249,'25-26(Q1)'!$I:$I)+SUMIF('25-26(Q1)'!$A:$A,$B249,'25-26(Q1)'!$J:$J)</f>
        <v>0</v>
      </c>
      <c r="F249" s="43">
        <f t="shared" ref="F249:F258" ca="1" si="4">D249+E249</f>
        <v>0</v>
      </c>
      <c r="G249" s="43">
        <f t="shared" ref="G249:G258" ca="1" si="5">F249-C249</f>
        <v>0</v>
      </c>
      <c r="H249" s="11"/>
      <c r="I249" s="11"/>
      <c r="J249" s="11"/>
      <c r="K249" s="11"/>
      <c r="L249" s="6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</row>
    <row r="250" spans="1:51">
      <c r="A250" s="11"/>
      <c r="B250" s="149" t="e">
        <f ca="1"/>
        <v>#NAME?</v>
      </c>
      <c r="C250" s="11">
        <f ca="1">SUMIF(Data!$A:$A,$B250,Data!$I:$I)+SUMIF(Data!$A:$A,$B250,Data!$J:$J)</f>
        <v>0</v>
      </c>
      <c r="D250" s="11">
        <f t="shared" ref="D250:D258" ca="1" si="6">SUMIF($A$1:$A$217,$B250,$L$2:$L$217)</f>
        <v>0</v>
      </c>
      <c r="E250" s="11">
        <f ca="1">SUMIF('25-26(Q1)'!$A:$A,$B250,'25-26(Q1)'!$I:$I)+SUMIF('25-26(Q1)'!$A:$A,$B250,'25-26(Q1)'!$J:$J)</f>
        <v>0</v>
      </c>
      <c r="F250" s="43">
        <f t="shared" ca="1" si="4"/>
        <v>0</v>
      </c>
      <c r="G250" s="43">
        <f t="shared" ca="1" si="5"/>
        <v>0</v>
      </c>
      <c r="H250" s="11"/>
      <c r="I250" s="11"/>
      <c r="J250" s="11"/>
      <c r="K250" s="11"/>
      <c r="L250" s="6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</row>
    <row r="251" spans="1:51">
      <c r="A251" s="11"/>
      <c r="B251" s="149" t="e">
        <f ca="1"/>
        <v>#NAME?</v>
      </c>
      <c r="C251" s="11">
        <f ca="1">SUMIF(Data!$A:$A,$B251,Data!$I:$I)+SUMIF(Data!$A:$A,$B251,Data!$J:$J)</f>
        <v>0</v>
      </c>
      <c r="D251" s="11">
        <f t="shared" ca="1" si="6"/>
        <v>0</v>
      </c>
      <c r="E251" s="11">
        <f ca="1">SUMIF('25-26(Q1)'!$A:$A,$B251,'25-26(Q1)'!$I:$I)+SUMIF('25-26(Q1)'!$A:$A,$B251,'25-26(Q1)'!$J:$J)</f>
        <v>0</v>
      </c>
      <c r="F251" s="43">
        <f t="shared" ca="1" si="4"/>
        <v>0</v>
      </c>
      <c r="G251" s="43">
        <f t="shared" ca="1" si="5"/>
        <v>0</v>
      </c>
      <c r="H251" s="11"/>
      <c r="I251" s="11"/>
      <c r="J251" s="11"/>
      <c r="K251" s="11"/>
      <c r="L251" s="6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</row>
    <row r="252" spans="1:51">
      <c r="A252" s="11"/>
      <c r="B252" s="149" t="e">
        <f ca="1"/>
        <v>#NAME?</v>
      </c>
      <c r="C252" s="11">
        <f ca="1">SUMIF(Data!$A:$A,$B252,Data!$I:$I)+SUMIF(Data!$A:$A,$B252,Data!$J:$J)</f>
        <v>0</v>
      </c>
      <c r="D252" s="11">
        <f t="shared" ca="1" si="6"/>
        <v>0</v>
      </c>
      <c r="E252" s="11">
        <f ca="1">SUMIF('25-26(Q1)'!$A:$A,$B252,'25-26(Q1)'!$I:$I)+SUMIF('25-26(Q1)'!$A:$A,$B252,'25-26(Q1)'!$J:$J)</f>
        <v>0</v>
      </c>
      <c r="F252" s="43">
        <f t="shared" ca="1" si="4"/>
        <v>0</v>
      </c>
      <c r="G252" s="43">
        <f t="shared" ca="1" si="5"/>
        <v>0</v>
      </c>
      <c r="H252" s="11"/>
      <c r="I252" s="11"/>
      <c r="J252" s="11"/>
      <c r="K252" s="11"/>
      <c r="L252" s="6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</row>
    <row r="253" spans="1:51">
      <c r="A253" s="11"/>
      <c r="B253" s="149" t="e">
        <f ca="1"/>
        <v>#NAME?</v>
      </c>
      <c r="C253" s="11">
        <f ca="1">SUMIF(Data!$A:$A,$B253,Data!$I:$I)+SUMIF(Data!$A:$A,$B253,Data!$J:$J)</f>
        <v>0</v>
      </c>
      <c r="D253" s="11">
        <f t="shared" ca="1" si="6"/>
        <v>0</v>
      </c>
      <c r="E253" s="11">
        <f ca="1">SUMIF('25-26(Q1)'!$A:$A,$B253,'25-26(Q1)'!$I:$I)+SUMIF('25-26(Q1)'!$A:$A,$B253,'25-26(Q1)'!$J:$J)</f>
        <v>0</v>
      </c>
      <c r="F253" s="43">
        <f t="shared" ca="1" si="4"/>
        <v>0</v>
      </c>
      <c r="G253" s="43">
        <f t="shared" ca="1" si="5"/>
        <v>0</v>
      </c>
      <c r="H253" s="11"/>
      <c r="I253" s="11"/>
      <c r="J253" s="11"/>
      <c r="K253" s="11"/>
      <c r="L253" s="6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</row>
    <row r="254" spans="1:51">
      <c r="A254" s="11"/>
      <c r="B254" s="149" t="e">
        <f ca="1"/>
        <v>#NAME?</v>
      </c>
      <c r="C254" s="11">
        <f ca="1">SUMIF(Data!$A:$A,$B254,Data!$I:$I)+SUMIF(Data!$A:$A,$B254,Data!$J:$J)</f>
        <v>0</v>
      </c>
      <c r="D254" s="11">
        <f t="shared" ca="1" si="6"/>
        <v>0</v>
      </c>
      <c r="E254" s="11">
        <f ca="1">SUMIF('25-26(Q1)'!$A:$A,$B254,'25-26(Q1)'!$I:$I)+SUMIF('25-26(Q1)'!$A:$A,$B254,'25-26(Q1)'!$J:$J)</f>
        <v>0</v>
      </c>
      <c r="F254" s="43">
        <f t="shared" ca="1" si="4"/>
        <v>0</v>
      </c>
      <c r="G254" s="43">
        <f t="shared" ca="1" si="5"/>
        <v>0</v>
      </c>
      <c r="H254" s="11"/>
      <c r="I254" s="11"/>
      <c r="J254" s="11"/>
      <c r="K254" s="11"/>
      <c r="L254" s="6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</row>
    <row r="255" spans="1:51">
      <c r="A255" s="11"/>
      <c r="B255" s="149" t="e">
        <f ca="1"/>
        <v>#NAME?</v>
      </c>
      <c r="C255" s="11">
        <f ca="1">SUMIF(Data!$A:$A,$B255,Data!$I:$I)+SUMIF(Data!$A:$A,$B255,Data!$J:$J)</f>
        <v>0</v>
      </c>
      <c r="D255" s="11">
        <f t="shared" ca="1" si="6"/>
        <v>0</v>
      </c>
      <c r="E255" s="11">
        <f ca="1">SUMIF('25-26(Q1)'!$A:$A,$B255,'25-26(Q1)'!$I:$I)+SUMIF('25-26(Q1)'!$A:$A,$B255,'25-26(Q1)'!$J:$J)</f>
        <v>0</v>
      </c>
      <c r="F255" s="43">
        <f t="shared" ca="1" si="4"/>
        <v>0</v>
      </c>
      <c r="G255" s="43">
        <f t="shared" ca="1" si="5"/>
        <v>0</v>
      </c>
      <c r="H255" s="11"/>
      <c r="I255" s="11"/>
      <c r="J255" s="11"/>
      <c r="K255" s="11"/>
      <c r="L255" s="6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</row>
    <row r="256" spans="1:51">
      <c r="A256" s="11"/>
      <c r="B256" s="149" t="e">
        <f ca="1"/>
        <v>#NAME?</v>
      </c>
      <c r="C256" s="11">
        <f ca="1">SUMIF(Data!$A:$A,$B256,Data!$I:$I)+SUMIF(Data!$A:$A,$B256,Data!$J:$J)</f>
        <v>0</v>
      </c>
      <c r="D256" s="11">
        <f t="shared" ca="1" si="6"/>
        <v>0</v>
      </c>
      <c r="E256" s="11">
        <f ca="1">SUMIF('25-26(Q1)'!$A:$A,$B256,'25-26(Q1)'!$I:$I)+SUMIF('25-26(Q1)'!$A:$A,$B256,'25-26(Q1)'!$J:$J)</f>
        <v>0</v>
      </c>
      <c r="F256" s="43">
        <f t="shared" ca="1" si="4"/>
        <v>0</v>
      </c>
      <c r="G256" s="43">
        <f t="shared" ca="1" si="5"/>
        <v>0</v>
      </c>
      <c r="H256" s="11"/>
      <c r="I256" s="11"/>
      <c r="J256" s="11"/>
      <c r="K256" s="11"/>
      <c r="L256" s="6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</row>
    <row r="257" spans="1:51">
      <c r="A257" s="11"/>
      <c r="B257" s="149" t="e">
        <f ca="1"/>
        <v>#NAME?</v>
      </c>
      <c r="C257" s="11">
        <f ca="1">SUMIF(Data!$A:$A,$B257,Data!$I:$I)+SUMIF(Data!$A:$A,$B257,Data!$J:$J)</f>
        <v>0</v>
      </c>
      <c r="D257" s="11">
        <f t="shared" ca="1" si="6"/>
        <v>0</v>
      </c>
      <c r="E257" s="11">
        <f ca="1">SUMIF('25-26(Q1)'!$A:$A,$B257,'25-26(Q1)'!$I:$I)+SUMIF('25-26(Q1)'!$A:$A,$B257,'25-26(Q1)'!$J:$J)</f>
        <v>0</v>
      </c>
      <c r="F257" s="43">
        <f t="shared" ca="1" si="4"/>
        <v>0</v>
      </c>
      <c r="G257" s="43">
        <f t="shared" ca="1" si="5"/>
        <v>0</v>
      </c>
      <c r="H257" s="11"/>
      <c r="I257" s="11"/>
      <c r="J257" s="11"/>
      <c r="K257" s="11"/>
      <c r="L257" s="6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</row>
    <row r="258" spans="1:51">
      <c r="A258" s="11"/>
      <c r="B258" s="149" t="e">
        <f ca="1"/>
        <v>#NAME?</v>
      </c>
      <c r="C258" s="11">
        <f ca="1">SUMIF(Data!$A:$A,$B258,Data!$I:$I)+SUMIF(Data!$A:$A,$B258,Data!$J:$J)</f>
        <v>0</v>
      </c>
      <c r="D258" s="11">
        <f t="shared" ca="1" si="6"/>
        <v>0</v>
      </c>
      <c r="E258" s="11">
        <f ca="1">SUMIF('25-26(Q1)'!$A:$A,$B258,'25-26(Q1)'!$I:$I)+SUMIF('25-26(Q1)'!$A:$A,$B258,'25-26(Q1)'!$J:$J)</f>
        <v>0</v>
      </c>
      <c r="F258" s="43">
        <f t="shared" ca="1" si="4"/>
        <v>0</v>
      </c>
      <c r="G258" s="43">
        <f t="shared" ca="1" si="5"/>
        <v>0</v>
      </c>
      <c r="H258" s="11"/>
      <c r="I258" s="11"/>
      <c r="J258" s="11"/>
      <c r="K258" s="11"/>
      <c r="L258" s="6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</row>
    <row r="259" spans="1:51">
      <c r="A259" s="11"/>
      <c r="B259" s="149"/>
      <c r="C259" s="11"/>
      <c r="D259" s="11"/>
      <c r="E259" s="11"/>
      <c r="F259" s="184"/>
      <c r="G259" s="11"/>
      <c r="H259" s="11"/>
      <c r="I259" s="11"/>
      <c r="J259" s="11"/>
      <c r="K259" s="11"/>
      <c r="L259" s="6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</row>
    <row r="260" spans="1:51">
      <c r="A260" s="11"/>
      <c r="B260" s="149"/>
      <c r="C260" s="11"/>
      <c r="D260" s="11"/>
      <c r="E260" s="11"/>
      <c r="F260" s="184"/>
      <c r="G260" s="11"/>
      <c r="H260" s="11"/>
      <c r="I260" s="11"/>
      <c r="J260" s="11"/>
      <c r="K260" s="11"/>
      <c r="L260" s="6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</row>
    <row r="261" spans="1:51">
      <c r="A261" s="11"/>
      <c r="B261" s="11" t="s">
        <v>26</v>
      </c>
      <c r="C261" s="11">
        <f>SUMIF(Data!$C:$C,$B261,Data!$I:$I)+SUMIF(Data!$C:$C,$B261,Data!$J:$J)</f>
        <v>6304004.2300000004</v>
      </c>
      <c r="D261" s="11">
        <f t="shared" ref="D261:D268" si="7">SUMIF($C$1:$C$217,$B261,$L:$L)</f>
        <v>2640730.64</v>
      </c>
      <c r="E261" s="11">
        <f>SUMIF('25-26(Q1)'!$C:$C,$B261,'25-26(Q1)'!$I:$I)+SUMIF('25-26(Q1)'!$C:$C,$B261,'25-26(Q1)'!$J:$J)</f>
        <v>1627540.09</v>
      </c>
      <c r="F261" s="43">
        <f t="shared" ref="F261:F268" si="8">D261+E261</f>
        <v>4268270.7300000004</v>
      </c>
      <c r="G261" s="43">
        <f t="shared" ref="G261:G268" si="9">F261-C261</f>
        <v>-2035733.5</v>
      </c>
      <c r="H261" s="11"/>
      <c r="I261" s="11"/>
      <c r="J261" s="11"/>
      <c r="K261" s="11"/>
      <c r="L261" s="6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</row>
    <row r="262" spans="1:51">
      <c r="A262" s="11"/>
      <c r="B262" s="11" t="s">
        <v>28</v>
      </c>
      <c r="C262" s="11">
        <f>SUMIF(Data!$C:$C,$B262,Data!$I:$I)+SUMIF(Data!$C:$C,$B262,Data!$J:$J)</f>
        <v>22853663.039999999</v>
      </c>
      <c r="D262" s="11">
        <f t="shared" si="7"/>
        <v>4672651.3</v>
      </c>
      <c r="E262" s="11">
        <f>SUMIF('25-26(Q1)'!$C:$C,$B262,'25-26(Q1)'!$I:$I)+SUMIF('25-26(Q1)'!$C:$C,$B262,'25-26(Q1)'!$J:$J)</f>
        <v>5395769.4900000002</v>
      </c>
      <c r="F262" s="43">
        <f t="shared" si="8"/>
        <v>10068420.789999999</v>
      </c>
      <c r="G262" s="43">
        <f t="shared" si="9"/>
        <v>-12785242.25</v>
      </c>
      <c r="H262" s="11"/>
      <c r="I262" s="11"/>
      <c r="J262" s="11"/>
      <c r="K262" s="11"/>
      <c r="L262" s="6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</row>
    <row r="263" spans="1:51">
      <c r="A263" s="11"/>
      <c r="B263" s="11" t="s">
        <v>33</v>
      </c>
      <c r="C263" s="11">
        <f>SUMIF(Data!$C:$C,$B263,Data!$I:$I)+SUMIF(Data!$C:$C,$B263,Data!$J:$J)</f>
        <v>18956581.210000001</v>
      </c>
      <c r="D263" s="11">
        <f t="shared" si="7"/>
        <v>4757659.1900000004</v>
      </c>
      <c r="E263" s="11">
        <f>SUMIF('25-26(Q1)'!$C:$C,$B263,'25-26(Q1)'!$I:$I)+SUMIF('25-26(Q1)'!$C:$C,$B263,'25-26(Q1)'!$J:$J)</f>
        <v>4491878.26</v>
      </c>
      <c r="F263" s="43">
        <f t="shared" si="8"/>
        <v>9249537.4499999993</v>
      </c>
      <c r="G263" s="43">
        <f t="shared" si="9"/>
        <v>-9707043.7600000016</v>
      </c>
      <c r="H263" s="11"/>
      <c r="I263" s="11"/>
      <c r="J263" s="11"/>
      <c r="K263" s="11"/>
      <c r="L263" s="6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</row>
    <row r="264" spans="1:51">
      <c r="A264" s="11"/>
      <c r="B264" s="11" t="s">
        <v>38</v>
      </c>
      <c r="C264" s="11">
        <f>SUMIF(Data!$C:$C,$B264,Data!$I:$I)+SUMIF(Data!$C:$C,$B264,Data!$J:$J)</f>
        <v>72128325.109999999</v>
      </c>
      <c r="D264" s="11">
        <f t="shared" si="7"/>
        <v>15722769.779999999</v>
      </c>
      <c r="E264" s="11">
        <f>SUMIF('25-26(Q1)'!$C:$C,$B264,'25-26(Q1)'!$I:$I)+SUMIF('25-26(Q1)'!$C:$C,$B264,'25-26(Q1)'!$J:$J)</f>
        <v>18213831.68</v>
      </c>
      <c r="F264" s="43">
        <f t="shared" si="8"/>
        <v>33936601.460000001</v>
      </c>
      <c r="G264" s="43">
        <f t="shared" si="9"/>
        <v>-38191723.649999999</v>
      </c>
      <c r="H264" s="11"/>
      <c r="I264" s="11"/>
      <c r="J264" s="11"/>
      <c r="K264" s="11"/>
      <c r="L264" s="6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</row>
    <row r="265" spans="1:51">
      <c r="A265" s="11"/>
      <c r="B265" s="11" t="s">
        <v>112</v>
      </c>
      <c r="C265" s="11">
        <f>SUMIF(Data!$C:$C,$B265,Data!$I:$I)+SUMIF(Data!$C:$C,$B265,Data!$J:$J)</f>
        <v>19321509.190000001</v>
      </c>
      <c r="D265" s="11">
        <f t="shared" si="7"/>
        <v>4021359.12</v>
      </c>
      <c r="E265" s="11">
        <f>SUMIF('25-26(Q1)'!$C:$C,$B265,'25-26(Q1)'!$I:$I)+SUMIF('25-26(Q1)'!$C:$C,$B265,'25-26(Q1)'!$J:$J)</f>
        <v>4434309.57</v>
      </c>
      <c r="F265" s="43">
        <f t="shared" si="8"/>
        <v>8455668.6900000013</v>
      </c>
      <c r="G265" s="43">
        <f t="shared" si="9"/>
        <v>-10865840.5</v>
      </c>
      <c r="H265" s="11"/>
      <c r="I265" s="11"/>
      <c r="J265" s="11"/>
      <c r="K265" s="11"/>
      <c r="L265" s="6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</row>
    <row r="266" spans="1:51">
      <c r="A266" s="11"/>
      <c r="B266" s="11" t="s">
        <v>226</v>
      </c>
      <c r="C266" s="11">
        <f>SUMIF(Data!$C:$C,$B266,Data!$I:$I)+SUMIF(Data!$C:$C,$B266,Data!$J:$J)</f>
        <v>14196239.73</v>
      </c>
      <c r="D266" s="11">
        <f t="shared" si="7"/>
        <v>3021098.09</v>
      </c>
      <c r="E266" s="11">
        <f>SUMIF('25-26(Q1)'!$C:$C,$B266,'25-26(Q1)'!$I:$I)+SUMIF('25-26(Q1)'!$C:$C,$B266,'25-26(Q1)'!$J:$J)</f>
        <v>2721546.27</v>
      </c>
      <c r="F266" s="43">
        <f t="shared" si="8"/>
        <v>5742644.3599999994</v>
      </c>
      <c r="G266" s="43">
        <f t="shared" si="9"/>
        <v>-8453595.370000001</v>
      </c>
      <c r="H266" s="11"/>
      <c r="I266" s="11"/>
      <c r="J266" s="11"/>
      <c r="K266" s="11"/>
      <c r="L266" s="6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</row>
    <row r="267" spans="1:51">
      <c r="A267" s="11"/>
      <c r="B267" s="11" t="s">
        <v>241</v>
      </c>
      <c r="C267" s="11">
        <f>SUMIF(Data!$C:$C,$B267,Data!$I:$I)+SUMIF(Data!$C:$C,$B267,Data!$J:$J)</f>
        <v>12403017.369999999</v>
      </c>
      <c r="D267" s="11">
        <f t="shared" si="7"/>
        <v>3763855.97</v>
      </c>
      <c r="E267" s="11">
        <f>SUMIF('25-26(Q1)'!$C:$C,$B267,'25-26(Q1)'!$I:$I)+SUMIF('25-26(Q1)'!$C:$C,$B267,'25-26(Q1)'!$J:$J)</f>
        <v>2906350.64</v>
      </c>
      <c r="F267" s="43">
        <f t="shared" si="8"/>
        <v>6670206.6100000003</v>
      </c>
      <c r="G267" s="43">
        <f t="shared" si="9"/>
        <v>-5732810.7599999988</v>
      </c>
      <c r="H267" s="11"/>
      <c r="I267" s="11"/>
      <c r="J267" s="11"/>
      <c r="K267" s="11"/>
      <c r="L267" s="6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</row>
    <row r="268" spans="1:51">
      <c r="A268" s="11"/>
      <c r="B268" s="11" t="s">
        <v>260</v>
      </c>
      <c r="C268" s="11">
        <f>SUMIF(Data!$C:$C,$B268,Data!$I:$I)+SUMIF(Data!$C:$C,$B268,Data!$J:$J)</f>
        <v>383734.19</v>
      </c>
      <c r="D268" s="11">
        <f t="shared" si="7"/>
        <v>0</v>
      </c>
      <c r="E268" s="11">
        <f>SUMIF('25-26(Q1)'!$C:$C,$B268,'25-26(Q1)'!$I:$I)+SUMIF('25-26(Q1)'!$C:$C,$B268,'25-26(Q1)'!$J:$J)</f>
        <v>383734.19</v>
      </c>
      <c r="F268" s="43">
        <f t="shared" si="8"/>
        <v>383734.19</v>
      </c>
      <c r="G268" s="43">
        <f t="shared" si="9"/>
        <v>0</v>
      </c>
      <c r="H268" s="11"/>
      <c r="I268" s="11"/>
      <c r="J268" s="11"/>
      <c r="K268" s="11"/>
      <c r="L268" s="6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</row>
    <row r="269" spans="1:51">
      <c r="A269" s="11"/>
      <c r="B269" s="149"/>
      <c r="C269" s="11"/>
      <c r="D269" s="11"/>
      <c r="E269" s="11"/>
      <c r="F269" s="184"/>
      <c r="G269" s="11"/>
      <c r="H269" s="11"/>
      <c r="I269" s="11"/>
      <c r="J269" s="11"/>
      <c r="K269" s="11"/>
      <c r="L269" s="6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</row>
    <row r="270" spans="1:51">
      <c r="A270" s="11"/>
      <c r="B270" s="149"/>
      <c r="C270" s="11"/>
      <c r="D270" s="11"/>
      <c r="E270" s="11"/>
      <c r="F270" s="184"/>
      <c r="G270" s="11"/>
      <c r="H270" s="11"/>
      <c r="I270" s="11"/>
      <c r="J270" s="11"/>
      <c r="K270" s="11"/>
      <c r="L270" s="6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</row>
    <row r="271" spans="1:51">
      <c r="A271" s="11"/>
      <c r="B271" s="149"/>
      <c r="C271" s="11"/>
      <c r="D271" s="11"/>
      <c r="E271" s="11"/>
      <c r="F271" s="184"/>
      <c r="G271" s="11"/>
      <c r="H271" s="11"/>
      <c r="I271" s="11"/>
      <c r="J271" s="11"/>
      <c r="K271" s="11"/>
      <c r="L271" s="6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</row>
    <row r="272" spans="1:51">
      <c r="A272" s="11"/>
      <c r="B272" s="149"/>
      <c r="C272" s="11"/>
      <c r="D272" s="11"/>
      <c r="E272" s="11"/>
      <c r="F272" s="184"/>
      <c r="G272" s="11"/>
      <c r="H272" s="11"/>
      <c r="I272" s="11"/>
      <c r="J272" s="11"/>
      <c r="K272" s="11"/>
      <c r="L272" s="6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</row>
    <row r="273" spans="1:51">
      <c r="A273" s="11"/>
      <c r="B273" s="149"/>
      <c r="C273" s="11"/>
      <c r="D273" s="11"/>
      <c r="E273" s="11"/>
      <c r="F273" s="184"/>
      <c r="G273" s="11"/>
      <c r="H273" s="11"/>
      <c r="I273" s="11"/>
      <c r="J273" s="11"/>
      <c r="K273" s="11"/>
      <c r="L273" s="6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</row>
    <row r="274" spans="1:51">
      <c r="A274" s="11"/>
      <c r="B274" s="149"/>
      <c r="C274" s="11"/>
      <c r="D274" s="11"/>
      <c r="E274" s="11"/>
      <c r="F274" s="184"/>
      <c r="G274" s="11"/>
      <c r="H274" s="11"/>
      <c r="I274" s="11"/>
      <c r="J274" s="11"/>
      <c r="K274" s="11"/>
      <c r="L274" s="6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</row>
    <row r="275" spans="1:51">
      <c r="A275" s="11"/>
      <c r="B275" s="149"/>
      <c r="C275" s="11"/>
      <c r="D275" s="11"/>
      <c r="E275" s="11"/>
      <c r="F275" s="184"/>
      <c r="G275" s="11"/>
      <c r="H275" s="11"/>
      <c r="I275" s="11"/>
      <c r="J275" s="11"/>
      <c r="K275" s="11"/>
      <c r="L275" s="6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</row>
    <row r="276" spans="1:51">
      <c r="A276" s="11"/>
      <c r="B276" s="149"/>
      <c r="C276" s="11"/>
      <c r="D276" s="11"/>
      <c r="E276" s="11"/>
      <c r="F276" s="184"/>
      <c r="G276" s="11"/>
      <c r="H276" s="11"/>
      <c r="I276" s="11"/>
      <c r="J276" s="11"/>
      <c r="K276" s="11"/>
      <c r="L276" s="6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</row>
    <row r="277" spans="1:51">
      <c r="A277" s="11"/>
      <c r="B277" s="149"/>
      <c r="C277" s="11"/>
      <c r="D277" s="11"/>
      <c r="E277" s="11"/>
      <c r="F277" s="184"/>
      <c r="G277" s="11"/>
      <c r="H277" s="11"/>
      <c r="I277" s="11"/>
      <c r="J277" s="11"/>
      <c r="K277" s="11"/>
      <c r="L277" s="6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</row>
    <row r="278" spans="1:51">
      <c r="A278" s="11"/>
      <c r="B278" s="149"/>
      <c r="C278" s="11"/>
      <c r="D278" s="11"/>
      <c r="E278" s="11"/>
      <c r="F278" s="184"/>
      <c r="G278" s="11"/>
      <c r="H278" s="11"/>
      <c r="I278" s="11"/>
      <c r="J278" s="11"/>
      <c r="K278" s="11"/>
      <c r="L278" s="6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</row>
    <row r="279" spans="1:51">
      <c r="A279" s="11"/>
      <c r="B279" s="149"/>
      <c r="C279" s="11"/>
      <c r="D279" s="11"/>
      <c r="E279" s="11"/>
      <c r="F279" s="184"/>
      <c r="G279" s="11"/>
      <c r="H279" s="11"/>
      <c r="I279" s="11"/>
      <c r="J279" s="11"/>
      <c r="K279" s="11"/>
      <c r="L279" s="6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</row>
    <row r="280" spans="1:51">
      <c r="A280" s="11"/>
      <c r="B280" s="149"/>
      <c r="C280" s="11"/>
      <c r="D280" s="11"/>
      <c r="E280" s="11"/>
      <c r="F280" s="184"/>
      <c r="G280" s="11"/>
      <c r="H280" s="11"/>
      <c r="I280" s="11"/>
      <c r="J280" s="11"/>
      <c r="K280" s="11"/>
      <c r="L280" s="6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</row>
    <row r="281" spans="1:51">
      <c r="A281" s="11"/>
      <c r="B281" s="149"/>
      <c r="C281" s="11"/>
      <c r="D281" s="11"/>
      <c r="E281" s="11"/>
      <c r="F281" s="184"/>
      <c r="G281" s="11"/>
      <c r="H281" s="11"/>
      <c r="I281" s="11"/>
      <c r="J281" s="11"/>
      <c r="K281" s="11"/>
      <c r="L281" s="6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</row>
    <row r="282" spans="1:51">
      <c r="A282" s="11"/>
      <c r="B282" s="149"/>
      <c r="C282" s="11"/>
      <c r="D282" s="11"/>
      <c r="E282" s="11"/>
      <c r="F282" s="184"/>
      <c r="G282" s="11"/>
      <c r="H282" s="11"/>
      <c r="I282" s="11"/>
      <c r="J282" s="11"/>
      <c r="K282" s="11"/>
      <c r="L282" s="6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</row>
    <row r="283" spans="1:51">
      <c r="A283" s="11"/>
      <c r="B283" s="149"/>
      <c r="C283" s="11"/>
      <c r="D283" s="11"/>
      <c r="E283" s="11"/>
      <c r="F283" s="184"/>
      <c r="G283" s="11"/>
      <c r="H283" s="11"/>
      <c r="I283" s="11"/>
      <c r="J283" s="11"/>
      <c r="K283" s="11"/>
      <c r="L283" s="6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</row>
    <row r="284" spans="1:51">
      <c r="A284" s="11"/>
      <c r="B284" s="149"/>
      <c r="C284" s="11"/>
      <c r="D284" s="11"/>
      <c r="E284" s="11"/>
      <c r="F284" s="184"/>
      <c r="G284" s="11"/>
      <c r="H284" s="11"/>
      <c r="I284" s="11"/>
      <c r="J284" s="11"/>
      <c r="K284" s="11"/>
      <c r="L284" s="6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</row>
    <row r="285" spans="1:51">
      <c r="A285" s="11"/>
      <c r="B285" s="149"/>
      <c r="C285" s="11"/>
      <c r="D285" s="11"/>
      <c r="E285" s="11"/>
      <c r="F285" s="184"/>
      <c r="G285" s="11"/>
      <c r="H285" s="11"/>
      <c r="I285" s="11"/>
      <c r="J285" s="11"/>
      <c r="K285" s="11"/>
      <c r="L285" s="6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</row>
    <row r="286" spans="1:51">
      <c r="A286" s="11"/>
      <c r="B286" s="149"/>
      <c r="C286" s="11"/>
      <c r="D286" s="11"/>
      <c r="E286" s="11"/>
      <c r="F286" s="184"/>
      <c r="G286" s="11"/>
      <c r="H286" s="11"/>
      <c r="I286" s="11"/>
      <c r="J286" s="11"/>
      <c r="K286" s="11"/>
      <c r="L286" s="6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</row>
    <row r="287" spans="1:51">
      <c r="A287" s="11"/>
      <c r="B287" s="149"/>
      <c r="C287" s="11"/>
      <c r="D287" s="11"/>
      <c r="E287" s="11"/>
      <c r="F287" s="184"/>
      <c r="G287" s="11"/>
      <c r="H287" s="11"/>
      <c r="I287" s="11"/>
      <c r="J287" s="11"/>
      <c r="K287" s="11"/>
      <c r="L287" s="6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</row>
    <row r="288" spans="1:51">
      <c r="A288" s="11"/>
      <c r="B288" s="149"/>
      <c r="C288" s="11"/>
      <c r="D288" s="11"/>
      <c r="E288" s="11"/>
      <c r="F288" s="184"/>
      <c r="G288" s="11"/>
      <c r="H288" s="11"/>
      <c r="I288" s="11"/>
      <c r="J288" s="11"/>
      <c r="K288" s="11"/>
      <c r="L288" s="6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</row>
    <row r="289" spans="1:51">
      <c r="A289" s="11"/>
      <c r="B289" s="149"/>
      <c r="C289" s="11"/>
      <c r="D289" s="11"/>
      <c r="E289" s="11"/>
      <c r="F289" s="184"/>
      <c r="G289" s="11"/>
      <c r="H289" s="11"/>
      <c r="I289" s="11"/>
      <c r="J289" s="11"/>
      <c r="K289" s="11"/>
      <c r="L289" s="6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</row>
    <row r="290" spans="1:51">
      <c r="A290" s="11"/>
      <c r="B290" s="149"/>
      <c r="C290" s="11"/>
      <c r="D290" s="11"/>
      <c r="E290" s="11"/>
      <c r="F290" s="184"/>
      <c r="G290" s="11"/>
      <c r="H290" s="11"/>
      <c r="I290" s="11"/>
      <c r="J290" s="11"/>
      <c r="K290" s="11"/>
      <c r="L290" s="6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</row>
    <row r="291" spans="1:51">
      <c r="A291" s="11"/>
      <c r="B291" s="149"/>
      <c r="C291" s="11"/>
      <c r="D291" s="11"/>
      <c r="E291" s="11"/>
      <c r="F291" s="184"/>
      <c r="G291" s="11"/>
      <c r="H291" s="11"/>
      <c r="I291" s="11"/>
      <c r="J291" s="11"/>
      <c r="K291" s="11"/>
      <c r="L291" s="6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</row>
    <row r="292" spans="1:51">
      <c r="A292" s="11"/>
      <c r="B292" s="149"/>
      <c r="C292" s="11"/>
      <c r="D292" s="11"/>
      <c r="E292" s="11"/>
      <c r="F292" s="184"/>
      <c r="G292" s="11"/>
      <c r="H292" s="11"/>
      <c r="I292" s="11"/>
      <c r="J292" s="11"/>
      <c r="K292" s="11"/>
      <c r="L292" s="6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</row>
    <row r="293" spans="1:51">
      <c r="A293" s="11"/>
      <c r="B293" s="149"/>
      <c r="C293" s="11"/>
      <c r="D293" s="11"/>
      <c r="E293" s="11"/>
      <c r="F293" s="184"/>
      <c r="G293" s="11"/>
      <c r="H293" s="11"/>
      <c r="I293" s="11"/>
      <c r="J293" s="11"/>
      <c r="K293" s="11"/>
      <c r="L293" s="6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</row>
    <row r="294" spans="1:51">
      <c r="A294" s="11"/>
      <c r="B294" s="149"/>
      <c r="C294" s="11"/>
      <c r="D294" s="11"/>
      <c r="E294" s="11"/>
      <c r="F294" s="184"/>
      <c r="G294" s="11"/>
      <c r="H294" s="11"/>
      <c r="I294" s="11"/>
      <c r="J294" s="11"/>
      <c r="K294" s="11"/>
      <c r="L294" s="6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</row>
    <row r="295" spans="1:51">
      <c r="A295" s="11"/>
      <c r="B295" s="149"/>
      <c r="C295" s="11"/>
      <c r="D295" s="11"/>
      <c r="E295" s="11"/>
      <c r="F295" s="184"/>
      <c r="G295" s="11"/>
      <c r="H295" s="11"/>
      <c r="I295" s="11"/>
      <c r="J295" s="11"/>
      <c r="K295" s="11"/>
      <c r="L295" s="6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</row>
    <row r="296" spans="1:51">
      <c r="A296" s="11"/>
      <c r="B296" s="149"/>
      <c r="C296" s="11"/>
      <c r="D296" s="11"/>
      <c r="E296" s="11"/>
      <c r="F296" s="184"/>
      <c r="G296" s="11"/>
      <c r="H296" s="11"/>
      <c r="I296" s="11"/>
      <c r="J296" s="11"/>
      <c r="K296" s="11"/>
      <c r="L296" s="6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</row>
    <row r="297" spans="1:51">
      <c r="A297" s="11"/>
      <c r="B297" s="149"/>
      <c r="C297" s="11"/>
      <c r="D297" s="11"/>
      <c r="E297" s="11"/>
      <c r="F297" s="184"/>
      <c r="G297" s="11"/>
      <c r="H297" s="11"/>
      <c r="I297" s="11"/>
      <c r="J297" s="11"/>
      <c r="K297" s="11"/>
      <c r="L297" s="6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</row>
    <row r="298" spans="1:51">
      <c r="A298" s="11"/>
      <c r="B298" s="149"/>
      <c r="C298" s="11"/>
      <c r="D298" s="11"/>
      <c r="E298" s="11"/>
      <c r="F298" s="184"/>
      <c r="G298" s="11"/>
      <c r="H298" s="11"/>
      <c r="I298" s="11"/>
      <c r="J298" s="11"/>
      <c r="K298" s="11"/>
      <c r="L298" s="6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</row>
    <row r="299" spans="1:51">
      <c r="A299" s="11"/>
      <c r="B299" s="149"/>
      <c r="C299" s="11"/>
      <c r="D299" s="11"/>
      <c r="E299" s="11"/>
      <c r="F299" s="184"/>
      <c r="G299" s="11"/>
      <c r="H299" s="11"/>
      <c r="I299" s="11"/>
      <c r="J299" s="11"/>
      <c r="K299" s="11"/>
      <c r="L299" s="6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</row>
    <row r="300" spans="1:51">
      <c r="A300" s="11"/>
      <c r="B300" s="149"/>
      <c r="C300" s="11"/>
      <c r="D300" s="11"/>
      <c r="E300" s="11"/>
      <c r="F300" s="184"/>
      <c r="G300" s="11"/>
      <c r="H300" s="11"/>
      <c r="I300" s="11"/>
      <c r="J300" s="11"/>
      <c r="K300" s="11"/>
      <c r="L300" s="6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</row>
    <row r="301" spans="1:51">
      <c r="A301" s="11"/>
      <c r="B301" s="149"/>
      <c r="C301" s="11"/>
      <c r="D301" s="11"/>
      <c r="E301" s="11"/>
      <c r="F301" s="184"/>
      <c r="G301" s="11"/>
      <c r="H301" s="11"/>
      <c r="I301" s="11"/>
      <c r="J301" s="11"/>
      <c r="K301" s="11"/>
      <c r="L301" s="6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</row>
    <row r="302" spans="1:51">
      <c r="A302" s="11"/>
      <c r="B302" s="149"/>
      <c r="C302" s="11"/>
      <c r="D302" s="11"/>
      <c r="E302" s="11"/>
      <c r="F302" s="184"/>
      <c r="G302" s="11"/>
      <c r="H302" s="11"/>
      <c r="I302" s="11"/>
      <c r="J302" s="11"/>
      <c r="K302" s="11"/>
      <c r="L302" s="6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</row>
    <row r="303" spans="1:51">
      <c r="A303" s="11"/>
      <c r="B303" s="149"/>
      <c r="C303" s="11"/>
      <c r="D303" s="11"/>
      <c r="E303" s="11"/>
      <c r="F303" s="184"/>
      <c r="G303" s="11"/>
      <c r="H303" s="11"/>
      <c r="I303" s="11"/>
      <c r="J303" s="11"/>
      <c r="K303" s="11"/>
      <c r="L303" s="6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</row>
    <row r="304" spans="1:51">
      <c r="A304" s="11"/>
      <c r="B304" s="149"/>
      <c r="C304" s="11"/>
      <c r="D304" s="11"/>
      <c r="E304" s="11"/>
      <c r="F304" s="184"/>
      <c r="G304" s="11"/>
      <c r="H304" s="11"/>
      <c r="I304" s="11"/>
      <c r="J304" s="11"/>
      <c r="K304" s="11"/>
      <c r="L304" s="6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</row>
    <row r="305" spans="1:51">
      <c r="A305" s="11"/>
      <c r="B305" s="149"/>
      <c r="C305" s="11"/>
      <c r="D305" s="11"/>
      <c r="E305" s="11"/>
      <c r="F305" s="184"/>
      <c r="G305" s="11"/>
      <c r="H305" s="11"/>
      <c r="I305" s="11"/>
      <c r="J305" s="11"/>
      <c r="K305" s="11"/>
      <c r="L305" s="6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</row>
    <row r="306" spans="1:51">
      <c r="A306" s="11"/>
      <c r="B306" s="149"/>
      <c r="C306" s="11"/>
      <c r="D306" s="11"/>
      <c r="E306" s="11"/>
      <c r="F306" s="184"/>
      <c r="G306" s="11"/>
      <c r="H306" s="11"/>
      <c r="I306" s="11"/>
      <c r="J306" s="11"/>
      <c r="K306" s="11"/>
      <c r="L306" s="6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</row>
    <row r="307" spans="1:51">
      <c r="A307" s="11"/>
      <c r="B307" s="149"/>
      <c r="C307" s="11"/>
      <c r="D307" s="11"/>
      <c r="E307" s="11"/>
      <c r="F307" s="184"/>
      <c r="G307" s="11"/>
      <c r="H307" s="11"/>
      <c r="I307" s="11"/>
      <c r="J307" s="11"/>
      <c r="K307" s="11"/>
      <c r="L307" s="6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</row>
    <row r="308" spans="1:51">
      <c r="A308" s="11"/>
      <c r="B308" s="149"/>
      <c r="C308" s="11"/>
      <c r="D308" s="11"/>
      <c r="E308" s="11"/>
      <c r="F308" s="184"/>
      <c r="G308" s="11"/>
      <c r="H308" s="11"/>
      <c r="I308" s="11"/>
      <c r="J308" s="11"/>
      <c r="K308" s="11"/>
      <c r="L308" s="6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</row>
    <row r="309" spans="1:51">
      <c r="A309" s="11"/>
      <c r="B309" s="149"/>
      <c r="C309" s="11"/>
      <c r="D309" s="11"/>
      <c r="E309" s="11"/>
      <c r="F309" s="184"/>
      <c r="G309" s="11"/>
      <c r="H309" s="11"/>
      <c r="I309" s="11"/>
      <c r="J309" s="11"/>
      <c r="K309" s="11"/>
      <c r="L309" s="6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</row>
    <row r="310" spans="1:51">
      <c r="A310" s="11"/>
      <c r="B310" s="149"/>
      <c r="C310" s="11"/>
      <c r="D310" s="11"/>
      <c r="E310" s="11"/>
      <c r="F310" s="184"/>
      <c r="G310" s="11"/>
      <c r="H310" s="11"/>
      <c r="I310" s="11"/>
      <c r="J310" s="11"/>
      <c r="K310" s="11"/>
      <c r="L310" s="6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</row>
    <row r="311" spans="1:51">
      <c r="A311" s="11"/>
      <c r="B311" s="149"/>
      <c r="C311" s="11"/>
      <c r="D311" s="11"/>
      <c r="E311" s="11"/>
      <c r="F311" s="184"/>
      <c r="G311" s="11"/>
      <c r="H311" s="11"/>
      <c r="I311" s="11"/>
      <c r="J311" s="11"/>
      <c r="K311" s="11"/>
      <c r="L311" s="6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</row>
    <row r="312" spans="1:51">
      <c r="A312" s="11"/>
      <c r="B312" s="149"/>
      <c r="C312" s="11"/>
      <c r="D312" s="11"/>
      <c r="E312" s="11"/>
      <c r="F312" s="184"/>
      <c r="G312" s="11"/>
      <c r="H312" s="11"/>
      <c r="I312" s="11"/>
      <c r="J312" s="11"/>
      <c r="K312" s="11"/>
      <c r="L312" s="6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</row>
    <row r="313" spans="1:51">
      <c r="A313" s="11"/>
      <c r="B313" s="149"/>
      <c r="C313" s="11"/>
      <c r="D313" s="11"/>
      <c r="E313" s="11"/>
      <c r="F313" s="184"/>
      <c r="G313" s="11"/>
      <c r="H313" s="11"/>
      <c r="I313" s="11"/>
      <c r="J313" s="11"/>
      <c r="K313" s="11"/>
      <c r="L313" s="6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</row>
    <row r="314" spans="1:51">
      <c r="A314" s="11"/>
      <c r="B314" s="149"/>
      <c r="C314" s="11"/>
      <c r="D314" s="11"/>
      <c r="E314" s="11"/>
      <c r="F314" s="184"/>
      <c r="G314" s="11"/>
      <c r="H314" s="11"/>
      <c r="I314" s="11"/>
      <c r="J314" s="11"/>
      <c r="K314" s="11"/>
      <c r="L314" s="6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</row>
    <row r="315" spans="1:51">
      <c r="A315" s="11"/>
      <c r="B315" s="149"/>
      <c r="C315" s="11"/>
      <c r="D315" s="11"/>
      <c r="E315" s="11"/>
      <c r="F315" s="184"/>
      <c r="G315" s="11"/>
      <c r="H315" s="11"/>
      <c r="I315" s="11"/>
      <c r="J315" s="11"/>
      <c r="K315" s="11"/>
      <c r="L315" s="6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</row>
    <row r="316" spans="1:51">
      <c r="A316" s="11"/>
      <c r="B316" s="149"/>
      <c r="C316" s="11"/>
      <c r="D316" s="11"/>
      <c r="E316" s="11"/>
      <c r="F316" s="184"/>
      <c r="G316" s="11"/>
      <c r="H316" s="11"/>
      <c r="I316" s="11"/>
      <c r="J316" s="11"/>
      <c r="K316" s="11"/>
      <c r="L316" s="6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</row>
    <row r="317" spans="1:51">
      <c r="A317" s="11"/>
      <c r="B317" s="149"/>
      <c r="C317" s="11"/>
      <c r="D317" s="11"/>
      <c r="E317" s="11"/>
      <c r="F317" s="184"/>
      <c r="G317" s="11"/>
      <c r="H317" s="11"/>
      <c r="I317" s="11"/>
      <c r="J317" s="11"/>
      <c r="K317" s="11"/>
      <c r="L317" s="6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</row>
    <row r="318" spans="1:51">
      <c r="A318" s="11"/>
      <c r="B318" s="149"/>
      <c r="C318" s="11"/>
      <c r="D318" s="11"/>
      <c r="E318" s="11"/>
      <c r="F318" s="184"/>
      <c r="G318" s="11"/>
      <c r="H318" s="11"/>
      <c r="I318" s="11"/>
      <c r="J318" s="11"/>
      <c r="K318" s="11"/>
      <c r="L318" s="6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</row>
    <row r="319" spans="1:51">
      <c r="A319" s="11"/>
      <c r="B319" s="149"/>
      <c r="C319" s="11"/>
      <c r="D319" s="11"/>
      <c r="E319" s="11"/>
      <c r="F319" s="184"/>
      <c r="G319" s="11"/>
      <c r="H319" s="11"/>
      <c r="I319" s="11"/>
      <c r="J319" s="11"/>
      <c r="K319" s="11"/>
      <c r="L319" s="6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</row>
    <row r="320" spans="1:51">
      <c r="A320" s="11"/>
      <c r="B320" s="149"/>
      <c r="C320" s="11"/>
      <c r="D320" s="11"/>
      <c r="E320" s="11"/>
      <c r="F320" s="184"/>
      <c r="G320" s="11"/>
      <c r="H320" s="11"/>
      <c r="I320" s="11"/>
      <c r="J320" s="11"/>
      <c r="K320" s="11"/>
      <c r="L320" s="6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</row>
    <row r="321" spans="1:51">
      <c r="A321" s="11"/>
      <c r="B321" s="149"/>
      <c r="C321" s="11"/>
      <c r="D321" s="11"/>
      <c r="E321" s="11"/>
      <c r="F321" s="184"/>
      <c r="G321" s="11"/>
      <c r="H321" s="11"/>
      <c r="I321" s="11"/>
      <c r="J321" s="11"/>
      <c r="K321" s="11"/>
      <c r="L321" s="6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</row>
    <row r="322" spans="1:51">
      <c r="A322" s="11"/>
      <c r="B322" s="149"/>
      <c r="C322" s="11"/>
      <c r="D322" s="11"/>
      <c r="E322" s="11"/>
      <c r="F322" s="184"/>
      <c r="G322" s="11"/>
      <c r="H322" s="11"/>
      <c r="I322" s="11"/>
      <c r="J322" s="11"/>
      <c r="K322" s="11"/>
      <c r="L322" s="6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</row>
    <row r="323" spans="1:51">
      <c r="A323" s="11"/>
      <c r="B323" s="149"/>
      <c r="C323" s="11"/>
      <c r="D323" s="11"/>
      <c r="E323" s="11"/>
      <c r="F323" s="184"/>
      <c r="G323" s="11"/>
      <c r="H323" s="11"/>
      <c r="I323" s="11"/>
      <c r="J323" s="11"/>
      <c r="K323" s="11"/>
      <c r="L323" s="6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</row>
    <row r="324" spans="1:51">
      <c r="A324" s="11"/>
      <c r="B324" s="149"/>
      <c r="C324" s="11"/>
      <c r="D324" s="11"/>
      <c r="E324" s="11"/>
      <c r="F324" s="184"/>
      <c r="G324" s="11"/>
      <c r="H324" s="11"/>
      <c r="I324" s="11"/>
      <c r="J324" s="11"/>
      <c r="K324" s="11"/>
      <c r="L324" s="6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</row>
    <row r="325" spans="1:51">
      <c r="A325" s="11"/>
      <c r="B325" s="149"/>
      <c r="C325" s="11"/>
      <c r="D325" s="11"/>
      <c r="E325" s="11"/>
      <c r="F325" s="184"/>
      <c r="G325" s="11"/>
      <c r="H325" s="11"/>
      <c r="I325" s="11"/>
      <c r="J325" s="11"/>
      <c r="K325" s="11"/>
      <c r="L325" s="6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</row>
    <row r="326" spans="1:51">
      <c r="A326" s="11"/>
      <c r="B326" s="149"/>
      <c r="C326" s="11"/>
      <c r="D326" s="11"/>
      <c r="E326" s="11"/>
      <c r="F326" s="184"/>
      <c r="G326" s="11"/>
      <c r="H326" s="11"/>
      <c r="I326" s="11"/>
      <c r="J326" s="11"/>
      <c r="K326" s="11"/>
      <c r="L326" s="6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</row>
    <row r="327" spans="1:51">
      <c r="A327" s="11"/>
      <c r="B327" s="149"/>
      <c r="C327" s="11"/>
      <c r="D327" s="11"/>
      <c r="E327" s="11"/>
      <c r="F327" s="184"/>
      <c r="G327" s="11"/>
      <c r="H327" s="11"/>
      <c r="I327" s="11"/>
      <c r="J327" s="11"/>
      <c r="K327" s="11"/>
      <c r="L327" s="6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</row>
    <row r="328" spans="1:51">
      <c r="A328" s="11"/>
      <c r="B328" s="149"/>
      <c r="C328" s="11"/>
      <c r="D328" s="11"/>
      <c r="E328" s="11"/>
      <c r="F328" s="184"/>
      <c r="G328" s="11"/>
      <c r="H328" s="11"/>
      <c r="I328" s="11"/>
      <c r="J328" s="11"/>
      <c r="K328" s="11"/>
      <c r="L328" s="6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</row>
    <row r="329" spans="1:51">
      <c r="A329" s="11"/>
      <c r="B329" s="149"/>
      <c r="C329" s="11"/>
      <c r="D329" s="11"/>
      <c r="E329" s="11"/>
      <c r="F329" s="184"/>
      <c r="G329" s="11"/>
      <c r="H329" s="11"/>
      <c r="I329" s="11"/>
      <c r="J329" s="11"/>
      <c r="K329" s="11"/>
      <c r="L329" s="6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</row>
    <row r="330" spans="1:51">
      <c r="A330" s="11"/>
      <c r="B330" s="149"/>
      <c r="C330" s="11"/>
      <c r="D330" s="11"/>
      <c r="E330" s="11"/>
      <c r="F330" s="184"/>
      <c r="G330" s="11"/>
      <c r="H330" s="11"/>
      <c r="I330" s="11"/>
      <c r="J330" s="11"/>
      <c r="K330" s="11"/>
      <c r="L330" s="6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</row>
    <row r="331" spans="1:51">
      <c r="A331" s="11"/>
      <c r="B331" s="149"/>
      <c r="C331" s="11"/>
      <c r="D331" s="11"/>
      <c r="E331" s="11"/>
      <c r="F331" s="184"/>
      <c r="G331" s="11"/>
      <c r="H331" s="11"/>
      <c r="I331" s="11"/>
      <c r="J331" s="11"/>
      <c r="K331" s="11"/>
      <c r="L331" s="6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</row>
    <row r="332" spans="1:51">
      <c r="A332" s="11"/>
      <c r="B332" s="149"/>
      <c r="C332" s="11"/>
      <c r="D332" s="11"/>
      <c r="E332" s="11"/>
      <c r="F332" s="184"/>
      <c r="G332" s="11"/>
      <c r="H332" s="11"/>
      <c r="I332" s="11"/>
      <c r="J332" s="11"/>
      <c r="K332" s="11"/>
      <c r="L332" s="6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</row>
    <row r="333" spans="1:51">
      <c r="A333" s="11"/>
      <c r="B333" s="149"/>
      <c r="C333" s="11"/>
      <c r="D333" s="11"/>
      <c r="E333" s="11"/>
      <c r="F333" s="184"/>
      <c r="G333" s="11"/>
      <c r="H333" s="11"/>
      <c r="I333" s="11"/>
      <c r="J333" s="11"/>
      <c r="K333" s="11"/>
      <c r="L333" s="6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</row>
    <row r="334" spans="1:51">
      <c r="A334" s="11"/>
      <c r="B334" s="149"/>
      <c r="C334" s="11"/>
      <c r="D334" s="11"/>
      <c r="E334" s="11"/>
      <c r="F334" s="184"/>
      <c r="G334" s="11"/>
      <c r="H334" s="11"/>
      <c r="I334" s="11"/>
      <c r="J334" s="11"/>
      <c r="K334" s="11"/>
      <c r="L334" s="6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</row>
    <row r="335" spans="1:51">
      <c r="A335" s="11"/>
      <c r="B335" s="149"/>
      <c r="C335" s="11"/>
      <c r="D335" s="11"/>
      <c r="E335" s="11"/>
      <c r="F335" s="184"/>
      <c r="G335" s="11"/>
      <c r="H335" s="11"/>
      <c r="I335" s="11"/>
      <c r="J335" s="11"/>
      <c r="K335" s="11"/>
      <c r="L335" s="6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</row>
    <row r="336" spans="1:51">
      <c r="A336" s="11"/>
      <c r="B336" s="149"/>
      <c r="C336" s="11"/>
      <c r="D336" s="11"/>
      <c r="E336" s="11"/>
      <c r="F336" s="184"/>
      <c r="G336" s="11"/>
      <c r="H336" s="11"/>
      <c r="I336" s="11"/>
      <c r="J336" s="11"/>
      <c r="K336" s="11"/>
      <c r="L336" s="6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</row>
    <row r="337" spans="1:51">
      <c r="A337" s="11"/>
      <c r="B337" s="149"/>
      <c r="C337" s="11"/>
      <c r="D337" s="11"/>
      <c r="E337" s="11"/>
      <c r="F337" s="184"/>
      <c r="G337" s="11"/>
      <c r="H337" s="11"/>
      <c r="I337" s="11"/>
      <c r="J337" s="11"/>
      <c r="K337" s="11"/>
      <c r="L337" s="6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</row>
    <row r="338" spans="1:51">
      <c r="A338" s="11"/>
      <c r="B338" s="149"/>
      <c r="C338" s="11"/>
      <c r="D338" s="11"/>
      <c r="E338" s="11"/>
      <c r="F338" s="184"/>
      <c r="G338" s="11"/>
      <c r="H338" s="11"/>
      <c r="I338" s="11"/>
      <c r="J338" s="11"/>
      <c r="K338" s="11"/>
      <c r="L338" s="6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</row>
    <row r="339" spans="1:51">
      <c r="A339" s="11"/>
      <c r="B339" s="149"/>
      <c r="C339" s="11"/>
      <c r="D339" s="11"/>
      <c r="E339" s="11"/>
      <c r="F339" s="184"/>
      <c r="G339" s="11"/>
      <c r="H339" s="11"/>
      <c r="I339" s="11"/>
      <c r="J339" s="11"/>
      <c r="K339" s="11"/>
      <c r="L339" s="6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</row>
    <row r="340" spans="1:51">
      <c r="A340" s="11"/>
      <c r="B340" s="149"/>
      <c r="C340" s="11"/>
      <c r="D340" s="11"/>
      <c r="E340" s="11"/>
      <c r="F340" s="184"/>
      <c r="G340" s="11"/>
      <c r="H340" s="11"/>
      <c r="I340" s="11"/>
      <c r="J340" s="11"/>
      <c r="K340" s="11"/>
      <c r="L340" s="6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</row>
    <row r="341" spans="1:51">
      <c r="A341" s="11"/>
      <c r="B341" s="149"/>
      <c r="C341" s="11"/>
      <c r="D341" s="11"/>
      <c r="E341" s="11"/>
      <c r="F341" s="184"/>
      <c r="G341" s="11"/>
      <c r="H341" s="11"/>
      <c r="I341" s="11"/>
      <c r="J341" s="11"/>
      <c r="K341" s="11"/>
      <c r="L341" s="6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</row>
    <row r="342" spans="1:51">
      <c r="A342" s="11"/>
      <c r="B342" s="149"/>
      <c r="C342" s="11"/>
      <c r="D342" s="11"/>
      <c r="E342" s="11"/>
      <c r="F342" s="184"/>
      <c r="G342" s="11"/>
      <c r="H342" s="11"/>
      <c r="I342" s="11"/>
      <c r="J342" s="11"/>
      <c r="K342" s="11"/>
      <c r="L342" s="6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</row>
    <row r="343" spans="1:51">
      <c r="A343" s="11"/>
      <c r="B343" s="149"/>
      <c r="C343" s="11"/>
      <c r="D343" s="11"/>
      <c r="E343" s="11"/>
      <c r="F343" s="184"/>
      <c r="G343" s="11"/>
      <c r="H343" s="11"/>
      <c r="I343" s="11"/>
      <c r="J343" s="11"/>
      <c r="K343" s="11"/>
      <c r="L343" s="6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</row>
    <row r="344" spans="1:51">
      <c r="A344" s="11"/>
      <c r="B344" s="149"/>
      <c r="C344" s="11"/>
      <c r="D344" s="11"/>
      <c r="E344" s="11"/>
      <c r="F344" s="184"/>
      <c r="G344" s="11"/>
      <c r="H344" s="11"/>
      <c r="I344" s="11"/>
      <c r="J344" s="11"/>
      <c r="K344" s="11"/>
      <c r="L344" s="6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</row>
    <row r="345" spans="1:51">
      <c r="A345" s="11"/>
      <c r="B345" s="149"/>
      <c r="C345" s="11"/>
      <c r="D345" s="11"/>
      <c r="E345" s="11"/>
      <c r="F345" s="184"/>
      <c r="G345" s="11"/>
      <c r="H345" s="11"/>
      <c r="I345" s="11"/>
      <c r="J345" s="11"/>
      <c r="K345" s="11"/>
      <c r="L345" s="6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</row>
    <row r="346" spans="1:51">
      <c r="A346" s="11"/>
      <c r="B346" s="149"/>
      <c r="C346" s="11"/>
      <c r="D346" s="11"/>
      <c r="E346" s="11"/>
      <c r="F346" s="184"/>
      <c r="G346" s="11"/>
      <c r="H346" s="11"/>
      <c r="I346" s="11"/>
      <c r="J346" s="11"/>
      <c r="K346" s="11"/>
      <c r="L346" s="6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</row>
    <row r="347" spans="1:51">
      <c r="A347" s="11"/>
      <c r="B347" s="149"/>
      <c r="C347" s="11"/>
      <c r="D347" s="11"/>
      <c r="E347" s="11"/>
      <c r="F347" s="184"/>
      <c r="G347" s="11"/>
      <c r="H347" s="11"/>
      <c r="I347" s="11"/>
      <c r="J347" s="11"/>
      <c r="K347" s="11"/>
      <c r="L347" s="6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</row>
    <row r="348" spans="1:51">
      <c r="A348" s="11"/>
      <c r="B348" s="149"/>
      <c r="C348" s="11"/>
      <c r="D348" s="11"/>
      <c r="E348" s="11"/>
      <c r="F348" s="184"/>
      <c r="G348" s="11"/>
      <c r="H348" s="11"/>
      <c r="I348" s="11"/>
      <c r="J348" s="11"/>
      <c r="K348" s="11"/>
      <c r="L348" s="6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</row>
    <row r="349" spans="1:51">
      <c r="A349" s="11"/>
      <c r="B349" s="149"/>
      <c r="C349" s="11"/>
      <c r="D349" s="11"/>
      <c r="E349" s="11"/>
      <c r="F349" s="184"/>
      <c r="G349" s="11"/>
      <c r="H349" s="11"/>
      <c r="I349" s="11"/>
      <c r="J349" s="11"/>
      <c r="K349" s="11"/>
      <c r="L349" s="6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</row>
    <row r="350" spans="1:51">
      <c r="A350" s="11"/>
      <c r="B350" s="149"/>
      <c r="C350" s="11"/>
      <c r="D350" s="11"/>
      <c r="E350" s="11"/>
      <c r="F350" s="184"/>
      <c r="G350" s="11"/>
      <c r="H350" s="11"/>
      <c r="I350" s="11"/>
      <c r="J350" s="11"/>
      <c r="K350" s="11"/>
      <c r="L350" s="6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</row>
    <row r="351" spans="1:51">
      <c r="A351" s="11"/>
      <c r="B351" s="149"/>
      <c r="C351" s="11"/>
      <c r="D351" s="11"/>
      <c r="E351" s="11"/>
      <c r="F351" s="184"/>
      <c r="G351" s="11"/>
      <c r="H351" s="11"/>
      <c r="I351" s="11"/>
      <c r="J351" s="11"/>
      <c r="K351" s="11"/>
      <c r="L351" s="6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</row>
    <row r="352" spans="1:51">
      <c r="A352" s="11"/>
      <c r="B352" s="149"/>
      <c r="C352" s="11"/>
      <c r="D352" s="11"/>
      <c r="E352" s="11"/>
      <c r="F352" s="184"/>
      <c r="G352" s="11"/>
      <c r="H352" s="11"/>
      <c r="I352" s="11"/>
      <c r="J352" s="11"/>
      <c r="K352" s="11"/>
      <c r="L352" s="6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</row>
    <row r="353" spans="1:51">
      <c r="A353" s="11"/>
      <c r="B353" s="149"/>
      <c r="C353" s="11"/>
      <c r="D353" s="11"/>
      <c r="E353" s="11"/>
      <c r="F353" s="184"/>
      <c r="G353" s="11"/>
      <c r="H353" s="11"/>
      <c r="I353" s="11"/>
      <c r="J353" s="11"/>
      <c r="K353" s="11"/>
      <c r="L353" s="6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</row>
    <row r="354" spans="1:51">
      <c r="A354" s="11"/>
      <c r="B354" s="149"/>
      <c r="C354" s="11"/>
      <c r="D354" s="11"/>
      <c r="E354" s="11"/>
      <c r="F354" s="184"/>
      <c r="G354" s="11"/>
      <c r="H354" s="11"/>
      <c r="I354" s="11"/>
      <c r="J354" s="11"/>
      <c r="K354" s="11"/>
      <c r="L354" s="6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</row>
    <row r="355" spans="1:51">
      <c r="A355" s="11"/>
      <c r="B355" s="149"/>
      <c r="C355" s="11"/>
      <c r="D355" s="11"/>
      <c r="E355" s="11"/>
      <c r="F355" s="184"/>
      <c r="G355" s="11"/>
      <c r="H355" s="11"/>
      <c r="I355" s="11"/>
      <c r="J355" s="11"/>
      <c r="K355" s="11"/>
      <c r="L355" s="6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</row>
    <row r="356" spans="1:51">
      <c r="A356" s="11"/>
      <c r="B356" s="149"/>
      <c r="C356" s="11"/>
      <c r="D356" s="11"/>
      <c r="E356" s="11"/>
      <c r="F356" s="184"/>
      <c r="G356" s="11"/>
      <c r="H356" s="11"/>
      <c r="I356" s="11"/>
      <c r="J356" s="11"/>
      <c r="K356" s="11"/>
      <c r="L356" s="6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</row>
    <row r="357" spans="1:51">
      <c r="A357" s="11"/>
      <c r="B357" s="149"/>
      <c r="C357" s="11"/>
      <c r="D357" s="11"/>
      <c r="E357" s="11"/>
      <c r="F357" s="184"/>
      <c r="G357" s="11"/>
      <c r="H357" s="11"/>
      <c r="I357" s="11"/>
      <c r="J357" s="11"/>
      <c r="K357" s="11"/>
      <c r="L357" s="6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</row>
    <row r="358" spans="1:51">
      <c r="A358" s="11"/>
      <c r="B358" s="149"/>
      <c r="C358" s="11"/>
      <c r="D358" s="11"/>
      <c r="E358" s="11"/>
      <c r="F358" s="184"/>
      <c r="G358" s="11"/>
      <c r="H358" s="11"/>
      <c r="I358" s="11"/>
      <c r="J358" s="11"/>
      <c r="K358" s="11"/>
      <c r="L358" s="6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</row>
    <row r="359" spans="1:51">
      <c r="A359" s="11"/>
      <c r="B359" s="149"/>
      <c r="C359" s="11"/>
      <c r="D359" s="11"/>
      <c r="E359" s="11"/>
      <c r="F359" s="184"/>
      <c r="G359" s="11"/>
      <c r="H359" s="11"/>
      <c r="I359" s="11"/>
      <c r="J359" s="11"/>
      <c r="K359" s="11"/>
      <c r="L359" s="6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</row>
    <row r="360" spans="1:51">
      <c r="A360" s="11"/>
      <c r="B360" s="149"/>
      <c r="C360" s="11"/>
      <c r="D360" s="11"/>
      <c r="E360" s="11"/>
      <c r="F360" s="184"/>
      <c r="G360" s="11"/>
      <c r="H360" s="11"/>
      <c r="I360" s="11"/>
      <c r="J360" s="11"/>
      <c r="K360" s="11"/>
      <c r="L360" s="6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</row>
    <row r="361" spans="1:51">
      <c r="A361" s="11"/>
      <c r="B361" s="149"/>
      <c r="C361" s="11"/>
      <c r="D361" s="11"/>
      <c r="E361" s="11"/>
      <c r="F361" s="184"/>
      <c r="G361" s="11"/>
      <c r="H361" s="11"/>
      <c r="I361" s="11"/>
      <c r="J361" s="11"/>
      <c r="K361" s="11"/>
      <c r="L361" s="6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</row>
    <row r="362" spans="1:51">
      <c r="A362" s="11"/>
      <c r="B362" s="149"/>
      <c r="C362" s="11"/>
      <c r="D362" s="11"/>
      <c r="E362" s="11"/>
      <c r="F362" s="184"/>
      <c r="G362" s="11"/>
      <c r="H362" s="11"/>
      <c r="I362" s="11"/>
      <c r="J362" s="11"/>
      <c r="K362" s="11"/>
      <c r="L362" s="6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</row>
    <row r="363" spans="1:51">
      <c r="A363" s="11"/>
      <c r="B363" s="149"/>
      <c r="C363" s="11"/>
      <c r="D363" s="11"/>
      <c r="E363" s="11"/>
      <c r="F363" s="184"/>
      <c r="G363" s="11"/>
      <c r="H363" s="11"/>
      <c r="I363" s="11"/>
      <c r="J363" s="11"/>
      <c r="K363" s="11"/>
      <c r="L363" s="6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</row>
    <row r="364" spans="1:51">
      <c r="A364" s="11"/>
      <c r="B364" s="149"/>
      <c r="C364" s="11"/>
      <c r="D364" s="11"/>
      <c r="E364" s="11"/>
      <c r="F364" s="184"/>
      <c r="G364" s="11"/>
      <c r="H364" s="11"/>
      <c r="I364" s="11"/>
      <c r="J364" s="11"/>
      <c r="K364" s="11"/>
      <c r="L364" s="6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</row>
    <row r="365" spans="1:51">
      <c r="A365" s="11"/>
      <c r="B365" s="149"/>
      <c r="C365" s="11"/>
      <c r="D365" s="11"/>
      <c r="E365" s="11"/>
      <c r="F365" s="184"/>
      <c r="G365" s="11"/>
      <c r="H365" s="11"/>
      <c r="I365" s="11"/>
      <c r="J365" s="11"/>
      <c r="K365" s="11"/>
      <c r="L365" s="6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</row>
    <row r="366" spans="1:51">
      <c r="A366" s="11"/>
      <c r="B366" s="149"/>
      <c r="C366" s="11"/>
      <c r="D366" s="11"/>
      <c r="E366" s="11"/>
      <c r="F366" s="184"/>
      <c r="G366" s="11"/>
      <c r="H366" s="11"/>
      <c r="I366" s="11"/>
      <c r="J366" s="11"/>
      <c r="K366" s="11"/>
      <c r="L366" s="6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</row>
    <row r="367" spans="1:51">
      <c r="A367" s="11"/>
      <c r="B367" s="149"/>
      <c r="C367" s="11"/>
      <c r="D367" s="11"/>
      <c r="E367" s="11"/>
      <c r="F367" s="184"/>
      <c r="G367" s="11"/>
      <c r="H367" s="11"/>
      <c r="I367" s="11"/>
      <c r="J367" s="11"/>
      <c r="K367" s="11"/>
      <c r="L367" s="6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</row>
    <row r="368" spans="1:51">
      <c r="A368" s="11"/>
      <c r="B368" s="149"/>
      <c r="C368" s="11"/>
      <c r="D368" s="11"/>
      <c r="E368" s="11"/>
      <c r="F368" s="184"/>
      <c r="G368" s="11"/>
      <c r="H368" s="11"/>
      <c r="I368" s="11"/>
      <c r="J368" s="11"/>
      <c r="K368" s="11"/>
      <c r="L368" s="6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</row>
    <row r="369" spans="1:51">
      <c r="A369" s="11"/>
      <c r="B369" s="149"/>
      <c r="C369" s="11"/>
      <c r="D369" s="11"/>
      <c r="E369" s="11"/>
      <c r="F369" s="184"/>
      <c r="G369" s="11"/>
      <c r="H369" s="11"/>
      <c r="I369" s="11"/>
      <c r="J369" s="11"/>
      <c r="K369" s="11"/>
      <c r="L369" s="6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</row>
    <row r="370" spans="1:51">
      <c r="A370" s="11"/>
      <c r="B370" s="149"/>
      <c r="C370" s="11"/>
      <c r="D370" s="11"/>
      <c r="E370" s="11"/>
      <c r="F370" s="184"/>
      <c r="G370" s="11"/>
      <c r="H370" s="11"/>
      <c r="I370" s="11"/>
      <c r="J370" s="11"/>
      <c r="K370" s="11"/>
      <c r="L370" s="6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</row>
    <row r="371" spans="1:51">
      <c r="A371" s="11"/>
      <c r="B371" s="149"/>
      <c r="C371" s="11"/>
      <c r="D371" s="11"/>
      <c r="E371" s="11"/>
      <c r="F371" s="184"/>
      <c r="G371" s="11"/>
      <c r="H371" s="11"/>
      <c r="I371" s="11"/>
      <c r="J371" s="11"/>
      <c r="K371" s="11"/>
      <c r="L371" s="6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</row>
    <row r="372" spans="1:51">
      <c r="A372" s="11"/>
      <c r="B372" s="149"/>
      <c r="C372" s="11"/>
      <c r="D372" s="11"/>
      <c r="E372" s="11"/>
      <c r="F372" s="184"/>
      <c r="G372" s="11"/>
      <c r="H372" s="11"/>
      <c r="I372" s="11"/>
      <c r="J372" s="11"/>
      <c r="K372" s="11"/>
      <c r="L372" s="6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</row>
    <row r="373" spans="1:51">
      <c r="A373" s="11"/>
      <c r="B373" s="149"/>
      <c r="C373" s="11"/>
      <c r="D373" s="11"/>
      <c r="E373" s="11"/>
      <c r="F373" s="184"/>
      <c r="G373" s="11"/>
      <c r="H373" s="11"/>
      <c r="I373" s="11"/>
      <c r="J373" s="11"/>
      <c r="K373" s="11"/>
      <c r="L373" s="6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</row>
    <row r="374" spans="1:51">
      <c r="A374" s="11"/>
      <c r="B374" s="149"/>
      <c r="C374" s="11"/>
      <c r="D374" s="11"/>
      <c r="E374" s="11"/>
      <c r="F374" s="184"/>
      <c r="G374" s="11"/>
      <c r="H374" s="11"/>
      <c r="I374" s="11"/>
      <c r="J374" s="11"/>
      <c r="K374" s="11"/>
      <c r="L374" s="6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</row>
    <row r="375" spans="1:51">
      <c r="A375" s="11"/>
      <c r="B375" s="149"/>
      <c r="C375" s="11"/>
      <c r="D375" s="11"/>
      <c r="E375" s="11"/>
      <c r="F375" s="184"/>
      <c r="G375" s="11"/>
      <c r="H375" s="11"/>
      <c r="I375" s="11"/>
      <c r="J375" s="11"/>
      <c r="K375" s="11"/>
      <c r="L375" s="6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</row>
    <row r="376" spans="1:51">
      <c r="A376" s="11"/>
      <c r="B376" s="149"/>
      <c r="C376" s="11"/>
      <c r="D376" s="11"/>
      <c r="E376" s="11"/>
      <c r="F376" s="184"/>
      <c r="G376" s="11"/>
      <c r="H376" s="11"/>
      <c r="I376" s="11"/>
      <c r="J376" s="11"/>
      <c r="K376" s="11"/>
      <c r="L376" s="6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</row>
    <row r="377" spans="1:51">
      <c r="A377" s="11"/>
      <c r="B377" s="149"/>
      <c r="C377" s="11"/>
      <c r="D377" s="11"/>
      <c r="E377" s="11"/>
      <c r="F377" s="184"/>
      <c r="G377" s="11"/>
      <c r="H377" s="11"/>
      <c r="I377" s="11"/>
      <c r="J377" s="11"/>
      <c r="K377" s="11"/>
      <c r="L377" s="6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</row>
    <row r="378" spans="1:51">
      <c r="A378" s="11"/>
      <c r="B378" s="149"/>
      <c r="C378" s="11"/>
      <c r="D378" s="11"/>
      <c r="E378" s="11"/>
      <c r="F378" s="184"/>
      <c r="G378" s="11"/>
      <c r="H378" s="11"/>
      <c r="I378" s="11"/>
      <c r="J378" s="11"/>
      <c r="K378" s="11"/>
      <c r="L378" s="6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</row>
    <row r="379" spans="1:51">
      <c r="A379" s="11"/>
      <c r="B379" s="149"/>
      <c r="C379" s="11"/>
      <c r="D379" s="11"/>
      <c r="E379" s="11"/>
      <c r="F379" s="184"/>
      <c r="G379" s="11"/>
      <c r="H379" s="11"/>
      <c r="I379" s="11"/>
      <c r="J379" s="11"/>
      <c r="K379" s="11"/>
      <c r="L379" s="6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</row>
    <row r="380" spans="1:51">
      <c r="A380" s="11"/>
      <c r="B380" s="149"/>
      <c r="C380" s="11"/>
      <c r="D380" s="11"/>
      <c r="E380" s="11"/>
      <c r="F380" s="184"/>
      <c r="G380" s="11"/>
      <c r="H380" s="11"/>
      <c r="I380" s="11"/>
      <c r="J380" s="11"/>
      <c r="K380" s="11"/>
      <c r="L380" s="6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</row>
    <row r="381" spans="1:51">
      <c r="A381" s="11"/>
      <c r="B381" s="149"/>
      <c r="C381" s="11"/>
      <c r="D381" s="11"/>
      <c r="E381" s="11"/>
      <c r="F381" s="184"/>
      <c r="G381" s="11"/>
      <c r="H381" s="11"/>
      <c r="I381" s="11"/>
      <c r="J381" s="11"/>
      <c r="K381" s="11"/>
      <c r="L381" s="6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</row>
    <row r="382" spans="1:51">
      <c r="A382" s="11"/>
      <c r="B382" s="149"/>
      <c r="C382" s="11"/>
      <c r="D382" s="11"/>
      <c r="E382" s="11"/>
      <c r="F382" s="184"/>
      <c r="G382" s="11"/>
      <c r="H382" s="11"/>
      <c r="I382" s="11"/>
      <c r="J382" s="11"/>
      <c r="K382" s="11"/>
      <c r="L382" s="6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</row>
    <row r="383" spans="1:51">
      <c r="A383" s="11"/>
      <c r="B383" s="149"/>
      <c r="C383" s="11"/>
      <c r="D383" s="11"/>
      <c r="E383" s="11"/>
      <c r="F383" s="184"/>
      <c r="G383" s="11"/>
      <c r="H383" s="11"/>
      <c r="I383" s="11"/>
      <c r="J383" s="11"/>
      <c r="K383" s="11"/>
      <c r="L383" s="6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</row>
    <row r="384" spans="1:51">
      <c r="A384" s="11"/>
      <c r="B384" s="149"/>
      <c r="C384" s="11"/>
      <c r="D384" s="11"/>
      <c r="E384" s="11"/>
      <c r="F384" s="184"/>
      <c r="G384" s="11"/>
      <c r="H384" s="11"/>
      <c r="I384" s="11"/>
      <c r="J384" s="11"/>
      <c r="K384" s="11"/>
      <c r="L384" s="6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</row>
    <row r="385" spans="1:51">
      <c r="A385" s="11"/>
      <c r="B385" s="149"/>
      <c r="C385" s="11"/>
      <c r="D385" s="11"/>
      <c r="E385" s="11"/>
      <c r="F385" s="184"/>
      <c r="G385" s="11"/>
      <c r="H385" s="11"/>
      <c r="I385" s="11"/>
      <c r="J385" s="11"/>
      <c r="K385" s="11"/>
      <c r="L385" s="6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</row>
    <row r="386" spans="1:51">
      <c r="A386" s="11"/>
      <c r="B386" s="149"/>
      <c r="C386" s="11"/>
      <c r="D386" s="11"/>
      <c r="E386" s="11"/>
      <c r="F386" s="184"/>
      <c r="G386" s="11"/>
      <c r="H386" s="11"/>
      <c r="I386" s="11"/>
      <c r="J386" s="11"/>
      <c r="K386" s="11"/>
      <c r="L386" s="6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</row>
    <row r="387" spans="1:51">
      <c r="A387" s="11"/>
      <c r="B387" s="149"/>
      <c r="C387" s="11"/>
      <c r="D387" s="11"/>
      <c r="E387" s="11"/>
      <c r="F387" s="184"/>
      <c r="G387" s="11"/>
      <c r="H387" s="11"/>
      <c r="I387" s="11"/>
      <c r="J387" s="11"/>
      <c r="K387" s="11"/>
      <c r="L387" s="6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</row>
    <row r="388" spans="1:51">
      <c r="A388" s="11"/>
      <c r="B388" s="149"/>
      <c r="C388" s="11"/>
      <c r="D388" s="11"/>
      <c r="E388" s="11"/>
      <c r="F388" s="184"/>
      <c r="G388" s="11"/>
      <c r="H388" s="11"/>
      <c r="I388" s="11"/>
      <c r="J388" s="11"/>
      <c r="K388" s="11"/>
      <c r="L388" s="6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</row>
    <row r="389" spans="1:51">
      <c r="A389" s="11"/>
      <c r="B389" s="149"/>
      <c r="C389" s="11"/>
      <c r="D389" s="11"/>
      <c r="E389" s="11"/>
      <c r="F389" s="184"/>
      <c r="G389" s="11"/>
      <c r="H389" s="11"/>
      <c r="I389" s="11"/>
      <c r="J389" s="11"/>
      <c r="K389" s="11"/>
      <c r="L389" s="6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</row>
    <row r="390" spans="1:51">
      <c r="A390" s="11"/>
      <c r="B390" s="149"/>
      <c r="C390" s="11"/>
      <c r="D390" s="11"/>
      <c r="E390" s="11"/>
      <c r="F390" s="184"/>
      <c r="G390" s="11"/>
      <c r="H390" s="11"/>
      <c r="I390" s="11"/>
      <c r="J390" s="11"/>
      <c r="K390" s="11"/>
      <c r="L390" s="6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</row>
    <row r="391" spans="1:51">
      <c r="A391" s="11"/>
      <c r="B391" s="149"/>
      <c r="C391" s="11"/>
      <c r="D391" s="11"/>
      <c r="E391" s="11"/>
      <c r="F391" s="184"/>
      <c r="G391" s="11"/>
      <c r="H391" s="11"/>
      <c r="I391" s="11"/>
      <c r="J391" s="11"/>
      <c r="K391" s="11"/>
      <c r="L391" s="6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</row>
    <row r="392" spans="1:51">
      <c r="A392" s="11"/>
      <c r="B392" s="149"/>
      <c r="C392" s="11"/>
      <c r="D392" s="11"/>
      <c r="E392" s="11"/>
      <c r="F392" s="184"/>
      <c r="G392" s="11"/>
      <c r="H392" s="11"/>
      <c r="I392" s="11"/>
      <c r="J392" s="11"/>
      <c r="K392" s="11"/>
      <c r="L392" s="6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</row>
    <row r="393" spans="1:51">
      <c r="A393" s="11"/>
      <c r="B393" s="149"/>
      <c r="C393" s="11"/>
      <c r="D393" s="11"/>
      <c r="E393" s="11"/>
      <c r="F393" s="184"/>
      <c r="G393" s="11"/>
      <c r="H393" s="11"/>
      <c r="I393" s="11"/>
      <c r="J393" s="11"/>
      <c r="K393" s="11"/>
      <c r="L393" s="6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</row>
    <row r="394" spans="1:51">
      <c r="A394" s="11"/>
      <c r="B394" s="149"/>
      <c r="C394" s="11"/>
      <c r="D394" s="11"/>
      <c r="E394" s="11"/>
      <c r="F394" s="184"/>
      <c r="G394" s="11"/>
      <c r="H394" s="11"/>
      <c r="I394" s="11"/>
      <c r="J394" s="11"/>
      <c r="K394" s="11"/>
      <c r="L394" s="6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</row>
    <row r="395" spans="1:51">
      <c r="A395" s="11"/>
      <c r="B395" s="149"/>
      <c r="C395" s="11"/>
      <c r="D395" s="11"/>
      <c r="E395" s="11"/>
      <c r="F395" s="184"/>
      <c r="G395" s="11"/>
      <c r="H395" s="11"/>
      <c r="I395" s="11"/>
      <c r="J395" s="11"/>
      <c r="K395" s="11"/>
      <c r="L395" s="6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</row>
    <row r="396" spans="1:51">
      <c r="A396" s="11"/>
      <c r="B396" s="149"/>
      <c r="C396" s="11"/>
      <c r="D396" s="11"/>
      <c r="E396" s="11"/>
      <c r="F396" s="184"/>
      <c r="G396" s="11"/>
      <c r="H396" s="11"/>
      <c r="I396" s="11"/>
      <c r="J396" s="11"/>
      <c r="K396" s="11"/>
      <c r="L396" s="6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</row>
    <row r="397" spans="1:51">
      <c r="A397" s="11"/>
      <c r="B397" s="149"/>
      <c r="C397" s="11"/>
      <c r="D397" s="11"/>
      <c r="E397" s="11"/>
      <c r="F397" s="184"/>
      <c r="G397" s="11"/>
      <c r="H397" s="11"/>
      <c r="I397" s="11"/>
      <c r="J397" s="11"/>
      <c r="K397" s="11"/>
      <c r="L397" s="6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</row>
    <row r="398" spans="1:51">
      <c r="A398" s="11"/>
      <c r="B398" s="149"/>
      <c r="C398" s="11"/>
      <c r="D398" s="11"/>
      <c r="E398" s="11"/>
      <c r="F398" s="184"/>
      <c r="G398" s="11"/>
      <c r="H398" s="11"/>
      <c r="I398" s="11"/>
      <c r="J398" s="11"/>
      <c r="K398" s="11"/>
      <c r="L398" s="6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</row>
    <row r="399" spans="1:51">
      <c r="A399" s="11"/>
      <c r="B399" s="149"/>
      <c r="C399" s="11"/>
      <c r="D399" s="11"/>
      <c r="E399" s="11"/>
      <c r="F399" s="184"/>
      <c r="G399" s="11"/>
      <c r="H399" s="11"/>
      <c r="I399" s="11"/>
      <c r="J399" s="11"/>
      <c r="K399" s="11"/>
      <c r="L399" s="6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</row>
    <row r="400" spans="1:51">
      <c r="A400" s="11"/>
      <c r="B400" s="149"/>
      <c r="C400" s="11"/>
      <c r="D400" s="11"/>
      <c r="E400" s="11"/>
      <c r="F400" s="184"/>
      <c r="G400" s="11"/>
      <c r="H400" s="11"/>
      <c r="I400" s="11"/>
      <c r="J400" s="11"/>
      <c r="K400" s="11"/>
      <c r="L400" s="6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</row>
    <row r="401" spans="1:51">
      <c r="A401" s="11"/>
      <c r="B401" s="149"/>
      <c r="C401" s="11"/>
      <c r="D401" s="11"/>
      <c r="E401" s="11"/>
      <c r="F401" s="184"/>
      <c r="G401" s="11"/>
      <c r="H401" s="11"/>
      <c r="I401" s="11"/>
      <c r="J401" s="11"/>
      <c r="K401" s="11"/>
      <c r="L401" s="6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</row>
    <row r="402" spans="1:51">
      <c r="A402" s="11"/>
      <c r="B402" s="149"/>
      <c r="C402" s="11"/>
      <c r="D402" s="11"/>
      <c r="E402" s="11"/>
      <c r="F402" s="184"/>
      <c r="G402" s="11"/>
      <c r="H402" s="11"/>
      <c r="I402" s="11"/>
      <c r="J402" s="11"/>
      <c r="K402" s="11"/>
      <c r="L402" s="6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</row>
    <row r="403" spans="1:51">
      <c r="A403" s="11"/>
      <c r="B403" s="149"/>
      <c r="C403" s="11"/>
      <c r="D403" s="11"/>
      <c r="E403" s="11"/>
      <c r="F403" s="184"/>
      <c r="G403" s="11"/>
      <c r="H403" s="11"/>
      <c r="I403" s="11"/>
      <c r="J403" s="11"/>
      <c r="K403" s="11"/>
      <c r="L403" s="6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</row>
    <row r="404" spans="1:51">
      <c r="A404" s="11"/>
      <c r="B404" s="149"/>
      <c r="C404" s="11"/>
      <c r="D404" s="11"/>
      <c r="E404" s="11"/>
      <c r="F404" s="184"/>
      <c r="G404" s="11"/>
      <c r="H404" s="11"/>
      <c r="I404" s="11"/>
      <c r="J404" s="11"/>
      <c r="K404" s="11"/>
      <c r="L404" s="6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</row>
    <row r="405" spans="1:51">
      <c r="A405" s="11"/>
      <c r="B405" s="149"/>
      <c r="C405" s="11"/>
      <c r="D405" s="11"/>
      <c r="E405" s="11"/>
      <c r="F405" s="184"/>
      <c r="G405" s="11"/>
      <c r="H405" s="11"/>
      <c r="I405" s="11"/>
      <c r="J405" s="11"/>
      <c r="K405" s="11"/>
      <c r="L405" s="6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</row>
    <row r="406" spans="1:51">
      <c r="A406" s="11"/>
      <c r="B406" s="149"/>
      <c r="C406" s="11"/>
      <c r="D406" s="11"/>
      <c r="E406" s="11"/>
      <c r="F406" s="184"/>
      <c r="G406" s="11"/>
      <c r="H406" s="11"/>
      <c r="I406" s="11"/>
      <c r="J406" s="11"/>
      <c r="K406" s="11"/>
      <c r="L406" s="6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</row>
    <row r="407" spans="1:51">
      <c r="A407" s="11"/>
      <c r="B407" s="149"/>
      <c r="C407" s="11"/>
      <c r="D407" s="11"/>
      <c r="E407" s="11"/>
      <c r="F407" s="184"/>
      <c r="G407" s="11"/>
      <c r="H407" s="11"/>
      <c r="I407" s="11"/>
      <c r="J407" s="11"/>
      <c r="K407" s="11"/>
      <c r="L407" s="6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</row>
    <row r="408" spans="1:51">
      <c r="A408" s="11"/>
      <c r="B408" s="149"/>
      <c r="C408" s="11"/>
      <c r="D408" s="11"/>
      <c r="E408" s="11"/>
      <c r="F408" s="184"/>
      <c r="G408" s="11"/>
      <c r="H408" s="11"/>
      <c r="I408" s="11"/>
      <c r="J408" s="11"/>
      <c r="K408" s="11"/>
      <c r="L408" s="6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</row>
    <row r="409" spans="1:51">
      <c r="A409" s="11"/>
      <c r="B409" s="149"/>
      <c r="C409" s="11"/>
      <c r="D409" s="11"/>
      <c r="E409" s="11"/>
      <c r="F409" s="184"/>
      <c r="G409" s="11"/>
      <c r="H409" s="11"/>
      <c r="I409" s="11"/>
      <c r="J409" s="11"/>
      <c r="K409" s="11"/>
      <c r="L409" s="6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</row>
    <row r="410" spans="1:51">
      <c r="A410" s="11"/>
      <c r="B410" s="149"/>
      <c r="C410" s="11"/>
      <c r="D410" s="11"/>
      <c r="E410" s="11"/>
      <c r="F410" s="184"/>
      <c r="G410" s="11"/>
      <c r="H410" s="11"/>
      <c r="I410" s="11"/>
      <c r="J410" s="11"/>
      <c r="K410" s="11"/>
      <c r="L410" s="6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</row>
    <row r="411" spans="1:51">
      <c r="A411" s="11"/>
      <c r="B411" s="149"/>
      <c r="C411" s="11"/>
      <c r="D411" s="11"/>
      <c r="E411" s="11"/>
      <c r="F411" s="184"/>
      <c r="G411" s="11"/>
      <c r="H411" s="11"/>
      <c r="I411" s="11"/>
      <c r="J411" s="11"/>
      <c r="K411" s="11"/>
      <c r="L411" s="6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</row>
    <row r="412" spans="1:51">
      <c r="A412" s="11"/>
      <c r="B412" s="149"/>
      <c r="C412" s="11"/>
      <c r="D412" s="11"/>
      <c r="E412" s="11"/>
      <c r="F412" s="184"/>
      <c r="G412" s="11"/>
      <c r="H412" s="11"/>
      <c r="I412" s="11"/>
      <c r="J412" s="11"/>
      <c r="K412" s="11"/>
      <c r="L412" s="6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</row>
    <row r="413" spans="1:51">
      <c r="A413" s="11"/>
      <c r="B413" s="149"/>
      <c r="C413" s="11"/>
      <c r="D413" s="11"/>
      <c r="E413" s="11"/>
      <c r="F413" s="184"/>
      <c r="G413" s="11"/>
      <c r="H413" s="11"/>
      <c r="I413" s="11"/>
      <c r="J413" s="11"/>
      <c r="K413" s="11"/>
      <c r="L413" s="6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</row>
    <row r="414" spans="1:51">
      <c r="A414" s="11"/>
      <c r="B414" s="149"/>
      <c r="C414" s="11"/>
      <c r="D414" s="11"/>
      <c r="E414" s="11"/>
      <c r="F414" s="184"/>
      <c r="G414" s="11"/>
      <c r="H414" s="11"/>
      <c r="I414" s="11"/>
      <c r="J414" s="11"/>
      <c r="K414" s="11"/>
      <c r="L414" s="6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</row>
    <row r="415" spans="1:51">
      <c r="A415" s="11"/>
      <c r="B415" s="149"/>
      <c r="C415" s="11"/>
      <c r="D415" s="11"/>
      <c r="E415" s="11"/>
      <c r="F415" s="184"/>
      <c r="G415" s="11"/>
      <c r="H415" s="11"/>
      <c r="I415" s="11"/>
      <c r="J415" s="11"/>
      <c r="K415" s="11"/>
      <c r="L415" s="6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</row>
    <row r="416" spans="1:51">
      <c r="A416" s="11"/>
      <c r="B416" s="149"/>
      <c r="C416" s="11"/>
      <c r="D416" s="11"/>
      <c r="E416" s="11"/>
      <c r="F416" s="184"/>
      <c r="G416" s="11"/>
      <c r="H416" s="11"/>
      <c r="I416" s="11"/>
      <c r="J416" s="11"/>
      <c r="K416" s="11"/>
      <c r="L416" s="6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</row>
    <row r="417" spans="1:51">
      <c r="A417" s="11"/>
      <c r="B417" s="149"/>
      <c r="C417" s="11"/>
      <c r="D417" s="11"/>
      <c r="E417" s="11"/>
      <c r="F417" s="184"/>
      <c r="G417" s="11"/>
      <c r="H417" s="11"/>
      <c r="I417" s="11"/>
      <c r="J417" s="11"/>
      <c r="K417" s="11"/>
      <c r="L417" s="6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</row>
    <row r="418" spans="1:51">
      <c r="A418" s="11"/>
      <c r="B418" s="149"/>
      <c r="C418" s="11"/>
      <c r="D418" s="11"/>
      <c r="E418" s="11"/>
      <c r="F418" s="184"/>
      <c r="G418" s="11"/>
      <c r="H418" s="11"/>
      <c r="I418" s="11"/>
      <c r="J418" s="11"/>
      <c r="K418" s="11"/>
      <c r="L418" s="6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</row>
    <row r="419" spans="1:51">
      <c r="A419" s="11"/>
      <c r="B419" s="149"/>
      <c r="C419" s="11"/>
      <c r="D419" s="11"/>
      <c r="E419" s="11"/>
      <c r="F419" s="184"/>
      <c r="G419" s="11"/>
      <c r="H419" s="11"/>
      <c r="I419" s="11"/>
      <c r="J419" s="11"/>
      <c r="K419" s="11"/>
      <c r="L419" s="6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</row>
    <row r="420" spans="1:51">
      <c r="A420" s="11"/>
      <c r="B420" s="149"/>
      <c r="C420" s="11"/>
      <c r="D420" s="11"/>
      <c r="E420" s="11"/>
      <c r="F420" s="184"/>
      <c r="G420" s="11"/>
      <c r="H420" s="11"/>
      <c r="I420" s="11"/>
      <c r="J420" s="11"/>
      <c r="K420" s="11"/>
      <c r="L420" s="6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</row>
    <row r="421" spans="1:51">
      <c r="A421" s="11"/>
      <c r="B421" s="149"/>
      <c r="C421" s="11"/>
      <c r="D421" s="11"/>
      <c r="E421" s="11"/>
      <c r="F421" s="184"/>
      <c r="G421" s="11"/>
      <c r="H421" s="11"/>
      <c r="I421" s="11"/>
      <c r="J421" s="11"/>
      <c r="K421" s="11"/>
      <c r="L421" s="6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</row>
    <row r="422" spans="1:51">
      <c r="A422" s="11"/>
      <c r="B422" s="149"/>
      <c r="C422" s="11"/>
      <c r="D422" s="11"/>
      <c r="E422" s="11"/>
      <c r="F422" s="184"/>
      <c r="G422" s="11"/>
      <c r="H422" s="11"/>
      <c r="I422" s="11"/>
      <c r="J422" s="11"/>
      <c r="K422" s="11"/>
      <c r="L422" s="6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</row>
    <row r="423" spans="1:51">
      <c r="A423" s="11"/>
      <c r="B423" s="149"/>
      <c r="C423" s="11"/>
      <c r="D423" s="11"/>
      <c r="E423" s="11"/>
      <c r="F423" s="184"/>
      <c r="G423" s="11"/>
      <c r="H423" s="11"/>
      <c r="I423" s="11"/>
      <c r="J423" s="11"/>
      <c r="K423" s="11"/>
      <c r="L423" s="6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</row>
    <row r="424" spans="1:51">
      <c r="A424" s="11"/>
      <c r="B424" s="149"/>
      <c r="C424" s="11"/>
      <c r="D424" s="11"/>
      <c r="E424" s="11"/>
      <c r="F424" s="184"/>
      <c r="G424" s="11"/>
      <c r="H424" s="11"/>
      <c r="I424" s="11"/>
      <c r="J424" s="11"/>
      <c r="K424" s="11"/>
      <c r="L424" s="6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</row>
    <row r="425" spans="1:51">
      <c r="A425" s="11"/>
      <c r="B425" s="149"/>
      <c r="C425" s="11"/>
      <c r="D425" s="11"/>
      <c r="E425" s="11"/>
      <c r="F425" s="184"/>
      <c r="G425" s="11"/>
      <c r="H425" s="11"/>
      <c r="I425" s="11"/>
      <c r="J425" s="11"/>
      <c r="K425" s="11"/>
      <c r="L425" s="6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</row>
    <row r="426" spans="1:51">
      <c r="A426" s="11"/>
      <c r="B426" s="149"/>
      <c r="C426" s="11"/>
      <c r="D426" s="11"/>
      <c r="E426" s="11"/>
      <c r="F426" s="184"/>
      <c r="G426" s="11"/>
      <c r="H426" s="11"/>
      <c r="I426" s="11"/>
      <c r="J426" s="11"/>
      <c r="K426" s="11"/>
      <c r="L426" s="6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</row>
    <row r="427" spans="1:51">
      <c r="A427" s="11"/>
      <c r="B427" s="149"/>
      <c r="C427" s="11"/>
      <c r="D427" s="11"/>
      <c r="E427" s="11"/>
      <c r="F427" s="184"/>
      <c r="G427" s="11"/>
      <c r="H427" s="11"/>
      <c r="I427" s="11"/>
      <c r="J427" s="11"/>
      <c r="K427" s="11"/>
      <c r="L427" s="6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</row>
    <row r="428" spans="1:51">
      <c r="A428" s="11"/>
      <c r="B428" s="149"/>
      <c r="C428" s="11"/>
      <c r="D428" s="11"/>
      <c r="E428" s="11"/>
      <c r="F428" s="184"/>
      <c r="G428" s="11"/>
      <c r="H428" s="11"/>
      <c r="I428" s="11"/>
      <c r="J428" s="11"/>
      <c r="K428" s="11"/>
      <c r="L428" s="6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</row>
    <row r="429" spans="1:51">
      <c r="A429" s="11"/>
      <c r="B429" s="149"/>
      <c r="C429" s="11"/>
      <c r="D429" s="11"/>
      <c r="E429" s="11"/>
      <c r="F429" s="184"/>
      <c r="G429" s="11"/>
      <c r="H429" s="11"/>
      <c r="I429" s="11"/>
      <c r="J429" s="11"/>
      <c r="K429" s="11"/>
      <c r="L429" s="6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</row>
    <row r="430" spans="1:51">
      <c r="A430" s="11"/>
      <c r="B430" s="149"/>
      <c r="C430" s="11"/>
      <c r="D430" s="11"/>
      <c r="E430" s="11"/>
      <c r="F430" s="184"/>
      <c r="G430" s="11"/>
      <c r="H430" s="11"/>
      <c r="I430" s="11"/>
      <c r="J430" s="11"/>
      <c r="K430" s="11"/>
      <c r="L430" s="6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</row>
    <row r="431" spans="1:51">
      <c r="A431" s="11"/>
      <c r="B431" s="149"/>
      <c r="C431" s="11"/>
      <c r="D431" s="11"/>
      <c r="E431" s="11"/>
      <c r="F431" s="184"/>
      <c r="G431" s="11"/>
      <c r="H431" s="11"/>
      <c r="I431" s="11"/>
      <c r="J431" s="11"/>
      <c r="K431" s="11"/>
      <c r="L431" s="6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</row>
    <row r="432" spans="1:51">
      <c r="A432" s="11"/>
      <c r="B432" s="149"/>
      <c r="C432" s="11"/>
      <c r="D432" s="11"/>
      <c r="E432" s="11"/>
      <c r="F432" s="184"/>
      <c r="G432" s="11"/>
      <c r="H432" s="11"/>
      <c r="I432" s="11"/>
      <c r="J432" s="11"/>
      <c r="K432" s="11"/>
      <c r="L432" s="6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</row>
    <row r="433" spans="1:51">
      <c r="A433" s="11"/>
      <c r="B433" s="149"/>
      <c r="C433" s="11"/>
      <c r="D433" s="11"/>
      <c r="E433" s="11"/>
      <c r="F433" s="184"/>
      <c r="G433" s="11"/>
      <c r="H433" s="11"/>
      <c r="I433" s="11"/>
      <c r="J433" s="11"/>
      <c r="K433" s="11"/>
      <c r="L433" s="6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</row>
    <row r="434" spans="1:51">
      <c r="A434" s="11"/>
      <c r="B434" s="149"/>
      <c r="C434" s="11"/>
      <c r="D434" s="11"/>
      <c r="E434" s="11"/>
      <c r="F434" s="184"/>
      <c r="G434" s="11"/>
      <c r="H434" s="11"/>
      <c r="I434" s="11"/>
      <c r="J434" s="11"/>
      <c r="K434" s="11"/>
      <c r="L434" s="6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</row>
    <row r="435" spans="1:51">
      <c r="A435" s="11"/>
      <c r="B435" s="149"/>
      <c r="C435" s="11"/>
      <c r="D435" s="11"/>
      <c r="E435" s="11"/>
      <c r="F435" s="184"/>
      <c r="G435" s="11"/>
      <c r="H435" s="11"/>
      <c r="I435" s="11"/>
      <c r="J435" s="11"/>
      <c r="K435" s="11"/>
      <c r="L435" s="6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</row>
    <row r="436" spans="1:51">
      <c r="A436" s="11"/>
      <c r="B436" s="149"/>
      <c r="C436" s="11"/>
      <c r="D436" s="11"/>
      <c r="E436" s="11"/>
      <c r="F436" s="184"/>
      <c r="G436" s="11"/>
      <c r="H436" s="11"/>
      <c r="I436" s="11"/>
      <c r="J436" s="11"/>
      <c r="K436" s="11"/>
      <c r="L436" s="6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</row>
    <row r="437" spans="1:51">
      <c r="A437" s="11"/>
      <c r="B437" s="149"/>
      <c r="C437" s="11"/>
      <c r="D437" s="11"/>
      <c r="E437" s="11"/>
      <c r="F437" s="184"/>
      <c r="G437" s="11"/>
      <c r="H437" s="11"/>
      <c r="I437" s="11"/>
      <c r="J437" s="11"/>
      <c r="K437" s="11"/>
      <c r="L437" s="6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</row>
    <row r="438" spans="1:51">
      <c r="A438" s="11"/>
      <c r="B438" s="149"/>
      <c r="C438" s="11"/>
      <c r="D438" s="11"/>
      <c r="E438" s="11"/>
      <c r="F438" s="184"/>
      <c r="G438" s="11"/>
      <c r="H438" s="11"/>
      <c r="I438" s="11"/>
      <c r="J438" s="11"/>
      <c r="K438" s="11"/>
      <c r="L438" s="6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</row>
    <row r="439" spans="1:51">
      <c r="A439" s="11"/>
      <c r="B439" s="149"/>
      <c r="C439" s="11"/>
      <c r="D439" s="11"/>
      <c r="E439" s="11"/>
      <c r="F439" s="184"/>
      <c r="G439" s="11"/>
      <c r="H439" s="11"/>
      <c r="I439" s="11"/>
      <c r="J439" s="11"/>
      <c r="K439" s="11"/>
      <c r="L439" s="6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</row>
    <row r="440" spans="1:51">
      <c r="A440" s="11"/>
      <c r="B440" s="149"/>
      <c r="C440" s="11"/>
      <c r="D440" s="11"/>
      <c r="E440" s="11"/>
      <c r="F440" s="184"/>
      <c r="G440" s="11"/>
      <c r="H440" s="11"/>
      <c r="I440" s="11"/>
      <c r="J440" s="11"/>
      <c r="K440" s="11"/>
      <c r="L440" s="6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</row>
    <row r="441" spans="1:51">
      <c r="A441" s="11"/>
      <c r="B441" s="149"/>
      <c r="C441" s="11"/>
      <c r="D441" s="11"/>
      <c r="E441" s="11"/>
      <c r="F441" s="184"/>
      <c r="G441" s="11"/>
      <c r="H441" s="11"/>
      <c r="I441" s="11"/>
      <c r="J441" s="11"/>
      <c r="K441" s="11"/>
      <c r="L441" s="6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</row>
    <row r="442" spans="1:51">
      <c r="A442" s="11"/>
      <c r="B442" s="149"/>
      <c r="C442" s="11"/>
      <c r="D442" s="11"/>
      <c r="E442" s="11"/>
      <c r="F442" s="184"/>
      <c r="G442" s="11"/>
      <c r="H442" s="11"/>
      <c r="I442" s="11"/>
      <c r="J442" s="11"/>
      <c r="K442" s="11"/>
      <c r="L442" s="6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</row>
    <row r="443" spans="1:51">
      <c r="A443" s="11"/>
      <c r="B443" s="149"/>
      <c r="C443" s="11"/>
      <c r="D443" s="11"/>
      <c r="E443" s="11"/>
      <c r="F443" s="184"/>
      <c r="G443" s="11"/>
      <c r="H443" s="11"/>
      <c r="I443" s="11"/>
      <c r="J443" s="11"/>
      <c r="K443" s="11"/>
      <c r="L443" s="6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</row>
    <row r="444" spans="1:51">
      <c r="A444" s="11"/>
      <c r="B444" s="149"/>
      <c r="C444" s="11"/>
      <c r="D444" s="11"/>
      <c r="E444" s="11"/>
      <c r="F444" s="184"/>
      <c r="G444" s="11"/>
      <c r="H444" s="11"/>
      <c r="I444" s="11"/>
      <c r="J444" s="11"/>
      <c r="K444" s="11"/>
      <c r="L444" s="6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</row>
    <row r="445" spans="1:51">
      <c r="A445" s="11"/>
      <c r="B445" s="149"/>
      <c r="C445" s="11"/>
      <c r="D445" s="11"/>
      <c r="E445" s="11"/>
      <c r="F445" s="184"/>
      <c r="G445" s="11"/>
      <c r="H445" s="11"/>
      <c r="I445" s="11"/>
      <c r="J445" s="11"/>
      <c r="K445" s="11"/>
      <c r="L445" s="6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</row>
    <row r="446" spans="1:51">
      <c r="A446" s="11"/>
      <c r="B446" s="149"/>
      <c r="C446" s="11"/>
      <c r="D446" s="11"/>
      <c r="E446" s="11"/>
      <c r="F446" s="184"/>
      <c r="G446" s="11"/>
      <c r="H446" s="11"/>
      <c r="I446" s="11"/>
      <c r="J446" s="11"/>
      <c r="K446" s="11"/>
      <c r="L446" s="6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</row>
    <row r="447" spans="1:51">
      <c r="A447" s="11"/>
      <c r="B447" s="149"/>
      <c r="C447" s="11"/>
      <c r="D447" s="11"/>
      <c r="E447" s="11"/>
      <c r="F447" s="184"/>
      <c r="G447" s="11"/>
      <c r="H447" s="11"/>
      <c r="I447" s="11"/>
      <c r="J447" s="11"/>
      <c r="K447" s="11"/>
      <c r="L447" s="6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</row>
    <row r="448" spans="1:51">
      <c r="A448" s="11"/>
      <c r="B448" s="149"/>
      <c r="C448" s="11"/>
      <c r="D448" s="11"/>
      <c r="E448" s="11"/>
      <c r="F448" s="184"/>
      <c r="G448" s="11"/>
      <c r="H448" s="11"/>
      <c r="I448" s="11"/>
      <c r="J448" s="11"/>
      <c r="K448" s="11"/>
      <c r="L448" s="6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</row>
    <row r="449" spans="1:51">
      <c r="A449" s="11"/>
      <c r="B449" s="149"/>
      <c r="C449" s="11"/>
      <c r="D449" s="11"/>
      <c r="E449" s="11"/>
      <c r="F449" s="184"/>
      <c r="G449" s="11"/>
      <c r="H449" s="11"/>
      <c r="I449" s="11"/>
      <c r="J449" s="11"/>
      <c r="K449" s="11"/>
      <c r="L449" s="6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</row>
    <row r="450" spans="1:51">
      <c r="A450" s="11"/>
      <c r="B450" s="149"/>
      <c r="C450" s="11"/>
      <c r="D450" s="11"/>
      <c r="E450" s="11"/>
      <c r="F450" s="184"/>
      <c r="G450" s="11"/>
      <c r="H450" s="11"/>
      <c r="I450" s="11"/>
      <c r="J450" s="11"/>
      <c r="K450" s="11"/>
      <c r="L450" s="6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</row>
    <row r="451" spans="1:51">
      <c r="A451" s="11"/>
      <c r="B451" s="149"/>
      <c r="C451" s="11"/>
      <c r="D451" s="11"/>
      <c r="E451" s="11"/>
      <c r="F451" s="184"/>
      <c r="G451" s="11"/>
      <c r="H451" s="11"/>
      <c r="I451" s="11"/>
      <c r="J451" s="11"/>
      <c r="K451" s="11"/>
      <c r="L451" s="6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</row>
    <row r="452" spans="1:51">
      <c r="A452" s="11"/>
      <c r="B452" s="149"/>
      <c r="C452" s="11"/>
      <c r="D452" s="11"/>
      <c r="E452" s="11"/>
      <c r="F452" s="184"/>
      <c r="G452" s="11"/>
      <c r="H452" s="11"/>
      <c r="I452" s="11"/>
      <c r="J452" s="11"/>
      <c r="K452" s="11"/>
      <c r="L452" s="6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</row>
    <row r="453" spans="1:51">
      <c r="A453" s="11"/>
      <c r="B453" s="149"/>
      <c r="C453" s="11"/>
      <c r="D453" s="11"/>
      <c r="E453" s="11"/>
      <c r="F453" s="184"/>
      <c r="G453" s="11"/>
      <c r="H453" s="11"/>
      <c r="I453" s="11"/>
      <c r="J453" s="11"/>
      <c r="K453" s="11"/>
      <c r="L453" s="6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</row>
    <row r="454" spans="1:51">
      <c r="A454" s="11"/>
      <c r="B454" s="149"/>
      <c r="C454" s="11"/>
      <c r="D454" s="11"/>
      <c r="E454" s="11"/>
      <c r="F454" s="184"/>
      <c r="G454" s="11"/>
      <c r="H454" s="11"/>
      <c r="I454" s="11"/>
      <c r="J454" s="11"/>
      <c r="K454" s="11"/>
      <c r="L454" s="6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</row>
    <row r="455" spans="1:51">
      <c r="A455" s="11"/>
      <c r="B455" s="149"/>
      <c r="C455" s="11"/>
      <c r="D455" s="11"/>
      <c r="E455" s="11"/>
      <c r="F455" s="184"/>
      <c r="G455" s="11"/>
      <c r="H455" s="11"/>
      <c r="I455" s="11"/>
      <c r="J455" s="11"/>
      <c r="K455" s="11"/>
      <c r="L455" s="6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</row>
    <row r="456" spans="1:51">
      <c r="A456" s="11"/>
      <c r="B456" s="149"/>
      <c r="C456" s="11"/>
      <c r="D456" s="11"/>
      <c r="E456" s="11"/>
      <c r="F456" s="184"/>
      <c r="G456" s="11"/>
      <c r="H456" s="11"/>
      <c r="I456" s="11"/>
      <c r="J456" s="11"/>
      <c r="K456" s="11"/>
      <c r="L456" s="6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</row>
    <row r="457" spans="1:51">
      <c r="A457" s="11"/>
      <c r="B457" s="149"/>
      <c r="C457" s="11"/>
      <c r="D457" s="11"/>
      <c r="E457" s="11"/>
      <c r="F457" s="184"/>
      <c r="G457" s="11"/>
      <c r="H457" s="11"/>
      <c r="I457" s="11"/>
      <c r="J457" s="11"/>
      <c r="K457" s="11"/>
      <c r="L457" s="6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</row>
    <row r="458" spans="1:51">
      <c r="A458" s="11"/>
      <c r="B458" s="149"/>
      <c r="C458" s="11"/>
      <c r="D458" s="11"/>
      <c r="E458" s="11"/>
      <c r="F458" s="184"/>
      <c r="G458" s="11"/>
      <c r="H458" s="11"/>
      <c r="I458" s="11"/>
      <c r="J458" s="11"/>
      <c r="K458" s="11"/>
      <c r="L458" s="6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</row>
    <row r="459" spans="1:51">
      <c r="A459" s="11"/>
      <c r="B459" s="149"/>
      <c r="C459" s="11"/>
      <c r="D459" s="11"/>
      <c r="E459" s="11"/>
      <c r="F459" s="184"/>
      <c r="G459" s="11"/>
      <c r="H459" s="11"/>
      <c r="I459" s="11"/>
      <c r="J459" s="11"/>
      <c r="K459" s="11"/>
      <c r="L459" s="6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</row>
    <row r="460" spans="1:51">
      <c r="A460" s="11"/>
      <c r="B460" s="149"/>
      <c r="C460" s="11"/>
      <c r="D460" s="11"/>
      <c r="E460" s="11"/>
      <c r="F460" s="184"/>
      <c r="G460" s="11"/>
      <c r="H460" s="11"/>
      <c r="I460" s="11"/>
      <c r="J460" s="11"/>
      <c r="K460" s="11"/>
      <c r="L460" s="6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</row>
    <row r="461" spans="1:51">
      <c r="A461" s="11"/>
      <c r="B461" s="149"/>
      <c r="C461" s="11"/>
      <c r="D461" s="11"/>
      <c r="E461" s="11"/>
      <c r="F461" s="184"/>
      <c r="G461" s="11"/>
      <c r="H461" s="11"/>
      <c r="I461" s="11"/>
      <c r="J461" s="11"/>
      <c r="K461" s="11"/>
      <c r="L461" s="6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</row>
    <row r="462" spans="1:51">
      <c r="A462" s="11"/>
      <c r="B462" s="149"/>
      <c r="C462" s="11"/>
      <c r="D462" s="11"/>
      <c r="E462" s="11"/>
      <c r="F462" s="184"/>
      <c r="G462" s="11"/>
      <c r="H462" s="11"/>
      <c r="I462" s="11"/>
      <c r="J462" s="11"/>
      <c r="K462" s="11"/>
      <c r="L462" s="6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</row>
    <row r="463" spans="1:51">
      <c r="A463" s="11"/>
      <c r="B463" s="149"/>
      <c r="C463" s="11"/>
      <c r="D463" s="11"/>
      <c r="E463" s="11"/>
      <c r="F463" s="184"/>
      <c r="G463" s="11"/>
      <c r="H463" s="11"/>
      <c r="I463" s="11"/>
      <c r="J463" s="11"/>
      <c r="K463" s="11"/>
      <c r="L463" s="6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</row>
    <row r="464" spans="1:51">
      <c r="A464" s="11"/>
      <c r="B464" s="149"/>
      <c r="C464" s="11"/>
      <c r="D464" s="11"/>
      <c r="E464" s="11"/>
      <c r="F464" s="184"/>
      <c r="G464" s="11"/>
      <c r="H464" s="11"/>
      <c r="I464" s="11"/>
      <c r="J464" s="11"/>
      <c r="K464" s="11"/>
      <c r="L464" s="6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</row>
    <row r="465" spans="1:51">
      <c r="A465" s="11"/>
      <c r="B465" s="149"/>
      <c r="C465" s="11"/>
      <c r="D465" s="11"/>
      <c r="E465" s="11"/>
      <c r="F465" s="184"/>
      <c r="G465" s="11"/>
      <c r="H465" s="11"/>
      <c r="I465" s="11"/>
      <c r="J465" s="11"/>
      <c r="K465" s="11"/>
      <c r="L465" s="6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</row>
    <row r="466" spans="1:51">
      <c r="A466" s="11"/>
      <c r="B466" s="149"/>
      <c r="C466" s="11"/>
      <c r="D466" s="11"/>
      <c r="E466" s="11"/>
      <c r="F466" s="184"/>
      <c r="G466" s="11"/>
      <c r="H466" s="11"/>
      <c r="I466" s="11"/>
      <c r="J466" s="11"/>
      <c r="K466" s="11"/>
      <c r="L466" s="6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</row>
    <row r="467" spans="1:51">
      <c r="A467" s="11"/>
      <c r="B467" s="149"/>
      <c r="C467" s="11"/>
      <c r="D467" s="11"/>
      <c r="E467" s="11"/>
      <c r="F467" s="184"/>
      <c r="G467" s="11"/>
      <c r="H467" s="11"/>
      <c r="I467" s="11"/>
      <c r="J467" s="11"/>
      <c r="K467" s="11"/>
      <c r="L467" s="6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</row>
    <row r="468" spans="1:51">
      <c r="A468" s="11"/>
      <c r="B468" s="149"/>
      <c r="C468" s="11"/>
      <c r="D468" s="11"/>
      <c r="E468" s="11"/>
      <c r="F468" s="184"/>
      <c r="G468" s="11"/>
      <c r="H468" s="11"/>
      <c r="I468" s="11"/>
      <c r="J468" s="11"/>
      <c r="K468" s="11"/>
      <c r="L468" s="6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</row>
    <row r="469" spans="1:51">
      <c r="A469" s="11"/>
      <c r="B469" s="149"/>
      <c r="C469" s="11"/>
      <c r="D469" s="11"/>
      <c r="E469" s="11"/>
      <c r="F469" s="184"/>
      <c r="G469" s="11"/>
      <c r="H469" s="11"/>
      <c r="I469" s="11"/>
      <c r="J469" s="11"/>
      <c r="K469" s="11"/>
      <c r="L469" s="6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</row>
    <row r="470" spans="1:51">
      <c r="A470" s="11"/>
      <c r="B470" s="149"/>
      <c r="C470" s="11"/>
      <c r="D470" s="11"/>
      <c r="E470" s="11"/>
      <c r="F470" s="184"/>
      <c r="G470" s="11"/>
      <c r="H470" s="11"/>
      <c r="I470" s="11"/>
      <c r="J470" s="11"/>
      <c r="K470" s="11"/>
      <c r="L470" s="6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</row>
    <row r="471" spans="1:51">
      <c r="A471" s="11"/>
      <c r="B471" s="149"/>
      <c r="C471" s="11"/>
      <c r="D471" s="11"/>
      <c r="E471" s="11"/>
      <c r="F471" s="184"/>
      <c r="G471" s="11"/>
      <c r="H471" s="11"/>
      <c r="I471" s="11"/>
      <c r="J471" s="11"/>
      <c r="K471" s="11"/>
      <c r="L471" s="6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</row>
    <row r="472" spans="1:51">
      <c r="A472" s="11"/>
      <c r="B472" s="149"/>
      <c r="C472" s="11"/>
      <c r="D472" s="11"/>
      <c r="E472" s="11"/>
      <c r="F472" s="184"/>
      <c r="G472" s="11"/>
      <c r="H472" s="11"/>
      <c r="I472" s="11"/>
      <c r="J472" s="11"/>
      <c r="K472" s="11"/>
      <c r="L472" s="6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</row>
    <row r="473" spans="1:51">
      <c r="A473" s="11"/>
      <c r="B473" s="149"/>
      <c r="C473" s="11"/>
      <c r="D473" s="11"/>
      <c r="E473" s="11"/>
      <c r="F473" s="184"/>
      <c r="G473" s="11"/>
      <c r="H473" s="11"/>
      <c r="I473" s="11"/>
      <c r="J473" s="11"/>
      <c r="K473" s="11"/>
      <c r="L473" s="6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</row>
    <row r="474" spans="1:51">
      <c r="A474" s="11"/>
      <c r="B474" s="149"/>
      <c r="C474" s="11"/>
      <c r="D474" s="11"/>
      <c r="E474" s="11"/>
      <c r="F474" s="184"/>
      <c r="G474" s="11"/>
      <c r="H474" s="11"/>
      <c r="I474" s="11"/>
      <c r="J474" s="11"/>
      <c r="K474" s="11"/>
      <c r="L474" s="6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</row>
    <row r="475" spans="1:51">
      <c r="A475" s="11"/>
      <c r="B475" s="149"/>
      <c r="C475" s="11"/>
      <c r="D475" s="11"/>
      <c r="E475" s="11"/>
      <c r="F475" s="184"/>
      <c r="G475" s="11"/>
      <c r="H475" s="11"/>
      <c r="I475" s="11"/>
      <c r="J475" s="11"/>
      <c r="K475" s="11"/>
      <c r="L475" s="6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</row>
    <row r="476" spans="1:51">
      <c r="A476" s="11"/>
      <c r="B476" s="149"/>
      <c r="C476" s="11"/>
      <c r="D476" s="11"/>
      <c r="E476" s="11"/>
      <c r="F476" s="184"/>
      <c r="G476" s="11"/>
      <c r="H476" s="11"/>
      <c r="I476" s="11"/>
      <c r="J476" s="11"/>
      <c r="K476" s="11"/>
      <c r="L476" s="6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</row>
    <row r="477" spans="1:51">
      <c r="A477" s="11"/>
      <c r="B477" s="149"/>
      <c r="C477" s="11"/>
      <c r="D477" s="11"/>
      <c r="E477" s="11"/>
      <c r="F477" s="184"/>
      <c r="G477" s="11"/>
      <c r="H477" s="11"/>
      <c r="I477" s="11"/>
      <c r="J477" s="11"/>
      <c r="K477" s="11"/>
      <c r="L477" s="6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</row>
    <row r="478" spans="1:51">
      <c r="A478" s="11"/>
      <c r="B478" s="149"/>
      <c r="C478" s="11"/>
      <c r="D478" s="11"/>
      <c r="E478" s="11"/>
      <c r="F478" s="184"/>
      <c r="G478" s="11"/>
      <c r="H478" s="11"/>
      <c r="I478" s="11"/>
      <c r="J478" s="11"/>
      <c r="K478" s="11"/>
      <c r="L478" s="6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</row>
    <row r="479" spans="1:51">
      <c r="A479" s="11"/>
      <c r="B479" s="149"/>
      <c r="C479" s="11"/>
      <c r="D479" s="11"/>
      <c r="E479" s="11"/>
      <c r="F479" s="184"/>
      <c r="G479" s="11"/>
      <c r="H479" s="11"/>
      <c r="I479" s="11"/>
      <c r="J479" s="11"/>
      <c r="K479" s="11"/>
      <c r="L479" s="6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</row>
    <row r="480" spans="1:51">
      <c r="A480" s="11"/>
      <c r="B480" s="149"/>
      <c r="C480" s="11"/>
      <c r="D480" s="11"/>
      <c r="E480" s="11"/>
      <c r="F480" s="184"/>
      <c r="G480" s="11"/>
      <c r="H480" s="11"/>
      <c r="I480" s="11"/>
      <c r="J480" s="11"/>
      <c r="K480" s="11"/>
      <c r="L480" s="6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</row>
    <row r="481" spans="1:51">
      <c r="A481" s="11"/>
      <c r="B481" s="149"/>
      <c r="C481" s="11"/>
      <c r="D481" s="11"/>
      <c r="E481" s="11"/>
      <c r="F481" s="184"/>
      <c r="G481" s="11"/>
      <c r="H481" s="11"/>
      <c r="I481" s="11"/>
      <c r="J481" s="11"/>
      <c r="K481" s="11"/>
      <c r="L481" s="6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</row>
    <row r="482" spans="1:51">
      <c r="A482" s="11"/>
      <c r="B482" s="149"/>
      <c r="C482" s="11"/>
      <c r="D482" s="11"/>
      <c r="E482" s="11"/>
      <c r="F482" s="184"/>
      <c r="G482" s="11"/>
      <c r="H482" s="11"/>
      <c r="I482" s="11"/>
      <c r="J482" s="11"/>
      <c r="K482" s="11"/>
      <c r="L482" s="6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</row>
    <row r="483" spans="1:51">
      <c r="A483" s="11"/>
      <c r="B483" s="149"/>
      <c r="C483" s="11"/>
      <c r="D483" s="11"/>
      <c r="E483" s="11"/>
      <c r="F483" s="184"/>
      <c r="G483" s="11"/>
      <c r="H483" s="11"/>
      <c r="I483" s="11"/>
      <c r="J483" s="11"/>
      <c r="K483" s="11"/>
      <c r="L483" s="6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</row>
    <row r="484" spans="1:51">
      <c r="A484" s="11"/>
      <c r="B484" s="149"/>
      <c r="C484" s="11"/>
      <c r="D484" s="11"/>
      <c r="E484" s="11"/>
      <c r="F484" s="184"/>
      <c r="G484" s="11"/>
      <c r="H484" s="11"/>
      <c r="I484" s="11"/>
      <c r="J484" s="11"/>
      <c r="K484" s="11"/>
      <c r="L484" s="6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</row>
    <row r="485" spans="1:51">
      <c r="A485" s="11"/>
      <c r="B485" s="149"/>
      <c r="C485" s="11"/>
      <c r="D485" s="11"/>
      <c r="E485" s="11"/>
      <c r="F485" s="184"/>
      <c r="G485" s="11"/>
      <c r="H485" s="11"/>
      <c r="I485" s="11"/>
      <c r="J485" s="11"/>
      <c r="K485" s="11"/>
      <c r="L485" s="6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</row>
    <row r="486" spans="1:51">
      <c r="A486" s="11"/>
      <c r="B486" s="149"/>
      <c r="C486" s="11"/>
      <c r="D486" s="11"/>
      <c r="E486" s="11"/>
      <c r="F486" s="184"/>
      <c r="G486" s="11"/>
      <c r="H486" s="11"/>
      <c r="I486" s="11"/>
      <c r="J486" s="11"/>
      <c r="K486" s="11"/>
      <c r="L486" s="6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</row>
    <row r="487" spans="1:51">
      <c r="A487" s="11"/>
      <c r="B487" s="149"/>
      <c r="C487" s="11"/>
      <c r="D487" s="11"/>
      <c r="E487" s="11"/>
      <c r="F487" s="184"/>
      <c r="G487" s="11"/>
      <c r="H487" s="11"/>
      <c r="I487" s="11"/>
      <c r="J487" s="11"/>
      <c r="K487" s="11"/>
      <c r="L487" s="6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</row>
    <row r="488" spans="1:51">
      <c r="A488" s="11"/>
      <c r="B488" s="149"/>
      <c r="C488" s="11"/>
      <c r="D488" s="11"/>
      <c r="E488" s="11"/>
      <c r="F488" s="184"/>
      <c r="G488" s="11"/>
      <c r="H488" s="11"/>
      <c r="I488" s="11"/>
      <c r="J488" s="11"/>
      <c r="K488" s="11"/>
      <c r="L488" s="6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</row>
    <row r="489" spans="1:51">
      <c r="A489" s="11"/>
      <c r="B489" s="149"/>
      <c r="C489" s="11"/>
      <c r="D489" s="11"/>
      <c r="E489" s="11"/>
      <c r="F489" s="184"/>
      <c r="G489" s="11"/>
      <c r="H489" s="11"/>
      <c r="I489" s="11"/>
      <c r="J489" s="11"/>
      <c r="K489" s="11"/>
      <c r="L489" s="6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</row>
    <row r="490" spans="1:51">
      <c r="A490" s="11"/>
      <c r="B490" s="149"/>
      <c r="C490" s="11"/>
      <c r="D490" s="11"/>
      <c r="E490" s="11"/>
      <c r="F490" s="184"/>
      <c r="G490" s="11"/>
      <c r="H490" s="11"/>
      <c r="I490" s="11"/>
      <c r="J490" s="11"/>
      <c r="K490" s="11"/>
      <c r="L490" s="6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</row>
    <row r="491" spans="1:51">
      <c r="A491" s="11"/>
      <c r="B491" s="149"/>
      <c r="C491" s="11"/>
      <c r="D491" s="11"/>
      <c r="E491" s="11"/>
      <c r="F491" s="184"/>
      <c r="G491" s="11"/>
      <c r="H491" s="11"/>
      <c r="I491" s="11"/>
      <c r="J491" s="11"/>
      <c r="K491" s="11"/>
      <c r="L491" s="6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</row>
    <row r="492" spans="1:51">
      <c r="A492" s="11"/>
      <c r="B492" s="149"/>
      <c r="C492" s="11"/>
      <c r="D492" s="11"/>
      <c r="E492" s="11"/>
      <c r="F492" s="184"/>
      <c r="G492" s="11"/>
      <c r="H492" s="11"/>
      <c r="I492" s="11"/>
      <c r="J492" s="11"/>
      <c r="K492" s="11"/>
      <c r="L492" s="6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</row>
    <row r="493" spans="1:51">
      <c r="A493" s="11"/>
      <c r="B493" s="149"/>
      <c r="C493" s="11"/>
      <c r="D493" s="11"/>
      <c r="E493" s="11"/>
      <c r="F493" s="184"/>
      <c r="G493" s="11"/>
      <c r="H493" s="11"/>
      <c r="I493" s="11"/>
      <c r="J493" s="11"/>
      <c r="K493" s="11"/>
      <c r="L493" s="6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</row>
    <row r="494" spans="1:51">
      <c r="A494" s="11"/>
      <c r="B494" s="149"/>
      <c r="C494" s="11"/>
      <c r="D494" s="11"/>
      <c r="E494" s="11"/>
      <c r="F494" s="184"/>
      <c r="G494" s="11"/>
      <c r="H494" s="11"/>
      <c r="I494" s="11"/>
      <c r="J494" s="11"/>
      <c r="K494" s="11"/>
      <c r="L494" s="6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</row>
    <row r="495" spans="1:51">
      <c r="A495" s="11"/>
      <c r="B495" s="149"/>
      <c r="C495" s="11"/>
      <c r="D495" s="11"/>
      <c r="E495" s="11"/>
      <c r="F495" s="184"/>
      <c r="G495" s="11"/>
      <c r="H495" s="11"/>
      <c r="I495" s="11"/>
      <c r="J495" s="11"/>
      <c r="K495" s="11"/>
      <c r="L495" s="6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</row>
    <row r="496" spans="1:51">
      <c r="A496" s="11"/>
      <c r="B496" s="149"/>
      <c r="C496" s="11"/>
      <c r="D496" s="11"/>
      <c r="E496" s="11"/>
      <c r="F496" s="184"/>
      <c r="G496" s="11"/>
      <c r="H496" s="11"/>
      <c r="I496" s="11"/>
      <c r="J496" s="11"/>
      <c r="K496" s="11"/>
      <c r="L496" s="6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</row>
    <row r="497" spans="1:51">
      <c r="A497" s="11"/>
      <c r="B497" s="149"/>
      <c r="C497" s="11"/>
      <c r="D497" s="11"/>
      <c r="E497" s="11"/>
      <c r="F497" s="184"/>
      <c r="G497" s="11"/>
      <c r="H497" s="11"/>
      <c r="I497" s="11"/>
      <c r="J497" s="11"/>
      <c r="K497" s="11"/>
      <c r="L497" s="6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</row>
    <row r="498" spans="1:51">
      <c r="A498" s="11"/>
      <c r="B498" s="149"/>
      <c r="C498" s="11"/>
      <c r="D498" s="11"/>
      <c r="E498" s="11"/>
      <c r="F498" s="184"/>
      <c r="G498" s="11"/>
      <c r="H498" s="11"/>
      <c r="I498" s="11"/>
      <c r="J498" s="11"/>
      <c r="K498" s="11"/>
      <c r="L498" s="6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</row>
    <row r="499" spans="1:51">
      <c r="A499" s="11"/>
      <c r="B499" s="149"/>
      <c r="C499" s="11"/>
      <c r="D499" s="11"/>
      <c r="E499" s="11"/>
      <c r="F499" s="184"/>
      <c r="G499" s="11"/>
      <c r="H499" s="11"/>
      <c r="I499" s="11"/>
      <c r="J499" s="11"/>
      <c r="K499" s="11"/>
      <c r="L499" s="6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</row>
    <row r="500" spans="1:51">
      <c r="A500" s="11"/>
      <c r="B500" s="149"/>
      <c r="C500" s="11"/>
      <c r="D500" s="11"/>
      <c r="E500" s="11"/>
      <c r="F500" s="184"/>
      <c r="G500" s="11"/>
      <c r="H500" s="11"/>
      <c r="I500" s="11"/>
      <c r="J500" s="11"/>
      <c r="K500" s="11"/>
      <c r="L500" s="6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</row>
    <row r="501" spans="1:51">
      <c r="A501" s="11"/>
      <c r="B501" s="149"/>
      <c r="C501" s="11"/>
      <c r="D501" s="11"/>
      <c r="E501" s="11"/>
      <c r="F501" s="184"/>
      <c r="G501" s="11"/>
      <c r="H501" s="11"/>
      <c r="I501" s="11"/>
      <c r="J501" s="11"/>
      <c r="K501" s="11"/>
      <c r="L501" s="6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</row>
    <row r="502" spans="1:51">
      <c r="A502" s="11"/>
      <c r="B502" s="149"/>
      <c r="C502" s="11"/>
      <c r="D502" s="11"/>
      <c r="E502" s="11"/>
      <c r="F502" s="184"/>
      <c r="G502" s="11"/>
      <c r="H502" s="11"/>
      <c r="I502" s="11"/>
      <c r="J502" s="11"/>
      <c r="K502" s="11"/>
      <c r="L502" s="6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</row>
    <row r="503" spans="1:51">
      <c r="A503" s="11"/>
      <c r="B503" s="149"/>
      <c r="C503" s="11"/>
      <c r="D503" s="11"/>
      <c r="E503" s="11"/>
      <c r="F503" s="184"/>
      <c r="G503" s="11"/>
      <c r="H503" s="11"/>
      <c r="I503" s="11"/>
      <c r="J503" s="11"/>
      <c r="K503" s="11"/>
      <c r="L503" s="6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</row>
    <row r="504" spans="1:51">
      <c r="A504" s="11"/>
      <c r="B504" s="149"/>
      <c r="C504" s="11"/>
      <c r="D504" s="11"/>
      <c r="E504" s="11"/>
      <c r="F504" s="184"/>
      <c r="G504" s="11"/>
      <c r="H504" s="11"/>
      <c r="I504" s="11"/>
      <c r="J504" s="11"/>
      <c r="K504" s="11"/>
      <c r="L504" s="6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</row>
    <row r="505" spans="1:51">
      <c r="A505" s="11"/>
      <c r="B505" s="149"/>
      <c r="C505" s="11"/>
      <c r="D505" s="11"/>
      <c r="E505" s="11"/>
      <c r="F505" s="184"/>
      <c r="G505" s="11"/>
      <c r="H505" s="11"/>
      <c r="I505" s="11"/>
      <c r="J505" s="11"/>
      <c r="K505" s="11"/>
      <c r="L505" s="6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</row>
    <row r="506" spans="1:51">
      <c r="A506" s="11"/>
      <c r="B506" s="149"/>
      <c r="C506" s="11"/>
      <c r="D506" s="11"/>
      <c r="E506" s="11"/>
      <c r="F506" s="184"/>
      <c r="G506" s="11"/>
      <c r="H506" s="11"/>
      <c r="I506" s="11"/>
      <c r="J506" s="11"/>
      <c r="K506" s="11"/>
      <c r="L506" s="6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</row>
    <row r="507" spans="1:51">
      <c r="A507" s="11"/>
      <c r="B507" s="149"/>
      <c r="C507" s="11"/>
      <c r="D507" s="11"/>
      <c r="E507" s="11"/>
      <c r="F507" s="184"/>
      <c r="G507" s="11"/>
      <c r="H507" s="11"/>
      <c r="I507" s="11"/>
      <c r="J507" s="11"/>
      <c r="K507" s="11"/>
      <c r="L507" s="6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</row>
    <row r="508" spans="1:51">
      <c r="A508" s="11"/>
      <c r="B508" s="149"/>
      <c r="C508" s="11"/>
      <c r="D508" s="11"/>
      <c r="E508" s="11"/>
      <c r="F508" s="184"/>
      <c r="G508" s="11"/>
      <c r="H508" s="11"/>
      <c r="I508" s="11"/>
      <c r="J508" s="11"/>
      <c r="K508" s="11"/>
      <c r="L508" s="6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</row>
    <row r="509" spans="1:51">
      <c r="A509" s="11"/>
      <c r="B509" s="149"/>
      <c r="C509" s="11"/>
      <c r="D509" s="11"/>
      <c r="E509" s="11"/>
      <c r="F509" s="184"/>
      <c r="G509" s="11"/>
      <c r="H509" s="11"/>
      <c r="I509" s="11"/>
      <c r="J509" s="11"/>
      <c r="K509" s="11"/>
      <c r="L509" s="6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</row>
    <row r="510" spans="1:51">
      <c r="A510" s="11"/>
      <c r="B510" s="149"/>
      <c r="C510" s="11"/>
      <c r="D510" s="11"/>
      <c r="E510" s="11"/>
      <c r="F510" s="184"/>
      <c r="G510" s="11"/>
      <c r="H510" s="11"/>
      <c r="I510" s="11"/>
      <c r="J510" s="11"/>
      <c r="K510" s="11"/>
      <c r="L510" s="6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</row>
    <row r="511" spans="1:51">
      <c r="A511" s="11"/>
      <c r="B511" s="149"/>
      <c r="C511" s="11"/>
      <c r="D511" s="11"/>
      <c r="E511" s="11"/>
      <c r="F511" s="184"/>
      <c r="G511" s="11"/>
      <c r="H511" s="11"/>
      <c r="I511" s="11"/>
      <c r="J511" s="11"/>
      <c r="K511" s="11"/>
      <c r="L511" s="6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</row>
    <row r="512" spans="1:51">
      <c r="A512" s="11"/>
      <c r="B512" s="149"/>
      <c r="C512" s="11"/>
      <c r="D512" s="11"/>
      <c r="E512" s="11"/>
      <c r="F512" s="184"/>
      <c r="G512" s="11"/>
      <c r="H512" s="11"/>
      <c r="I512" s="11"/>
      <c r="J512" s="11"/>
      <c r="K512" s="11"/>
      <c r="L512" s="6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</row>
    <row r="513" spans="1:51">
      <c r="A513" s="11"/>
      <c r="B513" s="149"/>
      <c r="C513" s="11"/>
      <c r="D513" s="11"/>
      <c r="E513" s="11"/>
      <c r="F513" s="184"/>
      <c r="G513" s="11"/>
      <c r="H513" s="11"/>
      <c r="I513" s="11"/>
      <c r="J513" s="11"/>
      <c r="K513" s="11"/>
      <c r="L513" s="6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</row>
    <row r="514" spans="1:51">
      <c r="A514" s="11"/>
      <c r="B514" s="149"/>
      <c r="C514" s="11"/>
      <c r="D514" s="11"/>
      <c r="E514" s="11"/>
      <c r="F514" s="184"/>
      <c r="G514" s="11"/>
      <c r="H514" s="11"/>
      <c r="I514" s="11"/>
      <c r="J514" s="11"/>
      <c r="K514" s="11"/>
      <c r="L514" s="6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</row>
    <row r="515" spans="1:51">
      <c r="A515" s="11"/>
      <c r="B515" s="149"/>
      <c r="C515" s="11"/>
      <c r="D515" s="11"/>
      <c r="E515" s="11"/>
      <c r="F515" s="184"/>
      <c r="G515" s="11"/>
      <c r="H515" s="11"/>
      <c r="I515" s="11"/>
      <c r="J515" s="11"/>
      <c r="K515" s="11"/>
      <c r="L515" s="6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</row>
    <row r="516" spans="1:51">
      <c r="A516" s="11"/>
      <c r="B516" s="149"/>
      <c r="C516" s="11"/>
      <c r="D516" s="11"/>
      <c r="E516" s="11"/>
      <c r="F516" s="184"/>
      <c r="G516" s="11"/>
      <c r="H516" s="11"/>
      <c r="I516" s="11"/>
      <c r="J516" s="11"/>
      <c r="K516" s="11"/>
      <c r="L516" s="6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</row>
    <row r="517" spans="1:51">
      <c r="A517" s="11"/>
      <c r="B517" s="149"/>
      <c r="C517" s="11"/>
      <c r="D517" s="11"/>
      <c r="E517" s="11"/>
      <c r="F517" s="184"/>
      <c r="G517" s="11"/>
      <c r="H517" s="11"/>
      <c r="I517" s="11"/>
      <c r="J517" s="11"/>
      <c r="K517" s="11"/>
      <c r="L517" s="6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</row>
    <row r="518" spans="1:51">
      <c r="A518" s="11"/>
      <c r="B518" s="149"/>
      <c r="C518" s="11"/>
      <c r="D518" s="11"/>
      <c r="E518" s="11"/>
      <c r="F518" s="184"/>
      <c r="G518" s="11"/>
      <c r="H518" s="11"/>
      <c r="I518" s="11"/>
      <c r="J518" s="11"/>
      <c r="K518" s="11"/>
      <c r="L518" s="6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</row>
    <row r="519" spans="1:51">
      <c r="A519" s="11"/>
      <c r="B519" s="149"/>
      <c r="C519" s="11"/>
      <c r="D519" s="11"/>
      <c r="E519" s="11"/>
      <c r="F519" s="184"/>
      <c r="G519" s="11"/>
      <c r="H519" s="11"/>
      <c r="I519" s="11"/>
      <c r="J519" s="11"/>
      <c r="K519" s="11"/>
      <c r="L519" s="6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</row>
    <row r="520" spans="1:51">
      <c r="A520" s="11"/>
      <c r="B520" s="149"/>
      <c r="C520" s="11"/>
      <c r="D520" s="11"/>
      <c r="E520" s="11"/>
      <c r="F520" s="184"/>
      <c r="G520" s="11"/>
      <c r="H520" s="11"/>
      <c r="I520" s="11"/>
      <c r="J520" s="11"/>
      <c r="K520" s="11"/>
      <c r="L520" s="6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</row>
    <row r="521" spans="1:51">
      <c r="A521" s="11"/>
      <c r="B521" s="149"/>
      <c r="C521" s="11"/>
      <c r="D521" s="11"/>
      <c r="E521" s="11"/>
      <c r="F521" s="184"/>
      <c r="G521" s="11"/>
      <c r="H521" s="11"/>
      <c r="I521" s="11"/>
      <c r="J521" s="11"/>
      <c r="K521" s="11"/>
      <c r="L521" s="6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</row>
    <row r="522" spans="1:51">
      <c r="A522" s="11"/>
      <c r="B522" s="149"/>
      <c r="C522" s="11"/>
      <c r="D522" s="11"/>
      <c r="E522" s="11"/>
      <c r="F522" s="184"/>
      <c r="G522" s="11"/>
      <c r="H522" s="11"/>
      <c r="I522" s="11"/>
      <c r="J522" s="11"/>
      <c r="K522" s="11"/>
      <c r="L522" s="6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</row>
    <row r="523" spans="1:51">
      <c r="A523" s="11"/>
      <c r="B523" s="149"/>
      <c r="C523" s="11"/>
      <c r="D523" s="11"/>
      <c r="E523" s="11"/>
      <c r="F523" s="184"/>
      <c r="G523" s="11"/>
      <c r="H523" s="11"/>
      <c r="I523" s="11"/>
      <c r="J523" s="11"/>
      <c r="K523" s="11"/>
      <c r="L523" s="6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</row>
    <row r="524" spans="1:51">
      <c r="A524" s="11"/>
      <c r="B524" s="149"/>
      <c r="C524" s="11"/>
      <c r="D524" s="11"/>
      <c r="E524" s="11"/>
      <c r="F524" s="184"/>
      <c r="G524" s="11"/>
      <c r="H524" s="11"/>
      <c r="I524" s="11"/>
      <c r="J524" s="11"/>
      <c r="K524" s="11"/>
      <c r="L524" s="6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</row>
    <row r="525" spans="1:51">
      <c r="A525" s="11"/>
      <c r="B525" s="149"/>
      <c r="C525" s="11"/>
      <c r="D525" s="11"/>
      <c r="E525" s="11"/>
      <c r="F525" s="184"/>
      <c r="G525" s="11"/>
      <c r="H525" s="11"/>
      <c r="I525" s="11"/>
      <c r="J525" s="11"/>
      <c r="K525" s="11"/>
      <c r="L525" s="6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</row>
    <row r="526" spans="1:51">
      <c r="A526" s="11"/>
      <c r="B526" s="149"/>
      <c r="C526" s="11"/>
      <c r="D526" s="11"/>
      <c r="E526" s="11"/>
      <c r="F526" s="184"/>
      <c r="G526" s="11"/>
      <c r="H526" s="11"/>
      <c r="I526" s="11"/>
      <c r="J526" s="11"/>
      <c r="K526" s="11"/>
      <c r="L526" s="6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</row>
    <row r="527" spans="1:51">
      <c r="A527" s="11"/>
      <c r="B527" s="149"/>
      <c r="C527" s="11"/>
      <c r="D527" s="11"/>
      <c r="E527" s="11"/>
      <c r="F527" s="184"/>
      <c r="G527" s="11"/>
      <c r="H527" s="11"/>
      <c r="I527" s="11"/>
      <c r="J527" s="11"/>
      <c r="K527" s="11"/>
      <c r="L527" s="6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</row>
    <row r="528" spans="1:51">
      <c r="A528" s="11"/>
      <c r="B528" s="149"/>
      <c r="C528" s="11"/>
      <c r="D528" s="11"/>
      <c r="E528" s="11"/>
      <c r="F528" s="184"/>
      <c r="G528" s="11"/>
      <c r="H528" s="11"/>
      <c r="I528" s="11"/>
      <c r="J528" s="11"/>
      <c r="K528" s="11"/>
      <c r="L528" s="6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</row>
    <row r="529" spans="1:51">
      <c r="A529" s="11"/>
      <c r="B529" s="149"/>
      <c r="C529" s="11"/>
      <c r="D529" s="11"/>
      <c r="E529" s="11"/>
      <c r="F529" s="184"/>
      <c r="G529" s="11"/>
      <c r="H529" s="11"/>
      <c r="I529" s="11"/>
      <c r="J529" s="11"/>
      <c r="K529" s="11"/>
      <c r="L529" s="6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</row>
    <row r="530" spans="1:51">
      <c r="A530" s="11"/>
      <c r="B530" s="149"/>
      <c r="C530" s="11"/>
      <c r="D530" s="11"/>
      <c r="E530" s="11"/>
      <c r="F530" s="184"/>
      <c r="G530" s="11"/>
      <c r="H530" s="11"/>
      <c r="I530" s="11"/>
      <c r="J530" s="11"/>
      <c r="K530" s="11"/>
      <c r="L530" s="6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</row>
    <row r="531" spans="1:51">
      <c r="A531" s="11"/>
      <c r="B531" s="149"/>
      <c r="C531" s="11"/>
      <c r="D531" s="11"/>
      <c r="E531" s="11"/>
      <c r="F531" s="184"/>
      <c r="G531" s="11"/>
      <c r="H531" s="11"/>
      <c r="I531" s="11"/>
      <c r="J531" s="11"/>
      <c r="K531" s="11"/>
      <c r="L531" s="6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</row>
    <row r="532" spans="1:51">
      <c r="A532" s="11"/>
      <c r="B532" s="149"/>
      <c r="C532" s="11"/>
      <c r="D532" s="11"/>
      <c r="E532" s="11"/>
      <c r="F532" s="184"/>
      <c r="G532" s="11"/>
      <c r="H532" s="11"/>
      <c r="I532" s="11"/>
      <c r="J532" s="11"/>
      <c r="K532" s="11"/>
      <c r="L532" s="6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</row>
    <row r="533" spans="1:51">
      <c r="A533" s="11"/>
      <c r="B533" s="149"/>
      <c r="C533" s="11"/>
      <c r="D533" s="11"/>
      <c r="E533" s="11"/>
      <c r="F533" s="184"/>
      <c r="G533" s="11"/>
      <c r="H533" s="11"/>
      <c r="I533" s="11"/>
      <c r="J533" s="11"/>
      <c r="K533" s="11"/>
      <c r="L533" s="6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</row>
    <row r="534" spans="1:51">
      <c r="A534" s="11"/>
      <c r="B534" s="149"/>
      <c r="C534" s="11"/>
      <c r="D534" s="11"/>
      <c r="E534" s="11"/>
      <c r="F534" s="184"/>
      <c r="G534" s="11"/>
      <c r="H534" s="11"/>
      <c r="I534" s="11"/>
      <c r="J534" s="11"/>
      <c r="K534" s="11"/>
      <c r="L534" s="6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</row>
    <row r="535" spans="1:51">
      <c r="A535" s="11"/>
      <c r="B535" s="149"/>
      <c r="C535" s="11"/>
      <c r="D535" s="11"/>
      <c r="E535" s="11"/>
      <c r="F535" s="184"/>
      <c r="G535" s="11"/>
      <c r="H535" s="11"/>
      <c r="I535" s="11"/>
      <c r="J535" s="11"/>
      <c r="K535" s="11"/>
      <c r="L535" s="6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</row>
    <row r="536" spans="1:51">
      <c r="A536" s="11"/>
      <c r="B536" s="149"/>
      <c r="C536" s="11"/>
      <c r="D536" s="11"/>
      <c r="E536" s="11"/>
      <c r="F536" s="184"/>
      <c r="G536" s="11"/>
      <c r="H536" s="11"/>
      <c r="I536" s="11"/>
      <c r="J536" s="11"/>
      <c r="K536" s="11"/>
      <c r="L536" s="6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</row>
    <row r="537" spans="1:51">
      <c r="A537" s="11"/>
      <c r="B537" s="149"/>
      <c r="C537" s="11"/>
      <c r="D537" s="11"/>
      <c r="E537" s="11"/>
      <c r="F537" s="184"/>
      <c r="G537" s="11"/>
      <c r="H537" s="11"/>
      <c r="I537" s="11"/>
      <c r="J537" s="11"/>
      <c r="K537" s="11"/>
      <c r="L537" s="6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</row>
    <row r="538" spans="1:51">
      <c r="A538" s="11"/>
      <c r="B538" s="149"/>
      <c r="C538" s="11"/>
      <c r="D538" s="11"/>
      <c r="E538" s="11"/>
      <c r="F538" s="184"/>
      <c r="G538" s="11"/>
      <c r="H538" s="11"/>
      <c r="I538" s="11"/>
      <c r="J538" s="11"/>
      <c r="K538" s="11"/>
      <c r="L538" s="6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</row>
    <row r="539" spans="1:51">
      <c r="A539" s="11"/>
      <c r="B539" s="149"/>
      <c r="C539" s="11"/>
      <c r="D539" s="11"/>
      <c r="E539" s="11"/>
      <c r="F539" s="184"/>
      <c r="G539" s="11"/>
      <c r="H539" s="11"/>
      <c r="I539" s="11"/>
      <c r="J539" s="11"/>
      <c r="K539" s="11"/>
      <c r="L539" s="6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</row>
    <row r="540" spans="1:51">
      <c r="A540" s="11"/>
      <c r="B540" s="149"/>
      <c r="C540" s="11"/>
      <c r="D540" s="11"/>
      <c r="E540" s="11"/>
      <c r="F540" s="184"/>
      <c r="G540" s="11"/>
      <c r="H540" s="11"/>
      <c r="I540" s="11"/>
      <c r="J540" s="11"/>
      <c r="K540" s="11"/>
      <c r="L540" s="6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</row>
    <row r="541" spans="1:51">
      <c r="A541" s="11"/>
      <c r="B541" s="149"/>
      <c r="C541" s="11"/>
      <c r="D541" s="11"/>
      <c r="E541" s="11"/>
      <c r="F541" s="184"/>
      <c r="G541" s="11"/>
      <c r="H541" s="11"/>
      <c r="I541" s="11"/>
      <c r="J541" s="11"/>
      <c r="K541" s="11"/>
      <c r="L541" s="6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</row>
    <row r="542" spans="1:51">
      <c r="A542" s="11"/>
      <c r="B542" s="149"/>
      <c r="C542" s="11"/>
      <c r="D542" s="11"/>
      <c r="E542" s="11"/>
      <c r="F542" s="184"/>
      <c r="G542" s="11"/>
      <c r="H542" s="11"/>
      <c r="I542" s="11"/>
      <c r="J542" s="11"/>
      <c r="K542" s="11"/>
      <c r="L542" s="6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</row>
    <row r="543" spans="1:51">
      <c r="A543" s="11"/>
      <c r="B543" s="149"/>
      <c r="C543" s="11"/>
      <c r="D543" s="11"/>
      <c r="E543" s="11"/>
      <c r="F543" s="184"/>
      <c r="G543" s="11"/>
      <c r="H543" s="11"/>
      <c r="I543" s="11"/>
      <c r="J543" s="11"/>
      <c r="K543" s="11"/>
      <c r="L543" s="6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</row>
    <row r="544" spans="1:51">
      <c r="A544" s="11"/>
      <c r="B544" s="149"/>
      <c r="C544" s="11"/>
      <c r="D544" s="11"/>
      <c r="E544" s="11"/>
      <c r="F544" s="184"/>
      <c r="G544" s="11"/>
      <c r="H544" s="11"/>
      <c r="I544" s="11"/>
      <c r="J544" s="11"/>
      <c r="K544" s="11"/>
      <c r="L544" s="6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</row>
    <row r="545" spans="1:51">
      <c r="A545" s="11"/>
      <c r="B545" s="149"/>
      <c r="C545" s="11"/>
      <c r="D545" s="11"/>
      <c r="E545" s="11"/>
      <c r="F545" s="184"/>
      <c r="G545" s="11"/>
      <c r="H545" s="11"/>
      <c r="I545" s="11"/>
      <c r="J545" s="11"/>
      <c r="K545" s="11"/>
      <c r="L545" s="6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</row>
    <row r="546" spans="1:51">
      <c r="A546" s="11"/>
      <c r="B546" s="149"/>
      <c r="C546" s="11"/>
      <c r="D546" s="11"/>
      <c r="E546" s="11"/>
      <c r="F546" s="184"/>
      <c r="G546" s="11"/>
      <c r="H546" s="11"/>
      <c r="I546" s="11"/>
      <c r="J546" s="11"/>
      <c r="K546" s="11"/>
      <c r="L546" s="6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</row>
    <row r="547" spans="1:51">
      <c r="A547" s="11"/>
      <c r="B547" s="149"/>
      <c r="C547" s="11"/>
      <c r="D547" s="11"/>
      <c r="E547" s="11"/>
      <c r="F547" s="184"/>
      <c r="G547" s="11"/>
      <c r="H547" s="11"/>
      <c r="I547" s="11"/>
      <c r="J547" s="11"/>
      <c r="K547" s="11"/>
      <c r="L547" s="6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</row>
    <row r="548" spans="1:51">
      <c r="A548" s="11"/>
      <c r="B548" s="149"/>
      <c r="C548" s="11"/>
      <c r="D548" s="11"/>
      <c r="E548" s="11"/>
      <c r="F548" s="184"/>
      <c r="G548" s="11"/>
      <c r="H548" s="11"/>
      <c r="I548" s="11"/>
      <c r="J548" s="11"/>
      <c r="K548" s="11"/>
      <c r="L548" s="6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</row>
    <row r="549" spans="1:51">
      <c r="A549" s="11"/>
      <c r="B549" s="149"/>
      <c r="C549" s="11"/>
      <c r="D549" s="11"/>
      <c r="E549" s="11"/>
      <c r="F549" s="184"/>
      <c r="G549" s="11"/>
      <c r="H549" s="11"/>
      <c r="I549" s="11"/>
      <c r="J549" s="11"/>
      <c r="K549" s="11"/>
      <c r="L549" s="6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</row>
    <row r="550" spans="1:51">
      <c r="A550" s="11"/>
      <c r="B550" s="149"/>
      <c r="C550" s="11"/>
      <c r="D550" s="11"/>
      <c r="E550" s="11"/>
      <c r="F550" s="184"/>
      <c r="G550" s="11"/>
      <c r="H550" s="11"/>
      <c r="I550" s="11"/>
      <c r="J550" s="11"/>
      <c r="K550" s="11"/>
      <c r="L550" s="6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</row>
    <row r="551" spans="1:51">
      <c r="A551" s="11"/>
      <c r="B551" s="149"/>
      <c r="C551" s="11"/>
      <c r="D551" s="11"/>
      <c r="E551" s="11"/>
      <c r="F551" s="184"/>
      <c r="G551" s="11"/>
      <c r="H551" s="11"/>
      <c r="I551" s="11"/>
      <c r="J551" s="11"/>
      <c r="K551" s="11"/>
      <c r="L551" s="6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</row>
    <row r="552" spans="1:51">
      <c r="A552" s="11"/>
      <c r="B552" s="149"/>
      <c r="C552" s="11"/>
      <c r="D552" s="11"/>
      <c r="E552" s="11"/>
      <c r="F552" s="184"/>
      <c r="G552" s="11"/>
      <c r="H552" s="11"/>
      <c r="I552" s="11"/>
      <c r="J552" s="11"/>
      <c r="K552" s="11"/>
      <c r="L552" s="6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</row>
    <row r="553" spans="1:51">
      <c r="A553" s="11"/>
      <c r="B553" s="149"/>
      <c r="C553" s="11"/>
      <c r="D553" s="11"/>
      <c r="E553" s="11"/>
      <c r="F553" s="184"/>
      <c r="G553" s="11"/>
      <c r="H553" s="11"/>
      <c r="I553" s="11"/>
      <c r="J553" s="11"/>
      <c r="K553" s="11"/>
      <c r="L553" s="6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</row>
    <row r="554" spans="1:51">
      <c r="A554" s="11"/>
      <c r="B554" s="149"/>
      <c r="C554" s="11"/>
      <c r="D554" s="11"/>
      <c r="E554" s="11"/>
      <c r="F554" s="184"/>
      <c r="G554" s="11"/>
      <c r="H554" s="11"/>
      <c r="I554" s="11"/>
      <c r="J554" s="11"/>
      <c r="K554" s="11"/>
      <c r="L554" s="6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</row>
    <row r="555" spans="1:51">
      <c r="A555" s="11"/>
      <c r="B555" s="149"/>
      <c r="C555" s="11"/>
      <c r="D555" s="11"/>
      <c r="E555" s="11"/>
      <c r="F555" s="184"/>
      <c r="G555" s="11"/>
      <c r="H555" s="11"/>
      <c r="I555" s="11"/>
      <c r="J555" s="11"/>
      <c r="K555" s="11"/>
      <c r="L555" s="6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</row>
    <row r="556" spans="1:51">
      <c r="A556" s="11"/>
      <c r="B556" s="149"/>
      <c r="C556" s="11"/>
      <c r="D556" s="11"/>
      <c r="E556" s="11"/>
      <c r="F556" s="184"/>
      <c r="G556" s="11"/>
      <c r="H556" s="11"/>
      <c r="I556" s="11"/>
      <c r="J556" s="11"/>
      <c r="K556" s="11"/>
      <c r="L556" s="6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</row>
    <row r="557" spans="1:51">
      <c r="A557" s="11"/>
      <c r="B557" s="149"/>
      <c r="C557" s="11"/>
      <c r="D557" s="11"/>
      <c r="E557" s="11"/>
      <c r="F557" s="184"/>
      <c r="G557" s="11"/>
      <c r="H557" s="11"/>
      <c r="I557" s="11"/>
      <c r="J557" s="11"/>
      <c r="K557" s="11"/>
      <c r="L557" s="6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</row>
    <row r="558" spans="1:51">
      <c r="A558" s="11"/>
      <c r="B558" s="149"/>
      <c r="C558" s="11"/>
      <c r="D558" s="11"/>
      <c r="E558" s="11"/>
      <c r="F558" s="184"/>
      <c r="G558" s="11"/>
      <c r="H558" s="11"/>
      <c r="I558" s="11"/>
      <c r="J558" s="11"/>
      <c r="K558" s="11"/>
      <c r="L558" s="6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</row>
    <row r="559" spans="1:51">
      <c r="A559" s="11"/>
      <c r="B559" s="149"/>
      <c r="C559" s="11"/>
      <c r="D559" s="11"/>
      <c r="E559" s="11"/>
      <c r="F559" s="184"/>
      <c r="G559" s="11"/>
      <c r="H559" s="11"/>
      <c r="I559" s="11"/>
      <c r="J559" s="11"/>
      <c r="K559" s="11"/>
      <c r="L559" s="6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</row>
    <row r="560" spans="1:51">
      <c r="A560" s="11"/>
      <c r="B560" s="149"/>
      <c r="C560" s="11"/>
      <c r="D560" s="11"/>
      <c r="E560" s="11"/>
      <c r="F560" s="184"/>
      <c r="G560" s="11"/>
      <c r="H560" s="11"/>
      <c r="I560" s="11"/>
      <c r="J560" s="11"/>
      <c r="K560" s="11"/>
      <c r="L560" s="6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</row>
    <row r="561" spans="1:51">
      <c r="A561" s="11"/>
      <c r="B561" s="149"/>
      <c r="C561" s="11"/>
      <c r="D561" s="11"/>
      <c r="E561" s="11"/>
      <c r="F561" s="184"/>
      <c r="G561" s="11"/>
      <c r="H561" s="11"/>
      <c r="I561" s="11"/>
      <c r="J561" s="11"/>
      <c r="K561" s="11"/>
      <c r="L561" s="6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</row>
    <row r="562" spans="1:51">
      <c r="A562" s="11"/>
      <c r="B562" s="149"/>
      <c r="C562" s="11"/>
      <c r="D562" s="11"/>
      <c r="E562" s="11"/>
      <c r="F562" s="184"/>
      <c r="G562" s="11"/>
      <c r="H562" s="11"/>
      <c r="I562" s="11"/>
      <c r="J562" s="11"/>
      <c r="K562" s="11"/>
      <c r="L562" s="6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</row>
    <row r="563" spans="1:51">
      <c r="A563" s="11"/>
      <c r="B563" s="149"/>
      <c r="C563" s="11"/>
      <c r="D563" s="11"/>
      <c r="E563" s="11"/>
      <c r="F563" s="184"/>
      <c r="G563" s="11"/>
      <c r="H563" s="11"/>
      <c r="I563" s="11"/>
      <c r="J563" s="11"/>
      <c r="K563" s="11"/>
      <c r="L563" s="6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</row>
    <row r="564" spans="1:51">
      <c r="A564" s="11"/>
      <c r="B564" s="149"/>
      <c r="C564" s="11"/>
      <c r="D564" s="11"/>
      <c r="E564" s="11"/>
      <c r="F564" s="184"/>
      <c r="G564" s="11"/>
      <c r="H564" s="11"/>
      <c r="I564" s="11"/>
      <c r="J564" s="11"/>
      <c r="K564" s="11"/>
      <c r="L564" s="6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</row>
    <row r="565" spans="1:51">
      <c r="A565" s="11"/>
      <c r="B565" s="149"/>
      <c r="C565" s="11"/>
      <c r="D565" s="11"/>
      <c r="E565" s="11"/>
      <c r="F565" s="184"/>
      <c r="G565" s="11"/>
      <c r="H565" s="11"/>
      <c r="I565" s="11"/>
      <c r="J565" s="11"/>
      <c r="K565" s="11"/>
      <c r="L565" s="6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</row>
    <row r="566" spans="1:51">
      <c r="A566" s="11"/>
      <c r="B566" s="149"/>
      <c r="C566" s="11"/>
      <c r="D566" s="11"/>
      <c r="E566" s="11"/>
      <c r="F566" s="184"/>
      <c r="G566" s="11"/>
      <c r="H566" s="11"/>
      <c r="I566" s="11"/>
      <c r="J566" s="11"/>
      <c r="K566" s="11"/>
      <c r="L566" s="6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</row>
    <row r="567" spans="1:51">
      <c r="A567" s="11"/>
      <c r="B567" s="149"/>
      <c r="C567" s="11"/>
      <c r="D567" s="11"/>
      <c r="E567" s="11"/>
      <c r="F567" s="184"/>
      <c r="G567" s="11"/>
      <c r="H567" s="11"/>
      <c r="I567" s="11"/>
      <c r="J567" s="11"/>
      <c r="K567" s="11"/>
      <c r="L567" s="6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</row>
    <row r="568" spans="1:51">
      <c r="A568" s="11"/>
      <c r="B568" s="149"/>
      <c r="C568" s="11"/>
      <c r="D568" s="11"/>
      <c r="E568" s="11"/>
      <c r="F568" s="184"/>
      <c r="G568" s="11"/>
      <c r="H568" s="11"/>
      <c r="I568" s="11"/>
      <c r="J568" s="11"/>
      <c r="K568" s="11"/>
      <c r="L568" s="6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</row>
    <row r="569" spans="1:51">
      <c r="A569" s="11"/>
      <c r="B569" s="149"/>
      <c r="C569" s="11"/>
      <c r="D569" s="11"/>
      <c r="E569" s="11"/>
      <c r="F569" s="184"/>
      <c r="G569" s="11"/>
      <c r="H569" s="11"/>
      <c r="I569" s="11"/>
      <c r="J569" s="11"/>
      <c r="K569" s="11"/>
      <c r="L569" s="6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</row>
    <row r="570" spans="1:51">
      <c r="A570" s="11"/>
      <c r="B570" s="149"/>
      <c r="C570" s="11"/>
      <c r="D570" s="11"/>
      <c r="E570" s="11"/>
      <c r="F570" s="184"/>
      <c r="G570" s="11"/>
      <c r="H570" s="11"/>
      <c r="I570" s="11"/>
      <c r="J570" s="11"/>
      <c r="K570" s="11"/>
      <c r="L570" s="6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</row>
    <row r="571" spans="1:51">
      <c r="A571" s="11"/>
      <c r="B571" s="149"/>
      <c r="C571" s="11"/>
      <c r="D571" s="11"/>
      <c r="E571" s="11"/>
      <c r="F571" s="184"/>
      <c r="G571" s="11"/>
      <c r="H571" s="11"/>
      <c r="I571" s="11"/>
      <c r="J571" s="11"/>
      <c r="K571" s="11"/>
      <c r="L571" s="6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</row>
    <row r="572" spans="1:51">
      <c r="A572" s="11"/>
      <c r="B572" s="149"/>
      <c r="C572" s="11"/>
      <c r="D572" s="11"/>
      <c r="E572" s="11"/>
      <c r="F572" s="184"/>
      <c r="G572" s="11"/>
      <c r="H572" s="11"/>
      <c r="I572" s="11"/>
      <c r="J572" s="11"/>
      <c r="K572" s="11"/>
      <c r="L572" s="6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</row>
    <row r="573" spans="1:51">
      <c r="A573" s="11"/>
      <c r="B573" s="149"/>
      <c r="C573" s="11"/>
      <c r="D573" s="11"/>
      <c r="E573" s="11"/>
      <c r="F573" s="184"/>
      <c r="G573" s="11"/>
      <c r="H573" s="11"/>
      <c r="I573" s="11"/>
      <c r="J573" s="11"/>
      <c r="K573" s="11"/>
      <c r="L573" s="6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</row>
    <row r="574" spans="1:51">
      <c r="A574" s="11"/>
      <c r="B574" s="149"/>
      <c r="C574" s="11"/>
      <c r="D574" s="11"/>
      <c r="E574" s="11"/>
      <c r="F574" s="184"/>
      <c r="G574" s="11"/>
      <c r="H574" s="11"/>
      <c r="I574" s="11"/>
      <c r="J574" s="11"/>
      <c r="K574" s="11"/>
      <c r="L574" s="6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</row>
    <row r="575" spans="1:51">
      <c r="A575" s="11"/>
      <c r="B575" s="149"/>
      <c r="C575" s="11"/>
      <c r="D575" s="11"/>
      <c r="E575" s="11"/>
      <c r="F575" s="184"/>
      <c r="G575" s="11"/>
      <c r="H575" s="11"/>
      <c r="I575" s="11"/>
      <c r="J575" s="11"/>
      <c r="K575" s="11"/>
      <c r="L575" s="6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</row>
    <row r="576" spans="1:51">
      <c r="A576" s="11"/>
      <c r="B576" s="149"/>
      <c r="C576" s="11"/>
      <c r="D576" s="11"/>
      <c r="E576" s="11"/>
      <c r="F576" s="184"/>
      <c r="G576" s="11"/>
      <c r="H576" s="11"/>
      <c r="I576" s="11"/>
      <c r="J576" s="11"/>
      <c r="K576" s="11"/>
      <c r="L576" s="6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</row>
    <row r="577" spans="1:51">
      <c r="A577" s="11"/>
      <c r="B577" s="149"/>
      <c r="C577" s="11"/>
      <c r="D577" s="11"/>
      <c r="E577" s="11"/>
      <c r="F577" s="184"/>
      <c r="G577" s="11"/>
      <c r="H577" s="11"/>
      <c r="I577" s="11"/>
      <c r="J577" s="11"/>
      <c r="K577" s="11"/>
      <c r="L577" s="6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</row>
    <row r="578" spans="1:51">
      <c r="A578" s="11"/>
      <c r="B578" s="149"/>
      <c r="C578" s="11"/>
      <c r="D578" s="11"/>
      <c r="E578" s="11"/>
      <c r="F578" s="184"/>
      <c r="G578" s="11"/>
      <c r="H578" s="11"/>
      <c r="I578" s="11"/>
      <c r="J578" s="11"/>
      <c r="K578" s="11"/>
      <c r="L578" s="6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</row>
    <row r="579" spans="1:51">
      <c r="A579" s="11"/>
      <c r="B579" s="149"/>
      <c r="C579" s="11"/>
      <c r="D579" s="11"/>
      <c r="E579" s="11"/>
      <c r="F579" s="184"/>
      <c r="G579" s="11"/>
      <c r="H579" s="11"/>
      <c r="I579" s="11"/>
      <c r="J579" s="11"/>
      <c r="K579" s="11"/>
      <c r="L579" s="6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</row>
    <row r="580" spans="1:51">
      <c r="A580" s="11"/>
      <c r="B580" s="149"/>
      <c r="C580" s="11"/>
      <c r="D580" s="11"/>
      <c r="E580" s="11"/>
      <c r="F580" s="184"/>
      <c r="G580" s="11"/>
      <c r="H580" s="11"/>
      <c r="I580" s="11"/>
      <c r="J580" s="11"/>
      <c r="K580" s="11"/>
      <c r="L580" s="6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</row>
    <row r="581" spans="1:51">
      <c r="A581" s="11"/>
      <c r="B581" s="149"/>
      <c r="C581" s="11"/>
      <c r="D581" s="11"/>
      <c r="E581" s="11"/>
      <c r="F581" s="184"/>
      <c r="G581" s="11"/>
      <c r="H581" s="11"/>
      <c r="I581" s="11"/>
      <c r="J581" s="11"/>
      <c r="K581" s="11"/>
      <c r="L581" s="6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</row>
    <row r="582" spans="1:51">
      <c r="A582" s="11"/>
      <c r="B582" s="149"/>
      <c r="C582" s="11"/>
      <c r="D582" s="11"/>
      <c r="E582" s="11"/>
      <c r="F582" s="184"/>
      <c r="G582" s="11"/>
      <c r="H582" s="11"/>
      <c r="I582" s="11"/>
      <c r="J582" s="11"/>
      <c r="K582" s="11"/>
      <c r="L582" s="6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</row>
    <row r="583" spans="1:51">
      <c r="A583" s="11"/>
      <c r="B583" s="149"/>
      <c r="C583" s="11"/>
      <c r="D583" s="11"/>
      <c r="E583" s="11"/>
      <c r="F583" s="184"/>
      <c r="G583" s="11"/>
      <c r="H583" s="11"/>
      <c r="I583" s="11"/>
      <c r="J583" s="11"/>
      <c r="K583" s="11"/>
      <c r="L583" s="6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</row>
    <row r="584" spans="1:51">
      <c r="A584" s="11"/>
      <c r="B584" s="149"/>
      <c r="C584" s="11"/>
      <c r="D584" s="11"/>
      <c r="E584" s="11"/>
      <c r="F584" s="184"/>
      <c r="G584" s="11"/>
      <c r="H584" s="11"/>
      <c r="I584" s="11"/>
      <c r="J584" s="11"/>
      <c r="K584" s="11"/>
      <c r="L584" s="6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</row>
    <row r="585" spans="1:51">
      <c r="A585" s="11"/>
      <c r="B585" s="149"/>
      <c r="C585" s="11"/>
      <c r="D585" s="11"/>
      <c r="E585" s="11"/>
      <c r="F585" s="184"/>
      <c r="G585" s="11"/>
      <c r="H585" s="11"/>
      <c r="I585" s="11"/>
      <c r="J585" s="11"/>
      <c r="K585" s="11"/>
      <c r="L585" s="6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</row>
    <row r="586" spans="1:51">
      <c r="A586" s="11"/>
      <c r="B586" s="149"/>
      <c r="C586" s="11"/>
      <c r="D586" s="11"/>
      <c r="E586" s="11"/>
      <c r="F586" s="184"/>
      <c r="G586" s="11"/>
      <c r="H586" s="11"/>
      <c r="I586" s="11"/>
      <c r="J586" s="11"/>
      <c r="K586" s="11"/>
      <c r="L586" s="6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</row>
    <row r="587" spans="1:51">
      <c r="A587" s="11"/>
      <c r="B587" s="149"/>
      <c r="C587" s="11"/>
      <c r="D587" s="11"/>
      <c r="E587" s="11"/>
      <c r="F587" s="184"/>
      <c r="G587" s="11"/>
      <c r="H587" s="11"/>
      <c r="I587" s="11"/>
      <c r="J587" s="11"/>
      <c r="K587" s="11"/>
      <c r="L587" s="6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</row>
    <row r="588" spans="1:51">
      <c r="A588" s="11"/>
      <c r="B588" s="149"/>
      <c r="C588" s="11"/>
      <c r="D588" s="11"/>
      <c r="E588" s="11"/>
      <c r="F588" s="184"/>
      <c r="G588" s="11"/>
      <c r="H588" s="11"/>
      <c r="I588" s="11"/>
      <c r="J588" s="11"/>
      <c r="K588" s="11"/>
      <c r="L588" s="6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</row>
    <row r="589" spans="1:51">
      <c r="A589" s="11"/>
      <c r="B589" s="149"/>
      <c r="C589" s="11"/>
      <c r="D589" s="11"/>
      <c r="E589" s="11"/>
      <c r="F589" s="184"/>
      <c r="G589" s="11"/>
      <c r="H589" s="11"/>
      <c r="I589" s="11"/>
      <c r="J589" s="11"/>
      <c r="K589" s="11"/>
      <c r="L589" s="6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</row>
    <row r="590" spans="1:51">
      <c r="A590" s="11"/>
      <c r="B590" s="149"/>
      <c r="C590" s="11"/>
      <c r="D590" s="11"/>
      <c r="E590" s="11"/>
      <c r="F590" s="184"/>
      <c r="G590" s="11"/>
      <c r="H590" s="11"/>
      <c r="I590" s="11"/>
      <c r="J590" s="11"/>
      <c r="K590" s="11"/>
      <c r="L590" s="6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</row>
    <row r="591" spans="1:51">
      <c r="A591" s="11"/>
      <c r="B591" s="149"/>
      <c r="C591" s="11"/>
      <c r="D591" s="11"/>
      <c r="E591" s="11"/>
      <c r="F591" s="184"/>
      <c r="G591" s="11"/>
      <c r="H591" s="11"/>
      <c r="I591" s="11"/>
      <c r="J591" s="11"/>
      <c r="K591" s="11"/>
      <c r="L591" s="6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</row>
    <row r="592" spans="1:51">
      <c r="A592" s="11"/>
      <c r="B592" s="149"/>
      <c r="C592" s="11"/>
      <c r="D592" s="11"/>
      <c r="E592" s="11"/>
      <c r="F592" s="184"/>
      <c r="G592" s="11"/>
      <c r="H592" s="11"/>
      <c r="I592" s="11"/>
      <c r="J592" s="11"/>
      <c r="K592" s="11"/>
      <c r="L592" s="6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</row>
    <row r="593" spans="1:51">
      <c r="A593" s="11"/>
      <c r="B593" s="149"/>
      <c r="C593" s="11"/>
      <c r="D593" s="11"/>
      <c r="E593" s="11"/>
      <c r="F593" s="184"/>
      <c r="G593" s="11"/>
      <c r="H593" s="11"/>
      <c r="I593" s="11"/>
      <c r="J593" s="11"/>
      <c r="K593" s="11"/>
      <c r="L593" s="6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</row>
    <row r="594" spans="1:51">
      <c r="A594" s="11"/>
      <c r="B594" s="149"/>
      <c r="C594" s="11"/>
      <c r="D594" s="11"/>
      <c r="E594" s="11"/>
      <c r="F594" s="184"/>
      <c r="G594" s="11"/>
      <c r="H594" s="11"/>
      <c r="I594" s="11"/>
      <c r="J594" s="11"/>
      <c r="K594" s="11"/>
      <c r="L594" s="6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</row>
    <row r="595" spans="1:51">
      <c r="A595" s="11"/>
      <c r="B595" s="149"/>
      <c r="C595" s="11"/>
      <c r="D595" s="11"/>
      <c r="E595" s="11"/>
      <c r="F595" s="184"/>
      <c r="G595" s="11"/>
      <c r="H595" s="11"/>
      <c r="I595" s="11"/>
      <c r="J595" s="11"/>
      <c r="K595" s="11"/>
      <c r="L595" s="6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</row>
    <row r="596" spans="1:51">
      <c r="A596" s="11"/>
      <c r="B596" s="149"/>
      <c r="C596" s="11"/>
      <c r="D596" s="11"/>
      <c r="E596" s="11"/>
      <c r="F596" s="184"/>
      <c r="G596" s="11"/>
      <c r="H596" s="11"/>
      <c r="I596" s="11"/>
      <c r="J596" s="11"/>
      <c r="K596" s="11"/>
      <c r="L596" s="6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</row>
    <row r="597" spans="1:51">
      <c r="A597" s="11"/>
      <c r="B597" s="149"/>
      <c r="C597" s="11"/>
      <c r="D597" s="11"/>
      <c r="E597" s="11"/>
      <c r="F597" s="184"/>
      <c r="G597" s="11"/>
      <c r="H597" s="11"/>
      <c r="I597" s="11"/>
      <c r="J597" s="11"/>
      <c r="K597" s="11"/>
      <c r="L597" s="6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</row>
    <row r="598" spans="1:51">
      <c r="A598" s="11"/>
      <c r="B598" s="149"/>
      <c r="C598" s="11"/>
      <c r="D598" s="11"/>
      <c r="E598" s="11"/>
      <c r="F598" s="184"/>
      <c r="G598" s="11"/>
      <c r="H598" s="11"/>
      <c r="I598" s="11"/>
      <c r="J598" s="11"/>
      <c r="K598" s="11"/>
      <c r="L598" s="6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</row>
    <row r="599" spans="1:51">
      <c r="A599" s="11"/>
      <c r="B599" s="149"/>
      <c r="C599" s="11"/>
      <c r="D599" s="11"/>
      <c r="E599" s="11"/>
      <c r="F599" s="184"/>
      <c r="G599" s="11"/>
      <c r="H599" s="11"/>
      <c r="I599" s="11"/>
      <c r="J599" s="11"/>
      <c r="K599" s="11"/>
      <c r="L599" s="6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</row>
    <row r="600" spans="1:51">
      <c r="A600" s="11"/>
      <c r="B600" s="149"/>
      <c r="C600" s="11"/>
      <c r="D600" s="11"/>
      <c r="E600" s="11"/>
      <c r="F600" s="184"/>
      <c r="G600" s="11"/>
      <c r="H600" s="11"/>
      <c r="I600" s="11"/>
      <c r="J600" s="11"/>
      <c r="K600" s="11"/>
      <c r="L600" s="6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</row>
    <row r="601" spans="1:51">
      <c r="A601" s="11"/>
      <c r="B601" s="149"/>
      <c r="C601" s="11"/>
      <c r="D601" s="11"/>
      <c r="E601" s="11"/>
      <c r="F601" s="184"/>
      <c r="G601" s="11"/>
      <c r="H601" s="11"/>
      <c r="I601" s="11"/>
      <c r="J601" s="11"/>
      <c r="K601" s="11"/>
      <c r="L601" s="6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</row>
    <row r="602" spans="1:51">
      <c r="A602" s="11"/>
      <c r="B602" s="149"/>
      <c r="C602" s="11"/>
      <c r="D602" s="11"/>
      <c r="E602" s="11"/>
      <c r="F602" s="184"/>
      <c r="G602" s="11"/>
      <c r="H602" s="11"/>
      <c r="I602" s="11"/>
      <c r="J602" s="11"/>
      <c r="K602" s="11"/>
      <c r="L602" s="6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</row>
    <row r="603" spans="1:51">
      <c r="A603" s="11"/>
      <c r="B603" s="149"/>
      <c r="C603" s="11"/>
      <c r="D603" s="11"/>
      <c r="E603" s="11"/>
      <c r="F603" s="184"/>
      <c r="G603" s="11"/>
      <c r="H603" s="11"/>
      <c r="I603" s="11"/>
      <c r="J603" s="11"/>
      <c r="K603" s="11"/>
      <c r="L603" s="6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</row>
    <row r="604" spans="1:51">
      <c r="A604" s="11"/>
      <c r="B604" s="149"/>
      <c r="C604" s="11"/>
      <c r="D604" s="11"/>
      <c r="E604" s="11"/>
      <c r="F604" s="184"/>
      <c r="G604" s="11"/>
      <c r="H604" s="11"/>
      <c r="I604" s="11"/>
      <c r="J604" s="11"/>
      <c r="K604" s="11"/>
      <c r="L604" s="6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</row>
    <row r="605" spans="1:51">
      <c r="A605" s="11"/>
      <c r="B605" s="149"/>
      <c r="C605" s="11"/>
      <c r="D605" s="11"/>
      <c r="E605" s="11"/>
      <c r="F605" s="184"/>
      <c r="G605" s="11"/>
      <c r="H605" s="11"/>
      <c r="I605" s="11"/>
      <c r="J605" s="11"/>
      <c r="K605" s="11"/>
      <c r="L605" s="6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</row>
    <row r="606" spans="1:51">
      <c r="A606" s="11"/>
      <c r="B606" s="149"/>
      <c r="C606" s="11"/>
      <c r="D606" s="11"/>
      <c r="E606" s="11"/>
      <c r="F606" s="184"/>
      <c r="G606" s="11"/>
      <c r="H606" s="11"/>
      <c r="I606" s="11"/>
      <c r="J606" s="11"/>
      <c r="K606" s="11"/>
      <c r="L606" s="6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</row>
    <row r="607" spans="1:51">
      <c r="A607" s="11"/>
      <c r="B607" s="149"/>
      <c r="C607" s="11"/>
      <c r="D607" s="11"/>
      <c r="E607" s="11"/>
      <c r="F607" s="184"/>
      <c r="G607" s="11"/>
      <c r="H607" s="11"/>
      <c r="I607" s="11"/>
      <c r="J607" s="11"/>
      <c r="K607" s="11"/>
      <c r="L607" s="6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</row>
    <row r="608" spans="1:51">
      <c r="A608" s="11"/>
      <c r="B608" s="149"/>
      <c r="C608" s="11"/>
      <c r="D608" s="11"/>
      <c r="E608" s="11"/>
      <c r="F608" s="184"/>
      <c r="G608" s="11"/>
      <c r="H608" s="11"/>
      <c r="I608" s="11"/>
      <c r="J608" s="11"/>
      <c r="K608" s="11"/>
      <c r="L608" s="6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</row>
    <row r="609" spans="1:51">
      <c r="A609" s="11"/>
      <c r="B609" s="149"/>
      <c r="C609" s="11"/>
      <c r="D609" s="11"/>
      <c r="E609" s="11"/>
      <c r="F609" s="184"/>
      <c r="G609" s="11"/>
      <c r="H609" s="11"/>
      <c r="I609" s="11"/>
      <c r="J609" s="11"/>
      <c r="K609" s="11"/>
      <c r="L609" s="6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</row>
    <row r="610" spans="1:51">
      <c r="A610" s="11"/>
      <c r="B610" s="149"/>
      <c r="C610" s="11"/>
      <c r="D610" s="11"/>
      <c r="E610" s="11"/>
      <c r="F610" s="184"/>
      <c r="G610" s="11"/>
      <c r="H610" s="11"/>
      <c r="I610" s="11"/>
      <c r="J610" s="11"/>
      <c r="K610" s="11"/>
      <c r="L610" s="6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</row>
    <row r="611" spans="1:51">
      <c r="A611" s="11"/>
      <c r="B611" s="149"/>
      <c r="C611" s="11"/>
      <c r="D611" s="11"/>
      <c r="E611" s="11"/>
      <c r="F611" s="184"/>
      <c r="G611" s="11"/>
      <c r="H611" s="11"/>
      <c r="I611" s="11"/>
      <c r="J611" s="11"/>
      <c r="K611" s="11"/>
      <c r="L611" s="6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</row>
    <row r="612" spans="1:51">
      <c r="A612" s="11"/>
      <c r="B612" s="149"/>
      <c r="C612" s="11"/>
      <c r="D612" s="11"/>
      <c r="E612" s="11"/>
      <c r="F612" s="184"/>
      <c r="G612" s="11"/>
      <c r="H612" s="11"/>
      <c r="I612" s="11"/>
      <c r="J612" s="11"/>
      <c r="K612" s="11"/>
      <c r="L612" s="6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</row>
    <row r="613" spans="1:51">
      <c r="A613" s="11"/>
      <c r="B613" s="149"/>
      <c r="C613" s="11"/>
      <c r="D613" s="11"/>
      <c r="E613" s="11"/>
      <c r="F613" s="184"/>
      <c r="G613" s="11"/>
      <c r="H613" s="11"/>
      <c r="I613" s="11"/>
      <c r="J613" s="11"/>
      <c r="K613" s="11"/>
      <c r="L613" s="6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</row>
    <row r="614" spans="1:51">
      <c r="A614" s="11"/>
      <c r="B614" s="149"/>
      <c r="C614" s="11"/>
      <c r="D614" s="11"/>
      <c r="E614" s="11"/>
      <c r="F614" s="184"/>
      <c r="G614" s="11"/>
      <c r="H614" s="11"/>
      <c r="I614" s="11"/>
      <c r="J614" s="11"/>
      <c r="K614" s="11"/>
      <c r="L614" s="6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</row>
    <row r="615" spans="1:51">
      <c r="A615" s="11"/>
      <c r="B615" s="149"/>
      <c r="C615" s="11"/>
      <c r="D615" s="11"/>
      <c r="E615" s="11"/>
      <c r="F615" s="184"/>
      <c r="G615" s="11"/>
      <c r="H615" s="11"/>
      <c r="I615" s="11"/>
      <c r="J615" s="11"/>
      <c r="K615" s="11"/>
      <c r="L615" s="6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</row>
    <row r="616" spans="1:51">
      <c r="A616" s="11"/>
      <c r="B616" s="149"/>
      <c r="C616" s="11"/>
      <c r="D616" s="11"/>
      <c r="E616" s="11"/>
      <c r="F616" s="184"/>
      <c r="G616" s="11"/>
      <c r="H616" s="11"/>
      <c r="I616" s="11"/>
      <c r="J616" s="11"/>
      <c r="K616" s="11"/>
      <c r="L616" s="6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</row>
    <row r="617" spans="1:51">
      <c r="A617" s="11"/>
      <c r="B617" s="149"/>
      <c r="C617" s="11"/>
      <c r="D617" s="11"/>
      <c r="E617" s="11"/>
      <c r="F617" s="184"/>
      <c r="G617" s="11"/>
      <c r="H617" s="11"/>
      <c r="I617" s="11"/>
      <c r="J617" s="11"/>
      <c r="K617" s="11"/>
      <c r="L617" s="6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</row>
    <row r="618" spans="1:51">
      <c r="A618" s="11"/>
      <c r="B618" s="149"/>
      <c r="C618" s="11"/>
      <c r="D618" s="11"/>
      <c r="E618" s="11"/>
      <c r="F618" s="184"/>
      <c r="G618" s="11"/>
      <c r="H618" s="11"/>
      <c r="I618" s="11"/>
      <c r="J618" s="11"/>
      <c r="K618" s="11"/>
      <c r="L618" s="6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</row>
    <row r="619" spans="1:51">
      <c r="A619" s="11"/>
      <c r="B619" s="149"/>
      <c r="C619" s="11"/>
      <c r="D619" s="11"/>
      <c r="E619" s="11"/>
      <c r="F619" s="184"/>
      <c r="G619" s="11"/>
      <c r="H619" s="11"/>
      <c r="I619" s="11"/>
      <c r="J619" s="11"/>
      <c r="K619" s="11"/>
      <c r="L619" s="6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</row>
    <row r="620" spans="1:51">
      <c r="A620" s="11"/>
      <c r="B620" s="149"/>
      <c r="C620" s="11"/>
      <c r="D620" s="11"/>
      <c r="E620" s="11"/>
      <c r="F620" s="184"/>
      <c r="G620" s="11"/>
      <c r="H620" s="11"/>
      <c r="I620" s="11"/>
      <c r="J620" s="11"/>
      <c r="K620" s="11"/>
      <c r="L620" s="6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</row>
    <row r="621" spans="1:51">
      <c r="A621" s="11"/>
      <c r="B621" s="149"/>
      <c r="C621" s="11"/>
      <c r="D621" s="11"/>
      <c r="E621" s="11"/>
      <c r="F621" s="184"/>
      <c r="G621" s="11"/>
      <c r="H621" s="11"/>
      <c r="I621" s="11"/>
      <c r="J621" s="11"/>
      <c r="K621" s="11"/>
      <c r="L621" s="6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</row>
    <row r="622" spans="1:51">
      <c r="A622" s="11"/>
      <c r="B622" s="149"/>
      <c r="C622" s="11"/>
      <c r="D622" s="11"/>
      <c r="E622" s="11"/>
      <c r="F622" s="184"/>
      <c r="G622" s="11"/>
      <c r="H622" s="11"/>
      <c r="I622" s="11"/>
      <c r="J622" s="11"/>
      <c r="K622" s="11"/>
      <c r="L622" s="6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</row>
    <row r="623" spans="1:51">
      <c r="A623" s="11"/>
      <c r="B623" s="149"/>
      <c r="C623" s="11"/>
      <c r="D623" s="11"/>
      <c r="E623" s="11"/>
      <c r="F623" s="184"/>
      <c r="G623" s="11"/>
      <c r="H623" s="11"/>
      <c r="I623" s="11"/>
      <c r="J623" s="11"/>
      <c r="K623" s="11"/>
      <c r="L623" s="6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</row>
    <row r="624" spans="1:51">
      <c r="A624" s="11"/>
      <c r="B624" s="149"/>
      <c r="C624" s="11"/>
      <c r="D624" s="11"/>
      <c r="E624" s="11"/>
      <c r="F624" s="184"/>
      <c r="G624" s="11"/>
      <c r="H624" s="11"/>
      <c r="I624" s="11"/>
      <c r="J624" s="11"/>
      <c r="K624" s="11"/>
      <c r="L624" s="6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</row>
    <row r="625" spans="1:51">
      <c r="A625" s="11"/>
      <c r="B625" s="149"/>
      <c r="C625" s="11"/>
      <c r="D625" s="11"/>
      <c r="E625" s="11"/>
      <c r="F625" s="184"/>
      <c r="G625" s="11"/>
      <c r="H625" s="11"/>
      <c r="I625" s="11"/>
      <c r="J625" s="11"/>
      <c r="K625" s="11"/>
      <c r="L625" s="6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</row>
    <row r="626" spans="1:51">
      <c r="A626" s="11"/>
      <c r="B626" s="149"/>
      <c r="C626" s="11"/>
      <c r="D626" s="11"/>
      <c r="E626" s="11"/>
      <c r="F626" s="184"/>
      <c r="G626" s="11"/>
      <c r="H626" s="11"/>
      <c r="I626" s="11"/>
      <c r="J626" s="11"/>
      <c r="K626" s="11"/>
      <c r="L626" s="6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</row>
    <row r="627" spans="1:51">
      <c r="A627" s="11"/>
      <c r="B627" s="149"/>
      <c r="C627" s="11"/>
      <c r="D627" s="11"/>
      <c r="E627" s="11"/>
      <c r="F627" s="184"/>
      <c r="G627" s="11"/>
      <c r="H627" s="11"/>
      <c r="I627" s="11"/>
      <c r="J627" s="11"/>
      <c r="K627" s="11"/>
      <c r="L627" s="6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</row>
    <row r="628" spans="1:51">
      <c r="A628" s="11"/>
      <c r="B628" s="149"/>
      <c r="C628" s="11"/>
      <c r="D628" s="11"/>
      <c r="E628" s="11"/>
      <c r="F628" s="184"/>
      <c r="G628" s="11"/>
      <c r="H628" s="11"/>
      <c r="I628" s="11"/>
      <c r="J628" s="11"/>
      <c r="K628" s="11"/>
      <c r="L628" s="6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</row>
    <row r="629" spans="1:51">
      <c r="A629" s="11"/>
      <c r="B629" s="149"/>
      <c r="C629" s="11"/>
      <c r="D629" s="11"/>
      <c r="E629" s="11"/>
      <c r="F629" s="184"/>
      <c r="G629" s="11"/>
      <c r="H629" s="11"/>
      <c r="I629" s="11"/>
      <c r="J629" s="11"/>
      <c r="K629" s="11"/>
      <c r="L629" s="6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</row>
    <row r="630" spans="1:51">
      <c r="A630" s="11"/>
      <c r="B630" s="149"/>
      <c r="C630" s="11"/>
      <c r="D630" s="11"/>
      <c r="E630" s="11"/>
      <c r="F630" s="184"/>
      <c r="G630" s="11"/>
      <c r="H630" s="11"/>
      <c r="I630" s="11"/>
      <c r="J630" s="11"/>
      <c r="K630" s="11"/>
      <c r="L630" s="6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</row>
    <row r="631" spans="1:51">
      <c r="A631" s="11"/>
      <c r="B631" s="149"/>
      <c r="C631" s="11"/>
      <c r="D631" s="11"/>
      <c r="E631" s="11"/>
      <c r="F631" s="184"/>
      <c r="G631" s="11"/>
      <c r="H631" s="11"/>
      <c r="I631" s="11"/>
      <c r="J631" s="11"/>
      <c r="K631" s="11"/>
      <c r="L631" s="6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</row>
    <row r="632" spans="1:51">
      <c r="A632" s="11"/>
      <c r="B632" s="149"/>
      <c r="C632" s="11"/>
      <c r="D632" s="11"/>
      <c r="E632" s="11"/>
      <c r="F632" s="184"/>
      <c r="G632" s="11"/>
      <c r="H632" s="11"/>
      <c r="I632" s="11"/>
      <c r="J632" s="11"/>
      <c r="K632" s="11"/>
      <c r="L632" s="6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</row>
    <row r="633" spans="1:51">
      <c r="A633" s="11"/>
      <c r="B633" s="149"/>
      <c r="C633" s="11"/>
      <c r="D633" s="11"/>
      <c r="E633" s="11"/>
      <c r="F633" s="184"/>
      <c r="G633" s="11"/>
      <c r="H633" s="11"/>
      <c r="I633" s="11"/>
      <c r="J633" s="11"/>
      <c r="K633" s="11"/>
      <c r="L633" s="6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</row>
    <row r="634" spans="1:51">
      <c r="A634" s="11"/>
      <c r="B634" s="149"/>
      <c r="C634" s="11"/>
      <c r="D634" s="11"/>
      <c r="E634" s="11"/>
      <c r="F634" s="184"/>
      <c r="G634" s="11"/>
      <c r="H634" s="11"/>
      <c r="I634" s="11"/>
      <c r="J634" s="11"/>
      <c r="K634" s="11"/>
      <c r="L634" s="6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</row>
    <row r="635" spans="1:51">
      <c r="A635" s="11"/>
      <c r="B635" s="149"/>
      <c r="C635" s="11"/>
      <c r="D635" s="11"/>
      <c r="E635" s="11"/>
      <c r="F635" s="184"/>
      <c r="G635" s="11"/>
      <c r="H635" s="11"/>
      <c r="I635" s="11"/>
      <c r="J635" s="11"/>
      <c r="K635" s="11"/>
      <c r="L635" s="6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</row>
    <row r="636" spans="1:51">
      <c r="A636" s="11"/>
      <c r="B636" s="149"/>
      <c r="C636" s="11"/>
      <c r="D636" s="11"/>
      <c r="E636" s="11"/>
      <c r="F636" s="184"/>
      <c r="G636" s="11"/>
      <c r="H636" s="11"/>
      <c r="I636" s="11"/>
      <c r="J636" s="11"/>
      <c r="K636" s="11"/>
      <c r="L636" s="6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</row>
    <row r="637" spans="1:51">
      <c r="A637" s="11"/>
      <c r="B637" s="149"/>
      <c r="C637" s="11"/>
      <c r="D637" s="11"/>
      <c r="E637" s="11"/>
      <c r="F637" s="184"/>
      <c r="G637" s="11"/>
      <c r="H637" s="11"/>
      <c r="I637" s="11"/>
      <c r="J637" s="11"/>
      <c r="K637" s="11"/>
      <c r="L637" s="6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</row>
    <row r="638" spans="1:51">
      <c r="A638" s="11"/>
      <c r="B638" s="149"/>
      <c r="C638" s="11"/>
      <c r="D638" s="11"/>
      <c r="E638" s="11"/>
      <c r="F638" s="184"/>
      <c r="G638" s="11"/>
      <c r="H638" s="11"/>
      <c r="I638" s="11"/>
      <c r="J638" s="11"/>
      <c r="K638" s="11"/>
      <c r="L638" s="6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</row>
    <row r="639" spans="1:51">
      <c r="A639" s="11"/>
      <c r="B639" s="149"/>
      <c r="C639" s="11"/>
      <c r="D639" s="11"/>
      <c r="E639" s="11"/>
      <c r="F639" s="184"/>
      <c r="G639" s="11"/>
      <c r="H639" s="11"/>
      <c r="I639" s="11"/>
      <c r="J639" s="11"/>
      <c r="K639" s="11"/>
      <c r="L639" s="6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</row>
    <row r="640" spans="1:51">
      <c r="A640" s="11"/>
      <c r="B640" s="149"/>
      <c r="C640" s="11"/>
      <c r="D640" s="11"/>
      <c r="E640" s="11"/>
      <c r="F640" s="184"/>
      <c r="G640" s="11"/>
      <c r="H640" s="11"/>
      <c r="I640" s="11"/>
      <c r="J640" s="11"/>
      <c r="K640" s="11"/>
      <c r="L640" s="6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</row>
    <row r="641" spans="1:51">
      <c r="A641" s="11"/>
      <c r="B641" s="149"/>
      <c r="C641" s="11"/>
      <c r="D641" s="11"/>
      <c r="E641" s="11"/>
      <c r="F641" s="184"/>
      <c r="G641" s="11"/>
      <c r="H641" s="11"/>
      <c r="I641" s="11"/>
      <c r="J641" s="11"/>
      <c r="K641" s="11"/>
      <c r="L641" s="6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</row>
    <row r="642" spans="1:51">
      <c r="A642" s="11"/>
      <c r="B642" s="149"/>
      <c r="C642" s="11"/>
      <c r="D642" s="11"/>
      <c r="E642" s="11"/>
      <c r="F642" s="184"/>
      <c r="G642" s="11"/>
      <c r="H642" s="11"/>
      <c r="I642" s="11"/>
      <c r="J642" s="11"/>
      <c r="K642" s="11"/>
      <c r="L642" s="6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</row>
    <row r="643" spans="1:51">
      <c r="A643" s="11"/>
      <c r="B643" s="149"/>
      <c r="C643" s="11"/>
      <c r="D643" s="11"/>
      <c r="E643" s="11"/>
      <c r="F643" s="184"/>
      <c r="G643" s="11"/>
      <c r="H643" s="11"/>
      <c r="I643" s="11"/>
      <c r="J643" s="11"/>
      <c r="K643" s="11"/>
      <c r="L643" s="6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</row>
    <row r="644" spans="1:51">
      <c r="A644" s="11"/>
      <c r="B644" s="149"/>
      <c r="C644" s="11"/>
      <c r="D644" s="11"/>
      <c r="E644" s="11"/>
      <c r="F644" s="184"/>
      <c r="G644" s="11"/>
      <c r="H644" s="11"/>
      <c r="I644" s="11"/>
      <c r="J644" s="11"/>
      <c r="K644" s="11"/>
      <c r="L644" s="6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</row>
    <row r="645" spans="1:51">
      <c r="A645" s="11"/>
      <c r="B645" s="149"/>
      <c r="C645" s="11"/>
      <c r="D645" s="11"/>
      <c r="E645" s="11"/>
      <c r="F645" s="184"/>
      <c r="G645" s="11"/>
      <c r="H645" s="11"/>
      <c r="I645" s="11"/>
      <c r="J645" s="11"/>
      <c r="K645" s="11"/>
      <c r="L645" s="6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</row>
    <row r="646" spans="1:51">
      <c r="A646" s="11"/>
      <c r="B646" s="149"/>
      <c r="C646" s="11"/>
      <c r="D646" s="11"/>
      <c r="E646" s="11"/>
      <c r="F646" s="184"/>
      <c r="G646" s="11"/>
      <c r="H646" s="11"/>
      <c r="I646" s="11"/>
      <c r="J646" s="11"/>
      <c r="K646" s="11"/>
      <c r="L646" s="6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</row>
    <row r="647" spans="1:51">
      <c r="A647" s="11"/>
      <c r="B647" s="149"/>
      <c r="C647" s="11"/>
      <c r="D647" s="11"/>
      <c r="E647" s="11"/>
      <c r="F647" s="184"/>
      <c r="G647" s="11"/>
      <c r="H647" s="11"/>
      <c r="I647" s="11"/>
      <c r="J647" s="11"/>
      <c r="K647" s="11"/>
      <c r="L647" s="6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</row>
    <row r="648" spans="1:51">
      <c r="A648" s="11"/>
      <c r="B648" s="149"/>
      <c r="C648" s="11"/>
      <c r="D648" s="11"/>
      <c r="E648" s="11"/>
      <c r="F648" s="184"/>
      <c r="G648" s="11"/>
      <c r="H648" s="11"/>
      <c r="I648" s="11"/>
      <c r="J648" s="11"/>
      <c r="K648" s="11"/>
      <c r="L648" s="6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</row>
    <row r="649" spans="1:51">
      <c r="A649" s="11"/>
      <c r="B649" s="149"/>
      <c r="C649" s="11"/>
      <c r="D649" s="11"/>
      <c r="E649" s="11"/>
      <c r="F649" s="184"/>
      <c r="G649" s="11"/>
      <c r="H649" s="11"/>
      <c r="I649" s="11"/>
      <c r="J649" s="11"/>
      <c r="K649" s="11"/>
      <c r="L649" s="6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</row>
    <row r="650" spans="1:51">
      <c r="A650" s="11"/>
      <c r="B650" s="149"/>
      <c r="C650" s="11"/>
      <c r="D650" s="11"/>
      <c r="E650" s="11"/>
      <c r="F650" s="184"/>
      <c r="G650" s="11"/>
      <c r="H650" s="11"/>
      <c r="I650" s="11"/>
      <c r="J650" s="11"/>
      <c r="K650" s="11"/>
      <c r="L650" s="6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</row>
    <row r="651" spans="1:51">
      <c r="A651" s="11"/>
      <c r="B651" s="149"/>
      <c r="C651" s="11"/>
      <c r="D651" s="11"/>
      <c r="E651" s="11"/>
      <c r="F651" s="184"/>
      <c r="G651" s="11"/>
      <c r="H651" s="11"/>
      <c r="I651" s="11"/>
      <c r="J651" s="11"/>
      <c r="K651" s="11"/>
      <c r="L651" s="6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</row>
    <row r="652" spans="1:51">
      <c r="A652" s="11"/>
      <c r="B652" s="149"/>
      <c r="C652" s="11"/>
      <c r="D652" s="11"/>
      <c r="E652" s="11"/>
      <c r="F652" s="184"/>
      <c r="G652" s="11"/>
      <c r="H652" s="11"/>
      <c r="I652" s="11"/>
      <c r="J652" s="11"/>
      <c r="K652" s="11"/>
      <c r="L652" s="6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</row>
    <row r="653" spans="1:51">
      <c r="A653" s="11"/>
      <c r="B653" s="149"/>
      <c r="C653" s="11"/>
      <c r="D653" s="11"/>
      <c r="E653" s="11"/>
      <c r="F653" s="184"/>
      <c r="G653" s="11"/>
      <c r="H653" s="11"/>
      <c r="I653" s="11"/>
      <c r="J653" s="11"/>
      <c r="K653" s="11"/>
      <c r="L653" s="6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</row>
    <row r="654" spans="1:51">
      <c r="A654" s="11"/>
      <c r="B654" s="149"/>
      <c r="C654" s="11"/>
      <c r="D654" s="11"/>
      <c r="E654" s="11"/>
      <c r="F654" s="184"/>
      <c r="G654" s="11"/>
      <c r="H654" s="11"/>
      <c r="I654" s="11"/>
      <c r="J654" s="11"/>
      <c r="K654" s="11"/>
      <c r="L654" s="6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</row>
    <row r="655" spans="1:51">
      <c r="A655" s="11"/>
      <c r="B655" s="149"/>
      <c r="C655" s="11"/>
      <c r="D655" s="11"/>
      <c r="E655" s="11"/>
      <c r="F655" s="184"/>
      <c r="G655" s="11"/>
      <c r="H655" s="11"/>
      <c r="I655" s="11"/>
      <c r="J655" s="11"/>
      <c r="K655" s="11"/>
      <c r="L655" s="6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</row>
    <row r="656" spans="1:51">
      <c r="A656" s="11"/>
      <c r="B656" s="149"/>
      <c r="C656" s="11"/>
      <c r="D656" s="11"/>
      <c r="E656" s="11"/>
      <c r="F656" s="184"/>
      <c r="G656" s="11"/>
      <c r="H656" s="11"/>
      <c r="I656" s="11"/>
      <c r="J656" s="11"/>
      <c r="K656" s="11"/>
      <c r="L656" s="6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</row>
    <row r="657" spans="1:51">
      <c r="A657" s="11"/>
      <c r="B657" s="149"/>
      <c r="C657" s="11"/>
      <c r="D657" s="11"/>
      <c r="E657" s="11"/>
      <c r="F657" s="184"/>
      <c r="G657" s="11"/>
      <c r="H657" s="11"/>
      <c r="I657" s="11"/>
      <c r="J657" s="11"/>
      <c r="K657" s="11"/>
      <c r="L657" s="6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</row>
    <row r="658" spans="1:51">
      <c r="A658" s="11"/>
      <c r="B658" s="149"/>
      <c r="C658" s="11"/>
      <c r="D658" s="11"/>
      <c r="E658" s="11"/>
      <c r="F658" s="184"/>
      <c r="G658" s="11"/>
      <c r="H658" s="11"/>
      <c r="I658" s="11"/>
      <c r="J658" s="11"/>
      <c r="K658" s="11"/>
      <c r="L658" s="6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</row>
    <row r="659" spans="1:51">
      <c r="A659" s="11"/>
      <c r="B659" s="149"/>
      <c r="C659" s="11"/>
      <c r="D659" s="11"/>
      <c r="E659" s="11"/>
      <c r="F659" s="184"/>
      <c r="G659" s="11"/>
      <c r="H659" s="11"/>
      <c r="I659" s="11"/>
      <c r="J659" s="11"/>
      <c r="K659" s="11"/>
      <c r="L659" s="6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</row>
    <row r="660" spans="1:51">
      <c r="A660" s="11"/>
      <c r="B660" s="149"/>
      <c r="C660" s="11"/>
      <c r="D660" s="11"/>
      <c r="E660" s="11"/>
      <c r="F660" s="184"/>
      <c r="G660" s="11"/>
      <c r="H660" s="11"/>
      <c r="I660" s="11"/>
      <c r="J660" s="11"/>
      <c r="K660" s="11"/>
      <c r="L660" s="6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</row>
    <row r="661" spans="1:51">
      <c r="A661" s="11"/>
      <c r="B661" s="149"/>
      <c r="C661" s="11"/>
      <c r="D661" s="11"/>
      <c r="E661" s="11"/>
      <c r="F661" s="184"/>
      <c r="G661" s="11"/>
      <c r="H661" s="11"/>
      <c r="I661" s="11"/>
      <c r="J661" s="11"/>
      <c r="K661" s="11"/>
      <c r="L661" s="6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</row>
    <row r="662" spans="1:51">
      <c r="A662" s="11"/>
      <c r="B662" s="149"/>
      <c r="C662" s="11"/>
      <c r="D662" s="11"/>
      <c r="E662" s="11"/>
      <c r="F662" s="184"/>
      <c r="G662" s="11"/>
      <c r="H662" s="11"/>
      <c r="I662" s="11"/>
      <c r="J662" s="11"/>
      <c r="K662" s="11"/>
      <c r="L662" s="6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</row>
    <row r="663" spans="1:51">
      <c r="A663" s="11"/>
      <c r="B663" s="149"/>
      <c r="C663" s="11"/>
      <c r="D663" s="11"/>
      <c r="E663" s="11"/>
      <c r="F663" s="184"/>
      <c r="G663" s="11"/>
      <c r="H663" s="11"/>
      <c r="I663" s="11"/>
      <c r="J663" s="11"/>
      <c r="K663" s="11"/>
      <c r="L663" s="6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</row>
    <row r="664" spans="1:51">
      <c r="A664" s="11"/>
      <c r="B664" s="149"/>
      <c r="C664" s="11"/>
      <c r="D664" s="11"/>
      <c r="E664" s="11"/>
      <c r="F664" s="184"/>
      <c r="G664" s="11"/>
      <c r="H664" s="11"/>
      <c r="I664" s="11"/>
      <c r="J664" s="11"/>
      <c r="K664" s="11"/>
      <c r="L664" s="6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</row>
    <row r="665" spans="1:51">
      <c r="A665" s="11"/>
      <c r="B665" s="149"/>
      <c r="C665" s="11"/>
      <c r="D665" s="11"/>
      <c r="E665" s="11"/>
      <c r="F665" s="184"/>
      <c r="G665" s="11"/>
      <c r="H665" s="11"/>
      <c r="I665" s="11"/>
      <c r="J665" s="11"/>
      <c r="K665" s="11"/>
      <c r="L665" s="6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</row>
    <row r="666" spans="1:51">
      <c r="A666" s="11"/>
      <c r="B666" s="149"/>
      <c r="C666" s="11"/>
      <c r="D666" s="11"/>
      <c r="E666" s="11"/>
      <c r="F666" s="184"/>
      <c r="G666" s="11"/>
      <c r="H666" s="11"/>
      <c r="I666" s="11"/>
      <c r="J666" s="11"/>
      <c r="K666" s="11"/>
      <c r="L666" s="6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</row>
    <row r="667" spans="1:51">
      <c r="A667" s="11"/>
      <c r="B667" s="149"/>
      <c r="C667" s="11"/>
      <c r="D667" s="11"/>
      <c r="E667" s="11"/>
      <c r="F667" s="184"/>
      <c r="G667" s="11"/>
      <c r="H667" s="11"/>
      <c r="I667" s="11"/>
      <c r="J667" s="11"/>
      <c r="K667" s="11"/>
      <c r="L667" s="6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</row>
    <row r="668" spans="1:51">
      <c r="A668" s="11"/>
      <c r="B668" s="149"/>
      <c r="C668" s="11"/>
      <c r="D668" s="11"/>
      <c r="E668" s="11"/>
      <c r="F668" s="184"/>
      <c r="G668" s="11"/>
      <c r="H668" s="11"/>
      <c r="I668" s="11"/>
      <c r="J668" s="11"/>
      <c r="K668" s="11"/>
      <c r="L668" s="6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</row>
    <row r="669" spans="1:51">
      <c r="A669" s="11"/>
      <c r="B669" s="149"/>
      <c r="C669" s="11"/>
      <c r="D669" s="11"/>
      <c r="E669" s="11"/>
      <c r="F669" s="184"/>
      <c r="G669" s="11"/>
      <c r="H669" s="11"/>
      <c r="I669" s="11"/>
      <c r="J669" s="11"/>
      <c r="K669" s="11"/>
      <c r="L669" s="6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</row>
    <row r="670" spans="1:51">
      <c r="A670" s="11"/>
      <c r="B670" s="149"/>
      <c r="C670" s="11"/>
      <c r="D670" s="11"/>
      <c r="E670" s="11"/>
      <c r="F670" s="184"/>
      <c r="G670" s="11"/>
      <c r="H670" s="11"/>
      <c r="I670" s="11"/>
      <c r="J670" s="11"/>
      <c r="K670" s="11"/>
      <c r="L670" s="6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</row>
    <row r="671" spans="1:51">
      <c r="A671" s="11"/>
      <c r="B671" s="149"/>
      <c r="C671" s="11"/>
      <c r="D671" s="11"/>
      <c r="E671" s="11"/>
      <c r="F671" s="184"/>
      <c r="G671" s="11"/>
      <c r="H671" s="11"/>
      <c r="I671" s="11"/>
      <c r="J671" s="11"/>
      <c r="K671" s="11"/>
      <c r="L671" s="6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</row>
    <row r="672" spans="1:51">
      <c r="A672" s="11"/>
      <c r="B672" s="149"/>
      <c r="C672" s="11"/>
      <c r="D672" s="11"/>
      <c r="E672" s="11"/>
      <c r="F672" s="184"/>
      <c r="G672" s="11"/>
      <c r="H672" s="11"/>
      <c r="I672" s="11"/>
      <c r="J672" s="11"/>
      <c r="K672" s="11"/>
      <c r="L672" s="6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</row>
    <row r="673" spans="1:51">
      <c r="A673" s="11"/>
      <c r="B673" s="149"/>
      <c r="C673" s="11"/>
      <c r="D673" s="11"/>
      <c r="E673" s="11"/>
      <c r="F673" s="184"/>
      <c r="G673" s="11"/>
      <c r="H673" s="11"/>
      <c r="I673" s="11"/>
      <c r="J673" s="11"/>
      <c r="K673" s="11"/>
      <c r="L673" s="6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</row>
    <row r="674" spans="1:51">
      <c r="A674" s="11"/>
      <c r="B674" s="149"/>
      <c r="C674" s="11"/>
      <c r="D674" s="11"/>
      <c r="E674" s="11"/>
      <c r="F674" s="184"/>
      <c r="G674" s="11"/>
      <c r="H674" s="11"/>
      <c r="I674" s="11"/>
      <c r="J674" s="11"/>
      <c r="K674" s="11"/>
      <c r="L674" s="6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</row>
    <row r="675" spans="1:51">
      <c r="A675" s="11"/>
      <c r="B675" s="149"/>
      <c r="C675" s="11"/>
      <c r="D675" s="11"/>
      <c r="E675" s="11"/>
      <c r="F675" s="184"/>
      <c r="G675" s="11"/>
      <c r="H675" s="11"/>
      <c r="I675" s="11"/>
      <c r="J675" s="11"/>
      <c r="K675" s="11"/>
      <c r="L675" s="6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</row>
    <row r="676" spans="1:51">
      <c r="A676" s="11"/>
      <c r="B676" s="149"/>
      <c r="C676" s="11"/>
      <c r="D676" s="11"/>
      <c r="E676" s="11"/>
      <c r="F676" s="184"/>
      <c r="G676" s="11"/>
      <c r="H676" s="11"/>
      <c r="I676" s="11"/>
      <c r="J676" s="11"/>
      <c r="K676" s="11"/>
      <c r="L676" s="6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</row>
    <row r="677" spans="1:51">
      <c r="A677" s="11"/>
      <c r="B677" s="149"/>
      <c r="C677" s="11"/>
      <c r="D677" s="11"/>
      <c r="E677" s="11"/>
      <c r="F677" s="184"/>
      <c r="G677" s="11"/>
      <c r="H677" s="11"/>
      <c r="I677" s="11"/>
      <c r="J677" s="11"/>
      <c r="K677" s="11"/>
      <c r="L677" s="6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</row>
    <row r="678" spans="1:51">
      <c r="A678" s="11"/>
      <c r="B678" s="149"/>
      <c r="C678" s="11"/>
      <c r="D678" s="11"/>
      <c r="E678" s="11"/>
      <c r="F678" s="184"/>
      <c r="G678" s="11"/>
      <c r="H678" s="11"/>
      <c r="I678" s="11"/>
      <c r="J678" s="11"/>
      <c r="K678" s="11"/>
      <c r="L678" s="6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</row>
    <row r="679" spans="1:51">
      <c r="A679" s="11"/>
      <c r="B679" s="149"/>
      <c r="C679" s="11"/>
      <c r="D679" s="11"/>
      <c r="E679" s="11"/>
      <c r="F679" s="184"/>
      <c r="G679" s="11"/>
      <c r="H679" s="11"/>
      <c r="I679" s="11"/>
      <c r="J679" s="11"/>
      <c r="K679" s="11"/>
      <c r="L679" s="6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</row>
    <row r="680" spans="1:51">
      <c r="A680" s="11"/>
      <c r="B680" s="149"/>
      <c r="C680" s="11"/>
      <c r="D680" s="11"/>
      <c r="E680" s="11"/>
      <c r="F680" s="184"/>
      <c r="G680" s="11"/>
      <c r="H680" s="11"/>
      <c r="I680" s="11"/>
      <c r="J680" s="11"/>
      <c r="K680" s="11"/>
      <c r="L680" s="6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</row>
    <row r="681" spans="1:51">
      <c r="A681" s="11"/>
      <c r="B681" s="149"/>
      <c r="C681" s="11"/>
      <c r="D681" s="11"/>
      <c r="E681" s="11"/>
      <c r="F681" s="184"/>
      <c r="G681" s="11"/>
      <c r="H681" s="11"/>
      <c r="I681" s="11"/>
      <c r="J681" s="11"/>
      <c r="K681" s="11"/>
      <c r="L681" s="6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</row>
    <row r="682" spans="1:51">
      <c r="A682" s="11"/>
      <c r="B682" s="149"/>
      <c r="C682" s="11"/>
      <c r="D682" s="11"/>
      <c r="E682" s="11"/>
      <c r="F682" s="184"/>
      <c r="G682" s="11"/>
      <c r="H682" s="11"/>
      <c r="I682" s="11"/>
      <c r="J682" s="11"/>
      <c r="K682" s="11"/>
      <c r="L682" s="6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</row>
    <row r="683" spans="1:51">
      <c r="A683" s="11"/>
      <c r="B683" s="149"/>
      <c r="C683" s="11"/>
      <c r="D683" s="11"/>
      <c r="E683" s="11"/>
      <c r="F683" s="184"/>
      <c r="G683" s="11"/>
      <c r="H683" s="11"/>
      <c r="I683" s="11"/>
      <c r="J683" s="11"/>
      <c r="K683" s="11"/>
      <c r="L683" s="6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</row>
    <row r="684" spans="1:51">
      <c r="A684" s="11"/>
      <c r="B684" s="149"/>
      <c r="C684" s="11"/>
      <c r="D684" s="11"/>
      <c r="E684" s="11"/>
      <c r="F684" s="184"/>
      <c r="G684" s="11"/>
      <c r="H684" s="11"/>
      <c r="I684" s="11"/>
      <c r="J684" s="11"/>
      <c r="K684" s="11"/>
      <c r="L684" s="6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</row>
    <row r="685" spans="1:51">
      <c r="A685" s="11"/>
      <c r="B685" s="149"/>
      <c r="C685" s="11"/>
      <c r="D685" s="11"/>
      <c r="E685" s="11"/>
      <c r="F685" s="184"/>
      <c r="G685" s="11"/>
      <c r="H685" s="11"/>
      <c r="I685" s="11"/>
      <c r="J685" s="11"/>
      <c r="K685" s="11"/>
      <c r="L685" s="6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</row>
    <row r="686" spans="1:51">
      <c r="A686" s="11"/>
      <c r="B686" s="149"/>
      <c r="C686" s="11"/>
      <c r="D686" s="11"/>
      <c r="E686" s="11"/>
      <c r="F686" s="184"/>
      <c r="G686" s="11"/>
      <c r="H686" s="11"/>
      <c r="I686" s="11"/>
      <c r="J686" s="11"/>
      <c r="K686" s="11"/>
      <c r="L686" s="6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</row>
    <row r="687" spans="1:51">
      <c r="A687" s="11"/>
      <c r="B687" s="149"/>
      <c r="C687" s="11"/>
      <c r="D687" s="11"/>
      <c r="E687" s="11"/>
      <c r="F687" s="184"/>
      <c r="G687" s="11"/>
      <c r="H687" s="11"/>
      <c r="I687" s="11"/>
      <c r="J687" s="11"/>
      <c r="K687" s="11"/>
      <c r="L687" s="6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</row>
    <row r="688" spans="1:51">
      <c r="A688" s="11"/>
      <c r="B688" s="149"/>
      <c r="C688" s="11"/>
      <c r="D688" s="11"/>
      <c r="E688" s="11"/>
      <c r="F688" s="184"/>
      <c r="G688" s="11"/>
      <c r="H688" s="11"/>
      <c r="I688" s="11"/>
      <c r="J688" s="11"/>
      <c r="K688" s="11"/>
      <c r="L688" s="6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</row>
    <row r="689" spans="1:51">
      <c r="A689" s="11"/>
      <c r="B689" s="149"/>
      <c r="C689" s="11"/>
      <c r="D689" s="11"/>
      <c r="E689" s="11"/>
      <c r="F689" s="184"/>
      <c r="G689" s="11"/>
      <c r="H689" s="11"/>
      <c r="I689" s="11"/>
      <c r="J689" s="11"/>
      <c r="K689" s="11"/>
      <c r="L689" s="6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</row>
    <row r="690" spans="1:51">
      <c r="A690" s="11"/>
      <c r="B690" s="149"/>
      <c r="C690" s="11"/>
      <c r="D690" s="11"/>
      <c r="E690" s="11"/>
      <c r="F690" s="184"/>
      <c r="G690" s="11"/>
      <c r="H690" s="11"/>
      <c r="I690" s="11"/>
      <c r="J690" s="11"/>
      <c r="K690" s="11"/>
      <c r="L690" s="6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</row>
    <row r="691" spans="1:51">
      <c r="A691" s="11"/>
      <c r="B691" s="149"/>
      <c r="C691" s="11"/>
      <c r="D691" s="11"/>
      <c r="E691" s="11"/>
      <c r="F691" s="184"/>
      <c r="G691" s="11"/>
      <c r="H691" s="11"/>
      <c r="I691" s="11"/>
      <c r="J691" s="11"/>
      <c r="K691" s="11"/>
      <c r="L691" s="6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</row>
    <row r="692" spans="1:51">
      <c r="A692" s="11"/>
      <c r="B692" s="149"/>
      <c r="C692" s="11"/>
      <c r="D692" s="11"/>
      <c r="E692" s="11"/>
      <c r="F692" s="184"/>
      <c r="G692" s="11"/>
      <c r="H692" s="11"/>
      <c r="I692" s="11"/>
      <c r="J692" s="11"/>
      <c r="K692" s="11"/>
      <c r="L692" s="6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</row>
    <row r="693" spans="1:51">
      <c r="A693" s="11"/>
      <c r="B693" s="149"/>
      <c r="C693" s="11"/>
      <c r="D693" s="11"/>
      <c r="E693" s="11"/>
      <c r="F693" s="184"/>
      <c r="G693" s="11"/>
      <c r="H693" s="11"/>
      <c r="I693" s="11"/>
      <c r="J693" s="11"/>
      <c r="K693" s="11"/>
      <c r="L693" s="6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</row>
    <row r="694" spans="1:51">
      <c r="A694" s="11"/>
      <c r="B694" s="149"/>
      <c r="C694" s="11"/>
      <c r="D694" s="11"/>
      <c r="E694" s="11"/>
      <c r="F694" s="184"/>
      <c r="G694" s="11"/>
      <c r="H694" s="11"/>
      <c r="I694" s="11"/>
      <c r="J694" s="11"/>
      <c r="K694" s="11"/>
      <c r="L694" s="6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</row>
    <row r="695" spans="1:51">
      <c r="A695" s="11"/>
      <c r="B695" s="149"/>
      <c r="C695" s="11"/>
      <c r="D695" s="11"/>
      <c r="E695" s="11"/>
      <c r="F695" s="184"/>
      <c r="G695" s="11"/>
      <c r="H695" s="11"/>
      <c r="I695" s="11"/>
      <c r="J695" s="11"/>
      <c r="K695" s="11"/>
      <c r="L695" s="6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</row>
    <row r="696" spans="1:51">
      <c r="A696" s="11"/>
      <c r="B696" s="149"/>
      <c r="C696" s="11"/>
      <c r="D696" s="11"/>
      <c r="E696" s="11"/>
      <c r="F696" s="184"/>
      <c r="G696" s="11"/>
      <c r="H696" s="11"/>
      <c r="I696" s="11"/>
      <c r="J696" s="11"/>
      <c r="K696" s="11"/>
      <c r="L696" s="6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</row>
    <row r="697" spans="1:51">
      <c r="A697" s="11"/>
      <c r="B697" s="149"/>
      <c r="C697" s="11"/>
      <c r="D697" s="11"/>
      <c r="E697" s="11"/>
      <c r="F697" s="184"/>
      <c r="G697" s="11"/>
      <c r="H697" s="11"/>
      <c r="I697" s="11"/>
      <c r="J697" s="11"/>
      <c r="K697" s="11"/>
      <c r="L697" s="6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</row>
    <row r="698" spans="1:51">
      <c r="A698" s="11"/>
      <c r="B698" s="149"/>
      <c r="C698" s="11"/>
      <c r="D698" s="11"/>
      <c r="E698" s="11"/>
      <c r="F698" s="184"/>
      <c r="G698" s="11"/>
      <c r="H698" s="11"/>
      <c r="I698" s="11"/>
      <c r="J698" s="11"/>
      <c r="K698" s="11"/>
      <c r="L698" s="6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</row>
    <row r="699" spans="1:51">
      <c r="A699" s="11"/>
      <c r="B699" s="149"/>
      <c r="C699" s="11"/>
      <c r="D699" s="11"/>
      <c r="E699" s="11"/>
      <c r="F699" s="184"/>
      <c r="G699" s="11"/>
      <c r="H699" s="11"/>
      <c r="I699" s="11"/>
      <c r="J699" s="11"/>
      <c r="K699" s="11"/>
      <c r="L699" s="6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</row>
    <row r="700" spans="1:51">
      <c r="A700" s="11"/>
      <c r="B700" s="149"/>
      <c r="C700" s="11"/>
      <c r="D700" s="11"/>
      <c r="E700" s="11"/>
      <c r="F700" s="184"/>
      <c r="G700" s="11"/>
      <c r="H700" s="11"/>
      <c r="I700" s="11"/>
      <c r="J700" s="11"/>
      <c r="K700" s="11"/>
      <c r="L700" s="6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</row>
    <row r="701" spans="1:51">
      <c r="A701" s="11"/>
      <c r="B701" s="149"/>
      <c r="C701" s="11"/>
      <c r="D701" s="11"/>
      <c r="E701" s="11"/>
      <c r="F701" s="184"/>
      <c r="G701" s="11"/>
      <c r="H701" s="11"/>
      <c r="I701" s="11"/>
      <c r="J701" s="11"/>
      <c r="K701" s="11"/>
      <c r="L701" s="6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</row>
    <row r="702" spans="1:51">
      <c r="A702" s="11"/>
      <c r="B702" s="149"/>
      <c r="C702" s="11"/>
      <c r="D702" s="11"/>
      <c r="E702" s="11"/>
      <c r="F702" s="184"/>
      <c r="G702" s="11"/>
      <c r="H702" s="11"/>
      <c r="I702" s="11"/>
      <c r="J702" s="11"/>
      <c r="K702" s="11"/>
      <c r="L702" s="6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</row>
    <row r="703" spans="1:51">
      <c r="A703" s="11"/>
      <c r="B703" s="149"/>
      <c r="C703" s="11"/>
      <c r="D703" s="11"/>
      <c r="E703" s="11"/>
      <c r="F703" s="184"/>
      <c r="G703" s="11"/>
      <c r="H703" s="11"/>
      <c r="I703" s="11"/>
      <c r="J703" s="11"/>
      <c r="K703" s="11"/>
      <c r="L703" s="6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</row>
    <row r="704" spans="1:51">
      <c r="A704" s="11"/>
      <c r="B704" s="149"/>
      <c r="C704" s="11"/>
      <c r="D704" s="11"/>
      <c r="E704" s="11"/>
      <c r="F704" s="184"/>
      <c r="G704" s="11"/>
      <c r="H704" s="11"/>
      <c r="I704" s="11"/>
      <c r="J704" s="11"/>
      <c r="K704" s="11"/>
      <c r="L704" s="6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</row>
    <row r="705" spans="1:51">
      <c r="A705" s="11"/>
      <c r="B705" s="149"/>
      <c r="C705" s="11"/>
      <c r="D705" s="11"/>
      <c r="E705" s="11"/>
      <c r="F705" s="184"/>
      <c r="G705" s="11"/>
      <c r="H705" s="11"/>
      <c r="I705" s="11"/>
      <c r="J705" s="11"/>
      <c r="K705" s="11"/>
      <c r="L705" s="6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</row>
    <row r="706" spans="1:51">
      <c r="A706" s="11"/>
      <c r="B706" s="149"/>
      <c r="C706" s="11"/>
      <c r="D706" s="11"/>
      <c r="E706" s="11"/>
      <c r="F706" s="184"/>
      <c r="G706" s="11"/>
      <c r="H706" s="11"/>
      <c r="I706" s="11"/>
      <c r="J706" s="11"/>
      <c r="K706" s="11"/>
      <c r="L706" s="6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</row>
    <row r="707" spans="1:51">
      <c r="A707" s="11"/>
      <c r="B707" s="149"/>
      <c r="C707" s="11"/>
      <c r="D707" s="11"/>
      <c r="E707" s="11"/>
      <c r="F707" s="184"/>
      <c r="G707" s="11"/>
      <c r="H707" s="11"/>
      <c r="I707" s="11"/>
      <c r="J707" s="11"/>
      <c r="K707" s="11"/>
      <c r="L707" s="6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</row>
    <row r="708" spans="1:51">
      <c r="A708" s="11"/>
      <c r="B708" s="149"/>
      <c r="C708" s="11"/>
      <c r="D708" s="11"/>
      <c r="E708" s="11"/>
      <c r="F708" s="184"/>
      <c r="G708" s="11"/>
      <c r="H708" s="11"/>
      <c r="I708" s="11"/>
      <c r="J708" s="11"/>
      <c r="K708" s="11"/>
      <c r="L708" s="6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</row>
    <row r="709" spans="1:51">
      <c r="A709" s="11"/>
      <c r="B709" s="149"/>
      <c r="C709" s="11"/>
      <c r="D709" s="11"/>
      <c r="E709" s="11"/>
      <c r="F709" s="184"/>
      <c r="G709" s="11"/>
      <c r="H709" s="11"/>
      <c r="I709" s="11"/>
      <c r="J709" s="11"/>
      <c r="K709" s="11"/>
      <c r="L709" s="6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</row>
    <row r="710" spans="1:51">
      <c r="A710" s="11"/>
      <c r="B710" s="149"/>
      <c r="C710" s="11"/>
      <c r="D710" s="11"/>
      <c r="E710" s="11"/>
      <c r="F710" s="184"/>
      <c r="G710" s="11"/>
      <c r="H710" s="11"/>
      <c r="I710" s="11"/>
      <c r="J710" s="11"/>
      <c r="K710" s="11"/>
      <c r="L710" s="6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</row>
    <row r="711" spans="1:51">
      <c r="A711" s="11"/>
      <c r="B711" s="149"/>
      <c r="C711" s="11"/>
      <c r="D711" s="11"/>
      <c r="E711" s="11"/>
      <c r="F711" s="184"/>
      <c r="G711" s="11"/>
      <c r="H711" s="11"/>
      <c r="I711" s="11"/>
      <c r="J711" s="11"/>
      <c r="K711" s="11"/>
      <c r="L711" s="6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</row>
    <row r="712" spans="1:51">
      <c r="A712" s="11"/>
      <c r="B712" s="149"/>
      <c r="C712" s="11"/>
      <c r="D712" s="11"/>
      <c r="E712" s="11"/>
      <c r="F712" s="184"/>
      <c r="G712" s="11"/>
      <c r="H712" s="11"/>
      <c r="I712" s="11"/>
      <c r="J712" s="11"/>
      <c r="K712" s="11"/>
      <c r="L712" s="6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</row>
    <row r="713" spans="1:51">
      <c r="A713" s="11"/>
      <c r="B713" s="149"/>
      <c r="C713" s="11"/>
      <c r="D713" s="11"/>
      <c r="E713" s="11"/>
      <c r="F713" s="184"/>
      <c r="G713" s="11"/>
      <c r="H713" s="11"/>
      <c r="I713" s="11"/>
      <c r="J713" s="11"/>
      <c r="K713" s="11"/>
      <c r="L713" s="6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</row>
    <row r="714" spans="1:51">
      <c r="A714" s="11"/>
      <c r="B714" s="149"/>
      <c r="C714" s="11"/>
      <c r="D714" s="11"/>
      <c r="E714" s="11"/>
      <c r="F714" s="184"/>
      <c r="G714" s="11"/>
      <c r="H714" s="11"/>
      <c r="I714" s="11"/>
      <c r="J714" s="11"/>
      <c r="K714" s="11"/>
      <c r="L714" s="6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</row>
    <row r="715" spans="1:51">
      <c r="A715" s="11"/>
      <c r="B715" s="149"/>
      <c r="C715" s="11"/>
      <c r="D715" s="11"/>
      <c r="E715" s="11"/>
      <c r="F715" s="184"/>
      <c r="G715" s="11"/>
      <c r="H715" s="11"/>
      <c r="I715" s="11"/>
      <c r="J715" s="11"/>
      <c r="K715" s="11"/>
      <c r="L715" s="6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</row>
    <row r="716" spans="1:51">
      <c r="A716" s="11"/>
      <c r="B716" s="149"/>
      <c r="C716" s="11"/>
      <c r="D716" s="11"/>
      <c r="E716" s="11"/>
      <c r="F716" s="184"/>
      <c r="G716" s="11"/>
      <c r="H716" s="11"/>
      <c r="I716" s="11"/>
      <c r="J716" s="11"/>
      <c r="K716" s="11"/>
      <c r="L716" s="6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</row>
    <row r="717" spans="1:51">
      <c r="A717" s="11"/>
      <c r="B717" s="149"/>
      <c r="C717" s="11"/>
      <c r="D717" s="11"/>
      <c r="E717" s="11"/>
      <c r="F717" s="184"/>
      <c r="G717" s="11"/>
      <c r="H717" s="11"/>
      <c r="I717" s="11"/>
      <c r="J717" s="11"/>
      <c r="K717" s="11"/>
      <c r="L717" s="6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</row>
    <row r="718" spans="1:51">
      <c r="A718" s="11"/>
      <c r="B718" s="149"/>
      <c r="C718" s="11"/>
      <c r="D718" s="11"/>
      <c r="E718" s="11"/>
      <c r="F718" s="184"/>
      <c r="G718" s="11"/>
      <c r="H718" s="11"/>
      <c r="I718" s="11"/>
      <c r="J718" s="11"/>
      <c r="K718" s="11"/>
      <c r="L718" s="6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</row>
    <row r="719" spans="1:51">
      <c r="A719" s="11"/>
      <c r="B719" s="149"/>
      <c r="C719" s="11"/>
      <c r="D719" s="11"/>
      <c r="E719" s="11"/>
      <c r="F719" s="184"/>
      <c r="G719" s="11"/>
      <c r="H719" s="11"/>
      <c r="I719" s="11"/>
      <c r="J719" s="11"/>
      <c r="K719" s="11"/>
      <c r="L719" s="6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</row>
    <row r="720" spans="1:51">
      <c r="A720" s="11"/>
      <c r="B720" s="149"/>
      <c r="C720" s="11"/>
      <c r="D720" s="11"/>
      <c r="E720" s="11"/>
      <c r="F720" s="184"/>
      <c r="G720" s="11"/>
      <c r="H720" s="11"/>
      <c r="I720" s="11"/>
      <c r="J720" s="11"/>
      <c r="K720" s="11"/>
      <c r="L720" s="6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</row>
    <row r="721" spans="1:51">
      <c r="A721" s="11"/>
      <c r="B721" s="149"/>
      <c r="C721" s="11"/>
      <c r="D721" s="11"/>
      <c r="E721" s="11"/>
      <c r="F721" s="184"/>
      <c r="G721" s="11"/>
      <c r="H721" s="11"/>
      <c r="I721" s="11"/>
      <c r="J721" s="11"/>
      <c r="K721" s="11"/>
      <c r="L721" s="6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</row>
    <row r="722" spans="1:51">
      <c r="A722" s="11"/>
      <c r="B722" s="149"/>
      <c r="C722" s="11"/>
      <c r="D722" s="11"/>
      <c r="E722" s="11"/>
      <c r="F722" s="184"/>
      <c r="G722" s="11"/>
      <c r="H722" s="11"/>
      <c r="I722" s="11"/>
      <c r="J722" s="11"/>
      <c r="K722" s="11"/>
      <c r="L722" s="6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</row>
    <row r="723" spans="1:51">
      <c r="A723" s="11"/>
      <c r="B723" s="149"/>
      <c r="C723" s="11"/>
      <c r="D723" s="11"/>
      <c r="E723" s="11"/>
      <c r="F723" s="184"/>
      <c r="G723" s="11"/>
      <c r="H723" s="11"/>
      <c r="I723" s="11"/>
      <c r="J723" s="11"/>
      <c r="K723" s="11"/>
      <c r="L723" s="6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</row>
    <row r="724" spans="1:51">
      <c r="A724" s="11"/>
      <c r="B724" s="149"/>
      <c r="C724" s="11"/>
      <c r="D724" s="11"/>
      <c r="E724" s="11"/>
      <c r="F724" s="184"/>
      <c r="G724" s="11"/>
      <c r="H724" s="11"/>
      <c r="I724" s="11"/>
      <c r="J724" s="11"/>
      <c r="K724" s="11"/>
      <c r="L724" s="6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</row>
    <row r="725" spans="1:51">
      <c r="A725" s="11"/>
      <c r="B725" s="149"/>
      <c r="C725" s="11"/>
      <c r="D725" s="11"/>
      <c r="E725" s="11"/>
      <c r="F725" s="184"/>
      <c r="G725" s="11"/>
      <c r="H725" s="11"/>
      <c r="I725" s="11"/>
      <c r="J725" s="11"/>
      <c r="K725" s="11"/>
      <c r="L725" s="6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</row>
    <row r="726" spans="1:51">
      <c r="A726" s="11"/>
      <c r="B726" s="149"/>
      <c r="C726" s="11"/>
      <c r="D726" s="11"/>
      <c r="E726" s="11"/>
      <c r="F726" s="184"/>
      <c r="G726" s="11"/>
      <c r="H726" s="11"/>
      <c r="I726" s="11"/>
      <c r="J726" s="11"/>
      <c r="K726" s="11"/>
      <c r="L726" s="6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</row>
    <row r="727" spans="1:51">
      <c r="A727" s="11"/>
      <c r="B727" s="149"/>
      <c r="C727" s="11"/>
      <c r="D727" s="11"/>
      <c r="E727" s="11"/>
      <c r="F727" s="184"/>
      <c r="G727" s="11"/>
      <c r="H727" s="11"/>
      <c r="I727" s="11"/>
      <c r="J727" s="11"/>
      <c r="K727" s="11"/>
      <c r="L727" s="6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</row>
    <row r="728" spans="1:51">
      <c r="A728" s="11"/>
      <c r="B728" s="149"/>
      <c r="C728" s="11"/>
      <c r="D728" s="11"/>
      <c r="E728" s="11"/>
      <c r="F728" s="184"/>
      <c r="G728" s="11"/>
      <c r="H728" s="11"/>
      <c r="I728" s="11"/>
      <c r="J728" s="11"/>
      <c r="K728" s="11"/>
      <c r="L728" s="6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</row>
    <row r="729" spans="1:51">
      <c r="A729" s="11"/>
      <c r="B729" s="149"/>
      <c r="C729" s="11"/>
      <c r="D729" s="11"/>
      <c r="E729" s="11"/>
      <c r="F729" s="184"/>
      <c r="G729" s="11"/>
      <c r="H729" s="11"/>
      <c r="I729" s="11"/>
      <c r="J729" s="11"/>
      <c r="K729" s="11"/>
      <c r="L729" s="6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</row>
    <row r="730" spans="1:51">
      <c r="A730" s="11"/>
      <c r="B730" s="149"/>
      <c r="C730" s="11"/>
      <c r="D730" s="11"/>
      <c r="E730" s="11"/>
      <c r="F730" s="184"/>
      <c r="G730" s="11"/>
      <c r="H730" s="11"/>
      <c r="I730" s="11"/>
      <c r="J730" s="11"/>
      <c r="K730" s="11"/>
      <c r="L730" s="6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</row>
    <row r="731" spans="1:51">
      <c r="A731" s="11"/>
      <c r="B731" s="149"/>
      <c r="C731" s="11"/>
      <c r="D731" s="11"/>
      <c r="E731" s="11"/>
      <c r="F731" s="184"/>
      <c r="G731" s="11"/>
      <c r="H731" s="11"/>
      <c r="I731" s="11"/>
      <c r="J731" s="11"/>
      <c r="K731" s="11"/>
      <c r="L731" s="6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</row>
    <row r="732" spans="1:51">
      <c r="A732" s="11"/>
      <c r="B732" s="149"/>
      <c r="C732" s="11"/>
      <c r="D732" s="11"/>
      <c r="E732" s="11"/>
      <c r="F732" s="184"/>
      <c r="G732" s="11"/>
      <c r="H732" s="11"/>
      <c r="I732" s="11"/>
      <c r="J732" s="11"/>
      <c r="K732" s="11"/>
      <c r="L732" s="6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</row>
    <row r="733" spans="1:51">
      <c r="A733" s="11"/>
      <c r="B733" s="149"/>
      <c r="C733" s="11"/>
      <c r="D733" s="11"/>
      <c r="E733" s="11"/>
      <c r="F733" s="184"/>
      <c r="G733" s="11"/>
      <c r="H733" s="11"/>
      <c r="I733" s="11"/>
      <c r="J733" s="11"/>
      <c r="K733" s="11"/>
      <c r="L733" s="6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</row>
    <row r="734" spans="1:51">
      <c r="A734" s="11"/>
      <c r="B734" s="149"/>
      <c r="C734" s="11"/>
      <c r="D734" s="11"/>
      <c r="E734" s="11"/>
      <c r="F734" s="184"/>
      <c r="G734" s="11"/>
      <c r="H734" s="11"/>
      <c r="I734" s="11"/>
      <c r="J734" s="11"/>
      <c r="K734" s="11"/>
      <c r="L734" s="6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</row>
    <row r="735" spans="1:51">
      <c r="A735" s="11"/>
      <c r="B735" s="149"/>
      <c r="C735" s="11"/>
      <c r="D735" s="11"/>
      <c r="E735" s="11"/>
      <c r="F735" s="184"/>
      <c r="G735" s="11"/>
      <c r="H735" s="11"/>
      <c r="I735" s="11"/>
      <c r="J735" s="11"/>
      <c r="K735" s="11"/>
      <c r="L735" s="6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</row>
    <row r="736" spans="1:51">
      <c r="A736" s="11"/>
      <c r="B736" s="149"/>
      <c r="C736" s="11"/>
      <c r="D736" s="11"/>
      <c r="E736" s="11"/>
      <c r="F736" s="184"/>
      <c r="G736" s="11"/>
      <c r="H736" s="11"/>
      <c r="I736" s="11"/>
      <c r="J736" s="11"/>
      <c r="K736" s="11"/>
      <c r="L736" s="6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</row>
    <row r="737" spans="1:51">
      <c r="A737" s="11"/>
      <c r="B737" s="149"/>
      <c r="C737" s="11"/>
      <c r="D737" s="11"/>
      <c r="E737" s="11"/>
      <c r="F737" s="184"/>
      <c r="G737" s="11"/>
      <c r="H737" s="11"/>
      <c r="I737" s="11"/>
      <c r="J737" s="11"/>
      <c r="K737" s="11"/>
      <c r="L737" s="6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</row>
    <row r="738" spans="1:51">
      <c r="A738" s="11"/>
      <c r="B738" s="149"/>
      <c r="C738" s="11"/>
      <c r="D738" s="11"/>
      <c r="E738" s="11"/>
      <c r="F738" s="184"/>
      <c r="G738" s="11"/>
      <c r="H738" s="11"/>
      <c r="I738" s="11"/>
      <c r="J738" s="11"/>
      <c r="K738" s="11"/>
      <c r="L738" s="6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</row>
    <row r="739" spans="1:51">
      <c r="A739" s="11"/>
      <c r="B739" s="149"/>
      <c r="C739" s="11"/>
      <c r="D739" s="11"/>
      <c r="E739" s="11"/>
      <c r="F739" s="184"/>
      <c r="G739" s="11"/>
      <c r="H739" s="11"/>
      <c r="I739" s="11"/>
      <c r="J739" s="11"/>
      <c r="K739" s="11"/>
      <c r="L739" s="6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</row>
    <row r="740" spans="1:51">
      <c r="A740" s="11"/>
      <c r="B740" s="149"/>
      <c r="C740" s="11"/>
      <c r="D740" s="11"/>
      <c r="E740" s="11"/>
      <c r="F740" s="184"/>
      <c r="G740" s="11"/>
      <c r="H740" s="11"/>
      <c r="I740" s="11"/>
      <c r="J740" s="11"/>
      <c r="K740" s="11"/>
      <c r="L740" s="6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</row>
    <row r="741" spans="1:51">
      <c r="A741" s="11"/>
      <c r="B741" s="149"/>
      <c r="C741" s="11"/>
      <c r="D741" s="11"/>
      <c r="E741" s="11"/>
      <c r="F741" s="184"/>
      <c r="G741" s="11"/>
      <c r="H741" s="11"/>
      <c r="I741" s="11"/>
      <c r="J741" s="11"/>
      <c r="K741" s="11"/>
      <c r="L741" s="6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</row>
    <row r="742" spans="1:51">
      <c r="A742" s="11"/>
      <c r="B742" s="149"/>
      <c r="C742" s="11"/>
      <c r="D742" s="11"/>
      <c r="E742" s="11"/>
      <c r="F742" s="184"/>
      <c r="G742" s="11"/>
      <c r="H742" s="11"/>
      <c r="I742" s="11"/>
      <c r="J742" s="11"/>
      <c r="K742" s="11"/>
      <c r="L742" s="6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</row>
    <row r="743" spans="1:51">
      <c r="A743" s="11"/>
      <c r="B743" s="149"/>
      <c r="C743" s="11"/>
      <c r="D743" s="11"/>
      <c r="E743" s="11"/>
      <c r="F743" s="184"/>
      <c r="G743" s="11"/>
      <c r="H743" s="11"/>
      <c r="I743" s="11"/>
      <c r="J743" s="11"/>
      <c r="K743" s="11"/>
      <c r="L743" s="6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</row>
    <row r="744" spans="1:51">
      <c r="A744" s="11"/>
      <c r="B744" s="149"/>
      <c r="C744" s="11"/>
      <c r="D744" s="11"/>
      <c r="E744" s="11"/>
      <c r="F744" s="184"/>
      <c r="G744" s="11"/>
      <c r="H744" s="11"/>
      <c r="I744" s="11"/>
      <c r="J744" s="11"/>
      <c r="K744" s="11"/>
      <c r="L744" s="6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</row>
    <row r="745" spans="1:51">
      <c r="A745" s="11"/>
      <c r="B745" s="149"/>
      <c r="C745" s="11"/>
      <c r="D745" s="11"/>
      <c r="E745" s="11"/>
      <c r="F745" s="184"/>
      <c r="G745" s="11"/>
      <c r="H745" s="11"/>
      <c r="I745" s="11"/>
      <c r="J745" s="11"/>
      <c r="K745" s="11"/>
      <c r="L745" s="6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</row>
    <row r="746" spans="1:51">
      <c r="A746" s="11"/>
      <c r="B746" s="149"/>
      <c r="C746" s="11"/>
      <c r="D746" s="11"/>
      <c r="E746" s="11"/>
      <c r="F746" s="184"/>
      <c r="G746" s="11"/>
      <c r="H746" s="11"/>
      <c r="I746" s="11"/>
      <c r="J746" s="11"/>
      <c r="K746" s="11"/>
      <c r="L746" s="6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</row>
    <row r="747" spans="1:51">
      <c r="A747" s="11"/>
      <c r="B747" s="149"/>
      <c r="C747" s="11"/>
      <c r="D747" s="11"/>
      <c r="E747" s="11"/>
      <c r="F747" s="184"/>
      <c r="G747" s="11"/>
      <c r="H747" s="11"/>
      <c r="I747" s="11"/>
      <c r="J747" s="11"/>
      <c r="K747" s="11"/>
      <c r="L747" s="6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</row>
    <row r="748" spans="1:51">
      <c r="A748" s="11"/>
      <c r="B748" s="149"/>
      <c r="C748" s="11"/>
      <c r="D748" s="11"/>
      <c r="E748" s="11"/>
      <c r="F748" s="184"/>
      <c r="G748" s="11"/>
      <c r="H748" s="11"/>
      <c r="I748" s="11"/>
      <c r="J748" s="11"/>
      <c r="K748" s="11"/>
      <c r="L748" s="6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</row>
    <row r="749" spans="1:51">
      <c r="A749" s="11"/>
      <c r="B749" s="149"/>
      <c r="C749" s="11"/>
      <c r="D749" s="11"/>
      <c r="E749" s="11"/>
      <c r="F749" s="184"/>
      <c r="G749" s="11"/>
      <c r="H749" s="11"/>
      <c r="I749" s="11"/>
      <c r="J749" s="11"/>
      <c r="K749" s="11"/>
      <c r="L749" s="6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</row>
    <row r="750" spans="1:51">
      <c r="A750" s="11"/>
      <c r="B750" s="149"/>
      <c r="C750" s="11"/>
      <c r="D750" s="11"/>
      <c r="E750" s="11"/>
      <c r="F750" s="184"/>
      <c r="G750" s="11"/>
      <c r="H750" s="11"/>
      <c r="I750" s="11"/>
      <c r="J750" s="11"/>
      <c r="K750" s="11"/>
      <c r="L750" s="6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</row>
    <row r="751" spans="1:51">
      <c r="A751" s="11"/>
      <c r="B751" s="149"/>
      <c r="C751" s="11"/>
      <c r="D751" s="11"/>
      <c r="E751" s="11"/>
      <c r="F751" s="184"/>
      <c r="G751" s="11"/>
      <c r="H751" s="11"/>
      <c r="I751" s="11"/>
      <c r="J751" s="11"/>
      <c r="K751" s="11"/>
      <c r="L751" s="6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</row>
    <row r="752" spans="1:51">
      <c r="A752" s="11"/>
      <c r="B752" s="149"/>
      <c r="C752" s="11"/>
      <c r="D752" s="11"/>
      <c r="E752" s="11"/>
      <c r="F752" s="184"/>
      <c r="G752" s="11"/>
      <c r="H752" s="11"/>
      <c r="I752" s="11"/>
      <c r="J752" s="11"/>
      <c r="K752" s="11"/>
      <c r="L752" s="6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</row>
    <row r="753" spans="1:51">
      <c r="A753" s="11"/>
      <c r="B753" s="149"/>
      <c r="C753" s="11"/>
      <c r="D753" s="11"/>
      <c r="E753" s="11"/>
      <c r="F753" s="184"/>
      <c r="G753" s="11"/>
      <c r="H753" s="11"/>
      <c r="I753" s="11"/>
      <c r="J753" s="11"/>
      <c r="K753" s="11"/>
      <c r="L753" s="6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</row>
    <row r="754" spans="1:51">
      <c r="A754" s="11"/>
      <c r="B754" s="149"/>
      <c r="C754" s="11"/>
      <c r="D754" s="11"/>
      <c r="E754" s="11"/>
      <c r="F754" s="184"/>
      <c r="G754" s="11"/>
      <c r="H754" s="11"/>
      <c r="I754" s="11"/>
      <c r="J754" s="11"/>
      <c r="K754" s="11"/>
      <c r="L754" s="6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</row>
    <row r="755" spans="1:51">
      <c r="A755" s="11"/>
      <c r="B755" s="149"/>
      <c r="C755" s="11"/>
      <c r="D755" s="11"/>
      <c r="E755" s="11"/>
      <c r="F755" s="184"/>
      <c r="G755" s="11"/>
      <c r="H755" s="11"/>
      <c r="I755" s="11"/>
      <c r="J755" s="11"/>
      <c r="K755" s="11"/>
      <c r="L755" s="6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</row>
    <row r="756" spans="1:51">
      <c r="A756" s="11"/>
      <c r="B756" s="149"/>
      <c r="C756" s="11"/>
      <c r="D756" s="11"/>
      <c r="E756" s="11"/>
      <c r="F756" s="184"/>
      <c r="G756" s="11"/>
      <c r="H756" s="11"/>
      <c r="I756" s="11"/>
      <c r="J756" s="11"/>
      <c r="K756" s="11"/>
      <c r="L756" s="6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</row>
    <row r="757" spans="1:51">
      <c r="A757" s="11"/>
      <c r="B757" s="149"/>
      <c r="C757" s="11"/>
      <c r="D757" s="11"/>
      <c r="E757" s="11"/>
      <c r="F757" s="184"/>
      <c r="G757" s="11"/>
      <c r="H757" s="11"/>
      <c r="I757" s="11"/>
      <c r="J757" s="11"/>
      <c r="K757" s="11"/>
      <c r="L757" s="6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</row>
    <row r="758" spans="1:51">
      <c r="A758" s="11"/>
      <c r="B758" s="149"/>
      <c r="C758" s="11"/>
      <c r="D758" s="11"/>
      <c r="E758" s="11"/>
      <c r="F758" s="184"/>
      <c r="G758" s="11"/>
      <c r="H758" s="11"/>
      <c r="I758" s="11"/>
      <c r="J758" s="11"/>
      <c r="K758" s="11"/>
      <c r="L758" s="6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</row>
    <row r="759" spans="1:51">
      <c r="A759" s="11"/>
      <c r="B759" s="149"/>
      <c r="C759" s="11"/>
      <c r="D759" s="11"/>
      <c r="E759" s="11"/>
      <c r="F759" s="184"/>
      <c r="G759" s="11"/>
      <c r="H759" s="11"/>
      <c r="I759" s="11"/>
      <c r="J759" s="11"/>
      <c r="K759" s="11"/>
      <c r="L759" s="6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</row>
    <row r="760" spans="1:51">
      <c r="A760" s="11"/>
      <c r="B760" s="149"/>
      <c r="C760" s="11"/>
      <c r="D760" s="11"/>
      <c r="E760" s="11"/>
      <c r="F760" s="184"/>
      <c r="G760" s="11"/>
      <c r="H760" s="11"/>
      <c r="I760" s="11"/>
      <c r="J760" s="11"/>
      <c r="K760" s="11"/>
      <c r="L760" s="6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</row>
    <row r="761" spans="1:51">
      <c r="A761" s="11"/>
      <c r="B761" s="149"/>
      <c r="C761" s="11"/>
      <c r="D761" s="11"/>
      <c r="E761" s="11"/>
      <c r="F761" s="184"/>
      <c r="G761" s="11"/>
      <c r="H761" s="11"/>
      <c r="I761" s="11"/>
      <c r="J761" s="11"/>
      <c r="K761" s="11"/>
      <c r="L761" s="6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</row>
    <row r="762" spans="1:51">
      <c r="A762" s="11"/>
      <c r="B762" s="149"/>
      <c r="C762" s="11"/>
      <c r="D762" s="11"/>
      <c r="E762" s="11"/>
      <c r="F762" s="184"/>
      <c r="G762" s="11"/>
      <c r="H762" s="11"/>
      <c r="I762" s="11"/>
      <c r="J762" s="11"/>
      <c r="K762" s="11"/>
      <c r="L762" s="6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</row>
    <row r="763" spans="1:51">
      <c r="A763" s="11"/>
      <c r="B763" s="149"/>
      <c r="C763" s="11"/>
      <c r="D763" s="11"/>
      <c r="E763" s="11"/>
      <c r="F763" s="184"/>
      <c r="G763" s="11"/>
      <c r="H763" s="11"/>
      <c r="I763" s="11"/>
      <c r="J763" s="11"/>
      <c r="K763" s="11"/>
      <c r="L763" s="6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</row>
    <row r="764" spans="1:51">
      <c r="A764" s="11"/>
      <c r="B764" s="149"/>
      <c r="C764" s="11"/>
      <c r="D764" s="11"/>
      <c r="E764" s="11"/>
      <c r="F764" s="184"/>
      <c r="G764" s="11"/>
      <c r="H764" s="11"/>
      <c r="I764" s="11"/>
      <c r="J764" s="11"/>
      <c r="K764" s="11"/>
      <c r="L764" s="6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</row>
    <row r="765" spans="1:51">
      <c r="A765" s="11"/>
      <c r="B765" s="149"/>
      <c r="C765" s="11"/>
      <c r="D765" s="11"/>
      <c r="E765" s="11"/>
      <c r="F765" s="184"/>
      <c r="G765" s="11"/>
      <c r="H765" s="11"/>
      <c r="I765" s="11"/>
      <c r="J765" s="11"/>
      <c r="K765" s="11"/>
      <c r="L765" s="6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</row>
    <row r="766" spans="1:51">
      <c r="A766" s="11"/>
      <c r="B766" s="149"/>
      <c r="C766" s="11"/>
      <c r="D766" s="11"/>
      <c r="E766" s="11"/>
      <c r="F766" s="184"/>
      <c r="G766" s="11"/>
      <c r="H766" s="11"/>
      <c r="I766" s="11"/>
      <c r="J766" s="11"/>
      <c r="K766" s="11"/>
      <c r="L766" s="6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</row>
    <row r="767" spans="1:51">
      <c r="A767" s="11"/>
      <c r="B767" s="149"/>
      <c r="C767" s="11"/>
      <c r="D767" s="11"/>
      <c r="E767" s="11"/>
      <c r="F767" s="184"/>
      <c r="G767" s="11"/>
      <c r="H767" s="11"/>
      <c r="I767" s="11"/>
      <c r="J767" s="11"/>
      <c r="K767" s="11"/>
      <c r="L767" s="6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</row>
    <row r="768" spans="1:51">
      <c r="A768" s="11"/>
      <c r="B768" s="149"/>
      <c r="C768" s="11"/>
      <c r="D768" s="11"/>
      <c r="E768" s="11"/>
      <c r="F768" s="184"/>
      <c r="G768" s="11"/>
      <c r="H768" s="11"/>
      <c r="I768" s="11"/>
      <c r="J768" s="11"/>
      <c r="K768" s="11"/>
      <c r="L768" s="6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</row>
    <row r="769" spans="1:51">
      <c r="A769" s="11"/>
      <c r="B769" s="149"/>
      <c r="C769" s="11"/>
      <c r="D769" s="11"/>
      <c r="E769" s="11"/>
      <c r="F769" s="184"/>
      <c r="G769" s="11"/>
      <c r="H769" s="11"/>
      <c r="I769" s="11"/>
      <c r="J769" s="11"/>
      <c r="K769" s="11"/>
      <c r="L769" s="6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</row>
    <row r="770" spans="1:51">
      <c r="A770" s="11"/>
      <c r="B770" s="149"/>
      <c r="C770" s="11"/>
      <c r="D770" s="11"/>
      <c r="E770" s="11"/>
      <c r="F770" s="184"/>
      <c r="G770" s="11"/>
      <c r="H770" s="11"/>
      <c r="I770" s="11"/>
      <c r="J770" s="11"/>
      <c r="K770" s="11"/>
      <c r="L770" s="6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</row>
    <row r="771" spans="1:51">
      <c r="A771" s="11"/>
      <c r="B771" s="149"/>
      <c r="C771" s="11"/>
      <c r="D771" s="11"/>
      <c r="E771" s="11"/>
      <c r="F771" s="184"/>
      <c r="G771" s="11"/>
      <c r="H771" s="11"/>
      <c r="I771" s="11"/>
      <c r="J771" s="11"/>
      <c r="K771" s="11"/>
      <c r="L771" s="6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</row>
    <row r="772" spans="1:51">
      <c r="A772" s="11"/>
      <c r="B772" s="149"/>
      <c r="C772" s="11"/>
      <c r="D772" s="11"/>
      <c r="E772" s="11"/>
      <c r="F772" s="184"/>
      <c r="G772" s="11"/>
      <c r="H772" s="11"/>
      <c r="I772" s="11"/>
      <c r="J772" s="11"/>
      <c r="K772" s="11"/>
      <c r="L772" s="6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</row>
    <row r="773" spans="1:51">
      <c r="A773" s="11"/>
      <c r="B773" s="149"/>
      <c r="C773" s="11"/>
      <c r="D773" s="11"/>
      <c r="E773" s="11"/>
      <c r="F773" s="184"/>
      <c r="G773" s="11"/>
      <c r="H773" s="11"/>
      <c r="I773" s="11"/>
      <c r="J773" s="11"/>
      <c r="K773" s="11"/>
      <c r="L773" s="6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</row>
    <row r="774" spans="1:51">
      <c r="A774" s="11"/>
      <c r="B774" s="149"/>
      <c r="C774" s="11"/>
      <c r="D774" s="11"/>
      <c r="E774" s="11"/>
      <c r="F774" s="184"/>
      <c r="G774" s="11"/>
      <c r="H774" s="11"/>
      <c r="I774" s="11"/>
      <c r="J774" s="11"/>
      <c r="K774" s="11"/>
      <c r="L774" s="6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</row>
    <row r="775" spans="1:51">
      <c r="A775" s="11"/>
      <c r="B775" s="149"/>
      <c r="C775" s="11"/>
      <c r="D775" s="11"/>
      <c r="E775" s="11"/>
      <c r="F775" s="184"/>
      <c r="G775" s="11"/>
      <c r="H775" s="11"/>
      <c r="I775" s="11"/>
      <c r="J775" s="11"/>
      <c r="K775" s="11"/>
      <c r="L775" s="6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</row>
    <row r="776" spans="1:51">
      <c r="A776" s="11"/>
      <c r="B776" s="149"/>
      <c r="C776" s="11"/>
      <c r="D776" s="11"/>
      <c r="E776" s="11"/>
      <c r="F776" s="184"/>
      <c r="G776" s="11"/>
      <c r="H776" s="11"/>
      <c r="I776" s="11"/>
      <c r="J776" s="11"/>
      <c r="K776" s="11"/>
      <c r="L776" s="6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</row>
    <row r="777" spans="1:51">
      <c r="A777" s="11"/>
      <c r="B777" s="149"/>
      <c r="C777" s="11"/>
      <c r="D777" s="11"/>
      <c r="E777" s="11"/>
      <c r="F777" s="184"/>
      <c r="G777" s="11"/>
      <c r="H777" s="11"/>
      <c r="I777" s="11"/>
      <c r="J777" s="11"/>
      <c r="K777" s="11"/>
      <c r="L777" s="6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</row>
    <row r="778" spans="1:51">
      <c r="A778" s="11"/>
      <c r="B778" s="149"/>
      <c r="C778" s="11"/>
      <c r="D778" s="11"/>
      <c r="E778" s="11"/>
      <c r="F778" s="184"/>
      <c r="G778" s="11"/>
      <c r="H778" s="11"/>
      <c r="I778" s="11"/>
      <c r="J778" s="11"/>
      <c r="K778" s="11"/>
      <c r="L778" s="6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</row>
    <row r="779" spans="1:51">
      <c r="A779" s="11"/>
      <c r="B779" s="149"/>
      <c r="C779" s="11"/>
      <c r="D779" s="11"/>
      <c r="E779" s="11"/>
      <c r="F779" s="184"/>
      <c r="G779" s="11"/>
      <c r="H779" s="11"/>
      <c r="I779" s="11"/>
      <c r="J779" s="11"/>
      <c r="K779" s="11"/>
      <c r="L779" s="6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</row>
    <row r="780" spans="1:51">
      <c r="A780" s="11"/>
      <c r="B780" s="149"/>
      <c r="C780" s="11"/>
      <c r="D780" s="11"/>
      <c r="E780" s="11"/>
      <c r="F780" s="184"/>
      <c r="G780" s="11"/>
      <c r="H780" s="11"/>
      <c r="I780" s="11"/>
      <c r="J780" s="11"/>
      <c r="K780" s="11"/>
      <c r="L780" s="6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</row>
    <row r="781" spans="1:51">
      <c r="A781" s="11"/>
      <c r="B781" s="149"/>
      <c r="C781" s="11"/>
      <c r="D781" s="11"/>
      <c r="E781" s="11"/>
      <c r="F781" s="184"/>
      <c r="G781" s="11"/>
      <c r="H781" s="11"/>
      <c r="I781" s="11"/>
      <c r="J781" s="11"/>
      <c r="K781" s="11"/>
      <c r="L781" s="6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</row>
    <row r="782" spans="1:51">
      <c r="A782" s="11"/>
      <c r="B782" s="149"/>
      <c r="C782" s="11"/>
      <c r="D782" s="11"/>
      <c r="E782" s="11"/>
      <c r="F782" s="184"/>
      <c r="G782" s="11"/>
      <c r="H782" s="11"/>
      <c r="I782" s="11"/>
      <c r="J782" s="11"/>
      <c r="K782" s="11"/>
      <c r="L782" s="6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</row>
    <row r="783" spans="1:51">
      <c r="A783" s="11"/>
      <c r="B783" s="149"/>
      <c r="C783" s="11"/>
      <c r="D783" s="11"/>
      <c r="E783" s="11"/>
      <c r="F783" s="184"/>
      <c r="G783" s="11"/>
      <c r="H783" s="11"/>
      <c r="I783" s="11"/>
      <c r="J783" s="11"/>
      <c r="K783" s="11"/>
      <c r="L783" s="6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</row>
    <row r="784" spans="1:51">
      <c r="A784" s="11"/>
      <c r="B784" s="149"/>
      <c r="C784" s="11"/>
      <c r="D784" s="11"/>
      <c r="E784" s="11"/>
      <c r="F784" s="184"/>
      <c r="G784" s="11"/>
      <c r="H784" s="11"/>
      <c r="I784" s="11"/>
      <c r="J784" s="11"/>
      <c r="K784" s="11"/>
      <c r="L784" s="6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</row>
    <row r="785" spans="1:51">
      <c r="A785" s="11"/>
      <c r="B785" s="149"/>
      <c r="C785" s="11"/>
      <c r="D785" s="11"/>
      <c r="E785" s="11"/>
      <c r="F785" s="184"/>
      <c r="G785" s="11"/>
      <c r="H785" s="11"/>
      <c r="I785" s="11"/>
      <c r="J785" s="11"/>
      <c r="K785" s="11"/>
      <c r="L785" s="6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</row>
    <row r="786" spans="1:51">
      <c r="A786" s="11"/>
      <c r="B786" s="149"/>
      <c r="C786" s="11"/>
      <c r="D786" s="11"/>
      <c r="E786" s="11"/>
      <c r="F786" s="184"/>
      <c r="G786" s="11"/>
      <c r="H786" s="11"/>
      <c r="I786" s="11"/>
      <c r="J786" s="11"/>
      <c r="K786" s="11"/>
      <c r="L786" s="6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</row>
    <row r="787" spans="1:51">
      <c r="A787" s="11"/>
      <c r="B787" s="149"/>
      <c r="C787" s="11"/>
      <c r="D787" s="11"/>
      <c r="E787" s="11"/>
      <c r="F787" s="184"/>
      <c r="G787" s="11"/>
      <c r="H787" s="11"/>
      <c r="I787" s="11"/>
      <c r="J787" s="11"/>
      <c r="K787" s="11"/>
      <c r="L787" s="6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</row>
    <row r="788" spans="1:51">
      <c r="A788" s="11"/>
      <c r="B788" s="149"/>
      <c r="C788" s="11"/>
      <c r="D788" s="11"/>
      <c r="E788" s="11"/>
      <c r="F788" s="184"/>
      <c r="G788" s="11"/>
      <c r="H788" s="11"/>
      <c r="I788" s="11"/>
      <c r="J788" s="11"/>
      <c r="K788" s="11"/>
      <c r="L788" s="6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</row>
    <row r="789" spans="1:51">
      <c r="A789" s="11"/>
      <c r="B789" s="149"/>
      <c r="C789" s="11"/>
      <c r="D789" s="11"/>
      <c r="E789" s="11"/>
      <c r="F789" s="184"/>
      <c r="G789" s="11"/>
      <c r="H789" s="11"/>
      <c r="I789" s="11"/>
      <c r="J789" s="11"/>
      <c r="K789" s="11"/>
      <c r="L789" s="6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</row>
    <row r="790" spans="1:51">
      <c r="A790" s="11"/>
      <c r="B790" s="149"/>
      <c r="C790" s="11"/>
      <c r="D790" s="11"/>
      <c r="E790" s="11"/>
      <c r="F790" s="184"/>
      <c r="G790" s="11"/>
      <c r="H790" s="11"/>
      <c r="I790" s="11"/>
      <c r="J790" s="11"/>
      <c r="K790" s="11"/>
      <c r="L790" s="6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</row>
    <row r="791" spans="1:51">
      <c r="A791" s="11"/>
      <c r="B791" s="149"/>
      <c r="C791" s="11"/>
      <c r="D791" s="11"/>
      <c r="E791" s="11"/>
      <c r="F791" s="184"/>
      <c r="G791" s="11"/>
      <c r="H791" s="11"/>
      <c r="I791" s="11"/>
      <c r="J791" s="11"/>
      <c r="K791" s="11"/>
      <c r="L791" s="6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</row>
    <row r="792" spans="1:51">
      <c r="A792" s="11"/>
      <c r="B792" s="149"/>
      <c r="C792" s="11"/>
      <c r="D792" s="11"/>
      <c r="E792" s="11"/>
      <c r="F792" s="184"/>
      <c r="G792" s="11"/>
      <c r="H792" s="11"/>
      <c r="I792" s="11"/>
      <c r="J792" s="11"/>
      <c r="K792" s="11"/>
      <c r="L792" s="6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</row>
    <row r="793" spans="1:51">
      <c r="A793" s="11"/>
      <c r="B793" s="149"/>
      <c r="C793" s="11"/>
      <c r="D793" s="11"/>
      <c r="E793" s="11"/>
      <c r="F793" s="184"/>
      <c r="G793" s="11"/>
      <c r="H793" s="11"/>
      <c r="I793" s="11"/>
      <c r="J793" s="11"/>
      <c r="K793" s="11"/>
      <c r="L793" s="6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</row>
    <row r="794" spans="1:51">
      <c r="A794" s="11"/>
      <c r="B794" s="149"/>
      <c r="C794" s="11"/>
      <c r="D794" s="11"/>
      <c r="E794" s="11"/>
      <c r="F794" s="184"/>
      <c r="G794" s="11"/>
      <c r="H794" s="11"/>
      <c r="I794" s="11"/>
      <c r="J794" s="11"/>
      <c r="K794" s="11"/>
      <c r="L794" s="6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</row>
    <row r="795" spans="1:51">
      <c r="A795" s="11"/>
      <c r="B795" s="149"/>
      <c r="C795" s="11"/>
      <c r="D795" s="11"/>
      <c r="E795" s="11"/>
      <c r="F795" s="184"/>
      <c r="G795" s="11"/>
      <c r="H795" s="11"/>
      <c r="I795" s="11"/>
      <c r="J795" s="11"/>
      <c r="K795" s="11"/>
      <c r="L795" s="6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</row>
    <row r="796" spans="1:51">
      <c r="A796" s="11"/>
      <c r="B796" s="149"/>
      <c r="C796" s="11"/>
      <c r="D796" s="11"/>
      <c r="E796" s="11"/>
      <c r="F796" s="184"/>
      <c r="G796" s="11"/>
      <c r="H796" s="11"/>
      <c r="I796" s="11"/>
      <c r="J796" s="11"/>
      <c r="K796" s="11"/>
      <c r="L796" s="6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</row>
    <row r="797" spans="1:51">
      <c r="A797" s="11"/>
      <c r="B797" s="149"/>
      <c r="C797" s="11"/>
      <c r="D797" s="11"/>
      <c r="E797" s="11"/>
      <c r="F797" s="184"/>
      <c r="G797" s="11"/>
      <c r="H797" s="11"/>
      <c r="I797" s="11"/>
      <c r="J797" s="11"/>
      <c r="K797" s="11"/>
      <c r="L797" s="6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</row>
    <row r="798" spans="1:51">
      <c r="A798" s="11"/>
      <c r="B798" s="149"/>
      <c r="C798" s="11"/>
      <c r="D798" s="11"/>
      <c r="E798" s="11"/>
      <c r="F798" s="184"/>
      <c r="G798" s="11"/>
      <c r="H798" s="11"/>
      <c r="I798" s="11"/>
      <c r="J798" s="11"/>
      <c r="K798" s="11"/>
      <c r="L798" s="6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</row>
    <row r="799" spans="1:51">
      <c r="A799" s="11"/>
      <c r="B799" s="149"/>
      <c r="C799" s="11"/>
      <c r="D799" s="11"/>
      <c r="E799" s="11"/>
      <c r="F799" s="184"/>
      <c r="G799" s="11"/>
      <c r="H799" s="11"/>
      <c r="I799" s="11"/>
      <c r="J799" s="11"/>
      <c r="K799" s="11"/>
      <c r="L799" s="6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</row>
    <row r="800" spans="1:51">
      <c r="A800" s="11"/>
      <c r="B800" s="149"/>
      <c r="C800" s="11"/>
      <c r="D800" s="11"/>
      <c r="E800" s="11"/>
      <c r="F800" s="184"/>
      <c r="G800" s="11"/>
      <c r="H800" s="11"/>
      <c r="I800" s="11"/>
      <c r="J800" s="11"/>
      <c r="K800" s="11"/>
      <c r="L800" s="6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</row>
    <row r="801" spans="1:51">
      <c r="A801" s="11"/>
      <c r="B801" s="149"/>
      <c r="C801" s="11"/>
      <c r="D801" s="11"/>
      <c r="E801" s="11"/>
      <c r="F801" s="184"/>
      <c r="G801" s="11"/>
      <c r="H801" s="11"/>
      <c r="I801" s="11"/>
      <c r="J801" s="11"/>
      <c r="K801" s="11"/>
      <c r="L801" s="6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</row>
    <row r="802" spans="1:51">
      <c r="A802" s="11"/>
      <c r="B802" s="149"/>
      <c r="C802" s="11"/>
      <c r="D802" s="11"/>
      <c r="E802" s="11"/>
      <c r="F802" s="184"/>
      <c r="G802" s="11"/>
      <c r="H802" s="11"/>
      <c r="I802" s="11"/>
      <c r="J802" s="11"/>
      <c r="K802" s="11"/>
      <c r="L802" s="6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</row>
    <row r="803" spans="1:51">
      <c r="A803" s="11"/>
      <c r="B803" s="149"/>
      <c r="C803" s="11"/>
      <c r="D803" s="11"/>
      <c r="E803" s="11"/>
      <c r="F803" s="184"/>
      <c r="G803" s="11"/>
      <c r="H803" s="11"/>
      <c r="I803" s="11"/>
      <c r="J803" s="11"/>
      <c r="K803" s="11"/>
      <c r="L803" s="6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</row>
    <row r="804" spans="1:51">
      <c r="A804" s="11"/>
      <c r="B804" s="149"/>
      <c r="C804" s="11"/>
      <c r="D804" s="11"/>
      <c r="E804" s="11"/>
      <c r="F804" s="184"/>
      <c r="G804" s="11"/>
      <c r="H804" s="11"/>
      <c r="I804" s="11"/>
      <c r="J804" s="11"/>
      <c r="K804" s="11"/>
      <c r="L804" s="6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</row>
    <row r="805" spans="1:51">
      <c r="A805" s="11"/>
      <c r="B805" s="149"/>
      <c r="C805" s="11"/>
      <c r="D805" s="11"/>
      <c r="E805" s="11"/>
      <c r="F805" s="184"/>
      <c r="G805" s="11"/>
      <c r="H805" s="11"/>
      <c r="I805" s="11"/>
      <c r="J805" s="11"/>
      <c r="K805" s="11"/>
      <c r="L805" s="6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</row>
    <row r="806" spans="1:51">
      <c r="A806" s="11"/>
      <c r="B806" s="149"/>
      <c r="C806" s="11"/>
      <c r="D806" s="11"/>
      <c r="E806" s="11"/>
      <c r="F806" s="184"/>
      <c r="G806" s="11"/>
      <c r="H806" s="11"/>
      <c r="I806" s="11"/>
      <c r="J806" s="11"/>
      <c r="K806" s="11"/>
      <c r="L806" s="6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</row>
    <row r="807" spans="1:51">
      <c r="A807" s="11"/>
      <c r="B807" s="149"/>
      <c r="C807" s="11"/>
      <c r="D807" s="11"/>
      <c r="E807" s="11"/>
      <c r="F807" s="184"/>
      <c r="G807" s="11"/>
      <c r="H807" s="11"/>
      <c r="I807" s="11"/>
      <c r="J807" s="11"/>
      <c r="K807" s="11"/>
      <c r="L807" s="6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</row>
    <row r="808" spans="1:51">
      <c r="A808" s="11"/>
      <c r="B808" s="149"/>
      <c r="C808" s="11"/>
      <c r="D808" s="11"/>
      <c r="E808" s="11"/>
      <c r="F808" s="184"/>
      <c r="G808" s="11"/>
      <c r="H808" s="11"/>
      <c r="I808" s="11"/>
      <c r="J808" s="11"/>
      <c r="K808" s="11"/>
      <c r="L808" s="6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</row>
    <row r="809" spans="1:51">
      <c r="A809" s="11"/>
      <c r="B809" s="149"/>
      <c r="C809" s="11"/>
      <c r="D809" s="11"/>
      <c r="E809" s="11"/>
      <c r="F809" s="184"/>
      <c r="G809" s="11"/>
      <c r="H809" s="11"/>
      <c r="I809" s="11"/>
      <c r="J809" s="11"/>
      <c r="K809" s="11"/>
      <c r="L809" s="6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</row>
    <row r="810" spans="1:51">
      <c r="A810" s="11"/>
      <c r="B810" s="149"/>
      <c r="C810" s="11"/>
      <c r="D810" s="11"/>
      <c r="E810" s="11"/>
      <c r="F810" s="184"/>
      <c r="G810" s="11"/>
      <c r="H810" s="11"/>
      <c r="I810" s="11"/>
      <c r="J810" s="11"/>
      <c r="K810" s="11"/>
      <c r="L810" s="6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</row>
    <row r="811" spans="1:51">
      <c r="A811" s="11"/>
      <c r="B811" s="149"/>
      <c r="C811" s="11"/>
      <c r="D811" s="11"/>
      <c r="E811" s="11"/>
      <c r="F811" s="184"/>
      <c r="G811" s="11"/>
      <c r="H811" s="11"/>
      <c r="I811" s="11"/>
      <c r="J811" s="11"/>
      <c r="K811" s="11"/>
      <c r="L811" s="6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</row>
    <row r="812" spans="1:51">
      <c r="A812" s="11"/>
      <c r="B812" s="149"/>
      <c r="C812" s="11"/>
      <c r="D812" s="11"/>
      <c r="E812" s="11"/>
      <c r="F812" s="184"/>
      <c r="G812" s="11"/>
      <c r="H812" s="11"/>
      <c r="I812" s="11"/>
      <c r="J812" s="11"/>
      <c r="K812" s="11"/>
      <c r="L812" s="6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</row>
    <row r="813" spans="1:51">
      <c r="A813" s="11"/>
      <c r="B813" s="149"/>
      <c r="C813" s="11"/>
      <c r="D813" s="11"/>
      <c r="E813" s="11"/>
      <c r="F813" s="184"/>
      <c r="G813" s="11"/>
      <c r="H813" s="11"/>
      <c r="I813" s="11"/>
      <c r="J813" s="11"/>
      <c r="K813" s="11"/>
      <c r="L813" s="6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</row>
    <row r="814" spans="1:51">
      <c r="A814" s="11"/>
      <c r="B814" s="149"/>
      <c r="C814" s="11"/>
      <c r="D814" s="11"/>
      <c r="E814" s="11"/>
      <c r="F814" s="184"/>
      <c r="G814" s="11"/>
      <c r="H814" s="11"/>
      <c r="I814" s="11"/>
      <c r="J814" s="11"/>
      <c r="K814" s="11"/>
      <c r="L814" s="6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</row>
    <row r="815" spans="1:51">
      <c r="A815" s="11"/>
      <c r="B815" s="149"/>
      <c r="C815" s="11"/>
      <c r="D815" s="11"/>
      <c r="E815" s="11"/>
      <c r="F815" s="184"/>
      <c r="G815" s="11"/>
      <c r="H815" s="11"/>
      <c r="I815" s="11"/>
      <c r="J815" s="11"/>
      <c r="K815" s="11"/>
      <c r="L815" s="6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</row>
    <row r="816" spans="1:51">
      <c r="A816" s="11"/>
      <c r="B816" s="149"/>
      <c r="C816" s="11"/>
      <c r="D816" s="11"/>
      <c r="E816" s="11"/>
      <c r="F816" s="184"/>
      <c r="G816" s="11"/>
      <c r="H816" s="11"/>
      <c r="I816" s="11"/>
      <c r="J816" s="11"/>
      <c r="K816" s="11"/>
      <c r="L816" s="6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</row>
    <row r="817" spans="1:51">
      <c r="A817" s="11"/>
      <c r="B817" s="149"/>
      <c r="C817" s="11"/>
      <c r="D817" s="11"/>
      <c r="E817" s="11"/>
      <c r="F817" s="184"/>
      <c r="G817" s="11"/>
      <c r="H817" s="11"/>
      <c r="I817" s="11"/>
      <c r="J817" s="11"/>
      <c r="K817" s="11"/>
      <c r="L817" s="6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</row>
    <row r="818" spans="1:51">
      <c r="A818" s="11"/>
      <c r="B818" s="149"/>
      <c r="C818" s="11"/>
      <c r="D818" s="11"/>
      <c r="E818" s="11"/>
      <c r="F818" s="184"/>
      <c r="G818" s="11"/>
      <c r="H818" s="11"/>
      <c r="I818" s="11"/>
      <c r="J818" s="11"/>
      <c r="K818" s="11"/>
      <c r="L818" s="6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</row>
    <row r="819" spans="1:51">
      <c r="A819" s="11"/>
      <c r="B819" s="149"/>
      <c r="C819" s="11"/>
      <c r="D819" s="11"/>
      <c r="E819" s="11"/>
      <c r="F819" s="184"/>
      <c r="G819" s="11"/>
      <c r="H819" s="11"/>
      <c r="I819" s="11"/>
      <c r="J819" s="11"/>
      <c r="K819" s="11"/>
      <c r="L819" s="6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</row>
    <row r="820" spans="1:51">
      <c r="A820" s="11"/>
      <c r="B820" s="149"/>
      <c r="C820" s="11"/>
      <c r="D820" s="11"/>
      <c r="E820" s="11"/>
      <c r="F820" s="184"/>
      <c r="G820" s="11"/>
      <c r="H820" s="11"/>
      <c r="I820" s="11"/>
      <c r="J820" s="11"/>
      <c r="K820" s="11"/>
      <c r="L820" s="6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</row>
    <row r="821" spans="1:51">
      <c r="A821" s="11"/>
      <c r="B821" s="149"/>
      <c r="C821" s="11"/>
      <c r="D821" s="11"/>
      <c r="E821" s="11"/>
      <c r="F821" s="184"/>
      <c r="G821" s="11"/>
      <c r="H821" s="11"/>
      <c r="I821" s="11"/>
      <c r="J821" s="11"/>
      <c r="K821" s="11"/>
      <c r="L821" s="6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</row>
    <row r="822" spans="1:51">
      <c r="A822" s="11"/>
      <c r="B822" s="149"/>
      <c r="C822" s="11"/>
      <c r="D822" s="11"/>
      <c r="E822" s="11"/>
      <c r="F822" s="184"/>
      <c r="G822" s="11"/>
      <c r="H822" s="11"/>
      <c r="I822" s="11"/>
      <c r="J822" s="11"/>
      <c r="K822" s="11"/>
      <c r="L822" s="6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</row>
    <row r="823" spans="1:51">
      <c r="A823" s="11"/>
      <c r="B823" s="149"/>
      <c r="C823" s="11"/>
      <c r="D823" s="11"/>
      <c r="E823" s="11"/>
      <c r="F823" s="184"/>
      <c r="G823" s="11"/>
      <c r="H823" s="11"/>
      <c r="I823" s="11"/>
      <c r="J823" s="11"/>
      <c r="K823" s="11"/>
      <c r="L823" s="6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</row>
    <row r="824" spans="1:51">
      <c r="A824" s="11"/>
      <c r="B824" s="149"/>
      <c r="C824" s="11"/>
      <c r="D824" s="11"/>
      <c r="E824" s="11"/>
      <c r="F824" s="184"/>
      <c r="G824" s="11"/>
      <c r="H824" s="11"/>
      <c r="I824" s="11"/>
      <c r="J824" s="11"/>
      <c r="K824" s="11"/>
      <c r="L824" s="6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</row>
    <row r="825" spans="1:51">
      <c r="A825" s="11"/>
      <c r="B825" s="149"/>
      <c r="C825" s="11"/>
      <c r="D825" s="11"/>
      <c r="E825" s="11"/>
      <c r="F825" s="184"/>
      <c r="G825" s="11"/>
      <c r="H825" s="11"/>
      <c r="I825" s="11"/>
      <c r="J825" s="11"/>
      <c r="K825" s="11"/>
      <c r="L825" s="6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</row>
    <row r="826" spans="1:51">
      <c r="A826" s="11"/>
      <c r="B826" s="149"/>
      <c r="C826" s="11"/>
      <c r="D826" s="11"/>
      <c r="E826" s="11"/>
      <c r="F826" s="184"/>
      <c r="G826" s="11"/>
      <c r="H826" s="11"/>
      <c r="I826" s="11"/>
      <c r="J826" s="11"/>
      <c r="K826" s="11"/>
      <c r="L826" s="6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</row>
    <row r="827" spans="1:51">
      <c r="A827" s="11"/>
      <c r="B827" s="149"/>
      <c r="C827" s="11"/>
      <c r="D827" s="11"/>
      <c r="E827" s="11"/>
      <c r="F827" s="184"/>
      <c r="G827" s="11"/>
      <c r="H827" s="11"/>
      <c r="I827" s="11"/>
      <c r="J827" s="11"/>
      <c r="K827" s="11"/>
      <c r="L827" s="6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</row>
    <row r="828" spans="1:51">
      <c r="A828" s="11"/>
      <c r="B828" s="149"/>
      <c r="C828" s="11"/>
      <c r="D828" s="11"/>
      <c r="E828" s="11"/>
      <c r="F828" s="184"/>
      <c r="G828" s="11"/>
      <c r="H828" s="11"/>
      <c r="I828" s="11"/>
      <c r="J828" s="11"/>
      <c r="K828" s="11"/>
      <c r="L828" s="6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</row>
    <row r="829" spans="1:51">
      <c r="A829" s="11"/>
      <c r="B829" s="149"/>
      <c r="C829" s="11"/>
      <c r="D829" s="11"/>
      <c r="E829" s="11"/>
      <c r="F829" s="184"/>
      <c r="G829" s="11"/>
      <c r="H829" s="11"/>
      <c r="I829" s="11"/>
      <c r="J829" s="11"/>
      <c r="K829" s="11"/>
      <c r="L829" s="6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</row>
    <row r="830" spans="1:51">
      <c r="A830" s="11"/>
      <c r="B830" s="149"/>
      <c r="C830" s="11"/>
      <c r="D830" s="11"/>
      <c r="E830" s="11"/>
      <c r="F830" s="184"/>
      <c r="G830" s="11"/>
      <c r="H830" s="11"/>
      <c r="I830" s="11"/>
      <c r="J830" s="11"/>
      <c r="K830" s="11"/>
      <c r="L830" s="6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</row>
    <row r="831" spans="1:51">
      <c r="A831" s="11"/>
      <c r="B831" s="149"/>
      <c r="C831" s="11"/>
      <c r="D831" s="11"/>
      <c r="E831" s="11"/>
      <c r="F831" s="184"/>
      <c r="G831" s="11"/>
      <c r="H831" s="11"/>
      <c r="I831" s="11"/>
      <c r="J831" s="11"/>
      <c r="K831" s="11"/>
      <c r="L831" s="6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</row>
    <row r="832" spans="1:51">
      <c r="A832" s="11"/>
      <c r="B832" s="149"/>
      <c r="C832" s="11"/>
      <c r="D832" s="11"/>
      <c r="E832" s="11"/>
      <c r="F832" s="184"/>
      <c r="G832" s="11"/>
      <c r="H832" s="11"/>
      <c r="I832" s="11"/>
      <c r="J832" s="11"/>
      <c r="K832" s="11"/>
      <c r="L832" s="6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</row>
    <row r="833" spans="1:51">
      <c r="A833" s="11"/>
      <c r="B833" s="149"/>
      <c r="C833" s="11"/>
      <c r="D833" s="11"/>
      <c r="E833" s="11"/>
      <c r="F833" s="184"/>
      <c r="G833" s="11"/>
      <c r="H833" s="11"/>
      <c r="I833" s="11"/>
      <c r="J833" s="11"/>
      <c r="K833" s="11"/>
      <c r="L833" s="6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</row>
    <row r="834" spans="1:51">
      <c r="A834" s="11"/>
      <c r="B834" s="149"/>
      <c r="C834" s="11"/>
      <c r="D834" s="11"/>
      <c r="E834" s="11"/>
      <c r="F834" s="184"/>
      <c r="G834" s="11"/>
      <c r="H834" s="11"/>
      <c r="I834" s="11"/>
      <c r="J834" s="11"/>
      <c r="K834" s="11"/>
      <c r="L834" s="6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</row>
    <row r="835" spans="1:51">
      <c r="A835" s="11"/>
      <c r="B835" s="149"/>
      <c r="C835" s="11"/>
      <c r="D835" s="11"/>
      <c r="E835" s="11"/>
      <c r="F835" s="184"/>
      <c r="G835" s="11"/>
      <c r="H835" s="11"/>
      <c r="I835" s="11"/>
      <c r="J835" s="11"/>
      <c r="K835" s="11"/>
      <c r="L835" s="6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</row>
    <row r="836" spans="1:51">
      <c r="A836" s="11"/>
      <c r="B836" s="149"/>
      <c r="C836" s="11"/>
      <c r="D836" s="11"/>
      <c r="E836" s="11"/>
      <c r="F836" s="184"/>
      <c r="G836" s="11"/>
      <c r="H836" s="11"/>
      <c r="I836" s="11"/>
      <c r="J836" s="11"/>
      <c r="K836" s="11"/>
      <c r="L836" s="6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</row>
    <row r="837" spans="1:51">
      <c r="A837" s="11"/>
      <c r="B837" s="149"/>
      <c r="C837" s="11"/>
      <c r="D837" s="11"/>
      <c r="E837" s="11"/>
      <c r="F837" s="184"/>
      <c r="G837" s="11"/>
      <c r="H837" s="11"/>
      <c r="I837" s="11"/>
      <c r="J837" s="11"/>
      <c r="K837" s="11"/>
      <c r="L837" s="6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</row>
    <row r="838" spans="1:51">
      <c r="A838" s="11"/>
      <c r="B838" s="149"/>
      <c r="C838" s="11"/>
      <c r="D838" s="11"/>
      <c r="E838" s="11"/>
      <c r="F838" s="184"/>
      <c r="G838" s="11"/>
      <c r="H838" s="11"/>
      <c r="I838" s="11"/>
      <c r="J838" s="11"/>
      <c r="K838" s="11"/>
      <c r="L838" s="6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</row>
    <row r="839" spans="1:51">
      <c r="A839" s="11"/>
      <c r="B839" s="149"/>
      <c r="C839" s="11"/>
      <c r="D839" s="11"/>
      <c r="E839" s="11"/>
      <c r="F839" s="184"/>
      <c r="G839" s="11"/>
      <c r="H839" s="11"/>
      <c r="I839" s="11"/>
      <c r="J839" s="11"/>
      <c r="K839" s="11"/>
      <c r="L839" s="6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</row>
    <row r="840" spans="1:51">
      <c r="A840" s="11"/>
      <c r="B840" s="149"/>
      <c r="C840" s="11"/>
      <c r="D840" s="11"/>
      <c r="E840" s="11"/>
      <c r="F840" s="184"/>
      <c r="G840" s="11"/>
      <c r="H840" s="11"/>
      <c r="I840" s="11"/>
      <c r="J840" s="11"/>
      <c r="K840" s="11"/>
      <c r="L840" s="6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</row>
    <row r="841" spans="1:51">
      <c r="A841" s="11"/>
      <c r="B841" s="149"/>
      <c r="C841" s="11"/>
      <c r="D841" s="11"/>
      <c r="E841" s="11"/>
      <c r="F841" s="184"/>
      <c r="G841" s="11"/>
      <c r="H841" s="11"/>
      <c r="I841" s="11"/>
      <c r="J841" s="11"/>
      <c r="K841" s="11"/>
      <c r="L841" s="6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</row>
    <row r="842" spans="1:51">
      <c r="A842" s="11"/>
      <c r="B842" s="149"/>
      <c r="C842" s="11"/>
      <c r="D842" s="11"/>
      <c r="E842" s="11"/>
      <c r="F842" s="184"/>
      <c r="G842" s="11"/>
      <c r="H842" s="11"/>
      <c r="I842" s="11"/>
      <c r="J842" s="11"/>
      <c r="K842" s="11"/>
      <c r="L842" s="6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</row>
    <row r="843" spans="1:51">
      <c r="A843" s="11"/>
      <c r="B843" s="149"/>
      <c r="C843" s="11"/>
      <c r="D843" s="11"/>
      <c r="E843" s="11"/>
      <c r="F843" s="184"/>
      <c r="G843" s="11"/>
      <c r="H843" s="11"/>
      <c r="I843" s="11"/>
      <c r="J843" s="11"/>
      <c r="K843" s="11"/>
      <c r="L843" s="6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</row>
    <row r="844" spans="1:51">
      <c r="A844" s="11"/>
      <c r="B844" s="149"/>
      <c r="C844" s="11"/>
      <c r="D844" s="11"/>
      <c r="E844" s="11"/>
      <c r="F844" s="184"/>
      <c r="G844" s="11"/>
      <c r="H844" s="11"/>
      <c r="I844" s="11"/>
      <c r="J844" s="11"/>
      <c r="K844" s="11"/>
      <c r="L844" s="6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</row>
    <row r="845" spans="1:51">
      <c r="A845" s="11"/>
      <c r="B845" s="149"/>
      <c r="C845" s="11"/>
      <c r="D845" s="11"/>
      <c r="E845" s="11"/>
      <c r="F845" s="184"/>
      <c r="G845" s="11"/>
      <c r="H845" s="11"/>
      <c r="I845" s="11"/>
      <c r="J845" s="11"/>
      <c r="K845" s="11"/>
      <c r="L845" s="6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</row>
    <row r="846" spans="1:51">
      <c r="A846" s="11"/>
      <c r="B846" s="149"/>
      <c r="C846" s="11"/>
      <c r="D846" s="11"/>
      <c r="E846" s="11"/>
      <c r="F846" s="184"/>
      <c r="G846" s="11"/>
      <c r="H846" s="11"/>
      <c r="I846" s="11"/>
      <c r="J846" s="11"/>
      <c r="K846" s="11"/>
      <c r="L846" s="6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</row>
    <row r="847" spans="1:51">
      <c r="A847" s="11"/>
      <c r="B847" s="149"/>
      <c r="C847" s="11"/>
      <c r="D847" s="11"/>
      <c r="E847" s="11"/>
      <c r="F847" s="184"/>
      <c r="G847" s="11"/>
      <c r="H847" s="11"/>
      <c r="I847" s="11"/>
      <c r="J847" s="11"/>
      <c r="K847" s="11"/>
      <c r="L847" s="6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</row>
    <row r="848" spans="1:51">
      <c r="A848" s="11"/>
      <c r="B848" s="149"/>
      <c r="C848" s="11"/>
      <c r="D848" s="11"/>
      <c r="E848" s="11"/>
      <c r="F848" s="184"/>
      <c r="G848" s="11"/>
      <c r="H848" s="11"/>
      <c r="I848" s="11"/>
      <c r="J848" s="11"/>
      <c r="K848" s="11"/>
      <c r="L848" s="6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</row>
    <row r="849" spans="1:51">
      <c r="A849" s="11"/>
      <c r="B849" s="149"/>
      <c r="C849" s="11"/>
      <c r="D849" s="11"/>
      <c r="E849" s="11"/>
      <c r="F849" s="184"/>
      <c r="G849" s="11"/>
      <c r="H849" s="11"/>
      <c r="I849" s="11"/>
      <c r="J849" s="11"/>
      <c r="K849" s="11"/>
      <c r="L849" s="6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</row>
    <row r="850" spans="1:51">
      <c r="A850" s="11"/>
      <c r="B850" s="149"/>
      <c r="C850" s="11"/>
      <c r="D850" s="11"/>
      <c r="E850" s="11"/>
      <c r="F850" s="184"/>
      <c r="G850" s="11"/>
      <c r="H850" s="11"/>
      <c r="I850" s="11"/>
      <c r="J850" s="11"/>
      <c r="K850" s="11"/>
      <c r="L850" s="6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</row>
    <row r="851" spans="1:51">
      <c r="A851" s="11"/>
      <c r="B851" s="149"/>
      <c r="C851" s="11"/>
      <c r="D851" s="11"/>
      <c r="E851" s="11"/>
      <c r="F851" s="184"/>
      <c r="G851" s="11"/>
      <c r="H851" s="11"/>
      <c r="I851" s="11"/>
      <c r="J851" s="11"/>
      <c r="K851" s="11"/>
      <c r="L851" s="6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</row>
    <row r="852" spans="1:51">
      <c r="A852" s="11"/>
      <c r="B852" s="149"/>
      <c r="C852" s="11"/>
      <c r="D852" s="11"/>
      <c r="E852" s="11"/>
      <c r="F852" s="184"/>
      <c r="G852" s="11"/>
      <c r="H852" s="11"/>
      <c r="I852" s="11"/>
      <c r="J852" s="11"/>
      <c r="K852" s="11"/>
      <c r="L852" s="6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</row>
    <row r="853" spans="1:51">
      <c r="A853" s="11"/>
      <c r="B853" s="149"/>
      <c r="C853" s="11"/>
      <c r="D853" s="11"/>
      <c r="E853" s="11"/>
      <c r="F853" s="184"/>
      <c r="G853" s="11"/>
      <c r="H853" s="11"/>
      <c r="I853" s="11"/>
      <c r="J853" s="11"/>
      <c r="K853" s="11"/>
      <c r="L853" s="6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</row>
    <row r="854" spans="1:51">
      <c r="A854" s="11"/>
      <c r="B854" s="149"/>
      <c r="C854" s="11"/>
      <c r="D854" s="11"/>
      <c r="E854" s="11"/>
      <c r="F854" s="184"/>
      <c r="G854" s="11"/>
      <c r="H854" s="11"/>
      <c r="I854" s="11"/>
      <c r="J854" s="11"/>
      <c r="K854" s="11"/>
      <c r="L854" s="6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</row>
    <row r="855" spans="1:51">
      <c r="A855" s="11"/>
      <c r="B855" s="149"/>
      <c r="C855" s="11"/>
      <c r="D855" s="11"/>
      <c r="E855" s="11"/>
      <c r="F855" s="184"/>
      <c r="G855" s="11"/>
      <c r="H855" s="11"/>
      <c r="I855" s="11"/>
      <c r="J855" s="11"/>
      <c r="K855" s="11"/>
      <c r="L855" s="6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</row>
    <row r="856" spans="1:51">
      <c r="A856" s="11"/>
      <c r="B856" s="149"/>
      <c r="C856" s="11"/>
      <c r="D856" s="11"/>
      <c r="E856" s="11"/>
      <c r="F856" s="184"/>
      <c r="G856" s="11"/>
      <c r="H856" s="11"/>
      <c r="I856" s="11"/>
      <c r="J856" s="11"/>
      <c r="K856" s="11"/>
      <c r="L856" s="6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</row>
    <row r="857" spans="1:51">
      <c r="A857" s="11"/>
      <c r="B857" s="149"/>
      <c r="C857" s="11"/>
      <c r="D857" s="11"/>
      <c r="E857" s="11"/>
      <c r="F857" s="184"/>
      <c r="G857" s="11"/>
      <c r="H857" s="11"/>
      <c r="I857" s="11"/>
      <c r="J857" s="11"/>
      <c r="K857" s="11"/>
      <c r="L857" s="6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</row>
    <row r="858" spans="1:51">
      <c r="A858" s="11"/>
      <c r="B858" s="149"/>
      <c r="C858" s="11"/>
      <c r="D858" s="11"/>
      <c r="E858" s="11"/>
      <c r="F858" s="184"/>
      <c r="G858" s="11"/>
      <c r="H858" s="11"/>
      <c r="I858" s="11"/>
      <c r="J858" s="11"/>
      <c r="K858" s="11"/>
      <c r="L858" s="6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</row>
    <row r="859" spans="1:51">
      <c r="A859" s="11"/>
      <c r="B859" s="149"/>
      <c r="C859" s="11"/>
      <c r="D859" s="11"/>
      <c r="E859" s="11"/>
      <c r="F859" s="184"/>
      <c r="G859" s="11"/>
      <c r="H859" s="11"/>
      <c r="I859" s="11"/>
      <c r="J859" s="11"/>
      <c r="K859" s="11"/>
      <c r="L859" s="6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</row>
    <row r="860" spans="1:51">
      <c r="A860" s="11"/>
      <c r="B860" s="149"/>
      <c r="C860" s="11"/>
      <c r="D860" s="11"/>
      <c r="E860" s="11"/>
      <c r="F860" s="184"/>
      <c r="G860" s="11"/>
      <c r="H860" s="11"/>
      <c r="I860" s="11"/>
      <c r="J860" s="11"/>
      <c r="K860" s="11"/>
      <c r="L860" s="6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</row>
    <row r="861" spans="1:51">
      <c r="A861" s="11"/>
      <c r="B861" s="149"/>
      <c r="C861" s="11"/>
      <c r="D861" s="11"/>
      <c r="E861" s="11"/>
      <c r="F861" s="184"/>
      <c r="G861" s="11"/>
      <c r="H861" s="11"/>
      <c r="I861" s="11"/>
      <c r="J861" s="11"/>
      <c r="K861" s="11"/>
      <c r="L861" s="6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</row>
    <row r="862" spans="1:51">
      <c r="A862" s="11"/>
      <c r="B862" s="149"/>
      <c r="C862" s="11"/>
      <c r="D862" s="11"/>
      <c r="E862" s="11"/>
      <c r="F862" s="184"/>
      <c r="G862" s="11"/>
      <c r="H862" s="11"/>
      <c r="I862" s="11"/>
      <c r="J862" s="11"/>
      <c r="K862" s="11"/>
      <c r="L862" s="6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</row>
    <row r="863" spans="1:51">
      <c r="A863" s="11"/>
      <c r="B863" s="149"/>
      <c r="C863" s="11"/>
      <c r="D863" s="11"/>
      <c r="E863" s="11"/>
      <c r="F863" s="184"/>
      <c r="G863" s="11"/>
      <c r="H863" s="11"/>
      <c r="I863" s="11"/>
      <c r="J863" s="11"/>
      <c r="K863" s="11"/>
      <c r="L863" s="6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</row>
    <row r="864" spans="1:51">
      <c r="A864" s="11"/>
      <c r="B864" s="149"/>
      <c r="C864" s="11"/>
      <c r="D864" s="11"/>
      <c r="E864" s="11"/>
      <c r="F864" s="184"/>
      <c r="G864" s="11"/>
      <c r="H864" s="11"/>
      <c r="I864" s="11"/>
      <c r="J864" s="11"/>
      <c r="K864" s="11"/>
      <c r="L864" s="6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</row>
    <row r="865" spans="1:51">
      <c r="A865" s="11"/>
      <c r="B865" s="149"/>
      <c r="C865" s="11"/>
      <c r="D865" s="11"/>
      <c r="E865" s="11"/>
      <c r="F865" s="184"/>
      <c r="G865" s="11"/>
      <c r="H865" s="11"/>
      <c r="I865" s="11"/>
      <c r="J865" s="11"/>
      <c r="K865" s="11"/>
      <c r="L865" s="6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</row>
    <row r="866" spans="1:51">
      <c r="A866" s="11"/>
      <c r="B866" s="149"/>
      <c r="C866" s="11"/>
      <c r="D866" s="11"/>
      <c r="E866" s="11"/>
      <c r="F866" s="184"/>
      <c r="G866" s="11"/>
      <c r="H866" s="11"/>
      <c r="I866" s="11"/>
      <c r="J866" s="11"/>
      <c r="K866" s="11"/>
      <c r="L866" s="6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</row>
    <row r="867" spans="1:51">
      <c r="A867" s="11"/>
      <c r="B867" s="149"/>
      <c r="C867" s="11"/>
      <c r="D867" s="11"/>
      <c r="E867" s="11"/>
      <c r="F867" s="184"/>
      <c r="G867" s="11"/>
      <c r="H867" s="11"/>
      <c r="I867" s="11"/>
      <c r="J867" s="11"/>
      <c r="K867" s="11"/>
      <c r="L867" s="6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</row>
    <row r="868" spans="1:51">
      <c r="A868" s="11"/>
      <c r="B868" s="149"/>
      <c r="C868" s="11"/>
      <c r="D868" s="11"/>
      <c r="E868" s="11"/>
      <c r="F868" s="184"/>
      <c r="G868" s="11"/>
      <c r="H868" s="11"/>
      <c r="I868" s="11"/>
      <c r="J868" s="11"/>
      <c r="K868" s="11"/>
      <c r="L868" s="6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</row>
    <row r="869" spans="1:51">
      <c r="A869" s="11"/>
      <c r="B869" s="149"/>
      <c r="C869" s="11"/>
      <c r="D869" s="11"/>
      <c r="E869" s="11"/>
      <c r="F869" s="184"/>
      <c r="G869" s="11"/>
      <c r="H869" s="11"/>
      <c r="I869" s="11"/>
      <c r="J869" s="11"/>
      <c r="K869" s="11"/>
      <c r="L869" s="6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</row>
    <row r="870" spans="1:51">
      <c r="A870" s="11"/>
      <c r="B870" s="149"/>
      <c r="C870" s="11"/>
      <c r="D870" s="11"/>
      <c r="E870" s="11"/>
      <c r="F870" s="184"/>
      <c r="G870" s="11"/>
      <c r="H870" s="11"/>
      <c r="I870" s="11"/>
      <c r="J870" s="11"/>
      <c r="K870" s="11"/>
      <c r="L870" s="6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</row>
    <row r="871" spans="1:51">
      <c r="A871" s="11"/>
      <c r="B871" s="149"/>
      <c r="C871" s="11"/>
      <c r="D871" s="11"/>
      <c r="E871" s="11"/>
      <c r="F871" s="184"/>
      <c r="G871" s="11"/>
      <c r="H871" s="11"/>
      <c r="I871" s="11"/>
      <c r="J871" s="11"/>
      <c r="K871" s="11"/>
      <c r="L871" s="6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</row>
    <row r="872" spans="1:51">
      <c r="A872" s="11"/>
      <c r="B872" s="149"/>
      <c r="C872" s="11"/>
      <c r="D872" s="11"/>
      <c r="E872" s="11"/>
      <c r="F872" s="184"/>
      <c r="G872" s="11"/>
      <c r="H872" s="11"/>
      <c r="I872" s="11"/>
      <c r="J872" s="11"/>
      <c r="K872" s="11"/>
      <c r="L872" s="6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</row>
    <row r="873" spans="1:51">
      <c r="A873" s="11"/>
      <c r="B873" s="149"/>
      <c r="C873" s="11"/>
      <c r="D873" s="11"/>
      <c r="E873" s="11"/>
      <c r="F873" s="184"/>
      <c r="G873" s="11"/>
      <c r="H873" s="11"/>
      <c r="I873" s="11"/>
      <c r="J873" s="11"/>
      <c r="K873" s="11"/>
      <c r="L873" s="6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</row>
    <row r="874" spans="1:51">
      <c r="A874" s="11"/>
      <c r="B874" s="149"/>
      <c r="C874" s="11"/>
      <c r="D874" s="11"/>
      <c r="E874" s="11"/>
      <c r="F874" s="184"/>
      <c r="G874" s="11"/>
      <c r="H874" s="11"/>
      <c r="I874" s="11"/>
      <c r="J874" s="11"/>
      <c r="K874" s="11"/>
      <c r="L874" s="6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</row>
    <row r="875" spans="1:51">
      <c r="A875" s="11"/>
      <c r="B875" s="149"/>
      <c r="C875" s="11"/>
      <c r="D875" s="11"/>
      <c r="E875" s="11"/>
      <c r="F875" s="184"/>
      <c r="G875" s="11"/>
      <c r="H875" s="11"/>
      <c r="I875" s="11"/>
      <c r="J875" s="11"/>
      <c r="K875" s="11"/>
      <c r="L875" s="6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</row>
    <row r="876" spans="1:51">
      <c r="A876" s="11"/>
      <c r="B876" s="149"/>
      <c r="C876" s="11"/>
      <c r="D876" s="11"/>
      <c r="E876" s="11"/>
      <c r="F876" s="184"/>
      <c r="G876" s="11"/>
      <c r="H876" s="11"/>
      <c r="I876" s="11"/>
      <c r="J876" s="11"/>
      <c r="K876" s="11"/>
      <c r="L876" s="6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</row>
    <row r="877" spans="1:51">
      <c r="A877" s="11"/>
      <c r="B877" s="149"/>
      <c r="C877" s="11"/>
      <c r="D877" s="11"/>
      <c r="E877" s="11"/>
      <c r="F877" s="184"/>
      <c r="G877" s="11"/>
      <c r="H877" s="11"/>
      <c r="I877" s="11"/>
      <c r="J877" s="11"/>
      <c r="K877" s="11"/>
      <c r="L877" s="6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</row>
    <row r="878" spans="1:51">
      <c r="A878" s="11"/>
      <c r="B878" s="149"/>
      <c r="C878" s="11"/>
      <c r="D878" s="11"/>
      <c r="E878" s="11"/>
      <c r="F878" s="184"/>
      <c r="G878" s="11"/>
      <c r="H878" s="11"/>
      <c r="I878" s="11"/>
      <c r="J878" s="11"/>
      <c r="K878" s="11"/>
      <c r="L878" s="6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</row>
    <row r="879" spans="1:51">
      <c r="A879" s="11"/>
      <c r="B879" s="149"/>
      <c r="C879" s="11"/>
      <c r="D879" s="11"/>
      <c r="E879" s="11"/>
      <c r="F879" s="184"/>
      <c r="G879" s="11"/>
      <c r="H879" s="11"/>
      <c r="I879" s="11"/>
      <c r="J879" s="11"/>
      <c r="K879" s="11"/>
      <c r="L879" s="6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</row>
    <row r="880" spans="1:51">
      <c r="A880" s="11"/>
      <c r="B880" s="149"/>
      <c r="C880" s="11"/>
      <c r="D880" s="11"/>
      <c r="E880" s="11"/>
      <c r="F880" s="184"/>
      <c r="G880" s="11"/>
      <c r="H880" s="11"/>
      <c r="I880" s="11"/>
      <c r="J880" s="11"/>
      <c r="K880" s="11"/>
      <c r="L880" s="6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</row>
    <row r="881" spans="1:51">
      <c r="A881" s="11"/>
      <c r="B881" s="149"/>
      <c r="C881" s="11"/>
      <c r="D881" s="11"/>
      <c r="E881" s="11"/>
      <c r="F881" s="184"/>
      <c r="G881" s="11"/>
      <c r="H881" s="11"/>
      <c r="I881" s="11"/>
      <c r="J881" s="11"/>
      <c r="K881" s="11"/>
      <c r="L881" s="6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</row>
    <row r="882" spans="1:51">
      <c r="A882" s="11"/>
      <c r="B882" s="149"/>
      <c r="C882" s="11"/>
      <c r="D882" s="11"/>
      <c r="E882" s="11"/>
      <c r="F882" s="184"/>
      <c r="G882" s="11"/>
      <c r="H882" s="11"/>
      <c r="I882" s="11"/>
      <c r="J882" s="11"/>
      <c r="K882" s="11"/>
      <c r="L882" s="6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</row>
    <row r="883" spans="1:51">
      <c r="A883" s="11"/>
      <c r="B883" s="149"/>
      <c r="C883" s="11"/>
      <c r="D883" s="11"/>
      <c r="E883" s="11"/>
      <c r="F883" s="184"/>
      <c r="G883" s="11"/>
      <c r="H883" s="11"/>
      <c r="I883" s="11"/>
      <c r="J883" s="11"/>
      <c r="K883" s="11"/>
      <c r="L883" s="6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</row>
    <row r="884" spans="1:51">
      <c r="A884" s="11"/>
      <c r="B884" s="149"/>
      <c r="C884" s="11"/>
      <c r="D884" s="11"/>
      <c r="E884" s="11"/>
      <c r="F884" s="184"/>
      <c r="G884" s="11"/>
      <c r="H884" s="11"/>
      <c r="I884" s="11"/>
      <c r="J884" s="11"/>
      <c r="K884" s="11"/>
      <c r="L884" s="6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</row>
    <row r="885" spans="1:51">
      <c r="A885" s="11"/>
      <c r="B885" s="149"/>
      <c r="C885" s="11"/>
      <c r="D885" s="11"/>
      <c r="E885" s="11"/>
      <c r="F885" s="184"/>
      <c r="G885" s="11"/>
      <c r="H885" s="11"/>
      <c r="I885" s="11"/>
      <c r="J885" s="11"/>
      <c r="K885" s="11"/>
      <c r="L885" s="6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</row>
    <row r="886" spans="1:51">
      <c r="A886" s="11"/>
      <c r="B886" s="149"/>
      <c r="C886" s="11"/>
      <c r="D886" s="11"/>
      <c r="E886" s="11"/>
      <c r="F886" s="184"/>
      <c r="G886" s="11"/>
      <c r="H886" s="11"/>
      <c r="I886" s="11"/>
      <c r="J886" s="11"/>
      <c r="K886" s="11"/>
      <c r="L886" s="6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</row>
    <row r="887" spans="1:51">
      <c r="A887" s="11"/>
      <c r="B887" s="149"/>
      <c r="C887" s="11"/>
      <c r="D887" s="11"/>
      <c r="E887" s="11"/>
      <c r="F887" s="184"/>
      <c r="G887" s="11"/>
      <c r="H887" s="11"/>
      <c r="I887" s="11"/>
      <c r="J887" s="11"/>
      <c r="K887" s="11"/>
      <c r="L887" s="6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</row>
    <row r="888" spans="1:51">
      <c r="A888" s="11"/>
      <c r="B888" s="149"/>
      <c r="C888" s="11"/>
      <c r="D888" s="11"/>
      <c r="E888" s="11"/>
      <c r="F888" s="184"/>
      <c r="G888" s="11"/>
      <c r="H888" s="11"/>
      <c r="I888" s="11"/>
      <c r="J888" s="11"/>
      <c r="K888" s="11"/>
      <c r="L888" s="6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</row>
    <row r="889" spans="1:51">
      <c r="A889" s="11"/>
      <c r="B889" s="149"/>
      <c r="C889" s="11"/>
      <c r="D889" s="11"/>
      <c r="E889" s="11"/>
      <c r="F889" s="184"/>
      <c r="G889" s="11"/>
      <c r="H889" s="11"/>
      <c r="I889" s="11"/>
      <c r="J889" s="11"/>
      <c r="K889" s="11"/>
      <c r="L889" s="6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</row>
    <row r="890" spans="1:51">
      <c r="A890" s="11"/>
      <c r="B890" s="149"/>
      <c r="C890" s="11"/>
      <c r="D890" s="11"/>
      <c r="E890" s="11"/>
      <c r="F890" s="184"/>
      <c r="G890" s="11"/>
      <c r="H890" s="11"/>
      <c r="I890" s="11"/>
      <c r="J890" s="11"/>
      <c r="K890" s="11"/>
      <c r="L890" s="6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</row>
    <row r="891" spans="1:51">
      <c r="A891" s="11"/>
      <c r="B891" s="149"/>
      <c r="C891" s="11"/>
      <c r="D891" s="11"/>
      <c r="E891" s="11"/>
      <c r="F891" s="184"/>
      <c r="G891" s="11"/>
      <c r="H891" s="11"/>
      <c r="I891" s="11"/>
      <c r="J891" s="11"/>
      <c r="K891" s="11"/>
      <c r="L891" s="6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</row>
    <row r="892" spans="1:51">
      <c r="A892" s="11"/>
      <c r="B892" s="149"/>
      <c r="C892" s="11"/>
      <c r="D892" s="11"/>
      <c r="E892" s="11"/>
      <c r="F892" s="184"/>
      <c r="G892" s="11"/>
      <c r="H892" s="11"/>
      <c r="I892" s="11"/>
      <c r="J892" s="11"/>
      <c r="K892" s="11"/>
      <c r="L892" s="6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</row>
    <row r="893" spans="1:51">
      <c r="A893" s="11"/>
      <c r="B893" s="149"/>
      <c r="C893" s="11"/>
      <c r="D893" s="11"/>
      <c r="E893" s="11"/>
      <c r="F893" s="184"/>
      <c r="G893" s="11"/>
      <c r="H893" s="11"/>
      <c r="I893" s="11"/>
      <c r="J893" s="11"/>
      <c r="K893" s="11"/>
      <c r="L893" s="6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</row>
    <row r="894" spans="1:51">
      <c r="A894" s="11"/>
      <c r="B894" s="149"/>
      <c r="C894" s="11"/>
      <c r="D894" s="11"/>
      <c r="E894" s="11"/>
      <c r="F894" s="184"/>
      <c r="G894" s="11"/>
      <c r="H894" s="11"/>
      <c r="I894" s="11"/>
      <c r="J894" s="11"/>
      <c r="K894" s="11"/>
      <c r="L894" s="6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</row>
    <row r="895" spans="1:51">
      <c r="A895" s="11"/>
      <c r="B895" s="149"/>
      <c r="C895" s="11"/>
      <c r="D895" s="11"/>
      <c r="E895" s="11"/>
      <c r="F895" s="184"/>
      <c r="G895" s="11"/>
      <c r="H895" s="11"/>
      <c r="I895" s="11"/>
      <c r="J895" s="11"/>
      <c r="K895" s="11"/>
      <c r="L895" s="6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</row>
    <row r="896" spans="1:51">
      <c r="A896" s="11"/>
      <c r="B896" s="149"/>
      <c r="C896" s="11"/>
      <c r="D896" s="11"/>
      <c r="E896" s="11"/>
      <c r="F896" s="184"/>
      <c r="G896" s="11"/>
      <c r="H896" s="11"/>
      <c r="I896" s="11"/>
      <c r="J896" s="11"/>
      <c r="K896" s="11"/>
      <c r="L896" s="6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</row>
    <row r="897" spans="1:51">
      <c r="A897" s="11"/>
      <c r="B897" s="149"/>
      <c r="C897" s="11"/>
      <c r="D897" s="11"/>
      <c r="E897" s="11"/>
      <c r="F897" s="184"/>
      <c r="G897" s="11"/>
      <c r="H897" s="11"/>
      <c r="I897" s="11"/>
      <c r="J897" s="11"/>
      <c r="K897" s="11"/>
      <c r="L897" s="6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</row>
    <row r="898" spans="1:51">
      <c r="A898" s="11"/>
      <c r="B898" s="149"/>
      <c r="C898" s="11"/>
      <c r="D898" s="11"/>
      <c r="E898" s="11"/>
      <c r="F898" s="184"/>
      <c r="G898" s="11"/>
      <c r="H898" s="11"/>
      <c r="I898" s="11"/>
      <c r="J898" s="11"/>
      <c r="K898" s="11"/>
      <c r="L898" s="6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</row>
    <row r="899" spans="1:51">
      <c r="A899" s="11"/>
      <c r="B899" s="149"/>
      <c r="C899" s="11"/>
      <c r="D899" s="11"/>
      <c r="E899" s="11"/>
      <c r="F899" s="184"/>
      <c r="G899" s="11"/>
      <c r="H899" s="11"/>
      <c r="I899" s="11"/>
      <c r="J899" s="11"/>
      <c r="K899" s="11"/>
      <c r="L899" s="6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</row>
    <row r="900" spans="1:51">
      <c r="A900" s="11"/>
      <c r="B900" s="149"/>
      <c r="C900" s="11"/>
      <c r="D900" s="11"/>
      <c r="E900" s="11"/>
      <c r="F900" s="184"/>
      <c r="G900" s="11"/>
      <c r="H900" s="11"/>
      <c r="I900" s="11"/>
      <c r="J900" s="11"/>
      <c r="K900" s="11"/>
      <c r="L900" s="6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</row>
    <row r="901" spans="1:51">
      <c r="A901" s="11"/>
      <c r="B901" s="149"/>
      <c r="C901" s="11"/>
      <c r="D901" s="11"/>
      <c r="E901" s="11"/>
      <c r="F901" s="184"/>
      <c r="G901" s="11"/>
      <c r="H901" s="11"/>
      <c r="I901" s="11"/>
      <c r="J901" s="11"/>
      <c r="K901" s="11"/>
      <c r="L901" s="6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</row>
    <row r="902" spans="1:51">
      <c r="A902" s="11"/>
      <c r="B902" s="149"/>
      <c r="C902" s="11"/>
      <c r="D902" s="11"/>
      <c r="E902" s="11"/>
      <c r="F902" s="184"/>
      <c r="G902" s="11"/>
      <c r="H902" s="11"/>
      <c r="I902" s="11"/>
      <c r="J902" s="11"/>
      <c r="K902" s="11"/>
      <c r="L902" s="6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</row>
    <row r="903" spans="1:51">
      <c r="A903" s="11"/>
      <c r="B903" s="149"/>
      <c r="C903" s="11"/>
      <c r="D903" s="11"/>
      <c r="E903" s="11"/>
      <c r="F903" s="184"/>
      <c r="G903" s="11"/>
      <c r="H903" s="11"/>
      <c r="I903" s="11"/>
      <c r="J903" s="11"/>
      <c r="K903" s="11"/>
      <c r="L903" s="6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</row>
    <row r="904" spans="1:51">
      <c r="A904" s="11"/>
      <c r="B904" s="149"/>
      <c r="C904" s="11"/>
      <c r="D904" s="11"/>
      <c r="E904" s="11"/>
      <c r="F904" s="184"/>
      <c r="G904" s="11"/>
      <c r="H904" s="11"/>
      <c r="I904" s="11"/>
      <c r="J904" s="11"/>
      <c r="K904" s="11"/>
      <c r="L904" s="6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</row>
    <row r="905" spans="1:51">
      <c r="A905" s="11"/>
      <c r="B905" s="149"/>
      <c r="C905" s="11"/>
      <c r="D905" s="11"/>
      <c r="E905" s="11"/>
      <c r="F905" s="184"/>
      <c r="G905" s="11"/>
      <c r="H905" s="11"/>
      <c r="I905" s="11"/>
      <c r="J905" s="11"/>
      <c r="K905" s="11"/>
      <c r="L905" s="6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</row>
    <row r="906" spans="1:51">
      <c r="A906" s="11"/>
      <c r="B906" s="149"/>
      <c r="C906" s="11"/>
      <c r="D906" s="11"/>
      <c r="E906" s="11"/>
      <c r="F906" s="184"/>
      <c r="G906" s="11"/>
      <c r="H906" s="11"/>
      <c r="I906" s="11"/>
      <c r="J906" s="11"/>
      <c r="K906" s="11"/>
      <c r="L906" s="6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</row>
    <row r="907" spans="1:51">
      <c r="A907" s="11"/>
      <c r="B907" s="149"/>
      <c r="C907" s="11"/>
      <c r="D907" s="11"/>
      <c r="E907" s="11"/>
      <c r="F907" s="184"/>
      <c r="G907" s="11"/>
      <c r="H907" s="11"/>
      <c r="I907" s="11"/>
      <c r="J907" s="11"/>
      <c r="K907" s="11"/>
      <c r="L907" s="6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</row>
    <row r="908" spans="1:51">
      <c r="A908" s="11"/>
      <c r="B908" s="149"/>
      <c r="C908" s="11"/>
      <c r="D908" s="11"/>
      <c r="E908" s="11"/>
      <c r="F908" s="184"/>
      <c r="G908" s="11"/>
      <c r="H908" s="11"/>
      <c r="I908" s="11"/>
      <c r="J908" s="11"/>
      <c r="K908" s="11"/>
      <c r="L908" s="6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</row>
    <row r="909" spans="1:51">
      <c r="A909" s="11"/>
      <c r="B909" s="149"/>
      <c r="C909" s="11"/>
      <c r="D909" s="11"/>
      <c r="E909" s="11"/>
      <c r="F909" s="184"/>
      <c r="G909" s="11"/>
      <c r="H909" s="11"/>
      <c r="I909" s="11"/>
      <c r="J909" s="11"/>
      <c r="K909" s="11"/>
      <c r="L909" s="6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</row>
    <row r="910" spans="1:51">
      <c r="A910" s="11"/>
      <c r="B910" s="149"/>
      <c r="C910" s="11"/>
      <c r="D910" s="11"/>
      <c r="E910" s="11"/>
      <c r="F910" s="184"/>
      <c r="G910" s="11"/>
      <c r="H910" s="11"/>
      <c r="I910" s="11"/>
      <c r="J910" s="11"/>
      <c r="K910" s="11"/>
      <c r="L910" s="6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</row>
    <row r="911" spans="1:51">
      <c r="A911" s="11"/>
      <c r="B911" s="149"/>
      <c r="C911" s="11"/>
      <c r="D911" s="11"/>
      <c r="E911" s="11"/>
      <c r="F911" s="184"/>
      <c r="G911" s="11"/>
      <c r="H911" s="11"/>
      <c r="I911" s="11"/>
      <c r="J911" s="11"/>
      <c r="K911" s="11"/>
      <c r="L911" s="6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</row>
    <row r="912" spans="1:51">
      <c r="A912" s="11"/>
      <c r="B912" s="149"/>
      <c r="C912" s="11"/>
      <c r="D912" s="11"/>
      <c r="E912" s="11"/>
      <c r="F912" s="184"/>
      <c r="G912" s="11"/>
      <c r="H912" s="11"/>
      <c r="I912" s="11"/>
      <c r="J912" s="11"/>
      <c r="K912" s="11"/>
      <c r="L912" s="6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</row>
    <row r="913" spans="1:51">
      <c r="A913" s="11"/>
      <c r="B913" s="149"/>
      <c r="C913" s="11"/>
      <c r="D913" s="11"/>
      <c r="E913" s="11"/>
      <c r="F913" s="184"/>
      <c r="G913" s="11"/>
      <c r="H913" s="11"/>
      <c r="I913" s="11"/>
      <c r="J913" s="11"/>
      <c r="K913" s="11"/>
      <c r="L913" s="6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</row>
    <row r="914" spans="1:51">
      <c r="A914" s="11"/>
      <c r="B914" s="149"/>
      <c r="C914" s="11"/>
      <c r="D914" s="11"/>
      <c r="E914" s="11"/>
      <c r="F914" s="184"/>
      <c r="G914" s="11"/>
      <c r="H914" s="11"/>
      <c r="I914" s="11"/>
      <c r="J914" s="11"/>
      <c r="K914" s="11"/>
      <c r="L914" s="6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</row>
    <row r="915" spans="1:51">
      <c r="A915" s="11"/>
      <c r="B915" s="149"/>
      <c r="C915" s="11"/>
      <c r="D915" s="11"/>
      <c r="E915" s="11"/>
      <c r="F915" s="184"/>
      <c r="G915" s="11"/>
      <c r="H915" s="11"/>
      <c r="I915" s="11"/>
      <c r="J915" s="11"/>
      <c r="K915" s="11"/>
      <c r="L915" s="6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</row>
    <row r="916" spans="1:51">
      <c r="A916" s="11"/>
      <c r="B916" s="149"/>
      <c r="C916" s="11"/>
      <c r="D916" s="11"/>
      <c r="E916" s="11"/>
      <c r="F916" s="184"/>
      <c r="G916" s="11"/>
      <c r="H916" s="11"/>
      <c r="I916" s="11"/>
      <c r="J916" s="11"/>
      <c r="K916" s="11"/>
      <c r="L916" s="6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</row>
    <row r="917" spans="1:51">
      <c r="A917" s="11"/>
      <c r="B917" s="149"/>
      <c r="C917" s="11"/>
      <c r="D917" s="11"/>
      <c r="E917" s="11"/>
      <c r="F917" s="184"/>
      <c r="G917" s="11"/>
      <c r="H917" s="11"/>
      <c r="I917" s="11"/>
      <c r="J917" s="11"/>
      <c r="K917" s="11"/>
      <c r="L917" s="6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</row>
    <row r="918" spans="1:51">
      <c r="A918" s="11"/>
      <c r="B918" s="149"/>
      <c r="C918" s="11"/>
      <c r="D918" s="11"/>
      <c r="E918" s="11"/>
      <c r="F918" s="184"/>
      <c r="G918" s="11"/>
      <c r="H918" s="11"/>
      <c r="I918" s="11"/>
      <c r="J918" s="11"/>
      <c r="K918" s="11"/>
      <c r="L918" s="6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</row>
    <row r="919" spans="1:51">
      <c r="A919" s="11"/>
      <c r="B919" s="149"/>
      <c r="C919" s="11"/>
      <c r="D919" s="11"/>
      <c r="E919" s="11"/>
      <c r="F919" s="184"/>
      <c r="G919" s="11"/>
      <c r="H919" s="11"/>
      <c r="I919" s="11"/>
      <c r="J919" s="11"/>
      <c r="K919" s="11"/>
      <c r="L919" s="6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</row>
    <row r="920" spans="1:51">
      <c r="A920" s="11"/>
      <c r="B920" s="149"/>
      <c r="C920" s="11"/>
      <c r="D920" s="11"/>
      <c r="E920" s="11"/>
      <c r="F920" s="184"/>
      <c r="G920" s="11"/>
      <c r="H920" s="11"/>
      <c r="I920" s="11"/>
      <c r="J920" s="11"/>
      <c r="K920" s="11"/>
      <c r="L920" s="6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</row>
    <row r="921" spans="1:51">
      <c r="A921" s="11"/>
      <c r="B921" s="149"/>
      <c r="C921" s="11"/>
      <c r="D921" s="11"/>
      <c r="E921" s="11"/>
      <c r="F921" s="184"/>
      <c r="G921" s="11"/>
      <c r="H921" s="11"/>
      <c r="I921" s="11"/>
      <c r="J921" s="11"/>
      <c r="K921" s="11"/>
      <c r="L921" s="6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</row>
    <row r="922" spans="1:51">
      <c r="A922" s="11"/>
      <c r="B922" s="149"/>
      <c r="C922" s="11"/>
      <c r="D922" s="11"/>
      <c r="E922" s="11"/>
      <c r="F922" s="184"/>
      <c r="G922" s="11"/>
      <c r="H922" s="11"/>
      <c r="I922" s="11"/>
      <c r="J922" s="11"/>
      <c r="K922" s="11"/>
      <c r="L922" s="6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</row>
    <row r="923" spans="1:51">
      <c r="A923" s="11"/>
      <c r="B923" s="149"/>
      <c r="C923" s="11"/>
      <c r="D923" s="11"/>
      <c r="E923" s="11"/>
      <c r="F923" s="184"/>
      <c r="G923" s="11"/>
      <c r="H923" s="11"/>
      <c r="I923" s="11"/>
      <c r="J923" s="11"/>
      <c r="K923" s="11"/>
      <c r="L923" s="6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</row>
    <row r="924" spans="1:51">
      <c r="A924" s="11"/>
      <c r="B924" s="149"/>
      <c r="C924" s="11"/>
      <c r="D924" s="11"/>
      <c r="E924" s="11"/>
      <c r="F924" s="184"/>
      <c r="G924" s="11"/>
      <c r="H924" s="11"/>
      <c r="I924" s="11"/>
      <c r="J924" s="11"/>
      <c r="K924" s="11"/>
      <c r="L924" s="6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</row>
    <row r="925" spans="1:51">
      <c r="A925" s="11"/>
      <c r="B925" s="149"/>
      <c r="C925" s="11"/>
      <c r="D925" s="11"/>
      <c r="E925" s="11"/>
      <c r="F925" s="184"/>
      <c r="G925" s="11"/>
      <c r="H925" s="11"/>
      <c r="I925" s="11"/>
      <c r="J925" s="11"/>
      <c r="K925" s="11"/>
      <c r="L925" s="6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</row>
    <row r="926" spans="1:51">
      <c r="A926" s="11"/>
      <c r="B926" s="149"/>
      <c r="C926" s="11"/>
      <c r="D926" s="11"/>
      <c r="E926" s="11"/>
      <c r="F926" s="184"/>
      <c r="G926" s="11"/>
      <c r="H926" s="11"/>
      <c r="I926" s="11"/>
      <c r="J926" s="11"/>
      <c r="K926" s="11"/>
      <c r="L926" s="6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</row>
    <row r="927" spans="1:51">
      <c r="A927" s="11"/>
      <c r="B927" s="149"/>
      <c r="C927" s="11"/>
      <c r="D927" s="11"/>
      <c r="E927" s="11"/>
      <c r="F927" s="184"/>
      <c r="G927" s="11"/>
      <c r="H927" s="11"/>
      <c r="I927" s="11"/>
      <c r="J927" s="11"/>
      <c r="K927" s="11"/>
      <c r="L927" s="6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</row>
    <row r="928" spans="1:51">
      <c r="A928" s="11"/>
      <c r="B928" s="149"/>
      <c r="C928" s="11"/>
      <c r="D928" s="11"/>
      <c r="E928" s="11"/>
      <c r="F928" s="184"/>
      <c r="G928" s="11"/>
      <c r="H928" s="11"/>
      <c r="I928" s="11"/>
      <c r="J928" s="11"/>
      <c r="K928" s="11"/>
      <c r="L928" s="6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</row>
    <row r="929" spans="1:51">
      <c r="A929" s="11"/>
      <c r="B929" s="149"/>
      <c r="C929" s="11"/>
      <c r="D929" s="11"/>
      <c r="E929" s="11"/>
      <c r="F929" s="184"/>
      <c r="G929" s="11"/>
      <c r="H929" s="11"/>
      <c r="I929" s="11"/>
      <c r="J929" s="11"/>
      <c r="K929" s="11"/>
      <c r="L929" s="6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</row>
    <row r="930" spans="1:51">
      <c r="A930" s="11"/>
      <c r="B930" s="149"/>
      <c r="C930" s="11"/>
      <c r="D930" s="11"/>
      <c r="E930" s="11"/>
      <c r="F930" s="184"/>
      <c r="G930" s="11"/>
      <c r="H930" s="11"/>
      <c r="I930" s="11"/>
      <c r="J930" s="11"/>
      <c r="K930" s="11"/>
      <c r="L930" s="6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</row>
    <row r="931" spans="1:51">
      <c r="A931" s="11"/>
      <c r="B931" s="149"/>
      <c r="C931" s="11"/>
      <c r="D931" s="11"/>
      <c r="E931" s="11"/>
      <c r="F931" s="184"/>
      <c r="G931" s="11"/>
      <c r="H931" s="11"/>
      <c r="I931" s="11"/>
      <c r="J931" s="11"/>
      <c r="K931" s="11"/>
      <c r="L931" s="6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</row>
    <row r="932" spans="1:51">
      <c r="A932" s="11"/>
      <c r="B932" s="149"/>
      <c r="C932" s="11"/>
      <c r="D932" s="11"/>
      <c r="E932" s="11"/>
      <c r="F932" s="184"/>
      <c r="G932" s="11"/>
      <c r="H932" s="11"/>
      <c r="I932" s="11"/>
      <c r="J932" s="11"/>
      <c r="K932" s="11"/>
      <c r="L932" s="6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</row>
    <row r="933" spans="1:51">
      <c r="A933" s="11"/>
      <c r="B933" s="149"/>
      <c r="C933" s="11"/>
      <c r="D933" s="11"/>
      <c r="E933" s="11"/>
      <c r="F933" s="184"/>
      <c r="G933" s="11"/>
      <c r="H933" s="11"/>
      <c r="I933" s="11"/>
      <c r="J933" s="11"/>
      <c r="K933" s="11"/>
      <c r="L933" s="6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</row>
    <row r="934" spans="1:51">
      <c r="A934" s="11"/>
      <c r="B934" s="149"/>
      <c r="C934" s="11"/>
      <c r="D934" s="11"/>
      <c r="E934" s="11"/>
      <c r="F934" s="184"/>
      <c r="G934" s="11"/>
      <c r="H934" s="11"/>
      <c r="I934" s="11"/>
      <c r="J934" s="11"/>
      <c r="K934" s="11"/>
      <c r="L934" s="6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</row>
    <row r="935" spans="1:51">
      <c r="A935" s="11"/>
      <c r="B935" s="149"/>
      <c r="C935" s="11"/>
      <c r="D935" s="11"/>
      <c r="E935" s="11"/>
      <c r="F935" s="184"/>
      <c r="G935" s="11"/>
      <c r="H935" s="11"/>
      <c r="I935" s="11"/>
      <c r="J935" s="11"/>
      <c r="K935" s="11"/>
      <c r="L935" s="6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</row>
    <row r="936" spans="1:51">
      <c r="A936" s="11"/>
      <c r="B936" s="149"/>
      <c r="C936" s="11"/>
      <c r="D936" s="11"/>
      <c r="E936" s="11"/>
      <c r="F936" s="184"/>
      <c r="G936" s="11"/>
      <c r="H936" s="11"/>
      <c r="I936" s="11"/>
      <c r="J936" s="11"/>
      <c r="K936" s="11"/>
      <c r="L936" s="6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</row>
    <row r="937" spans="1:51">
      <c r="A937" s="11"/>
      <c r="B937" s="149"/>
      <c r="C937" s="11"/>
      <c r="D937" s="11"/>
      <c r="E937" s="11"/>
      <c r="F937" s="184"/>
      <c r="G937" s="11"/>
      <c r="H937" s="11"/>
      <c r="I937" s="11"/>
      <c r="J937" s="11"/>
      <c r="K937" s="11"/>
      <c r="L937" s="6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</row>
    <row r="938" spans="1:51">
      <c r="A938" s="11"/>
      <c r="B938" s="149"/>
      <c r="C938" s="11"/>
      <c r="D938" s="11"/>
      <c r="E938" s="11"/>
      <c r="F938" s="184"/>
      <c r="G938" s="11"/>
      <c r="H938" s="11"/>
      <c r="I938" s="11"/>
      <c r="J938" s="11"/>
      <c r="K938" s="11"/>
      <c r="L938" s="6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</row>
    <row r="939" spans="1:51">
      <c r="A939" s="11"/>
      <c r="B939" s="149"/>
      <c r="C939" s="11"/>
      <c r="D939" s="11"/>
      <c r="E939" s="11"/>
      <c r="F939" s="184"/>
      <c r="G939" s="11"/>
      <c r="H939" s="11"/>
      <c r="I939" s="11"/>
      <c r="J939" s="11"/>
      <c r="K939" s="11"/>
      <c r="L939" s="6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</row>
    <row r="940" spans="1:51">
      <c r="A940" s="11"/>
      <c r="B940" s="149"/>
      <c r="C940" s="11"/>
      <c r="D940" s="11"/>
      <c r="E940" s="11"/>
      <c r="F940" s="184"/>
      <c r="G940" s="11"/>
      <c r="H940" s="11"/>
      <c r="I940" s="11"/>
      <c r="J940" s="11"/>
      <c r="K940" s="11"/>
      <c r="L940" s="6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</row>
    <row r="941" spans="1:51">
      <c r="A941" s="11"/>
      <c r="B941" s="149"/>
      <c r="C941" s="11"/>
      <c r="D941" s="11"/>
      <c r="E941" s="11"/>
      <c r="F941" s="184"/>
      <c r="G941" s="11"/>
      <c r="H941" s="11"/>
      <c r="I941" s="11"/>
      <c r="J941" s="11"/>
      <c r="K941" s="11"/>
      <c r="L941" s="6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</row>
    <row r="942" spans="1:51">
      <c r="A942" s="11"/>
      <c r="B942" s="149"/>
      <c r="C942" s="11"/>
      <c r="D942" s="11"/>
      <c r="E942" s="11"/>
      <c r="F942" s="184"/>
      <c r="G942" s="11"/>
      <c r="H942" s="11"/>
      <c r="I942" s="11"/>
      <c r="J942" s="11"/>
      <c r="K942" s="11"/>
      <c r="L942" s="6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</row>
    <row r="943" spans="1:51">
      <c r="A943" s="11"/>
      <c r="B943" s="149"/>
      <c r="C943" s="11"/>
      <c r="D943" s="11"/>
      <c r="E943" s="11"/>
      <c r="F943" s="184"/>
      <c r="G943" s="11"/>
      <c r="H943" s="11"/>
      <c r="I943" s="11"/>
      <c r="J943" s="11"/>
      <c r="K943" s="11"/>
      <c r="L943" s="6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</row>
    <row r="944" spans="1:51">
      <c r="A944" s="11"/>
      <c r="B944" s="149"/>
      <c r="C944" s="11"/>
      <c r="D944" s="11"/>
      <c r="E944" s="11"/>
      <c r="F944" s="184"/>
      <c r="G944" s="11"/>
      <c r="H944" s="11"/>
      <c r="I944" s="11"/>
      <c r="J944" s="11"/>
      <c r="K944" s="11"/>
      <c r="L944" s="6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</row>
    <row r="945" spans="1:51">
      <c r="A945" s="11"/>
      <c r="B945" s="149"/>
      <c r="C945" s="11"/>
      <c r="D945" s="11"/>
      <c r="E945" s="11"/>
      <c r="F945" s="184"/>
      <c r="G945" s="11"/>
      <c r="H945" s="11"/>
      <c r="I945" s="11"/>
      <c r="J945" s="11"/>
      <c r="K945" s="11"/>
      <c r="L945" s="6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</row>
    <row r="946" spans="1:51">
      <c r="A946" s="11"/>
      <c r="B946" s="149"/>
      <c r="C946" s="11"/>
      <c r="D946" s="11"/>
      <c r="E946" s="11"/>
      <c r="F946" s="184"/>
      <c r="G946" s="11"/>
      <c r="H946" s="11"/>
      <c r="I946" s="11"/>
      <c r="J946" s="11"/>
      <c r="K946" s="11"/>
      <c r="L946" s="6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</row>
    <row r="947" spans="1:51">
      <c r="A947" s="11"/>
      <c r="B947" s="149"/>
      <c r="C947" s="11"/>
      <c r="D947" s="11"/>
      <c r="E947" s="11"/>
      <c r="F947" s="184"/>
      <c r="G947" s="11"/>
      <c r="H947" s="11"/>
      <c r="I947" s="11"/>
      <c r="J947" s="11"/>
      <c r="K947" s="11"/>
      <c r="L947" s="6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</row>
    <row r="948" spans="1:51">
      <c r="A948" s="11"/>
      <c r="B948" s="149"/>
      <c r="C948" s="11"/>
      <c r="D948" s="11"/>
      <c r="E948" s="11"/>
      <c r="F948" s="184"/>
      <c r="G948" s="11"/>
      <c r="H948" s="11"/>
      <c r="I948" s="11"/>
      <c r="J948" s="11"/>
      <c r="K948" s="11"/>
      <c r="L948" s="6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</row>
    <row r="949" spans="1:51">
      <c r="A949" s="11"/>
      <c r="B949" s="149"/>
      <c r="C949" s="11"/>
      <c r="D949" s="11"/>
      <c r="E949" s="11"/>
      <c r="F949" s="184"/>
      <c r="G949" s="11"/>
      <c r="H949" s="11"/>
      <c r="I949" s="11"/>
      <c r="J949" s="11"/>
      <c r="K949" s="11"/>
      <c r="L949" s="6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</row>
    <row r="950" spans="1:51">
      <c r="A950" s="11"/>
      <c r="B950" s="149"/>
      <c r="C950" s="11"/>
      <c r="D950" s="11"/>
      <c r="E950" s="11"/>
      <c r="F950" s="184"/>
      <c r="G950" s="11"/>
      <c r="H950" s="11"/>
      <c r="I950" s="11"/>
      <c r="J950" s="11"/>
      <c r="K950" s="11"/>
      <c r="L950" s="6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</row>
    <row r="951" spans="1:51">
      <c r="A951" s="11"/>
      <c r="B951" s="149"/>
      <c r="C951" s="11"/>
      <c r="D951" s="11"/>
      <c r="E951" s="11"/>
      <c r="F951" s="184"/>
      <c r="G951" s="11"/>
      <c r="H951" s="11"/>
      <c r="I951" s="11"/>
      <c r="J951" s="11"/>
      <c r="K951" s="11"/>
      <c r="L951" s="6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</row>
    <row r="952" spans="1:51">
      <c r="A952" s="11"/>
      <c r="B952" s="149"/>
      <c r="C952" s="11"/>
      <c r="D952" s="11"/>
      <c r="E952" s="11"/>
      <c r="F952" s="184"/>
      <c r="G952" s="11"/>
      <c r="H952" s="11"/>
      <c r="I952" s="11"/>
      <c r="J952" s="11"/>
      <c r="K952" s="11"/>
      <c r="L952" s="6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</row>
    <row r="953" spans="1:51">
      <c r="A953" s="11"/>
      <c r="B953" s="149"/>
      <c r="C953" s="11"/>
      <c r="D953" s="11"/>
      <c r="E953" s="11"/>
      <c r="F953" s="184"/>
      <c r="G953" s="11"/>
      <c r="H953" s="11"/>
      <c r="I953" s="11"/>
      <c r="J953" s="11"/>
      <c r="K953" s="11"/>
      <c r="L953" s="6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</row>
    <row r="954" spans="1:51">
      <c r="A954" s="11"/>
      <c r="B954" s="149"/>
      <c r="C954" s="11"/>
      <c r="D954" s="11"/>
      <c r="E954" s="11"/>
      <c r="F954" s="184"/>
      <c r="G954" s="11"/>
      <c r="H954" s="11"/>
      <c r="I954" s="11"/>
      <c r="J954" s="11"/>
      <c r="K954" s="11"/>
      <c r="L954" s="6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</row>
    <row r="955" spans="1:51">
      <c r="A955" s="11"/>
      <c r="B955" s="149"/>
      <c r="C955" s="11"/>
      <c r="D955" s="11"/>
      <c r="E955" s="11"/>
      <c r="F955" s="184"/>
      <c r="G955" s="11"/>
      <c r="H955" s="11"/>
      <c r="I955" s="11"/>
      <c r="J955" s="11"/>
      <c r="K955" s="11"/>
      <c r="L955" s="6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</row>
    <row r="956" spans="1:51">
      <c r="A956" s="11"/>
      <c r="B956" s="149"/>
      <c r="C956" s="11"/>
      <c r="D956" s="11"/>
      <c r="E956" s="11"/>
      <c r="F956" s="184"/>
      <c r="G956" s="11"/>
      <c r="H956" s="11"/>
      <c r="I956" s="11"/>
      <c r="J956" s="11"/>
      <c r="K956" s="11"/>
      <c r="L956" s="6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</row>
    <row r="957" spans="1:51">
      <c r="A957" s="11"/>
      <c r="B957" s="149"/>
      <c r="C957" s="11"/>
      <c r="D957" s="11"/>
      <c r="E957" s="11"/>
      <c r="F957" s="184"/>
      <c r="G957" s="11"/>
      <c r="H957" s="11"/>
      <c r="I957" s="11"/>
      <c r="J957" s="11"/>
      <c r="K957" s="11"/>
      <c r="L957" s="6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</row>
    <row r="958" spans="1:51">
      <c r="A958" s="11"/>
      <c r="B958" s="149"/>
      <c r="C958" s="11"/>
      <c r="D958" s="11"/>
      <c r="E958" s="11"/>
      <c r="F958" s="184"/>
      <c r="G958" s="11"/>
      <c r="H958" s="11"/>
      <c r="I958" s="11"/>
      <c r="J958" s="11"/>
      <c r="K958" s="11"/>
      <c r="L958" s="6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</row>
    <row r="959" spans="1:51">
      <c r="A959" s="11"/>
      <c r="B959" s="149"/>
      <c r="C959" s="11"/>
      <c r="D959" s="11"/>
      <c r="E959" s="11"/>
      <c r="F959" s="184"/>
      <c r="G959" s="11"/>
      <c r="H959" s="11"/>
      <c r="I959" s="11"/>
      <c r="J959" s="11"/>
      <c r="K959" s="11"/>
      <c r="L959" s="6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</row>
    <row r="960" spans="1:51">
      <c r="A960" s="11"/>
      <c r="B960" s="149"/>
      <c r="C960" s="11"/>
      <c r="D960" s="11"/>
      <c r="E960" s="11"/>
      <c r="F960" s="184"/>
      <c r="G960" s="11"/>
      <c r="H960" s="11"/>
      <c r="I960" s="11"/>
      <c r="J960" s="11"/>
      <c r="K960" s="11"/>
      <c r="L960" s="6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</row>
    <row r="961" spans="1:51">
      <c r="A961" s="11"/>
      <c r="B961" s="149"/>
      <c r="C961" s="11"/>
      <c r="D961" s="11"/>
      <c r="E961" s="11"/>
      <c r="F961" s="184"/>
      <c r="G961" s="11"/>
      <c r="H961" s="11"/>
      <c r="I961" s="11"/>
      <c r="J961" s="11"/>
      <c r="K961" s="11"/>
      <c r="L961" s="6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</row>
    <row r="962" spans="1:51">
      <c r="A962" s="11"/>
      <c r="B962" s="149"/>
      <c r="C962" s="11"/>
      <c r="D962" s="11"/>
      <c r="E962" s="11"/>
      <c r="F962" s="184"/>
      <c r="G962" s="11"/>
      <c r="H962" s="11"/>
      <c r="I962" s="11"/>
      <c r="J962" s="11"/>
      <c r="K962" s="11"/>
      <c r="L962" s="6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</row>
    <row r="963" spans="1:51">
      <c r="A963" s="11"/>
      <c r="B963" s="149"/>
      <c r="C963" s="11"/>
      <c r="D963" s="11"/>
      <c r="E963" s="11"/>
      <c r="F963" s="184"/>
      <c r="G963" s="11"/>
      <c r="H963" s="11"/>
      <c r="I963" s="11"/>
      <c r="J963" s="11"/>
      <c r="K963" s="11"/>
      <c r="L963" s="6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</row>
    <row r="964" spans="1:51">
      <c r="A964" s="11"/>
      <c r="B964" s="149"/>
      <c r="C964" s="11"/>
      <c r="D964" s="11"/>
      <c r="E964" s="11"/>
      <c r="F964" s="184"/>
      <c r="G964" s="11"/>
      <c r="H964" s="11"/>
      <c r="I964" s="11"/>
      <c r="J964" s="11"/>
      <c r="K964" s="11"/>
      <c r="L964" s="6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</row>
    <row r="965" spans="1:51">
      <c r="A965" s="11"/>
      <c r="B965" s="149"/>
      <c r="C965" s="11"/>
      <c r="D965" s="11"/>
      <c r="E965" s="11"/>
      <c r="F965" s="184"/>
      <c r="G965" s="11"/>
      <c r="H965" s="11"/>
      <c r="I965" s="11"/>
      <c r="J965" s="11"/>
      <c r="K965" s="11"/>
      <c r="L965" s="6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</row>
    <row r="966" spans="1:51">
      <c r="A966" s="11"/>
      <c r="B966" s="149"/>
      <c r="C966" s="11"/>
      <c r="D966" s="11"/>
      <c r="E966" s="11"/>
      <c r="F966" s="184"/>
      <c r="G966" s="11"/>
      <c r="H966" s="11"/>
      <c r="I966" s="11"/>
      <c r="J966" s="11"/>
      <c r="K966" s="11"/>
      <c r="L966" s="6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</row>
    <row r="967" spans="1:51">
      <c r="A967" s="11"/>
      <c r="B967" s="149"/>
      <c r="C967" s="11"/>
      <c r="D967" s="11"/>
      <c r="E967" s="11"/>
      <c r="F967" s="184"/>
      <c r="G967" s="11"/>
      <c r="H967" s="11"/>
      <c r="I967" s="11"/>
      <c r="J967" s="11"/>
      <c r="K967" s="11"/>
      <c r="L967" s="6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</row>
    <row r="968" spans="1:51">
      <c r="A968" s="11"/>
      <c r="B968" s="149"/>
      <c r="C968" s="11"/>
      <c r="D968" s="11"/>
      <c r="E968" s="11"/>
      <c r="F968" s="184"/>
      <c r="G968" s="11"/>
      <c r="H968" s="11"/>
      <c r="I968" s="11"/>
      <c r="J968" s="11"/>
      <c r="K968" s="11"/>
      <c r="L968" s="6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</row>
    <row r="969" spans="1:51">
      <c r="A969" s="11"/>
      <c r="B969" s="149"/>
      <c r="C969" s="11"/>
      <c r="D969" s="11"/>
      <c r="E969" s="11"/>
      <c r="F969" s="184"/>
      <c r="G969" s="11"/>
      <c r="H969" s="11"/>
      <c r="I969" s="11"/>
      <c r="J969" s="11"/>
      <c r="K969" s="11"/>
      <c r="L969" s="6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</row>
    <row r="970" spans="1:51">
      <c r="A970" s="11"/>
      <c r="B970" s="149"/>
      <c r="C970" s="11"/>
      <c r="D970" s="11"/>
      <c r="E970" s="11"/>
      <c r="F970" s="184"/>
      <c r="G970" s="11"/>
      <c r="H970" s="11"/>
      <c r="I970" s="11"/>
      <c r="J970" s="11"/>
      <c r="K970" s="11"/>
      <c r="L970" s="6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</row>
    <row r="971" spans="1:51">
      <c r="A971" s="11"/>
      <c r="B971" s="149"/>
      <c r="C971" s="11"/>
      <c r="D971" s="11"/>
      <c r="E971" s="11"/>
      <c r="F971" s="184"/>
      <c r="G971" s="11"/>
      <c r="H971" s="11"/>
      <c r="I971" s="11"/>
      <c r="J971" s="11"/>
      <c r="K971" s="11"/>
      <c r="L971" s="6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</row>
    <row r="972" spans="1:51">
      <c r="A972" s="11"/>
      <c r="B972" s="149"/>
      <c r="C972" s="11"/>
      <c r="D972" s="11"/>
      <c r="E972" s="11"/>
      <c r="F972" s="184"/>
      <c r="G972" s="11"/>
      <c r="H972" s="11"/>
      <c r="I972" s="11"/>
      <c r="J972" s="11"/>
      <c r="K972" s="11"/>
      <c r="L972" s="6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</row>
    <row r="973" spans="1:51">
      <c r="A973" s="11"/>
      <c r="B973" s="149"/>
      <c r="C973" s="11"/>
      <c r="D973" s="11"/>
      <c r="E973" s="11"/>
      <c r="F973" s="184"/>
      <c r="G973" s="11"/>
      <c r="H973" s="11"/>
      <c r="I973" s="11"/>
      <c r="J973" s="11"/>
      <c r="K973" s="11"/>
      <c r="L973" s="6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</row>
    <row r="974" spans="1:51">
      <c r="A974" s="11"/>
      <c r="B974" s="149"/>
      <c r="C974" s="11"/>
      <c r="D974" s="11"/>
      <c r="E974" s="11"/>
      <c r="F974" s="184"/>
      <c r="G974" s="11"/>
      <c r="H974" s="11"/>
      <c r="I974" s="11"/>
      <c r="J974" s="11"/>
      <c r="K974" s="11"/>
      <c r="L974" s="6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</row>
    <row r="975" spans="1:51">
      <c r="A975" s="11"/>
      <c r="B975" s="149"/>
      <c r="C975" s="11"/>
      <c r="D975" s="11"/>
      <c r="E975" s="11"/>
      <c r="F975" s="184"/>
      <c r="G975" s="11"/>
      <c r="H975" s="11"/>
      <c r="I975" s="11"/>
      <c r="J975" s="11"/>
      <c r="K975" s="11"/>
      <c r="L975" s="6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</row>
    <row r="976" spans="1:51">
      <c r="A976" s="11"/>
      <c r="B976" s="149"/>
      <c r="C976" s="11"/>
      <c r="D976" s="11"/>
      <c r="E976" s="11"/>
      <c r="F976" s="184"/>
      <c r="G976" s="11"/>
      <c r="H976" s="11"/>
      <c r="I976" s="11"/>
      <c r="J976" s="11"/>
      <c r="K976" s="11"/>
      <c r="L976" s="6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</row>
    <row r="977" spans="1:51">
      <c r="A977" s="11"/>
      <c r="B977" s="149"/>
      <c r="C977" s="11"/>
      <c r="D977" s="11"/>
      <c r="E977" s="11"/>
      <c r="F977" s="184"/>
      <c r="G977" s="11"/>
      <c r="H977" s="11"/>
      <c r="I977" s="11"/>
      <c r="J977" s="11"/>
      <c r="K977" s="11"/>
      <c r="L977" s="6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</row>
    <row r="978" spans="1:51">
      <c r="A978" s="11"/>
      <c r="B978" s="149"/>
      <c r="C978" s="11"/>
      <c r="D978" s="11"/>
      <c r="E978" s="11"/>
      <c r="F978" s="184"/>
      <c r="G978" s="11"/>
      <c r="H978" s="11"/>
      <c r="I978" s="11"/>
      <c r="J978" s="11"/>
      <c r="K978" s="11"/>
      <c r="L978" s="6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</row>
    <row r="979" spans="1:51">
      <c r="A979" s="11"/>
      <c r="B979" s="149"/>
      <c r="C979" s="11"/>
      <c r="D979" s="11"/>
      <c r="E979" s="11"/>
      <c r="F979" s="184"/>
      <c r="G979" s="11"/>
      <c r="H979" s="11"/>
      <c r="I979" s="11"/>
      <c r="J979" s="11"/>
      <c r="K979" s="11"/>
      <c r="L979" s="6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</row>
    <row r="980" spans="1:51">
      <c r="A980" s="11"/>
      <c r="B980" s="149"/>
      <c r="C980" s="11"/>
      <c r="D980" s="11"/>
      <c r="E980" s="11"/>
      <c r="F980" s="184"/>
      <c r="G980" s="11"/>
      <c r="H980" s="11"/>
      <c r="I980" s="11"/>
      <c r="J980" s="11"/>
      <c r="K980" s="11"/>
      <c r="L980" s="6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</row>
    <row r="981" spans="1:51">
      <c r="A981" s="11"/>
      <c r="B981" s="149"/>
      <c r="C981" s="11"/>
      <c r="D981" s="11"/>
      <c r="E981" s="11"/>
      <c r="F981" s="184"/>
      <c r="G981" s="11"/>
      <c r="H981" s="11"/>
      <c r="I981" s="11"/>
      <c r="J981" s="11"/>
      <c r="K981" s="11"/>
      <c r="L981" s="6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</row>
    <row r="982" spans="1:51">
      <c r="A982" s="11"/>
      <c r="B982" s="149"/>
      <c r="C982" s="11"/>
      <c r="D982" s="11"/>
      <c r="E982" s="11"/>
      <c r="F982" s="184"/>
      <c r="G982" s="11"/>
      <c r="H982" s="11"/>
      <c r="I982" s="11"/>
      <c r="J982" s="11"/>
      <c r="K982" s="11"/>
      <c r="L982" s="6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</row>
    <row r="983" spans="1:51">
      <c r="A983" s="11"/>
      <c r="B983" s="149"/>
      <c r="C983" s="11"/>
      <c r="D983" s="11"/>
      <c r="E983" s="11"/>
      <c r="F983" s="184"/>
      <c r="G983" s="11"/>
      <c r="H983" s="11"/>
      <c r="I983" s="11"/>
      <c r="J983" s="11"/>
      <c r="K983" s="11"/>
      <c r="L983" s="6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</row>
    <row r="984" spans="1:51">
      <c r="A984" s="11"/>
      <c r="B984" s="149"/>
      <c r="C984" s="11"/>
      <c r="D984" s="11"/>
      <c r="E984" s="11"/>
      <c r="F984" s="184"/>
      <c r="G984" s="11"/>
      <c r="H984" s="11"/>
      <c r="I984" s="11"/>
      <c r="J984" s="11"/>
      <c r="K984" s="11"/>
      <c r="L984" s="6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</row>
    <row r="985" spans="1:51">
      <c r="A985" s="11"/>
      <c r="B985" s="149"/>
      <c r="C985" s="11"/>
      <c r="D985" s="11"/>
      <c r="E985" s="11"/>
      <c r="F985" s="184"/>
      <c r="G985" s="11"/>
      <c r="H985" s="11"/>
      <c r="I985" s="11"/>
      <c r="J985" s="11"/>
      <c r="K985" s="11"/>
      <c r="L985" s="6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</row>
    <row r="986" spans="1:51">
      <c r="A986" s="11"/>
      <c r="B986" s="149"/>
      <c r="C986" s="11"/>
      <c r="D986" s="11"/>
      <c r="E986" s="11"/>
      <c r="F986" s="184"/>
      <c r="G986" s="11"/>
      <c r="H986" s="11"/>
      <c r="I986" s="11"/>
      <c r="J986" s="11"/>
      <c r="K986" s="11"/>
      <c r="L986" s="6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</row>
    <row r="987" spans="1:51">
      <c r="A987" s="11"/>
      <c r="B987" s="149"/>
      <c r="C987" s="11"/>
      <c r="D987" s="11"/>
      <c r="E987" s="11"/>
      <c r="F987" s="184"/>
      <c r="G987" s="11"/>
      <c r="H987" s="11"/>
      <c r="I987" s="11"/>
      <c r="J987" s="11"/>
      <c r="K987" s="11"/>
      <c r="L987" s="6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</row>
    <row r="988" spans="1:51">
      <c r="A988" s="11"/>
      <c r="B988" s="149"/>
      <c r="C988" s="11"/>
      <c r="D988" s="11"/>
      <c r="E988" s="11"/>
      <c r="F988" s="184"/>
      <c r="G988" s="11"/>
      <c r="H988" s="11"/>
      <c r="I988" s="11"/>
      <c r="J988" s="11"/>
      <c r="K988" s="11"/>
      <c r="L988" s="6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</row>
    <row r="989" spans="1:51">
      <c r="A989" s="11"/>
      <c r="B989" s="149"/>
      <c r="C989" s="11"/>
      <c r="D989" s="11"/>
      <c r="E989" s="11"/>
      <c r="F989" s="184"/>
      <c r="G989" s="11"/>
      <c r="H989" s="11"/>
      <c r="I989" s="11"/>
      <c r="J989" s="11"/>
      <c r="K989" s="11"/>
      <c r="L989" s="6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</row>
    <row r="990" spans="1:51">
      <c r="A990" s="11"/>
      <c r="B990" s="149"/>
      <c r="C990" s="11"/>
      <c r="D990" s="11"/>
      <c r="E990" s="11"/>
      <c r="F990" s="184"/>
      <c r="G990" s="11"/>
      <c r="H990" s="11"/>
      <c r="I990" s="11"/>
      <c r="J990" s="11"/>
      <c r="K990" s="11"/>
      <c r="L990" s="6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</row>
    <row r="991" spans="1:51">
      <c r="A991" s="11"/>
      <c r="B991" s="149"/>
      <c r="C991" s="11"/>
      <c r="D991" s="11"/>
      <c r="E991" s="11"/>
      <c r="F991" s="184"/>
      <c r="G991" s="11"/>
      <c r="H991" s="11"/>
      <c r="I991" s="11"/>
      <c r="J991" s="11"/>
      <c r="K991" s="11"/>
      <c r="L991" s="6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</row>
    <row r="992" spans="1:51">
      <c r="A992" s="11"/>
      <c r="B992" s="149"/>
      <c r="C992" s="11"/>
      <c r="D992" s="11"/>
      <c r="E992" s="11"/>
      <c r="F992" s="184"/>
      <c r="G992" s="11"/>
      <c r="H992" s="11"/>
      <c r="I992" s="11"/>
      <c r="J992" s="11"/>
      <c r="K992" s="11"/>
      <c r="L992" s="6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</row>
    <row r="993" spans="1:51">
      <c r="A993" s="11"/>
      <c r="B993" s="149"/>
      <c r="C993" s="11"/>
      <c r="D993" s="11"/>
      <c r="E993" s="11"/>
      <c r="F993" s="184"/>
      <c r="G993" s="11"/>
      <c r="H993" s="11"/>
      <c r="I993" s="11"/>
      <c r="J993" s="11"/>
      <c r="K993" s="11"/>
      <c r="L993" s="6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</row>
    <row r="994" spans="1:51">
      <c r="A994" s="11"/>
      <c r="B994" s="149"/>
      <c r="C994" s="11"/>
      <c r="D994" s="11"/>
      <c r="E994" s="11"/>
      <c r="F994" s="184"/>
      <c r="G994" s="11"/>
      <c r="H994" s="11"/>
      <c r="I994" s="11"/>
      <c r="J994" s="11"/>
      <c r="K994" s="11"/>
      <c r="L994" s="6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</row>
    <row r="995" spans="1:51">
      <c r="A995" s="11"/>
      <c r="B995" s="149"/>
      <c r="C995" s="11"/>
      <c r="D995" s="11"/>
      <c r="E995" s="11"/>
      <c r="F995" s="184"/>
      <c r="G995" s="11"/>
      <c r="H995" s="11"/>
      <c r="I995" s="11"/>
      <c r="J995" s="11"/>
      <c r="K995" s="11"/>
      <c r="L995" s="6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</row>
    <row r="996" spans="1:51">
      <c r="A996" s="11"/>
      <c r="B996" s="149"/>
      <c r="C996" s="11"/>
      <c r="D996" s="11"/>
      <c r="E996" s="11"/>
      <c r="F996" s="184"/>
      <c r="G996" s="11"/>
      <c r="H996" s="11"/>
      <c r="I996" s="11"/>
      <c r="J996" s="11"/>
      <c r="K996" s="11"/>
      <c r="L996" s="6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</row>
    <row r="997" spans="1:51">
      <c r="A997" s="11"/>
      <c r="B997" s="149"/>
      <c r="C997" s="11"/>
      <c r="D997" s="11"/>
      <c r="E997" s="11"/>
      <c r="F997" s="184"/>
      <c r="G997" s="11"/>
      <c r="H997" s="11"/>
      <c r="I997" s="11"/>
      <c r="J997" s="11"/>
      <c r="K997" s="11"/>
      <c r="L997" s="6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</row>
    <row r="998" spans="1:51">
      <c r="A998" s="11"/>
      <c r="B998" s="149"/>
      <c r="C998" s="11"/>
      <c r="D998" s="11"/>
      <c r="E998" s="11"/>
      <c r="F998" s="184"/>
      <c r="G998" s="11"/>
      <c r="H998" s="11"/>
      <c r="I998" s="11"/>
      <c r="J998" s="11"/>
      <c r="K998" s="11"/>
      <c r="L998" s="6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</row>
    <row r="999" spans="1:51">
      <c r="A999" s="11"/>
      <c r="B999" s="149"/>
      <c r="C999" s="11"/>
      <c r="D999" s="11"/>
      <c r="E999" s="11"/>
      <c r="F999" s="184"/>
      <c r="G999" s="11"/>
      <c r="H999" s="11"/>
      <c r="I999" s="11"/>
      <c r="J999" s="11"/>
      <c r="K999" s="11"/>
      <c r="L999" s="6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</row>
    <row r="1000" spans="1:51">
      <c r="A1000" s="11"/>
      <c r="B1000" s="149"/>
      <c r="C1000" s="11"/>
      <c r="D1000" s="11"/>
      <c r="E1000" s="11"/>
      <c r="F1000" s="184"/>
      <c r="G1000" s="11"/>
      <c r="H1000" s="11"/>
      <c r="I1000" s="11"/>
      <c r="J1000" s="11"/>
      <c r="K1000" s="11"/>
      <c r="L1000" s="6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</row>
    <row r="1001" spans="1:51">
      <c r="A1001" s="11"/>
      <c r="B1001" s="149"/>
      <c r="C1001" s="11"/>
      <c r="D1001" s="11"/>
      <c r="E1001" s="11"/>
      <c r="F1001" s="184"/>
      <c r="G1001" s="11"/>
      <c r="H1001" s="11"/>
      <c r="I1001" s="11"/>
      <c r="J1001" s="11"/>
      <c r="K1001" s="11"/>
      <c r="L1001" s="6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</row>
    <row r="1002" spans="1:51">
      <c r="A1002" s="11"/>
      <c r="B1002" s="149"/>
      <c r="C1002" s="11"/>
      <c r="D1002" s="11"/>
      <c r="E1002" s="11"/>
      <c r="F1002" s="184"/>
      <c r="G1002" s="11"/>
      <c r="H1002" s="11"/>
      <c r="I1002" s="11"/>
      <c r="J1002" s="11"/>
      <c r="K1002" s="11"/>
      <c r="L1002" s="6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</row>
    <row r="1003" spans="1:51">
      <c r="A1003" s="11"/>
      <c r="B1003" s="149"/>
      <c r="C1003" s="11"/>
      <c r="D1003" s="11"/>
      <c r="E1003" s="11"/>
      <c r="F1003" s="184"/>
      <c r="G1003" s="11"/>
      <c r="H1003" s="11"/>
      <c r="I1003" s="11"/>
      <c r="J1003" s="11"/>
      <c r="K1003" s="11"/>
      <c r="L1003" s="6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</row>
    <row r="1004" spans="1:51">
      <c r="A1004" s="11"/>
      <c r="B1004" s="149"/>
      <c r="C1004" s="11"/>
      <c r="D1004" s="11"/>
      <c r="E1004" s="11"/>
      <c r="F1004" s="184"/>
      <c r="G1004" s="11"/>
      <c r="H1004" s="11"/>
      <c r="I1004" s="11"/>
      <c r="J1004" s="11"/>
      <c r="K1004" s="11"/>
      <c r="L1004" s="6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</row>
    <row r="1005" spans="1:51">
      <c r="A1005" s="11"/>
      <c r="B1005" s="149"/>
      <c r="C1005" s="11"/>
      <c r="D1005" s="11"/>
      <c r="E1005" s="11"/>
      <c r="F1005" s="184"/>
      <c r="G1005" s="11"/>
      <c r="H1005" s="11"/>
      <c r="I1005" s="11"/>
      <c r="J1005" s="11"/>
      <c r="K1005" s="11"/>
      <c r="L1005" s="6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</row>
    <row r="1006" spans="1:51">
      <c r="A1006" s="11"/>
      <c r="B1006" s="149"/>
      <c r="C1006" s="11"/>
      <c r="D1006" s="11"/>
      <c r="E1006" s="11"/>
      <c r="F1006" s="184"/>
      <c r="G1006" s="11"/>
      <c r="H1006" s="11"/>
      <c r="I1006" s="11"/>
      <c r="J1006" s="11"/>
      <c r="K1006" s="11"/>
      <c r="L1006" s="6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</row>
    <row r="1007" spans="1:51">
      <c r="A1007" s="11"/>
      <c r="B1007" s="149"/>
      <c r="C1007" s="11"/>
      <c r="D1007" s="11"/>
      <c r="E1007" s="11"/>
      <c r="F1007" s="184"/>
      <c r="G1007" s="11"/>
      <c r="H1007" s="11"/>
      <c r="I1007" s="11"/>
      <c r="J1007" s="11"/>
      <c r="K1007" s="11"/>
      <c r="L1007" s="6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</row>
    <row r="1008" spans="1:51">
      <c r="A1008" s="11"/>
      <c r="B1008" s="149"/>
      <c r="C1008" s="11"/>
      <c r="D1008" s="11"/>
      <c r="E1008" s="11"/>
      <c r="F1008" s="184"/>
      <c r="G1008" s="11"/>
      <c r="H1008" s="11"/>
      <c r="I1008" s="11"/>
      <c r="J1008" s="11"/>
      <c r="K1008" s="11"/>
      <c r="L1008" s="6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</row>
    <row r="1009" spans="1:51">
      <c r="A1009" s="11"/>
      <c r="B1009" s="149"/>
      <c r="C1009" s="11"/>
      <c r="D1009" s="11"/>
      <c r="E1009" s="11"/>
      <c r="F1009" s="184"/>
      <c r="G1009" s="11"/>
      <c r="H1009" s="11"/>
      <c r="I1009" s="11"/>
      <c r="J1009" s="11"/>
      <c r="K1009" s="11"/>
      <c r="L1009" s="6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</row>
    <row r="1010" spans="1:51">
      <c r="A1010" s="11"/>
      <c r="B1010" s="149"/>
      <c r="C1010" s="11"/>
      <c r="D1010" s="11"/>
      <c r="E1010" s="11"/>
      <c r="F1010" s="184"/>
      <c r="G1010" s="11"/>
      <c r="H1010" s="11"/>
      <c r="I1010" s="11"/>
      <c r="J1010" s="11"/>
      <c r="K1010" s="11"/>
      <c r="L1010" s="6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</row>
    <row r="1011" spans="1:51">
      <c r="A1011" s="11"/>
      <c r="B1011" s="149"/>
      <c r="C1011" s="11"/>
      <c r="D1011" s="11"/>
      <c r="E1011" s="11"/>
      <c r="F1011" s="184"/>
      <c r="G1011" s="11"/>
      <c r="H1011" s="11"/>
      <c r="I1011" s="11"/>
      <c r="J1011" s="11"/>
      <c r="K1011" s="11"/>
      <c r="L1011" s="6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</row>
    <row r="1012" spans="1:51">
      <c r="A1012" s="11"/>
      <c r="B1012" s="149"/>
      <c r="C1012" s="11"/>
      <c r="D1012" s="11"/>
      <c r="E1012" s="11"/>
      <c r="F1012" s="184"/>
      <c r="G1012" s="11"/>
      <c r="H1012" s="11"/>
      <c r="I1012" s="11"/>
      <c r="J1012" s="11"/>
      <c r="K1012" s="11"/>
      <c r="L1012" s="6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</row>
    <row r="1013" spans="1:51">
      <c r="A1013" s="11"/>
      <c r="B1013" s="149"/>
      <c r="C1013" s="11"/>
      <c r="D1013" s="11"/>
      <c r="E1013" s="11"/>
      <c r="F1013" s="184"/>
      <c r="G1013" s="11"/>
      <c r="H1013" s="11"/>
      <c r="I1013" s="11"/>
      <c r="J1013" s="11"/>
      <c r="K1013" s="11"/>
      <c r="L1013" s="6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</row>
    <row r="1014" spans="1:51">
      <c r="A1014" s="11"/>
      <c r="B1014" s="149"/>
      <c r="C1014" s="11"/>
      <c r="D1014" s="11"/>
      <c r="E1014" s="11"/>
      <c r="F1014" s="184"/>
      <c r="G1014" s="11"/>
      <c r="H1014" s="11"/>
      <c r="I1014" s="11"/>
      <c r="J1014" s="11"/>
      <c r="K1014" s="11"/>
      <c r="L1014" s="6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</row>
    <row r="1015" spans="1:51">
      <c r="A1015" s="11"/>
      <c r="B1015" s="149"/>
      <c r="C1015" s="11"/>
      <c r="D1015" s="11"/>
      <c r="E1015" s="11"/>
      <c r="F1015" s="184"/>
      <c r="G1015" s="11"/>
      <c r="H1015" s="11"/>
      <c r="I1015" s="11"/>
      <c r="J1015" s="11"/>
      <c r="K1015" s="11"/>
      <c r="L1015" s="6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</row>
    <row r="1016" spans="1:51">
      <c r="A1016" s="11"/>
      <c r="B1016" s="149"/>
      <c r="C1016" s="11"/>
      <c r="D1016" s="11"/>
      <c r="E1016" s="11"/>
      <c r="F1016" s="184"/>
      <c r="G1016" s="11"/>
      <c r="H1016" s="11"/>
      <c r="I1016" s="11"/>
      <c r="J1016" s="11"/>
      <c r="K1016" s="11"/>
      <c r="L1016" s="6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</row>
    <row r="1017" spans="1:51">
      <c r="A1017" s="11"/>
      <c r="B1017" s="149"/>
      <c r="C1017" s="11"/>
      <c r="D1017" s="11"/>
      <c r="E1017" s="11"/>
      <c r="F1017" s="184"/>
      <c r="G1017" s="11"/>
      <c r="H1017" s="11"/>
      <c r="I1017" s="11"/>
      <c r="J1017" s="11"/>
      <c r="K1017" s="11"/>
      <c r="L1017" s="6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</row>
    <row r="1018" spans="1:51">
      <c r="A1018" s="11"/>
      <c r="B1018" s="149"/>
      <c r="C1018" s="11"/>
      <c r="D1018" s="11"/>
      <c r="E1018" s="11"/>
      <c r="F1018" s="184"/>
      <c r="G1018" s="11"/>
      <c r="H1018" s="11"/>
      <c r="I1018" s="11"/>
      <c r="J1018" s="11"/>
      <c r="K1018" s="11"/>
      <c r="L1018" s="6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</row>
    <row r="1019" spans="1:51">
      <c r="A1019" s="11"/>
      <c r="B1019" s="149"/>
      <c r="C1019" s="11"/>
      <c r="D1019" s="11"/>
      <c r="E1019" s="11"/>
      <c r="F1019" s="184"/>
      <c r="G1019" s="11"/>
      <c r="H1019" s="11"/>
      <c r="I1019" s="11"/>
      <c r="J1019" s="11"/>
      <c r="K1019" s="11"/>
      <c r="L1019" s="6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</row>
    <row r="1020" spans="1:51">
      <c r="A1020" s="11"/>
      <c r="B1020" s="149"/>
      <c r="C1020" s="11"/>
      <c r="D1020" s="11"/>
      <c r="E1020" s="11"/>
      <c r="F1020" s="184"/>
      <c r="G1020" s="11"/>
      <c r="H1020" s="11"/>
      <c r="I1020" s="11"/>
      <c r="J1020" s="11"/>
      <c r="K1020" s="11"/>
      <c r="L1020" s="6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</row>
    <row r="1021" spans="1:51">
      <c r="A1021" s="11"/>
      <c r="B1021" s="149"/>
      <c r="C1021" s="11"/>
      <c r="D1021" s="11"/>
      <c r="E1021" s="11"/>
      <c r="F1021" s="184"/>
      <c r="G1021" s="11"/>
      <c r="H1021" s="11"/>
      <c r="I1021" s="11"/>
      <c r="J1021" s="11"/>
      <c r="K1021" s="11"/>
      <c r="L1021" s="6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</row>
    <row r="1022" spans="1:51">
      <c r="A1022" s="11"/>
      <c r="B1022" s="149"/>
      <c r="C1022" s="11"/>
      <c r="D1022" s="11"/>
      <c r="E1022" s="11"/>
      <c r="F1022" s="184"/>
      <c r="G1022" s="11"/>
      <c r="H1022" s="11"/>
      <c r="I1022" s="11"/>
      <c r="J1022" s="11"/>
      <c r="K1022" s="11"/>
      <c r="L1022" s="6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</row>
    <row r="1023" spans="1:51">
      <c r="A1023" s="11"/>
      <c r="B1023" s="149"/>
      <c r="C1023" s="11"/>
      <c r="D1023" s="11"/>
      <c r="E1023" s="11"/>
      <c r="F1023" s="184"/>
      <c r="G1023" s="11"/>
      <c r="H1023" s="11"/>
      <c r="I1023" s="11"/>
      <c r="J1023" s="11"/>
      <c r="K1023" s="11"/>
      <c r="L1023" s="6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</row>
    <row r="1024" spans="1:51">
      <c r="A1024" s="11"/>
      <c r="B1024" s="149"/>
      <c r="C1024" s="11"/>
      <c r="D1024" s="11"/>
      <c r="E1024" s="11"/>
      <c r="F1024" s="184"/>
      <c r="G1024" s="11"/>
      <c r="H1024" s="11"/>
      <c r="I1024" s="11"/>
      <c r="J1024" s="11"/>
      <c r="K1024" s="11"/>
      <c r="L1024" s="6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</row>
    <row r="1025" spans="1:51">
      <c r="A1025" s="11"/>
      <c r="B1025" s="149"/>
      <c r="C1025" s="11"/>
      <c r="D1025" s="11"/>
      <c r="E1025" s="11"/>
      <c r="F1025" s="184"/>
      <c r="G1025" s="11"/>
      <c r="H1025" s="11"/>
      <c r="I1025" s="11"/>
      <c r="J1025" s="11"/>
      <c r="K1025" s="11"/>
      <c r="L1025" s="6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</row>
    <row r="1026" spans="1:51">
      <c r="A1026" s="11"/>
      <c r="B1026" s="149"/>
      <c r="C1026" s="11"/>
      <c r="D1026" s="11"/>
      <c r="E1026" s="11"/>
      <c r="F1026" s="184"/>
      <c r="G1026" s="11"/>
      <c r="H1026" s="11"/>
      <c r="I1026" s="11"/>
      <c r="J1026" s="11"/>
      <c r="K1026" s="11"/>
      <c r="L1026" s="6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</row>
    <row r="1027" spans="1:51">
      <c r="A1027" s="11"/>
      <c r="B1027" s="149"/>
      <c r="C1027" s="11"/>
      <c r="D1027" s="11"/>
      <c r="E1027" s="11"/>
      <c r="F1027" s="184"/>
      <c r="G1027" s="11"/>
      <c r="H1027" s="11"/>
      <c r="I1027" s="11"/>
      <c r="J1027" s="11"/>
      <c r="K1027" s="11"/>
      <c r="L1027" s="6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</row>
    <row r="1028" spans="1:51">
      <c r="A1028" s="11"/>
      <c r="B1028" s="149"/>
      <c r="C1028" s="11"/>
      <c r="D1028" s="11"/>
      <c r="E1028" s="11"/>
      <c r="F1028" s="184"/>
      <c r="G1028" s="11"/>
      <c r="H1028" s="11"/>
      <c r="I1028" s="11"/>
      <c r="J1028" s="11"/>
      <c r="K1028" s="11"/>
      <c r="L1028" s="6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</row>
    <row r="1029" spans="1:51">
      <c r="A1029" s="11"/>
      <c r="B1029" s="149"/>
      <c r="C1029" s="11"/>
      <c r="D1029" s="11"/>
      <c r="E1029" s="11"/>
      <c r="F1029" s="184"/>
      <c r="G1029" s="11"/>
      <c r="H1029" s="11"/>
      <c r="I1029" s="11"/>
      <c r="J1029" s="11"/>
      <c r="K1029" s="11"/>
      <c r="L1029" s="6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</row>
    <row r="1030" spans="1:51">
      <c r="A1030" s="11"/>
      <c r="B1030" s="149"/>
      <c r="C1030" s="11"/>
      <c r="D1030" s="11"/>
      <c r="E1030" s="11"/>
      <c r="F1030" s="184"/>
      <c r="G1030" s="11"/>
      <c r="H1030" s="11"/>
      <c r="I1030" s="11"/>
      <c r="J1030" s="11"/>
      <c r="K1030" s="11"/>
      <c r="L1030" s="6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</row>
    <row r="1031" spans="1:51">
      <c r="A1031" s="11"/>
      <c r="B1031" s="149"/>
      <c r="C1031" s="11"/>
      <c r="D1031" s="11"/>
      <c r="E1031" s="11"/>
      <c r="F1031" s="184"/>
      <c r="G1031" s="11"/>
      <c r="H1031" s="11"/>
      <c r="I1031" s="11"/>
      <c r="J1031" s="11"/>
      <c r="K1031" s="11"/>
      <c r="L1031" s="6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</row>
    <row r="1032" spans="1:51">
      <c r="A1032" s="11"/>
      <c r="B1032" s="149"/>
      <c r="C1032" s="11"/>
      <c r="D1032" s="11"/>
      <c r="E1032" s="11"/>
      <c r="F1032" s="184"/>
      <c r="G1032" s="11"/>
      <c r="H1032" s="11"/>
      <c r="I1032" s="11"/>
      <c r="J1032" s="11"/>
      <c r="K1032" s="11"/>
      <c r="L1032" s="6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</row>
    <row r="1033" spans="1:51">
      <c r="A1033" s="11"/>
      <c r="B1033" s="149"/>
      <c r="C1033" s="11"/>
      <c r="D1033" s="11"/>
      <c r="E1033" s="11"/>
      <c r="F1033" s="184"/>
      <c r="G1033" s="11"/>
      <c r="H1033" s="11"/>
      <c r="I1033" s="11"/>
      <c r="J1033" s="11"/>
      <c r="K1033" s="11"/>
      <c r="L1033" s="6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</row>
    <row r="1034" spans="1:51">
      <c r="A1034" s="11"/>
      <c r="B1034" s="149"/>
      <c r="C1034" s="11"/>
      <c r="D1034" s="11"/>
      <c r="E1034" s="11"/>
      <c r="F1034" s="184"/>
      <c r="G1034" s="11"/>
      <c r="H1034" s="11"/>
      <c r="I1034" s="11"/>
      <c r="J1034" s="11"/>
      <c r="K1034" s="11"/>
      <c r="L1034" s="6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</row>
    <row r="1035" spans="1:51">
      <c r="A1035" s="11"/>
      <c r="B1035" s="149"/>
      <c r="C1035" s="11"/>
      <c r="D1035" s="11"/>
      <c r="E1035" s="11"/>
      <c r="F1035" s="184"/>
      <c r="G1035" s="11"/>
      <c r="H1035" s="11"/>
      <c r="I1035" s="11"/>
      <c r="J1035" s="11"/>
      <c r="K1035" s="11"/>
      <c r="L1035" s="6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</row>
    <row r="1036" spans="1:51">
      <c r="A1036" s="11"/>
      <c r="B1036" s="149"/>
      <c r="C1036" s="11"/>
      <c r="D1036" s="11"/>
      <c r="E1036" s="11"/>
      <c r="F1036" s="184"/>
      <c r="G1036" s="11"/>
      <c r="H1036" s="11"/>
      <c r="I1036" s="11"/>
      <c r="J1036" s="11"/>
      <c r="K1036" s="11"/>
      <c r="L1036" s="6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</row>
    <row r="1037" spans="1:51">
      <c r="A1037" s="11"/>
      <c r="B1037" s="149"/>
      <c r="C1037" s="11"/>
      <c r="D1037" s="11"/>
      <c r="E1037" s="11"/>
      <c r="F1037" s="184"/>
      <c r="G1037" s="11"/>
      <c r="H1037" s="11"/>
      <c r="I1037" s="11"/>
      <c r="J1037" s="11"/>
      <c r="K1037" s="11"/>
      <c r="L1037" s="6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</row>
    <row r="1038" spans="1:51">
      <c r="A1038" s="11"/>
      <c r="B1038" s="149"/>
      <c r="C1038" s="11"/>
      <c r="D1038" s="11"/>
      <c r="E1038" s="11"/>
      <c r="F1038" s="184"/>
      <c r="G1038" s="11"/>
      <c r="H1038" s="11"/>
      <c r="I1038" s="11"/>
      <c r="J1038" s="11"/>
      <c r="K1038" s="11"/>
      <c r="L1038" s="6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</row>
    <row r="1039" spans="1:51">
      <c r="A1039" s="11"/>
      <c r="B1039" s="149"/>
      <c r="C1039" s="11"/>
      <c r="D1039" s="11"/>
      <c r="E1039" s="11"/>
      <c r="F1039" s="184"/>
      <c r="G1039" s="11"/>
      <c r="H1039" s="11"/>
      <c r="I1039" s="11"/>
      <c r="J1039" s="11"/>
      <c r="K1039" s="11"/>
      <c r="L1039" s="6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</row>
    <row r="1040" spans="1:51">
      <c r="A1040" s="11"/>
      <c r="B1040" s="149"/>
      <c r="C1040" s="11"/>
      <c r="D1040" s="11"/>
      <c r="E1040" s="11"/>
      <c r="F1040" s="184"/>
      <c r="G1040" s="11"/>
      <c r="H1040" s="11"/>
      <c r="I1040" s="11"/>
      <c r="J1040" s="11"/>
      <c r="K1040" s="11"/>
      <c r="L1040" s="6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</row>
    <row r="1041" spans="1:51">
      <c r="A1041" s="11"/>
      <c r="B1041" s="149"/>
      <c r="C1041" s="11"/>
      <c r="D1041" s="11"/>
      <c r="E1041" s="11"/>
      <c r="F1041" s="184"/>
      <c r="G1041" s="11"/>
      <c r="H1041" s="11"/>
      <c r="I1041" s="11"/>
      <c r="J1041" s="11"/>
      <c r="K1041" s="11"/>
      <c r="L1041" s="6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</row>
    <row r="1042" spans="1:51">
      <c r="A1042" s="11"/>
      <c r="B1042" s="149"/>
      <c r="C1042" s="11"/>
      <c r="D1042" s="11"/>
      <c r="E1042" s="11"/>
      <c r="F1042" s="184"/>
      <c r="G1042" s="11"/>
      <c r="H1042" s="11"/>
      <c r="I1042" s="11"/>
      <c r="J1042" s="11"/>
      <c r="K1042" s="11"/>
      <c r="L1042" s="6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</row>
    <row r="1043" spans="1:51">
      <c r="A1043" s="11"/>
      <c r="B1043" s="149"/>
      <c r="C1043" s="11"/>
      <c r="D1043" s="11"/>
      <c r="E1043" s="11"/>
      <c r="F1043" s="184"/>
      <c r="G1043" s="11"/>
      <c r="H1043" s="11"/>
      <c r="I1043" s="11"/>
      <c r="J1043" s="11"/>
      <c r="K1043" s="11"/>
      <c r="L1043" s="6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</row>
    <row r="1044" spans="1:51">
      <c r="A1044" s="11"/>
      <c r="B1044" s="149"/>
      <c r="C1044" s="11"/>
      <c r="D1044" s="11"/>
      <c r="E1044" s="11"/>
      <c r="F1044" s="184"/>
      <c r="G1044" s="11"/>
      <c r="H1044" s="11"/>
      <c r="I1044" s="11"/>
      <c r="J1044" s="11"/>
      <c r="K1044" s="11"/>
      <c r="L1044" s="6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</row>
    <row r="1045" spans="1:51">
      <c r="A1045" s="11"/>
      <c r="B1045" s="149"/>
      <c r="C1045" s="11"/>
      <c r="D1045" s="11"/>
      <c r="E1045" s="11"/>
      <c r="F1045" s="184"/>
      <c r="G1045" s="11"/>
      <c r="H1045" s="11"/>
      <c r="I1045" s="11"/>
      <c r="J1045" s="11"/>
      <c r="K1045" s="11"/>
      <c r="L1045" s="6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</row>
    <row r="1046" spans="1:51">
      <c r="A1046" s="11"/>
      <c r="B1046" s="149"/>
      <c r="C1046" s="11"/>
      <c r="D1046" s="11"/>
      <c r="E1046" s="11"/>
      <c r="F1046" s="184"/>
      <c r="G1046" s="11"/>
      <c r="H1046" s="11"/>
      <c r="I1046" s="11"/>
      <c r="J1046" s="11"/>
      <c r="K1046" s="11"/>
      <c r="L1046" s="6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</row>
    <row r="1047" spans="1:51">
      <c r="A1047" s="11"/>
      <c r="B1047" s="149"/>
      <c r="C1047" s="11"/>
      <c r="D1047" s="11"/>
      <c r="E1047" s="11"/>
      <c r="F1047" s="184"/>
      <c r="G1047" s="11"/>
      <c r="H1047" s="11"/>
      <c r="I1047" s="11"/>
      <c r="J1047" s="11"/>
      <c r="K1047" s="11"/>
      <c r="L1047" s="6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</row>
    <row r="1048" spans="1:51">
      <c r="A1048" s="11"/>
      <c r="B1048" s="149"/>
      <c r="C1048" s="11"/>
      <c r="D1048" s="11"/>
      <c r="E1048" s="11"/>
      <c r="F1048" s="184"/>
      <c r="G1048" s="11"/>
      <c r="H1048" s="11"/>
      <c r="I1048" s="11"/>
      <c r="J1048" s="11"/>
      <c r="K1048" s="11"/>
      <c r="L1048" s="6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</row>
    <row r="1049" spans="1:51">
      <c r="A1049" s="11"/>
      <c r="B1049" s="149"/>
      <c r="C1049" s="11"/>
      <c r="D1049" s="11"/>
      <c r="E1049" s="11"/>
      <c r="F1049" s="184"/>
      <c r="G1049" s="11"/>
      <c r="H1049" s="11"/>
      <c r="I1049" s="11"/>
      <c r="J1049" s="11"/>
      <c r="K1049" s="11"/>
      <c r="L1049" s="6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</row>
    <row r="1050" spans="1:51">
      <c r="A1050" s="11"/>
      <c r="B1050" s="149"/>
      <c r="C1050" s="11"/>
      <c r="D1050" s="11"/>
      <c r="E1050" s="11"/>
      <c r="F1050" s="184"/>
      <c r="G1050" s="11"/>
      <c r="H1050" s="11"/>
      <c r="I1050" s="11"/>
      <c r="J1050" s="11"/>
      <c r="K1050" s="11"/>
      <c r="L1050" s="6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</row>
    <row r="1051" spans="1:51">
      <c r="A1051" s="11"/>
      <c r="B1051" s="149"/>
      <c r="C1051" s="11"/>
      <c r="D1051" s="11"/>
      <c r="E1051" s="11"/>
      <c r="F1051" s="184"/>
      <c r="G1051" s="11"/>
      <c r="H1051" s="11"/>
      <c r="I1051" s="11"/>
      <c r="J1051" s="11"/>
      <c r="K1051" s="11"/>
      <c r="L1051" s="6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</row>
    <row r="1052" spans="1:51">
      <c r="A1052" s="11"/>
      <c r="B1052" s="149"/>
      <c r="C1052" s="11"/>
      <c r="D1052" s="11"/>
      <c r="E1052" s="11"/>
      <c r="F1052" s="184"/>
      <c r="G1052" s="11"/>
      <c r="H1052" s="11"/>
      <c r="I1052" s="11"/>
      <c r="J1052" s="11"/>
      <c r="K1052" s="11"/>
      <c r="L1052" s="6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</row>
    <row r="1053" spans="1:51">
      <c r="A1053" s="11"/>
      <c r="B1053" s="149"/>
      <c r="C1053" s="11"/>
      <c r="D1053" s="11"/>
      <c r="E1053" s="11"/>
      <c r="F1053" s="184"/>
      <c r="G1053" s="11"/>
      <c r="H1053" s="11"/>
      <c r="I1053" s="11"/>
      <c r="J1053" s="11"/>
      <c r="K1053" s="11"/>
      <c r="L1053" s="6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</row>
    <row r="1054" spans="1:51">
      <c r="A1054" s="11"/>
      <c r="B1054" s="149"/>
      <c r="C1054" s="11"/>
      <c r="D1054" s="11"/>
      <c r="E1054" s="11"/>
      <c r="F1054" s="184"/>
      <c r="G1054" s="11"/>
      <c r="H1054" s="11"/>
      <c r="I1054" s="11"/>
      <c r="J1054" s="11"/>
      <c r="K1054" s="11"/>
      <c r="L1054" s="6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</row>
    <row r="1055" spans="1:51">
      <c r="A1055" s="11"/>
      <c r="B1055" s="149"/>
      <c r="C1055" s="11"/>
      <c r="D1055" s="11"/>
      <c r="E1055" s="11"/>
      <c r="F1055" s="184"/>
      <c r="G1055" s="11"/>
      <c r="H1055" s="11"/>
      <c r="I1055" s="11"/>
      <c r="J1055" s="11"/>
      <c r="K1055" s="11"/>
      <c r="L1055" s="6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</row>
    <row r="1056" spans="1:51">
      <c r="A1056" s="11"/>
      <c r="B1056" s="149"/>
      <c r="C1056" s="11"/>
      <c r="D1056" s="11"/>
      <c r="E1056" s="11"/>
      <c r="F1056" s="184"/>
      <c r="G1056" s="11"/>
      <c r="H1056" s="11"/>
      <c r="I1056" s="11"/>
      <c r="J1056" s="11"/>
      <c r="K1056" s="11"/>
      <c r="L1056" s="6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</row>
    <row r="1057" spans="1:51">
      <c r="A1057" s="11"/>
      <c r="B1057" s="149"/>
      <c r="C1057" s="11"/>
      <c r="D1057" s="11"/>
      <c r="E1057" s="11"/>
      <c r="F1057" s="184"/>
      <c r="G1057" s="11"/>
      <c r="H1057" s="11"/>
      <c r="I1057" s="11"/>
      <c r="J1057" s="11"/>
      <c r="K1057" s="11"/>
      <c r="L1057" s="6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</row>
    <row r="1058" spans="1:51">
      <c r="A1058" s="11"/>
      <c r="B1058" s="149"/>
      <c r="C1058" s="11"/>
      <c r="D1058" s="11"/>
      <c r="E1058" s="11"/>
      <c r="F1058" s="184"/>
      <c r="G1058" s="11"/>
      <c r="H1058" s="11"/>
      <c r="I1058" s="11"/>
      <c r="J1058" s="11"/>
      <c r="K1058" s="11"/>
      <c r="L1058" s="6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</row>
    <row r="1059" spans="1:51">
      <c r="A1059" s="11"/>
      <c r="B1059" s="149"/>
      <c r="C1059" s="11"/>
      <c r="D1059" s="11"/>
      <c r="E1059" s="11"/>
      <c r="F1059" s="184"/>
      <c r="G1059" s="11"/>
      <c r="H1059" s="11"/>
      <c r="I1059" s="11"/>
      <c r="J1059" s="11"/>
      <c r="K1059" s="11"/>
      <c r="L1059" s="6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</row>
    <row r="1060" spans="1:51">
      <c r="A1060" s="11"/>
      <c r="B1060" s="149"/>
      <c r="C1060" s="11"/>
      <c r="D1060" s="11"/>
      <c r="E1060" s="11"/>
      <c r="F1060" s="184"/>
      <c r="G1060" s="11"/>
      <c r="H1060" s="11"/>
      <c r="I1060" s="11"/>
      <c r="J1060" s="11"/>
      <c r="K1060" s="11"/>
      <c r="L1060" s="6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</row>
    <row r="1061" spans="1:51">
      <c r="A1061" s="11"/>
      <c r="B1061" s="149"/>
      <c r="C1061" s="11"/>
      <c r="D1061" s="11"/>
      <c r="E1061" s="11"/>
      <c r="F1061" s="184"/>
      <c r="G1061" s="11"/>
      <c r="H1061" s="11"/>
      <c r="I1061" s="11"/>
      <c r="J1061" s="11"/>
      <c r="K1061" s="11"/>
      <c r="L1061" s="6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</row>
    <row r="1062" spans="1:51">
      <c r="A1062" s="11"/>
      <c r="B1062" s="149"/>
      <c r="C1062" s="11"/>
      <c r="D1062" s="11"/>
      <c r="E1062" s="11"/>
      <c r="F1062" s="184"/>
      <c r="G1062" s="11"/>
      <c r="H1062" s="11"/>
      <c r="I1062" s="11"/>
      <c r="J1062" s="11"/>
      <c r="K1062" s="11"/>
      <c r="L1062" s="6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</row>
    <row r="1063" spans="1:51">
      <c r="A1063" s="11"/>
      <c r="B1063" s="149"/>
      <c r="C1063" s="11"/>
      <c r="D1063" s="11"/>
      <c r="E1063" s="11"/>
      <c r="F1063" s="184"/>
      <c r="G1063" s="11"/>
      <c r="H1063" s="11"/>
      <c r="I1063" s="11"/>
      <c r="J1063" s="11"/>
      <c r="K1063" s="11"/>
      <c r="L1063" s="6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</row>
    <row r="1064" spans="1:51">
      <c r="A1064" s="11"/>
      <c r="B1064" s="149"/>
      <c r="C1064" s="11"/>
      <c r="D1064" s="11"/>
      <c r="E1064" s="11"/>
      <c r="F1064" s="184"/>
      <c r="G1064" s="11"/>
      <c r="H1064" s="11"/>
      <c r="I1064" s="11"/>
      <c r="J1064" s="11"/>
      <c r="K1064" s="11"/>
      <c r="L1064" s="6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</row>
    <row r="1065" spans="1:51">
      <c r="A1065" s="11"/>
      <c r="B1065" s="149"/>
      <c r="C1065" s="11"/>
      <c r="D1065" s="11"/>
      <c r="E1065" s="11"/>
      <c r="F1065" s="184"/>
      <c r="G1065" s="11"/>
      <c r="H1065" s="11"/>
      <c r="I1065" s="11"/>
      <c r="J1065" s="11"/>
      <c r="K1065" s="11"/>
      <c r="L1065" s="6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</row>
    <row r="1066" spans="1:51">
      <c r="A1066" s="11"/>
      <c r="B1066" s="149"/>
      <c r="C1066" s="11"/>
      <c r="D1066" s="11"/>
      <c r="E1066" s="11"/>
      <c r="F1066" s="184"/>
      <c r="G1066" s="11"/>
      <c r="H1066" s="11"/>
      <c r="I1066" s="11"/>
      <c r="J1066" s="11"/>
      <c r="K1066" s="11"/>
      <c r="L1066" s="6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</row>
    <row r="1067" spans="1:51">
      <c r="A1067" s="11"/>
      <c r="B1067" s="149"/>
      <c r="C1067" s="11"/>
      <c r="D1067" s="11"/>
      <c r="E1067" s="11"/>
      <c r="F1067" s="184"/>
      <c r="G1067" s="11"/>
      <c r="H1067" s="11"/>
      <c r="I1067" s="11"/>
      <c r="J1067" s="11"/>
      <c r="K1067" s="11"/>
      <c r="L1067" s="6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</row>
    <row r="1068" spans="1:51">
      <c r="A1068" s="11"/>
      <c r="B1068" s="149"/>
      <c r="C1068" s="11"/>
      <c r="D1068" s="11"/>
      <c r="E1068" s="11"/>
      <c r="F1068" s="184"/>
      <c r="G1068" s="11"/>
      <c r="H1068" s="11"/>
      <c r="I1068" s="11"/>
      <c r="J1068" s="11"/>
      <c r="K1068" s="11"/>
      <c r="L1068" s="6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</row>
    <row r="1069" spans="1:51">
      <c r="A1069" s="11"/>
      <c r="B1069" s="149"/>
      <c r="C1069" s="11"/>
      <c r="D1069" s="11"/>
      <c r="E1069" s="11"/>
      <c r="F1069" s="184"/>
      <c r="G1069" s="11"/>
      <c r="H1069" s="11"/>
      <c r="I1069" s="11"/>
      <c r="J1069" s="11"/>
      <c r="K1069" s="11"/>
      <c r="L1069" s="6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</row>
    <row r="1070" spans="1:51">
      <c r="A1070" s="11"/>
      <c r="B1070" s="149"/>
      <c r="C1070" s="11"/>
      <c r="D1070" s="11"/>
      <c r="E1070" s="11"/>
      <c r="F1070" s="184"/>
      <c r="G1070" s="11"/>
      <c r="H1070" s="11"/>
      <c r="I1070" s="11"/>
      <c r="J1070" s="11"/>
      <c r="K1070" s="11"/>
      <c r="L1070" s="6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</row>
    <row r="1071" spans="1:51">
      <c r="A1071" s="11"/>
      <c r="B1071" s="149"/>
      <c r="C1071" s="11"/>
      <c r="D1071" s="11"/>
      <c r="E1071" s="11"/>
      <c r="F1071" s="184"/>
      <c r="G1071" s="11"/>
      <c r="H1071" s="11"/>
      <c r="I1071" s="11"/>
      <c r="J1071" s="11"/>
      <c r="K1071" s="11"/>
      <c r="L1071" s="6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</row>
    <row r="1072" spans="1:51">
      <c r="A1072" s="11"/>
      <c r="B1072" s="149"/>
      <c r="C1072" s="11"/>
      <c r="D1072" s="11"/>
      <c r="E1072" s="11"/>
      <c r="F1072" s="184"/>
      <c r="G1072" s="11"/>
      <c r="H1072" s="11"/>
      <c r="I1072" s="11"/>
      <c r="J1072" s="11"/>
      <c r="K1072" s="11"/>
      <c r="L1072" s="6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</row>
    <row r="1073" spans="1:51">
      <c r="A1073" s="11"/>
      <c r="B1073" s="149"/>
      <c r="C1073" s="11"/>
      <c r="D1073" s="11"/>
      <c r="E1073" s="11"/>
      <c r="F1073" s="184"/>
      <c r="G1073" s="11"/>
      <c r="H1073" s="11"/>
      <c r="I1073" s="11"/>
      <c r="J1073" s="11"/>
      <c r="K1073" s="11"/>
      <c r="L1073" s="6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</row>
    <row r="1074" spans="1:51">
      <c r="A1074" s="11"/>
      <c r="B1074" s="149"/>
      <c r="C1074" s="11"/>
      <c r="D1074" s="11"/>
      <c r="E1074" s="11"/>
      <c r="F1074" s="184"/>
      <c r="G1074" s="11"/>
      <c r="H1074" s="11"/>
      <c r="I1074" s="11"/>
      <c r="J1074" s="11"/>
      <c r="K1074" s="11"/>
      <c r="L1074" s="6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</row>
    <row r="1075" spans="1:51">
      <c r="A1075" s="11"/>
      <c r="B1075" s="149"/>
      <c r="C1075" s="11"/>
      <c r="D1075" s="11"/>
      <c r="E1075" s="11"/>
      <c r="F1075" s="184"/>
      <c r="G1075" s="11"/>
      <c r="H1075" s="11"/>
      <c r="I1075" s="11"/>
      <c r="J1075" s="11"/>
      <c r="K1075" s="11"/>
      <c r="L1075" s="6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</row>
    <row r="1076" spans="1:51">
      <c r="A1076" s="11"/>
      <c r="B1076" s="149"/>
      <c r="C1076" s="11"/>
      <c r="D1076" s="11"/>
      <c r="E1076" s="11"/>
      <c r="F1076" s="184"/>
      <c r="G1076" s="11"/>
      <c r="H1076" s="11"/>
      <c r="I1076" s="11"/>
      <c r="J1076" s="11"/>
      <c r="K1076" s="11"/>
      <c r="L1076" s="6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</row>
    <row r="1077" spans="1:51">
      <c r="A1077" s="11"/>
      <c r="B1077" s="149"/>
      <c r="C1077" s="11"/>
      <c r="D1077" s="11"/>
      <c r="E1077" s="11"/>
      <c r="F1077" s="184"/>
      <c r="G1077" s="11"/>
      <c r="H1077" s="11"/>
      <c r="I1077" s="11"/>
      <c r="J1077" s="11"/>
      <c r="K1077" s="11"/>
      <c r="L1077" s="6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</row>
    <row r="1078" spans="1:51">
      <c r="A1078" s="11"/>
      <c r="B1078" s="149"/>
      <c r="C1078" s="11"/>
      <c r="D1078" s="11"/>
      <c r="E1078" s="11"/>
      <c r="F1078" s="184"/>
      <c r="G1078" s="11"/>
      <c r="H1078" s="11"/>
      <c r="I1078" s="11"/>
      <c r="J1078" s="11"/>
      <c r="K1078" s="11"/>
      <c r="L1078" s="6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</row>
    <row r="1079" spans="1:51">
      <c r="A1079" s="11"/>
      <c r="B1079" s="149"/>
      <c r="C1079" s="11"/>
      <c r="D1079" s="11"/>
      <c r="E1079" s="11"/>
      <c r="F1079" s="184"/>
      <c r="G1079" s="11"/>
      <c r="H1079" s="11"/>
      <c r="I1079" s="11"/>
      <c r="J1079" s="11"/>
      <c r="K1079" s="11"/>
      <c r="L1079" s="6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</row>
    <row r="1080" spans="1:51">
      <c r="A1080" s="11"/>
      <c r="B1080" s="149"/>
      <c r="C1080" s="11"/>
      <c r="D1080" s="11"/>
      <c r="E1080" s="11"/>
      <c r="F1080" s="184"/>
      <c r="G1080" s="11"/>
      <c r="H1080" s="11"/>
      <c r="I1080" s="11"/>
      <c r="J1080" s="11"/>
      <c r="K1080" s="11"/>
      <c r="L1080" s="6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</row>
    <row r="1081" spans="1:51">
      <c r="A1081" s="11"/>
      <c r="B1081" s="149"/>
      <c r="C1081" s="11"/>
      <c r="D1081" s="11"/>
      <c r="E1081" s="11"/>
      <c r="F1081" s="184"/>
      <c r="G1081" s="11"/>
      <c r="H1081" s="11"/>
      <c r="I1081" s="11"/>
      <c r="J1081" s="11"/>
      <c r="K1081" s="11"/>
      <c r="L1081" s="6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</row>
    <row r="1082" spans="1:51">
      <c r="A1082" s="11"/>
      <c r="B1082" s="149"/>
      <c r="C1082" s="11"/>
      <c r="D1082" s="11"/>
      <c r="E1082" s="11"/>
      <c r="F1082" s="184"/>
      <c r="G1082" s="11"/>
      <c r="H1082" s="11"/>
      <c r="I1082" s="11"/>
      <c r="J1082" s="11"/>
      <c r="K1082" s="11"/>
      <c r="L1082" s="6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</row>
    <row r="1083" spans="1:51">
      <c r="A1083" s="11"/>
      <c r="B1083" s="149"/>
      <c r="C1083" s="11"/>
      <c r="D1083" s="11"/>
      <c r="E1083" s="11"/>
      <c r="F1083" s="184"/>
      <c r="G1083" s="11"/>
      <c r="H1083" s="11"/>
      <c r="I1083" s="11"/>
      <c r="J1083" s="11"/>
      <c r="K1083" s="11"/>
      <c r="L1083" s="6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</row>
    <row r="1084" spans="1:51">
      <c r="A1084" s="11"/>
      <c r="B1084" s="149"/>
      <c r="C1084" s="11"/>
      <c r="D1084" s="11"/>
      <c r="E1084" s="11"/>
      <c r="F1084" s="184"/>
      <c r="G1084" s="11"/>
      <c r="H1084" s="11"/>
      <c r="I1084" s="11"/>
      <c r="J1084" s="11"/>
      <c r="K1084" s="11"/>
      <c r="L1084" s="6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</row>
    <row r="1085" spans="1:51">
      <c r="A1085" s="11"/>
      <c r="B1085" s="149"/>
      <c r="C1085" s="11"/>
      <c r="D1085" s="11"/>
      <c r="E1085" s="11"/>
      <c r="F1085" s="184"/>
      <c r="G1085" s="11"/>
      <c r="H1085" s="11"/>
      <c r="I1085" s="11"/>
      <c r="J1085" s="11"/>
      <c r="K1085" s="11"/>
      <c r="L1085" s="6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</row>
    <row r="1086" spans="1:51">
      <c r="A1086" s="11"/>
      <c r="B1086" s="149"/>
      <c r="C1086" s="11"/>
      <c r="D1086" s="11"/>
      <c r="E1086" s="11"/>
      <c r="F1086" s="184"/>
      <c r="G1086" s="11"/>
      <c r="H1086" s="11"/>
      <c r="I1086" s="11"/>
      <c r="J1086" s="11"/>
      <c r="K1086" s="11"/>
      <c r="L1086" s="6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</row>
    <row r="1087" spans="1:51">
      <c r="A1087" s="11"/>
      <c r="B1087" s="149"/>
      <c r="C1087" s="11"/>
      <c r="D1087" s="11"/>
      <c r="E1087" s="11"/>
      <c r="F1087" s="184"/>
      <c r="G1087" s="11"/>
      <c r="H1087" s="11"/>
      <c r="I1087" s="11"/>
      <c r="J1087" s="11"/>
      <c r="K1087" s="11"/>
      <c r="L1087" s="6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</row>
    <row r="1088" spans="1:51">
      <c r="A1088" s="11"/>
      <c r="B1088" s="149"/>
      <c r="C1088" s="11"/>
      <c r="D1088" s="11"/>
      <c r="E1088" s="11"/>
      <c r="F1088" s="184"/>
      <c r="G1088" s="11"/>
      <c r="H1088" s="11"/>
      <c r="I1088" s="11"/>
      <c r="J1088" s="11"/>
      <c r="K1088" s="11"/>
      <c r="L1088" s="6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</row>
    <row r="1089" spans="1:51">
      <c r="A1089" s="11"/>
      <c r="B1089" s="149"/>
      <c r="C1089" s="11"/>
      <c r="D1089" s="11"/>
      <c r="E1089" s="11"/>
      <c r="F1089" s="184"/>
      <c r="G1089" s="11"/>
      <c r="H1089" s="11"/>
      <c r="I1089" s="11"/>
      <c r="J1089" s="11"/>
      <c r="K1089" s="11"/>
      <c r="L1089" s="6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</row>
    <row r="1090" spans="1:51">
      <c r="A1090" s="11"/>
      <c r="B1090" s="149"/>
      <c r="C1090" s="11"/>
      <c r="D1090" s="11"/>
      <c r="E1090" s="11"/>
      <c r="F1090" s="184"/>
      <c r="G1090" s="11"/>
      <c r="H1090" s="11"/>
      <c r="I1090" s="11"/>
      <c r="J1090" s="11"/>
      <c r="K1090" s="11"/>
      <c r="L1090" s="6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</row>
    <row r="1091" spans="1:51">
      <c r="A1091" s="11"/>
      <c r="B1091" s="149"/>
      <c r="C1091" s="11"/>
      <c r="D1091" s="11"/>
      <c r="E1091" s="11"/>
      <c r="F1091" s="184"/>
      <c r="G1091" s="11"/>
      <c r="H1091" s="11"/>
      <c r="I1091" s="11"/>
      <c r="J1091" s="11"/>
      <c r="K1091" s="11"/>
      <c r="L1091" s="6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</row>
    <row r="1092" spans="1:51">
      <c r="A1092" s="11"/>
      <c r="B1092" s="149"/>
      <c r="C1092" s="11"/>
      <c r="D1092" s="11"/>
      <c r="E1092" s="11"/>
      <c r="F1092" s="184"/>
      <c r="G1092" s="11"/>
      <c r="H1092" s="11"/>
      <c r="I1092" s="11"/>
      <c r="J1092" s="11"/>
      <c r="K1092" s="11"/>
      <c r="L1092" s="6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</row>
    <row r="1093" spans="1:51">
      <c r="A1093" s="11"/>
      <c r="B1093" s="149"/>
      <c r="C1093" s="11"/>
      <c r="D1093" s="11"/>
      <c r="E1093" s="11"/>
      <c r="F1093" s="184"/>
      <c r="G1093" s="11"/>
      <c r="H1093" s="11"/>
      <c r="I1093" s="11"/>
      <c r="J1093" s="11"/>
      <c r="K1093" s="11"/>
      <c r="L1093" s="6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</row>
    <row r="1094" spans="1:51">
      <c r="A1094" s="11"/>
      <c r="B1094" s="149"/>
      <c r="C1094" s="11"/>
      <c r="D1094" s="11"/>
      <c r="E1094" s="11"/>
      <c r="F1094" s="184"/>
      <c r="G1094" s="11"/>
      <c r="H1094" s="11"/>
      <c r="I1094" s="11"/>
      <c r="J1094" s="11"/>
      <c r="K1094" s="11"/>
      <c r="L1094" s="6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</row>
    <row r="1095" spans="1:51">
      <c r="A1095" s="11"/>
      <c r="B1095" s="149"/>
      <c r="C1095" s="11"/>
      <c r="D1095" s="11"/>
      <c r="E1095" s="11"/>
      <c r="F1095" s="184"/>
      <c r="G1095" s="11"/>
      <c r="H1095" s="11"/>
      <c r="I1095" s="11"/>
      <c r="J1095" s="11"/>
      <c r="K1095" s="11"/>
      <c r="L1095" s="6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</row>
    <row r="1096" spans="1:51">
      <c r="A1096" s="11"/>
      <c r="B1096" s="149"/>
      <c r="C1096" s="11"/>
      <c r="D1096" s="11"/>
      <c r="E1096" s="11"/>
      <c r="F1096" s="184"/>
      <c r="G1096" s="11"/>
      <c r="H1096" s="11"/>
      <c r="I1096" s="11"/>
      <c r="J1096" s="11"/>
      <c r="K1096" s="11"/>
      <c r="L1096" s="6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</row>
    <row r="1097" spans="1:51">
      <c r="A1097" s="11"/>
      <c r="B1097" s="149"/>
      <c r="C1097" s="11"/>
      <c r="D1097" s="11"/>
      <c r="E1097" s="11"/>
      <c r="F1097" s="184"/>
      <c r="G1097" s="11"/>
      <c r="H1097" s="11"/>
      <c r="I1097" s="11"/>
      <c r="J1097" s="11"/>
      <c r="K1097" s="11"/>
      <c r="L1097" s="6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</row>
    <row r="1098" spans="1:51">
      <c r="A1098" s="11"/>
      <c r="B1098" s="149"/>
      <c r="C1098" s="11"/>
      <c r="D1098" s="11"/>
      <c r="E1098" s="11"/>
      <c r="F1098" s="184"/>
      <c r="G1098" s="11"/>
      <c r="H1098" s="11"/>
      <c r="I1098" s="11"/>
      <c r="J1098" s="11"/>
      <c r="K1098" s="11"/>
      <c r="L1098" s="6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</row>
    <row r="1099" spans="1:51">
      <c r="A1099" s="11"/>
      <c r="B1099" s="149"/>
      <c r="C1099" s="11"/>
      <c r="D1099" s="11"/>
      <c r="E1099" s="11"/>
      <c r="F1099" s="184"/>
      <c r="G1099" s="11"/>
      <c r="H1099" s="11"/>
      <c r="I1099" s="11"/>
      <c r="J1099" s="11"/>
      <c r="K1099" s="11"/>
      <c r="L1099" s="6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</row>
    <row r="1100" spans="1:51">
      <c r="A1100" s="11"/>
      <c r="B1100" s="149"/>
      <c r="C1100" s="11"/>
      <c r="D1100" s="11"/>
      <c r="E1100" s="11"/>
      <c r="F1100" s="184"/>
      <c r="G1100" s="11"/>
      <c r="H1100" s="11"/>
      <c r="I1100" s="11"/>
      <c r="J1100" s="11"/>
      <c r="K1100" s="11"/>
      <c r="L1100" s="6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</row>
    <row r="1101" spans="1:51">
      <c r="A1101" s="11"/>
      <c r="B1101" s="149"/>
      <c r="C1101" s="11"/>
      <c r="D1101" s="11"/>
      <c r="E1101" s="11"/>
      <c r="F1101" s="184"/>
      <c r="G1101" s="11"/>
      <c r="H1101" s="11"/>
      <c r="I1101" s="11"/>
      <c r="J1101" s="11"/>
      <c r="K1101" s="11"/>
      <c r="L1101" s="6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</row>
    <row r="1102" spans="1:51">
      <c r="A1102" s="11"/>
      <c r="B1102" s="149"/>
      <c r="C1102" s="11"/>
      <c r="D1102" s="11"/>
      <c r="E1102" s="11"/>
      <c r="F1102" s="184"/>
      <c r="G1102" s="11"/>
      <c r="H1102" s="11"/>
      <c r="I1102" s="11"/>
      <c r="J1102" s="11"/>
      <c r="K1102" s="11"/>
      <c r="L1102" s="6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</row>
    <row r="1103" spans="1:51">
      <c r="A1103" s="11"/>
      <c r="B1103" s="149"/>
      <c r="C1103" s="11"/>
      <c r="D1103" s="11"/>
      <c r="E1103" s="11"/>
      <c r="F1103" s="184"/>
      <c r="G1103" s="11"/>
      <c r="H1103" s="11"/>
      <c r="I1103" s="11"/>
      <c r="J1103" s="11"/>
      <c r="K1103" s="11"/>
      <c r="L1103" s="6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</row>
    <row r="1104" spans="1:51">
      <c r="A1104" s="11"/>
      <c r="B1104" s="149"/>
      <c r="C1104" s="11"/>
      <c r="D1104" s="11"/>
      <c r="E1104" s="11"/>
      <c r="F1104" s="184"/>
      <c r="G1104" s="11"/>
      <c r="H1104" s="11"/>
      <c r="I1104" s="11"/>
      <c r="J1104" s="11"/>
      <c r="K1104" s="11"/>
      <c r="L1104" s="6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</row>
    <row r="1105" spans="1:51">
      <c r="A1105" s="11"/>
      <c r="B1105" s="149"/>
      <c r="C1105" s="11"/>
      <c r="D1105" s="11"/>
      <c r="E1105" s="11"/>
      <c r="F1105" s="184"/>
      <c r="G1105" s="11"/>
      <c r="H1105" s="11"/>
      <c r="I1105" s="11"/>
      <c r="J1105" s="11"/>
      <c r="K1105" s="11"/>
      <c r="L1105" s="6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</row>
    <row r="1106" spans="1:51">
      <c r="A1106" s="11"/>
      <c r="B1106" s="149"/>
      <c r="C1106" s="11"/>
      <c r="D1106" s="11"/>
      <c r="E1106" s="11"/>
      <c r="F1106" s="184"/>
      <c r="G1106" s="11"/>
      <c r="H1106" s="11"/>
      <c r="I1106" s="11"/>
      <c r="J1106" s="11"/>
      <c r="K1106" s="11"/>
      <c r="L1106" s="6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</row>
    <row r="1107" spans="1:51">
      <c r="A1107" s="11"/>
      <c r="B1107" s="149"/>
      <c r="C1107" s="11"/>
      <c r="D1107" s="11"/>
      <c r="E1107" s="11"/>
      <c r="F1107" s="184"/>
      <c r="G1107" s="11"/>
      <c r="H1107" s="11"/>
      <c r="I1107" s="11"/>
      <c r="J1107" s="11"/>
      <c r="K1107" s="11"/>
      <c r="L1107" s="6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</row>
    <row r="1108" spans="1:51">
      <c r="A1108" s="11"/>
      <c r="B1108" s="149"/>
      <c r="C1108" s="11"/>
      <c r="D1108" s="11"/>
      <c r="E1108" s="11"/>
      <c r="F1108" s="184"/>
      <c r="G1108" s="11"/>
      <c r="H1108" s="11"/>
      <c r="I1108" s="11"/>
      <c r="J1108" s="11"/>
      <c r="K1108" s="11"/>
      <c r="L1108" s="6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</row>
    <row r="1109" spans="1:51">
      <c r="A1109" s="11"/>
      <c r="B1109" s="149"/>
      <c r="C1109" s="11"/>
      <c r="D1109" s="11"/>
      <c r="E1109" s="11"/>
      <c r="F1109" s="184"/>
      <c r="G1109" s="11"/>
      <c r="H1109" s="11"/>
      <c r="I1109" s="11"/>
      <c r="J1109" s="11"/>
      <c r="K1109" s="11"/>
      <c r="L1109" s="6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</row>
    <row r="1110" spans="1:51">
      <c r="A1110" s="11"/>
      <c r="B1110" s="149"/>
      <c r="C1110" s="11"/>
      <c r="D1110" s="11"/>
      <c r="E1110" s="11"/>
      <c r="F1110" s="184"/>
      <c r="G1110" s="11"/>
      <c r="H1110" s="11"/>
      <c r="I1110" s="11"/>
      <c r="J1110" s="11"/>
      <c r="K1110" s="11"/>
      <c r="L1110" s="6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</row>
    <row r="1111" spans="1:51">
      <c r="A1111" s="11"/>
      <c r="B1111" s="149"/>
      <c r="C1111" s="11"/>
      <c r="D1111" s="11"/>
      <c r="E1111" s="11"/>
      <c r="F1111" s="184"/>
      <c r="G1111" s="11"/>
      <c r="H1111" s="11"/>
      <c r="I1111" s="11"/>
      <c r="J1111" s="11"/>
      <c r="K1111" s="11"/>
      <c r="L1111" s="6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</row>
    <row r="1112" spans="1:51">
      <c r="A1112" s="11"/>
      <c r="B1112" s="149"/>
      <c r="C1112" s="11"/>
      <c r="D1112" s="11"/>
      <c r="E1112" s="11"/>
      <c r="F1112" s="184"/>
      <c r="G1112" s="11"/>
      <c r="H1112" s="11"/>
      <c r="I1112" s="11"/>
      <c r="J1112" s="11"/>
      <c r="K1112" s="11"/>
      <c r="L1112" s="6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</row>
    <row r="1113" spans="1:51">
      <c r="A1113" s="11"/>
      <c r="B1113" s="149"/>
      <c r="C1113" s="11"/>
      <c r="D1113" s="11"/>
      <c r="E1113" s="11"/>
      <c r="F1113" s="184"/>
      <c r="G1113" s="11"/>
      <c r="H1113" s="11"/>
      <c r="I1113" s="11"/>
      <c r="J1113" s="11"/>
      <c r="K1113" s="11"/>
      <c r="L1113" s="6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</row>
    <row r="1114" spans="1:51">
      <c r="A1114" s="11"/>
      <c r="B1114" s="149"/>
      <c r="C1114" s="11"/>
      <c r="D1114" s="11"/>
      <c r="E1114" s="11"/>
      <c r="F1114" s="184"/>
      <c r="G1114" s="11"/>
      <c r="H1114" s="11"/>
      <c r="I1114" s="11"/>
      <c r="J1114" s="11"/>
      <c r="K1114" s="11"/>
      <c r="L1114" s="6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</row>
    <row r="1115" spans="1:51">
      <c r="A1115" s="11"/>
      <c r="B1115" s="149"/>
      <c r="C1115" s="11"/>
      <c r="D1115" s="11"/>
      <c r="E1115" s="11"/>
      <c r="F1115" s="184"/>
      <c r="G1115" s="11"/>
      <c r="H1115" s="11"/>
      <c r="I1115" s="11"/>
      <c r="J1115" s="11"/>
      <c r="K1115" s="11"/>
      <c r="L1115" s="6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</row>
    <row r="1116" spans="1:51">
      <c r="A1116" s="11"/>
      <c r="B1116" s="149"/>
      <c r="C1116" s="11"/>
      <c r="D1116" s="11"/>
      <c r="E1116" s="11"/>
      <c r="F1116" s="184"/>
      <c r="G1116" s="11"/>
      <c r="H1116" s="11"/>
      <c r="I1116" s="11"/>
      <c r="J1116" s="11"/>
      <c r="K1116" s="11"/>
      <c r="L1116" s="6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</row>
    <row r="1117" spans="1:51">
      <c r="A1117" s="11"/>
      <c r="B1117" s="149"/>
      <c r="C1117" s="11"/>
      <c r="D1117" s="11"/>
      <c r="E1117" s="11"/>
      <c r="F1117" s="184"/>
      <c r="G1117" s="11"/>
      <c r="H1117" s="11"/>
      <c r="I1117" s="11"/>
      <c r="J1117" s="11"/>
      <c r="K1117" s="11"/>
      <c r="L1117" s="6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</row>
    <row r="1118" spans="1:51">
      <c r="A1118" s="11"/>
      <c r="B1118" s="149"/>
      <c r="C1118" s="11"/>
      <c r="D1118" s="11"/>
      <c r="E1118" s="11"/>
      <c r="F1118" s="184"/>
      <c r="G1118" s="11"/>
      <c r="H1118" s="11"/>
      <c r="I1118" s="11"/>
      <c r="J1118" s="11"/>
      <c r="K1118" s="11"/>
      <c r="L1118" s="6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</row>
    <row r="1119" spans="1:51">
      <c r="A1119" s="11"/>
      <c r="B1119" s="149"/>
      <c r="C1119" s="11"/>
      <c r="D1119" s="11"/>
      <c r="E1119" s="11"/>
      <c r="F1119" s="184"/>
      <c r="G1119" s="11"/>
      <c r="H1119" s="11"/>
      <c r="I1119" s="11"/>
      <c r="J1119" s="11"/>
      <c r="K1119" s="11"/>
      <c r="L1119" s="6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</row>
    <row r="1120" spans="1:51">
      <c r="A1120" s="11"/>
      <c r="B1120" s="149"/>
      <c r="C1120" s="11"/>
      <c r="D1120" s="11"/>
      <c r="E1120" s="11"/>
      <c r="F1120" s="184"/>
      <c r="G1120" s="11"/>
      <c r="H1120" s="11"/>
      <c r="I1120" s="11"/>
      <c r="J1120" s="11"/>
      <c r="K1120" s="11"/>
      <c r="L1120" s="6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</row>
    <row r="1121" spans="1:51">
      <c r="A1121" s="11"/>
      <c r="B1121" s="149"/>
      <c r="C1121" s="11"/>
      <c r="D1121" s="11"/>
      <c r="E1121" s="11"/>
      <c r="F1121" s="184"/>
      <c r="G1121" s="11"/>
      <c r="H1121" s="11"/>
      <c r="I1121" s="11"/>
      <c r="J1121" s="11"/>
      <c r="K1121" s="11"/>
      <c r="L1121" s="6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</row>
    <row r="1122" spans="1:51">
      <c r="A1122" s="11"/>
      <c r="B1122" s="149"/>
      <c r="C1122" s="11"/>
      <c r="D1122" s="11"/>
      <c r="E1122" s="11"/>
      <c r="F1122" s="184"/>
      <c r="G1122" s="11"/>
      <c r="H1122" s="11"/>
      <c r="I1122" s="11"/>
      <c r="J1122" s="11"/>
      <c r="K1122" s="11"/>
      <c r="L1122" s="6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</row>
    <row r="1123" spans="1:51">
      <c r="A1123" s="11"/>
      <c r="B1123" s="149"/>
      <c r="C1123" s="11"/>
      <c r="D1123" s="11"/>
      <c r="E1123" s="11"/>
      <c r="F1123" s="184"/>
      <c r="G1123" s="11"/>
      <c r="H1123" s="11"/>
      <c r="I1123" s="11"/>
      <c r="J1123" s="11"/>
      <c r="K1123" s="11"/>
      <c r="L1123" s="6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</row>
    <row r="1124" spans="1:51">
      <c r="A1124" s="11"/>
      <c r="B1124" s="149"/>
      <c r="C1124" s="11"/>
      <c r="D1124" s="11"/>
      <c r="E1124" s="11"/>
      <c r="F1124" s="184"/>
      <c r="G1124" s="11"/>
      <c r="H1124" s="11"/>
      <c r="I1124" s="11"/>
      <c r="J1124" s="11"/>
      <c r="K1124" s="11"/>
      <c r="L1124" s="6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</row>
    <row r="1125" spans="1:51">
      <c r="A1125" s="11"/>
      <c r="B1125" s="149"/>
      <c r="C1125" s="11"/>
      <c r="D1125" s="11"/>
      <c r="E1125" s="11"/>
      <c r="F1125" s="184"/>
      <c r="G1125" s="11"/>
      <c r="H1125" s="11"/>
      <c r="I1125" s="11"/>
      <c r="J1125" s="11"/>
      <c r="K1125" s="11"/>
      <c r="L1125" s="6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</row>
    <row r="1126" spans="1:51">
      <c r="A1126" s="11"/>
      <c r="B1126" s="149"/>
      <c r="C1126" s="11"/>
      <c r="D1126" s="11"/>
      <c r="E1126" s="11"/>
      <c r="F1126" s="184"/>
      <c r="G1126" s="11"/>
      <c r="H1126" s="11"/>
      <c r="I1126" s="11"/>
      <c r="J1126" s="11"/>
      <c r="K1126" s="11"/>
      <c r="L1126" s="6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</row>
    <row r="1127" spans="1:51">
      <c r="A1127" s="11"/>
      <c r="B1127" s="149"/>
      <c r="C1127" s="11"/>
      <c r="D1127" s="11"/>
      <c r="E1127" s="11"/>
      <c r="F1127" s="184"/>
      <c r="G1127" s="11"/>
      <c r="H1127" s="11"/>
      <c r="I1127" s="11"/>
      <c r="J1127" s="11"/>
      <c r="K1127" s="11"/>
      <c r="L1127" s="6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</row>
    <row r="1128" spans="1:51">
      <c r="A1128" s="11"/>
      <c r="B1128" s="149"/>
      <c r="C1128" s="11"/>
      <c r="D1128" s="11"/>
      <c r="E1128" s="11"/>
      <c r="F1128" s="184"/>
      <c r="G1128" s="11"/>
      <c r="H1128" s="11"/>
      <c r="I1128" s="11"/>
      <c r="J1128" s="11"/>
      <c r="K1128" s="11"/>
      <c r="L1128" s="6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</row>
    <row r="1129" spans="1:51">
      <c r="A1129" s="11"/>
      <c r="B1129" s="149"/>
      <c r="C1129" s="11"/>
      <c r="D1129" s="11"/>
      <c r="E1129" s="11"/>
      <c r="F1129" s="184"/>
      <c r="G1129" s="11"/>
      <c r="H1129" s="11"/>
      <c r="I1129" s="11"/>
      <c r="J1129" s="11"/>
      <c r="K1129" s="11"/>
      <c r="L1129" s="6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</row>
    <row r="1130" spans="1:51">
      <c r="A1130" s="11"/>
      <c r="B1130" s="149"/>
      <c r="C1130" s="11"/>
      <c r="D1130" s="11"/>
      <c r="E1130" s="11"/>
      <c r="F1130" s="184"/>
      <c r="G1130" s="11"/>
      <c r="H1130" s="11"/>
      <c r="I1130" s="11"/>
      <c r="J1130" s="11"/>
      <c r="K1130" s="11"/>
      <c r="L1130" s="6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</row>
    <row r="1131" spans="1:51">
      <c r="A1131" s="11"/>
      <c r="B1131" s="149"/>
      <c r="C1131" s="11"/>
      <c r="D1131" s="11"/>
      <c r="E1131" s="11"/>
      <c r="F1131" s="184"/>
      <c r="G1131" s="11"/>
      <c r="H1131" s="11"/>
      <c r="I1131" s="11"/>
      <c r="J1131" s="11"/>
      <c r="K1131" s="11"/>
      <c r="L1131" s="6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</row>
    <row r="1132" spans="1:51">
      <c r="A1132" s="11"/>
      <c r="B1132" s="149"/>
      <c r="C1132" s="11"/>
      <c r="D1132" s="11"/>
      <c r="E1132" s="11"/>
      <c r="F1132" s="184"/>
      <c r="G1132" s="11"/>
      <c r="H1132" s="11"/>
      <c r="I1132" s="11"/>
      <c r="J1132" s="11"/>
      <c r="K1132" s="11"/>
      <c r="L1132" s="6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</row>
    <row r="1133" spans="1:51">
      <c r="A1133" s="11"/>
      <c r="B1133" s="149"/>
      <c r="C1133" s="11"/>
      <c r="D1133" s="11"/>
      <c r="E1133" s="11"/>
      <c r="F1133" s="184"/>
      <c r="G1133" s="11"/>
      <c r="H1133" s="11"/>
      <c r="I1133" s="11"/>
      <c r="J1133" s="11"/>
      <c r="K1133" s="11"/>
      <c r="L1133" s="6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</row>
    <row r="1134" spans="1:51">
      <c r="A1134" s="11"/>
      <c r="B1134" s="149"/>
      <c r="C1134" s="11"/>
      <c r="D1134" s="11"/>
      <c r="E1134" s="11"/>
      <c r="F1134" s="184"/>
      <c r="G1134" s="11"/>
      <c r="H1134" s="11"/>
      <c r="I1134" s="11"/>
      <c r="J1134" s="11"/>
      <c r="K1134" s="11"/>
      <c r="L1134" s="6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</row>
    <row r="1135" spans="1:51">
      <c r="A1135" s="11"/>
      <c r="B1135" s="149"/>
      <c r="C1135" s="11"/>
      <c r="D1135" s="11"/>
      <c r="E1135" s="11"/>
      <c r="F1135" s="184"/>
      <c r="G1135" s="11"/>
      <c r="H1135" s="11"/>
      <c r="I1135" s="11"/>
      <c r="J1135" s="11"/>
      <c r="K1135" s="11"/>
      <c r="L1135" s="6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</row>
    <row r="1136" spans="1:51">
      <c r="A1136" s="11"/>
      <c r="B1136" s="149"/>
      <c r="C1136" s="11"/>
      <c r="D1136" s="11"/>
      <c r="E1136" s="11"/>
      <c r="F1136" s="184"/>
      <c r="G1136" s="11"/>
      <c r="H1136" s="11"/>
      <c r="I1136" s="11"/>
      <c r="J1136" s="11"/>
      <c r="K1136" s="11"/>
      <c r="L1136" s="6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</row>
    <row r="1137" spans="1:51">
      <c r="A1137" s="11"/>
      <c r="B1137" s="149"/>
      <c r="C1137" s="11"/>
      <c r="D1137" s="11"/>
      <c r="E1137" s="11"/>
      <c r="F1137" s="184"/>
      <c r="G1137" s="11"/>
      <c r="H1137" s="11"/>
      <c r="I1137" s="11"/>
      <c r="J1137" s="11"/>
      <c r="K1137" s="11"/>
      <c r="L1137" s="6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</row>
    <row r="1138" spans="1:51">
      <c r="A1138" s="11"/>
      <c r="B1138" s="149"/>
      <c r="C1138" s="11"/>
      <c r="D1138" s="11"/>
      <c r="E1138" s="11"/>
      <c r="F1138" s="184"/>
      <c r="G1138" s="11"/>
      <c r="H1138" s="11"/>
      <c r="I1138" s="11"/>
      <c r="J1138" s="11"/>
      <c r="K1138" s="11"/>
      <c r="L1138" s="6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</row>
    <row r="1139" spans="1:51">
      <c r="A1139" s="11"/>
      <c r="B1139" s="149"/>
      <c r="C1139" s="11"/>
      <c r="D1139" s="11"/>
      <c r="E1139" s="11"/>
      <c r="F1139" s="184"/>
      <c r="G1139" s="11"/>
      <c r="H1139" s="11"/>
      <c r="I1139" s="11"/>
      <c r="J1139" s="11"/>
      <c r="K1139" s="11"/>
      <c r="L1139" s="6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</row>
    <row r="1140" spans="1:51">
      <c r="A1140" s="11"/>
      <c r="B1140" s="149"/>
      <c r="C1140" s="11"/>
      <c r="D1140" s="11"/>
      <c r="E1140" s="11"/>
      <c r="F1140" s="184"/>
      <c r="G1140" s="11"/>
      <c r="H1140" s="11"/>
      <c r="I1140" s="11"/>
      <c r="J1140" s="11"/>
      <c r="K1140" s="11"/>
      <c r="L1140" s="6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</row>
    <row r="1141" spans="1:51">
      <c r="A1141" s="11"/>
      <c r="B1141" s="149"/>
      <c r="C1141" s="11"/>
      <c r="D1141" s="11"/>
      <c r="E1141" s="11"/>
      <c r="F1141" s="184"/>
      <c r="G1141" s="11"/>
      <c r="H1141" s="11"/>
      <c r="I1141" s="11"/>
      <c r="J1141" s="11"/>
      <c r="K1141" s="11"/>
      <c r="L1141" s="6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</row>
    <row r="1142" spans="1:51">
      <c r="A1142" s="11"/>
      <c r="B1142" s="149"/>
      <c r="C1142" s="11"/>
      <c r="D1142" s="11"/>
      <c r="E1142" s="11"/>
      <c r="F1142" s="184"/>
      <c r="G1142" s="11"/>
      <c r="H1142" s="11"/>
      <c r="I1142" s="11"/>
      <c r="J1142" s="11"/>
      <c r="K1142" s="11"/>
      <c r="L1142" s="6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</row>
    <row r="1143" spans="1:51">
      <c r="A1143" s="11"/>
      <c r="B1143" s="149"/>
      <c r="C1143" s="11"/>
      <c r="D1143" s="11"/>
      <c r="E1143" s="11"/>
      <c r="F1143" s="184"/>
      <c r="G1143" s="11"/>
      <c r="H1143" s="11"/>
      <c r="I1143" s="11"/>
      <c r="J1143" s="11"/>
      <c r="K1143" s="11"/>
      <c r="L1143" s="6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</row>
    <row r="1144" spans="1:51">
      <c r="A1144" s="11"/>
      <c r="B1144" s="149"/>
      <c r="C1144" s="11"/>
      <c r="D1144" s="11"/>
      <c r="E1144" s="11"/>
      <c r="F1144" s="184"/>
      <c r="G1144" s="11"/>
      <c r="H1144" s="11"/>
      <c r="I1144" s="11"/>
      <c r="J1144" s="11"/>
      <c r="K1144" s="11"/>
      <c r="L1144" s="6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</row>
    <row r="1145" spans="1:51">
      <c r="A1145" s="11"/>
      <c r="B1145" s="149"/>
      <c r="C1145" s="11"/>
      <c r="D1145" s="11"/>
      <c r="E1145" s="11"/>
      <c r="F1145" s="184"/>
      <c r="G1145" s="11"/>
      <c r="H1145" s="11"/>
      <c r="I1145" s="11"/>
      <c r="J1145" s="11"/>
      <c r="K1145" s="11"/>
      <c r="L1145" s="6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</row>
    <row r="1146" spans="1:51">
      <c r="A1146" s="11"/>
      <c r="B1146" s="149"/>
      <c r="C1146" s="11"/>
      <c r="D1146" s="11"/>
      <c r="E1146" s="11"/>
      <c r="F1146" s="184"/>
      <c r="G1146" s="11"/>
      <c r="H1146" s="11"/>
      <c r="I1146" s="11"/>
      <c r="J1146" s="11"/>
      <c r="K1146" s="11"/>
      <c r="L1146" s="6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</row>
    <row r="1147" spans="1:51">
      <c r="A1147" s="11"/>
      <c r="B1147" s="149"/>
      <c r="C1147" s="11"/>
      <c r="D1147" s="11"/>
      <c r="E1147" s="11"/>
      <c r="F1147" s="184"/>
      <c r="G1147" s="11"/>
      <c r="H1147" s="11"/>
      <c r="I1147" s="11"/>
      <c r="J1147" s="11"/>
      <c r="K1147" s="11"/>
      <c r="L1147" s="6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</row>
    <row r="1148" spans="1:51">
      <c r="A1148" s="11"/>
      <c r="B1148" s="149"/>
      <c r="C1148" s="11"/>
      <c r="D1148" s="11"/>
      <c r="E1148" s="11"/>
      <c r="F1148" s="184"/>
      <c r="G1148" s="11"/>
      <c r="H1148" s="11"/>
      <c r="I1148" s="11"/>
      <c r="J1148" s="11"/>
      <c r="K1148" s="11"/>
      <c r="L1148" s="6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</row>
    <row r="1149" spans="1:51">
      <c r="A1149" s="11"/>
      <c r="B1149" s="149"/>
      <c r="C1149" s="11"/>
      <c r="D1149" s="11"/>
      <c r="E1149" s="11"/>
      <c r="F1149" s="184"/>
      <c r="G1149" s="11"/>
      <c r="H1149" s="11"/>
      <c r="I1149" s="11"/>
      <c r="J1149" s="11"/>
      <c r="K1149" s="11"/>
      <c r="L1149" s="6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</row>
    <row r="1150" spans="1:51">
      <c r="A1150" s="11"/>
      <c r="B1150" s="149"/>
      <c r="C1150" s="11"/>
      <c r="D1150" s="11"/>
      <c r="E1150" s="11"/>
      <c r="F1150" s="184"/>
      <c r="G1150" s="11"/>
      <c r="H1150" s="11"/>
      <c r="I1150" s="11"/>
      <c r="J1150" s="11"/>
      <c r="K1150" s="11"/>
      <c r="L1150" s="6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</row>
    <row r="1151" spans="1:51">
      <c r="A1151" s="11"/>
      <c r="B1151" s="149"/>
      <c r="C1151" s="11"/>
      <c r="D1151" s="11"/>
      <c r="E1151" s="11"/>
      <c r="F1151" s="184"/>
      <c r="G1151" s="11"/>
      <c r="H1151" s="11"/>
      <c r="I1151" s="11"/>
      <c r="J1151" s="11"/>
      <c r="K1151" s="11"/>
      <c r="L1151" s="6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</row>
    <row r="1152" spans="1:51">
      <c r="A1152" s="11"/>
      <c r="B1152" s="149"/>
      <c r="C1152" s="11"/>
      <c r="D1152" s="11"/>
      <c r="E1152" s="11"/>
      <c r="F1152" s="184"/>
      <c r="G1152" s="11"/>
      <c r="H1152" s="11"/>
      <c r="I1152" s="11"/>
      <c r="J1152" s="11"/>
      <c r="K1152" s="11"/>
      <c r="L1152" s="6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</row>
    <row r="1153" spans="1:51">
      <c r="A1153" s="11"/>
      <c r="B1153" s="149"/>
      <c r="C1153" s="11"/>
      <c r="D1153" s="11"/>
      <c r="E1153" s="11"/>
      <c r="F1153" s="184"/>
      <c r="G1153" s="11"/>
      <c r="H1153" s="11"/>
      <c r="I1153" s="11"/>
      <c r="J1153" s="11"/>
      <c r="K1153" s="11"/>
      <c r="L1153" s="6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</row>
    <row r="1154" spans="1:51">
      <c r="A1154" s="11"/>
      <c r="B1154" s="149"/>
      <c r="C1154" s="11"/>
      <c r="D1154" s="11"/>
      <c r="E1154" s="11"/>
      <c r="F1154" s="184"/>
      <c r="G1154" s="11"/>
      <c r="H1154" s="11"/>
      <c r="I1154" s="11"/>
      <c r="J1154" s="11"/>
      <c r="K1154" s="11"/>
      <c r="L1154" s="6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</row>
    <row r="1155" spans="1:51">
      <c r="A1155" s="11"/>
      <c r="B1155" s="149"/>
      <c r="C1155" s="11"/>
      <c r="D1155" s="11"/>
      <c r="E1155" s="11"/>
      <c r="F1155" s="184"/>
      <c r="G1155" s="11"/>
      <c r="H1155" s="11"/>
      <c r="I1155" s="11"/>
      <c r="J1155" s="11"/>
      <c r="K1155" s="11"/>
      <c r="L1155" s="6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</row>
    <row r="1156" spans="1:51">
      <c r="A1156" s="11"/>
      <c r="B1156" s="149"/>
      <c r="C1156" s="11"/>
      <c r="D1156" s="11"/>
      <c r="E1156" s="11"/>
      <c r="F1156" s="184"/>
      <c r="G1156" s="11"/>
      <c r="H1156" s="11"/>
      <c r="I1156" s="11"/>
      <c r="J1156" s="11"/>
      <c r="K1156" s="11"/>
      <c r="L1156" s="6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</row>
    <row r="1157" spans="1:51">
      <c r="A1157" s="11"/>
      <c r="B1157" s="149"/>
      <c r="C1157" s="11"/>
      <c r="D1157" s="11"/>
      <c r="E1157" s="11"/>
      <c r="F1157" s="184"/>
      <c r="G1157" s="11"/>
      <c r="H1157" s="11"/>
      <c r="I1157" s="11"/>
      <c r="J1157" s="11"/>
      <c r="K1157" s="11"/>
      <c r="L1157" s="6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</row>
    <row r="1158" spans="1:51">
      <c r="A1158" s="11"/>
      <c r="B1158" s="149"/>
      <c r="C1158" s="11"/>
      <c r="D1158" s="11"/>
      <c r="E1158" s="11"/>
      <c r="F1158" s="184"/>
      <c r="G1158" s="11"/>
      <c r="H1158" s="11"/>
      <c r="I1158" s="11"/>
      <c r="J1158" s="11"/>
      <c r="K1158" s="11"/>
      <c r="L1158" s="6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</row>
    <row r="1159" spans="1:51">
      <c r="A1159" s="11"/>
      <c r="B1159" s="149"/>
      <c r="C1159" s="11"/>
      <c r="D1159" s="11"/>
      <c r="E1159" s="11"/>
      <c r="F1159" s="184"/>
      <c r="G1159" s="11"/>
      <c r="H1159" s="11"/>
      <c r="I1159" s="11"/>
      <c r="J1159" s="11"/>
      <c r="K1159" s="11"/>
      <c r="L1159" s="6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</row>
    <row r="1160" spans="1:51">
      <c r="A1160" s="11"/>
      <c r="B1160" s="149"/>
      <c r="C1160" s="11"/>
      <c r="D1160" s="11"/>
      <c r="E1160" s="11"/>
      <c r="F1160" s="184"/>
      <c r="G1160" s="11"/>
      <c r="H1160" s="11"/>
      <c r="I1160" s="11"/>
      <c r="J1160" s="11"/>
      <c r="K1160" s="11"/>
      <c r="L1160" s="6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</row>
    <row r="1161" spans="1:51">
      <c r="A1161" s="11"/>
      <c r="B1161" s="149"/>
      <c r="C1161" s="11"/>
      <c r="D1161" s="11"/>
      <c r="E1161" s="11"/>
      <c r="F1161" s="184"/>
      <c r="G1161" s="11"/>
      <c r="H1161" s="11"/>
      <c r="I1161" s="11"/>
      <c r="J1161" s="11"/>
      <c r="K1161" s="11"/>
      <c r="L1161" s="6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</row>
    <row r="1162" spans="1:51">
      <c r="A1162" s="11"/>
      <c r="B1162" s="149"/>
      <c r="C1162" s="11"/>
      <c r="D1162" s="11"/>
      <c r="E1162" s="11"/>
      <c r="F1162" s="184"/>
      <c r="G1162" s="11"/>
      <c r="H1162" s="11"/>
      <c r="I1162" s="11"/>
      <c r="J1162" s="11"/>
      <c r="K1162" s="11"/>
      <c r="L1162" s="6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</row>
    <row r="1163" spans="1:51">
      <c r="A1163" s="11"/>
      <c r="B1163" s="149"/>
      <c r="C1163" s="11"/>
      <c r="D1163" s="11"/>
      <c r="E1163" s="11"/>
      <c r="F1163" s="184"/>
      <c r="G1163" s="11"/>
      <c r="H1163" s="11"/>
      <c r="I1163" s="11"/>
      <c r="J1163" s="11"/>
      <c r="K1163" s="11"/>
      <c r="L1163" s="6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</row>
    <row r="1164" spans="1:51">
      <c r="A1164" s="11"/>
      <c r="B1164" s="149"/>
      <c r="C1164" s="11"/>
      <c r="D1164" s="11"/>
      <c r="E1164" s="11"/>
      <c r="F1164" s="184"/>
      <c r="G1164" s="11"/>
      <c r="H1164" s="11"/>
      <c r="I1164" s="11"/>
      <c r="J1164" s="11"/>
      <c r="K1164" s="11"/>
      <c r="L1164" s="6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</row>
    <row r="1165" spans="1:51">
      <c r="A1165" s="11"/>
      <c r="B1165" s="149"/>
      <c r="C1165" s="11"/>
      <c r="D1165" s="11"/>
      <c r="E1165" s="11"/>
      <c r="F1165" s="184"/>
      <c r="G1165" s="11"/>
      <c r="H1165" s="11"/>
      <c r="I1165" s="11"/>
      <c r="J1165" s="11"/>
      <c r="K1165" s="11"/>
      <c r="L1165" s="6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</row>
    <row r="1166" spans="1:51">
      <c r="A1166" s="11"/>
      <c r="B1166" s="149"/>
      <c r="C1166" s="11"/>
      <c r="D1166" s="11"/>
      <c r="E1166" s="11"/>
      <c r="F1166" s="184"/>
      <c r="G1166" s="11"/>
      <c r="H1166" s="11"/>
      <c r="I1166" s="11"/>
      <c r="J1166" s="11"/>
      <c r="K1166" s="11"/>
      <c r="L1166" s="6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</row>
    <row r="1167" spans="1:51">
      <c r="A1167" s="11"/>
      <c r="B1167" s="149"/>
      <c r="C1167" s="11"/>
      <c r="D1167" s="11"/>
      <c r="E1167" s="11"/>
      <c r="F1167" s="184"/>
      <c r="G1167" s="11"/>
      <c r="H1167" s="11"/>
      <c r="I1167" s="11"/>
      <c r="J1167" s="11"/>
      <c r="K1167" s="11"/>
      <c r="L1167" s="6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</row>
    <row r="1168" spans="1:51">
      <c r="A1168" s="11"/>
      <c r="B1168" s="149"/>
      <c r="C1168" s="11"/>
      <c r="D1168" s="11"/>
      <c r="E1168" s="11"/>
      <c r="F1168" s="184"/>
      <c r="G1168" s="11"/>
      <c r="H1168" s="11"/>
      <c r="I1168" s="11"/>
      <c r="J1168" s="11"/>
      <c r="K1168" s="11"/>
      <c r="L1168" s="6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</row>
    <row r="1169" spans="1:51">
      <c r="A1169" s="11"/>
      <c r="B1169" s="149"/>
      <c r="C1169" s="11"/>
      <c r="D1169" s="11"/>
      <c r="E1169" s="11"/>
      <c r="F1169" s="184"/>
      <c r="G1169" s="11"/>
      <c r="H1169" s="11"/>
      <c r="I1169" s="11"/>
      <c r="J1169" s="11"/>
      <c r="K1169" s="11"/>
      <c r="L1169" s="6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</row>
    <row r="1170" spans="1:51">
      <c r="A1170" s="11"/>
      <c r="B1170" s="149"/>
      <c r="C1170" s="11"/>
      <c r="D1170" s="11"/>
      <c r="E1170" s="11"/>
      <c r="F1170" s="184"/>
      <c r="G1170" s="11"/>
      <c r="H1170" s="11"/>
      <c r="I1170" s="11"/>
      <c r="J1170" s="11"/>
      <c r="K1170" s="11"/>
      <c r="L1170" s="6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</row>
    <row r="1171" spans="1:51">
      <c r="A1171" s="11"/>
      <c r="B1171" s="149"/>
      <c r="C1171" s="11"/>
      <c r="D1171" s="11"/>
      <c r="E1171" s="11"/>
      <c r="F1171" s="184"/>
      <c r="G1171" s="11"/>
      <c r="H1171" s="11"/>
      <c r="I1171" s="11"/>
      <c r="J1171" s="11"/>
      <c r="K1171" s="11"/>
      <c r="L1171" s="6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</row>
    <row r="1172" spans="1:51">
      <c r="A1172" s="11"/>
      <c r="B1172" s="149"/>
      <c r="C1172" s="11"/>
      <c r="D1172" s="11"/>
      <c r="E1172" s="11"/>
      <c r="F1172" s="184"/>
      <c r="G1172" s="11"/>
      <c r="H1172" s="11"/>
      <c r="I1172" s="11"/>
      <c r="J1172" s="11"/>
      <c r="K1172" s="11"/>
      <c r="L1172" s="6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</row>
    <row r="1173" spans="1:51">
      <c r="A1173" s="11"/>
      <c r="B1173" s="149"/>
      <c r="C1173" s="11"/>
      <c r="D1173" s="11"/>
      <c r="E1173" s="11"/>
      <c r="F1173" s="184"/>
      <c r="G1173" s="11"/>
      <c r="H1173" s="11"/>
      <c r="I1173" s="11"/>
      <c r="J1173" s="11"/>
      <c r="K1173" s="11"/>
      <c r="L1173" s="6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</row>
    <row r="1174" spans="1:51">
      <c r="A1174" s="11"/>
      <c r="B1174" s="149"/>
      <c r="C1174" s="11"/>
      <c r="D1174" s="11"/>
      <c r="E1174" s="11"/>
      <c r="F1174" s="184"/>
      <c r="G1174" s="11"/>
      <c r="H1174" s="11"/>
      <c r="I1174" s="11"/>
      <c r="J1174" s="11"/>
      <c r="K1174" s="11"/>
      <c r="L1174" s="6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</row>
    <row r="1175" spans="1:51">
      <c r="A1175" s="11"/>
      <c r="B1175" s="149"/>
      <c r="C1175" s="11"/>
      <c r="D1175" s="11"/>
      <c r="E1175" s="11"/>
      <c r="F1175" s="184"/>
      <c r="G1175" s="11"/>
      <c r="H1175" s="11"/>
      <c r="I1175" s="11"/>
      <c r="J1175" s="11"/>
      <c r="K1175" s="11"/>
      <c r="L1175" s="6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</row>
    <row r="1176" spans="1:51">
      <c r="A1176" s="11"/>
      <c r="B1176" s="149"/>
      <c r="C1176" s="11"/>
      <c r="D1176" s="11"/>
      <c r="E1176" s="11"/>
      <c r="F1176" s="184"/>
      <c r="G1176" s="11"/>
      <c r="H1176" s="11"/>
      <c r="I1176" s="11"/>
      <c r="J1176" s="11"/>
      <c r="K1176" s="11"/>
      <c r="L1176" s="6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</row>
    <row r="1177" spans="1:51">
      <c r="A1177" s="11"/>
      <c r="B1177" s="149"/>
      <c r="C1177" s="11"/>
      <c r="D1177" s="11"/>
      <c r="E1177" s="11"/>
      <c r="F1177" s="184"/>
      <c r="G1177" s="11"/>
      <c r="H1177" s="11"/>
      <c r="I1177" s="11"/>
      <c r="J1177" s="11"/>
      <c r="K1177" s="11"/>
      <c r="L1177" s="6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</row>
    <row r="1178" spans="1:51">
      <c r="A1178" s="11"/>
      <c r="B1178" s="149"/>
      <c r="C1178" s="11"/>
      <c r="D1178" s="11"/>
      <c r="E1178" s="11"/>
      <c r="F1178" s="184"/>
      <c r="G1178" s="11"/>
      <c r="H1178" s="11"/>
      <c r="I1178" s="11"/>
      <c r="J1178" s="11"/>
      <c r="K1178" s="11"/>
      <c r="L1178" s="6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</row>
    <row r="1179" spans="1:51">
      <c r="A1179" s="11"/>
      <c r="B1179" s="149"/>
      <c r="C1179" s="11"/>
      <c r="D1179" s="11"/>
      <c r="E1179" s="11"/>
      <c r="F1179" s="184"/>
      <c r="G1179" s="11"/>
      <c r="H1179" s="11"/>
      <c r="I1179" s="11"/>
      <c r="J1179" s="11"/>
      <c r="K1179" s="11"/>
      <c r="L1179" s="6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</row>
    <row r="1180" spans="1:51">
      <c r="A1180" s="11"/>
      <c r="B1180" s="149"/>
      <c r="C1180" s="11"/>
      <c r="D1180" s="11"/>
      <c r="E1180" s="11"/>
      <c r="F1180" s="184"/>
      <c r="G1180" s="11"/>
      <c r="H1180" s="11"/>
      <c r="I1180" s="11"/>
      <c r="J1180" s="11"/>
      <c r="K1180" s="11"/>
      <c r="L1180" s="6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</row>
    <row r="1181" spans="1:51">
      <c r="A1181" s="11"/>
      <c r="B1181" s="149"/>
      <c r="C1181" s="11"/>
      <c r="D1181" s="11"/>
      <c r="E1181" s="11"/>
      <c r="F1181" s="184"/>
      <c r="G1181" s="11"/>
      <c r="H1181" s="11"/>
      <c r="I1181" s="11"/>
      <c r="J1181" s="11"/>
      <c r="K1181" s="11"/>
      <c r="L1181" s="6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</row>
    <row r="1182" spans="1:51">
      <c r="A1182" s="11"/>
      <c r="B1182" s="149"/>
      <c r="C1182" s="11"/>
      <c r="D1182" s="11"/>
      <c r="E1182" s="11"/>
      <c r="F1182" s="184"/>
      <c r="G1182" s="11"/>
      <c r="H1182" s="11"/>
      <c r="I1182" s="11"/>
      <c r="J1182" s="11"/>
      <c r="K1182" s="11"/>
      <c r="L1182" s="6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</row>
    <row r="1183" spans="1:51">
      <c r="A1183" s="11"/>
      <c r="B1183" s="149"/>
      <c r="C1183" s="11"/>
      <c r="D1183" s="11"/>
      <c r="E1183" s="11"/>
      <c r="F1183" s="184"/>
      <c r="G1183" s="11"/>
      <c r="H1183" s="11"/>
      <c r="I1183" s="11"/>
      <c r="J1183" s="11"/>
      <c r="K1183" s="11"/>
      <c r="L1183" s="6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</row>
    <row r="1184" spans="1:51">
      <c r="A1184" s="11"/>
      <c r="B1184" s="149"/>
      <c r="C1184" s="11"/>
      <c r="D1184" s="11"/>
      <c r="E1184" s="11"/>
      <c r="F1184" s="184"/>
      <c r="G1184" s="11"/>
      <c r="H1184" s="11"/>
      <c r="I1184" s="11"/>
      <c r="J1184" s="11"/>
      <c r="K1184" s="11"/>
      <c r="L1184" s="6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</row>
    <row r="1185" spans="1:51">
      <c r="A1185" s="11"/>
      <c r="B1185" s="149"/>
      <c r="C1185" s="11"/>
      <c r="D1185" s="11"/>
      <c r="E1185" s="11"/>
      <c r="F1185" s="184"/>
      <c r="G1185" s="11"/>
      <c r="H1185" s="11"/>
      <c r="I1185" s="11"/>
      <c r="J1185" s="11"/>
      <c r="K1185" s="11"/>
      <c r="L1185" s="6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</row>
    <row r="1186" spans="1:51">
      <c r="A1186" s="11"/>
      <c r="B1186" s="149"/>
      <c r="C1186" s="11"/>
      <c r="D1186" s="11"/>
      <c r="E1186" s="11"/>
      <c r="F1186" s="184"/>
      <c r="G1186" s="11"/>
      <c r="H1186" s="11"/>
      <c r="I1186" s="11"/>
      <c r="J1186" s="11"/>
      <c r="K1186" s="11"/>
      <c r="L1186" s="6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</row>
    <row r="1187" spans="1:51">
      <c r="A1187" s="11"/>
      <c r="B1187" s="149"/>
      <c r="C1187" s="11"/>
      <c r="D1187" s="11"/>
      <c r="E1187" s="11"/>
      <c r="F1187" s="184"/>
      <c r="G1187" s="11"/>
      <c r="H1187" s="11"/>
      <c r="I1187" s="11"/>
      <c r="J1187" s="11"/>
      <c r="K1187" s="11"/>
      <c r="L1187" s="6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</row>
    <row r="1188" spans="1:51">
      <c r="A1188" s="11"/>
      <c r="B1188" s="149"/>
      <c r="C1188" s="11"/>
      <c r="D1188" s="11"/>
      <c r="E1188" s="11"/>
      <c r="F1188" s="184"/>
      <c r="G1188" s="11"/>
      <c r="H1188" s="11"/>
      <c r="I1188" s="11"/>
      <c r="J1188" s="11"/>
      <c r="K1188" s="11"/>
      <c r="L1188" s="6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</row>
    <row r="1189" spans="1:51">
      <c r="A1189" s="11"/>
      <c r="B1189" s="149"/>
      <c r="C1189" s="11"/>
      <c r="D1189" s="11"/>
      <c r="E1189" s="11"/>
      <c r="F1189" s="184"/>
      <c r="G1189" s="11"/>
      <c r="H1189" s="11"/>
      <c r="I1189" s="11"/>
      <c r="J1189" s="11"/>
      <c r="K1189" s="11"/>
      <c r="L1189" s="6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</row>
    <row r="1190" spans="1:51">
      <c r="A1190" s="11"/>
      <c r="B1190" s="149"/>
      <c r="C1190" s="11"/>
      <c r="D1190" s="11"/>
      <c r="E1190" s="11"/>
      <c r="F1190" s="184"/>
      <c r="G1190" s="11"/>
      <c r="H1190" s="11"/>
      <c r="I1190" s="11"/>
      <c r="J1190" s="11"/>
      <c r="K1190" s="11"/>
      <c r="L1190" s="6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</row>
    <row r="1191" spans="1:51">
      <c r="A1191" s="11"/>
      <c r="B1191" s="149"/>
      <c r="C1191" s="11"/>
      <c r="D1191" s="11"/>
      <c r="E1191" s="11"/>
      <c r="F1191" s="184"/>
      <c r="G1191" s="11"/>
      <c r="H1191" s="11"/>
      <c r="I1191" s="11"/>
      <c r="J1191" s="11"/>
      <c r="K1191" s="11"/>
      <c r="L1191" s="6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</row>
    <row r="1192" spans="1:51">
      <c r="A1192" s="11"/>
      <c r="B1192" s="149"/>
      <c r="C1192" s="11"/>
      <c r="D1192" s="11"/>
      <c r="E1192" s="11"/>
      <c r="F1192" s="184"/>
      <c r="G1192" s="11"/>
      <c r="H1192" s="11"/>
      <c r="I1192" s="11"/>
      <c r="J1192" s="11"/>
      <c r="K1192" s="11"/>
      <c r="L1192" s="6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</row>
    <row r="1193" spans="1:51">
      <c r="A1193" s="11"/>
      <c r="B1193" s="149"/>
      <c r="C1193" s="11"/>
      <c r="D1193" s="11"/>
      <c r="E1193" s="11"/>
      <c r="F1193" s="184"/>
      <c r="G1193" s="11"/>
      <c r="H1193" s="11"/>
      <c r="I1193" s="11"/>
      <c r="J1193" s="11"/>
      <c r="K1193" s="11"/>
      <c r="L1193" s="6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</row>
    <row r="1194" spans="1:51">
      <c r="A1194" s="11"/>
      <c r="B1194" s="149"/>
      <c r="C1194" s="11"/>
      <c r="D1194" s="11"/>
      <c r="E1194" s="11"/>
      <c r="F1194" s="184"/>
      <c r="G1194" s="11"/>
      <c r="H1194" s="11"/>
      <c r="I1194" s="11"/>
      <c r="J1194" s="11"/>
      <c r="K1194" s="11"/>
      <c r="L1194" s="6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</row>
    <row r="1195" spans="1:51">
      <c r="A1195" s="11"/>
      <c r="B1195" s="149"/>
      <c r="C1195" s="11"/>
      <c r="D1195" s="11"/>
      <c r="E1195" s="11"/>
      <c r="F1195" s="184"/>
      <c r="G1195" s="11"/>
      <c r="H1195" s="11"/>
      <c r="I1195" s="11"/>
      <c r="J1195" s="11"/>
      <c r="K1195" s="11"/>
      <c r="L1195" s="6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</row>
    <row r="1196" spans="1:51">
      <c r="A1196" s="11"/>
      <c r="B1196" s="149"/>
      <c r="C1196" s="11"/>
      <c r="D1196" s="11"/>
      <c r="E1196" s="11"/>
      <c r="F1196" s="184"/>
      <c r="G1196" s="11"/>
      <c r="H1196" s="11"/>
      <c r="I1196" s="11"/>
      <c r="J1196" s="11"/>
      <c r="K1196" s="11"/>
      <c r="L1196" s="6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</row>
    <row r="1197" spans="1:51">
      <c r="A1197" s="11"/>
      <c r="B1197" s="149"/>
      <c r="C1197" s="11"/>
      <c r="D1197" s="11"/>
      <c r="E1197" s="11"/>
      <c r="F1197" s="184"/>
      <c r="G1197" s="11"/>
      <c r="H1197" s="11"/>
      <c r="I1197" s="11"/>
      <c r="J1197" s="11"/>
      <c r="K1197" s="11"/>
      <c r="L1197" s="6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</row>
    <row r="1198" spans="1:51">
      <c r="A1198" s="11"/>
      <c r="B1198" s="149"/>
      <c r="C1198" s="11"/>
      <c r="D1198" s="11"/>
      <c r="E1198" s="11"/>
      <c r="F1198" s="184"/>
      <c r="G1198" s="11"/>
      <c r="H1198" s="11"/>
      <c r="I1198" s="11"/>
      <c r="J1198" s="11"/>
      <c r="K1198" s="11"/>
      <c r="L1198" s="6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</row>
    <row r="1199" spans="1:51">
      <c r="A1199" s="11"/>
      <c r="B1199" s="149"/>
      <c r="C1199" s="11"/>
      <c r="D1199" s="11"/>
      <c r="E1199" s="11"/>
      <c r="F1199" s="184"/>
      <c r="G1199" s="11"/>
      <c r="H1199" s="11"/>
      <c r="I1199" s="11"/>
      <c r="J1199" s="11"/>
      <c r="K1199" s="11"/>
      <c r="L1199" s="6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</row>
    <row r="1200" spans="1:51">
      <c r="A1200" s="11"/>
      <c r="B1200" s="149"/>
      <c r="C1200" s="11"/>
      <c r="D1200" s="11"/>
      <c r="E1200" s="11"/>
      <c r="F1200" s="184"/>
      <c r="G1200" s="11"/>
      <c r="H1200" s="11"/>
      <c r="I1200" s="11"/>
      <c r="J1200" s="11"/>
      <c r="K1200" s="11"/>
      <c r="L1200" s="6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</row>
    <row r="1201" spans="1:51">
      <c r="A1201" s="11"/>
      <c r="B1201" s="149"/>
      <c r="C1201" s="11"/>
      <c r="D1201" s="11"/>
      <c r="E1201" s="11"/>
      <c r="F1201" s="184"/>
      <c r="G1201" s="11"/>
      <c r="H1201" s="11"/>
      <c r="I1201" s="11"/>
      <c r="J1201" s="11"/>
      <c r="K1201" s="11"/>
      <c r="L1201" s="6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</row>
    <row r="1202" spans="1:51">
      <c r="A1202" s="11"/>
      <c r="B1202" s="149"/>
      <c r="C1202" s="11"/>
      <c r="D1202" s="11"/>
      <c r="E1202" s="11"/>
      <c r="F1202" s="184"/>
      <c r="G1202" s="11"/>
      <c r="H1202" s="11"/>
      <c r="I1202" s="11"/>
      <c r="J1202" s="11"/>
      <c r="K1202" s="11"/>
      <c r="L1202" s="6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</row>
    <row r="1203" spans="1:51">
      <c r="A1203" s="11"/>
      <c r="B1203" s="149"/>
      <c r="C1203" s="11"/>
      <c r="D1203" s="11"/>
      <c r="E1203" s="11"/>
      <c r="F1203" s="184"/>
      <c r="G1203" s="11"/>
      <c r="H1203" s="11"/>
      <c r="I1203" s="11"/>
      <c r="J1203" s="11"/>
      <c r="K1203" s="11"/>
      <c r="L1203" s="6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</row>
    <row r="1204" spans="1:51">
      <c r="A1204" s="11"/>
      <c r="B1204" s="149"/>
      <c r="C1204" s="11"/>
      <c r="D1204" s="11"/>
      <c r="E1204" s="11"/>
      <c r="F1204" s="184"/>
      <c r="G1204" s="11"/>
      <c r="H1204" s="11"/>
      <c r="I1204" s="11"/>
      <c r="J1204" s="11"/>
      <c r="K1204" s="11"/>
      <c r="L1204" s="6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</row>
    <row r="1205" spans="1:51">
      <c r="A1205" s="11"/>
      <c r="B1205" s="149"/>
      <c r="C1205" s="11"/>
      <c r="D1205" s="11"/>
      <c r="E1205" s="11"/>
      <c r="F1205" s="184"/>
      <c r="G1205" s="11"/>
      <c r="H1205" s="11"/>
      <c r="I1205" s="11"/>
      <c r="J1205" s="11"/>
      <c r="K1205" s="11"/>
      <c r="L1205" s="6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</row>
    <row r="1206" spans="1:51">
      <c r="A1206" s="11"/>
      <c r="B1206" s="149"/>
      <c r="C1206" s="11"/>
      <c r="D1206" s="11"/>
      <c r="E1206" s="11"/>
      <c r="F1206" s="184"/>
      <c r="G1206" s="11"/>
      <c r="H1206" s="11"/>
      <c r="I1206" s="11"/>
      <c r="J1206" s="11"/>
      <c r="K1206" s="11"/>
      <c r="L1206" s="6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</row>
    <row r="1207" spans="1:51">
      <c r="A1207" s="11"/>
      <c r="B1207" s="149"/>
      <c r="C1207" s="11"/>
      <c r="D1207" s="11"/>
      <c r="E1207" s="11"/>
      <c r="F1207" s="184"/>
      <c r="G1207" s="11"/>
      <c r="H1207" s="11"/>
      <c r="I1207" s="11"/>
      <c r="J1207" s="11"/>
      <c r="K1207" s="11"/>
      <c r="L1207" s="6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</row>
    <row r="1208" spans="1:51">
      <c r="A1208" s="11"/>
      <c r="B1208" s="149"/>
      <c r="C1208" s="11"/>
      <c r="D1208" s="11"/>
      <c r="E1208" s="11"/>
      <c r="F1208" s="184"/>
      <c r="G1208" s="11"/>
      <c r="H1208" s="11"/>
      <c r="I1208" s="11"/>
      <c r="J1208" s="11"/>
      <c r="K1208" s="11"/>
      <c r="L1208" s="6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</row>
    <row r="1209" spans="1:51">
      <c r="A1209" s="11"/>
      <c r="B1209" s="149"/>
      <c r="C1209" s="11"/>
      <c r="D1209" s="11"/>
      <c r="E1209" s="11"/>
      <c r="F1209" s="184"/>
      <c r="G1209" s="11"/>
      <c r="H1209" s="11"/>
      <c r="I1209" s="11"/>
      <c r="J1209" s="11"/>
      <c r="K1209" s="11"/>
      <c r="L1209" s="6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</row>
    <row r="1210" spans="1:51">
      <c r="A1210" s="11"/>
      <c r="B1210" s="149"/>
      <c r="C1210" s="11"/>
      <c r="D1210" s="11"/>
      <c r="E1210" s="11"/>
      <c r="F1210" s="184"/>
      <c r="G1210" s="11"/>
      <c r="H1210" s="11"/>
      <c r="I1210" s="11"/>
      <c r="J1210" s="11"/>
      <c r="K1210" s="11"/>
      <c r="L1210" s="6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</row>
    <row r="1211" spans="1:51">
      <c r="A1211" s="11"/>
      <c r="B1211" s="149"/>
      <c r="C1211" s="11"/>
      <c r="D1211" s="11"/>
      <c r="E1211" s="11"/>
      <c r="F1211" s="184"/>
      <c r="G1211" s="11"/>
      <c r="H1211" s="11"/>
      <c r="I1211" s="11"/>
      <c r="J1211" s="11"/>
      <c r="K1211" s="11"/>
      <c r="L1211" s="6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</row>
    <row r="1212" spans="1:51">
      <c r="A1212" s="11"/>
      <c r="B1212" s="149"/>
      <c r="C1212" s="11"/>
      <c r="D1212" s="11"/>
      <c r="E1212" s="11"/>
      <c r="F1212" s="184"/>
      <c r="G1212" s="11"/>
      <c r="H1212" s="11"/>
      <c r="I1212" s="11"/>
      <c r="J1212" s="11"/>
      <c r="K1212" s="11"/>
      <c r="L1212" s="6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</row>
    <row r="1213" spans="1:51">
      <c r="A1213" s="11"/>
      <c r="B1213" s="149"/>
      <c r="C1213" s="11"/>
      <c r="D1213" s="11"/>
      <c r="E1213" s="11"/>
      <c r="F1213" s="184"/>
      <c r="G1213" s="11"/>
      <c r="H1213" s="11"/>
      <c r="I1213" s="11"/>
      <c r="J1213" s="11"/>
      <c r="K1213" s="11"/>
      <c r="L1213" s="6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</row>
    <row r="1214" spans="1:51">
      <c r="A1214" s="11"/>
      <c r="B1214" s="149"/>
      <c r="C1214" s="11"/>
      <c r="D1214" s="11"/>
      <c r="E1214" s="11"/>
      <c r="F1214" s="184"/>
      <c r="G1214" s="11"/>
      <c r="H1214" s="11"/>
      <c r="I1214" s="11"/>
      <c r="J1214" s="11"/>
      <c r="K1214" s="11"/>
      <c r="L1214" s="6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</row>
    <row r="1215" spans="1:51">
      <c r="A1215" s="11"/>
      <c r="B1215" s="149"/>
      <c r="C1215" s="11"/>
      <c r="D1215" s="11"/>
      <c r="E1215" s="11"/>
      <c r="F1215" s="184"/>
      <c r="G1215" s="11"/>
      <c r="H1215" s="11"/>
      <c r="I1215" s="11"/>
      <c r="J1215" s="11"/>
      <c r="K1215" s="11"/>
      <c r="L1215" s="6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</row>
    <row r="1216" spans="1:51">
      <c r="A1216" s="11"/>
      <c r="B1216" s="149"/>
      <c r="C1216" s="11"/>
      <c r="D1216" s="11"/>
      <c r="E1216" s="11"/>
      <c r="F1216" s="184"/>
      <c r="G1216" s="11"/>
      <c r="H1216" s="11"/>
      <c r="I1216" s="11"/>
      <c r="J1216" s="11"/>
      <c r="K1216" s="11"/>
      <c r="L1216" s="6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</row>
    <row r="1217" spans="1:51">
      <c r="A1217" s="11"/>
      <c r="B1217" s="149"/>
      <c r="C1217" s="11"/>
      <c r="D1217" s="11"/>
      <c r="E1217" s="11"/>
      <c r="F1217" s="184"/>
      <c r="G1217" s="11"/>
      <c r="H1217" s="11"/>
      <c r="I1217" s="11"/>
      <c r="J1217" s="11"/>
      <c r="K1217" s="11"/>
      <c r="L1217" s="6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Distributor wise order booking </vt:lpstr>
      <vt:lpstr>25-26 ( Half yearly)</vt:lpstr>
      <vt:lpstr>Attendance</vt:lpstr>
      <vt:lpstr>25-26(Q1)</vt:lpstr>
      <vt:lpstr>25-26 (Q4)</vt:lpstr>
      <vt:lpstr>25-26 (Q3)</vt:lpstr>
      <vt:lpstr>Sample Sheet</vt:lpstr>
      <vt:lpstr>Jul Month</vt:lpstr>
      <vt:lpstr>Summary Jul</vt:lpstr>
      <vt:lpstr>kerala target 25-26</vt:lpstr>
      <vt:lpstr>25-26 (Q2)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created xsi:type="dcterms:W3CDTF">2026-09-15T12:12:57Z</dcterms:created>
  <dcterms:modified xsi:type="dcterms:W3CDTF">2026-09-15T12:12:57Z</dcterms:modified>
</cp:coreProperties>
</file>