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1-WHO\"/>
    </mc:Choice>
  </mc:AlternateContent>
  <xr:revisionPtr revIDLastSave="0" documentId="8_{0BC62E26-D156-4424-82ED-24C5554F76A7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66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ExternalFilePath" hidden="1">"C:\Users\minho3\Box\Poultry\USPoultry work\risk models\Chicken Parts Model\Chicken parts model 1-WHO\Chicken Parts Model 1-WHO 11.15 for result.RSK5"</definedName>
    <definedName name="RiskSimulationResultsStorageLocation" hidden="1">"3"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6" l="1"/>
  <c r="L8" i="266"/>
  <c r="A8" i="266"/>
  <c r="L7" i="266"/>
  <c r="A7" i="266"/>
  <c r="L6" i="266"/>
  <c r="A6" i="266"/>
  <c r="AL43" i="142" a="1"/>
  <c r="AL43" i="142" s="1"/>
  <c r="AL44" i="142" s="1"/>
  <c r="B43" i="142" a="1"/>
  <c r="B43" i="142" s="1"/>
  <c r="N43" i="142" s="1"/>
  <c r="N44" i="142" s="1"/>
  <c r="AL9" i="142" a="1"/>
  <c r="AL9" i="142" s="1"/>
  <c r="B9" i="142" a="1"/>
  <c r="B9" i="142" s="1"/>
  <c r="B23" i="142" s="1"/>
  <c r="AL19" i="142"/>
  <c r="AX19" i="142" s="1"/>
  <c r="B19" i="142"/>
  <c r="B20" i="142" s="1" a="1"/>
  <c r="B20" i="142" s="1"/>
  <c r="N19" i="142"/>
  <c r="Z19" i="142" s="1"/>
  <c r="Z20" i="142" s="1" a="1"/>
  <c r="Z20" i="142" s="1"/>
  <c r="Z31" i="142" s="1"/>
  <c r="BI99" i="142"/>
  <c r="BI89" i="142"/>
  <c r="BI85" i="142"/>
  <c r="BI81" i="142"/>
  <c r="BI84" i="142"/>
  <c r="BI77" i="142"/>
  <c r="BI80" i="142"/>
  <c r="BI73" i="142"/>
  <c r="BI66" i="142"/>
  <c r="BI65" i="142"/>
  <c r="BI64" i="142"/>
  <c r="BI63" i="142"/>
  <c r="BI62" i="142"/>
  <c r="AW99" i="142"/>
  <c r="AW89" i="142"/>
  <c r="AW103" i="142"/>
  <c r="AW85" i="142"/>
  <c r="AW81" i="142"/>
  <c r="AW77" i="142"/>
  <c r="AW78" i="142"/>
  <c r="AW95" i="142"/>
  <c r="AW73" i="142"/>
  <c r="AW66" i="142"/>
  <c r="AW65" i="142"/>
  <c r="AW64" i="142"/>
  <c r="AW63" i="142"/>
  <c r="AW62" i="142"/>
  <c r="AK99" i="142"/>
  <c r="AK89" i="142"/>
  <c r="AK91" i="142"/>
  <c r="AK85" i="142"/>
  <c r="AK81" i="142"/>
  <c r="AK83" i="142"/>
  <c r="AK77" i="142"/>
  <c r="AK79" i="142"/>
  <c r="AK73" i="142"/>
  <c r="AK74" i="142"/>
  <c r="AK66" i="142"/>
  <c r="AK65" i="142"/>
  <c r="AK64" i="142"/>
  <c r="AK63" i="142"/>
  <c r="AK62" i="142"/>
  <c r="Y99" i="142"/>
  <c r="Y89" i="142"/>
  <c r="Y90" i="142"/>
  <c r="Y98" i="142"/>
  <c r="Y91" i="142"/>
  <c r="Y85" i="142"/>
  <c r="Y88" i="142"/>
  <c r="Y81" i="142"/>
  <c r="Y77" i="142"/>
  <c r="Y78" i="142"/>
  <c r="Y95" i="142"/>
  <c r="Y73" i="142"/>
  <c r="Y66" i="142"/>
  <c r="Y65" i="142"/>
  <c r="Y64" i="142"/>
  <c r="Y63" i="142"/>
  <c r="Y62" i="142"/>
  <c r="M99" i="142"/>
  <c r="M89" i="142"/>
  <c r="M85" i="142"/>
  <c r="M88" i="142"/>
  <c r="M81" i="142"/>
  <c r="M83" i="142"/>
  <c r="M77" i="142"/>
  <c r="M100" i="142"/>
  <c r="M73" i="142"/>
  <c r="M74" i="142"/>
  <c r="M66" i="142"/>
  <c r="M65" i="142"/>
  <c r="M64" i="142"/>
  <c r="M63" i="142"/>
  <c r="M62" i="142"/>
  <c r="A77" i="142"/>
  <c r="A78" i="142"/>
  <c r="A95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85" i="142"/>
  <c r="A102" i="142"/>
  <c r="A87" i="142"/>
  <c r="A81" i="142"/>
  <c r="A83" i="142"/>
  <c r="A82" i="142"/>
  <c r="A96" i="142"/>
  <c r="B18" i="142"/>
  <c r="C18" i="142"/>
  <c r="C17" i="142"/>
  <c r="C16" i="142"/>
  <c r="C15" i="142"/>
  <c r="C14" i="142"/>
  <c r="C13" i="142"/>
  <c r="C12" i="142"/>
  <c r="B24" i="142"/>
  <c r="B2" i="167"/>
  <c r="A2" i="167"/>
  <c r="AW75" i="142"/>
  <c r="AK80" i="142"/>
  <c r="Y80" i="142"/>
  <c r="AW79" i="142"/>
  <c r="M76" i="142"/>
  <c r="AK75" i="142"/>
  <c r="AK76" i="142"/>
  <c r="M102" i="142"/>
  <c r="AW87" i="142"/>
  <c r="A84" i="142"/>
  <c r="A91" i="142"/>
  <c r="AK100" i="142"/>
  <c r="BI78" i="142"/>
  <c r="BI95" i="142"/>
  <c r="A88" i="142"/>
  <c r="A86" i="142"/>
  <c r="A97" i="142"/>
  <c r="AK101" i="142"/>
  <c r="AK102" i="142"/>
  <c r="AK86" i="142"/>
  <c r="AK97" i="142"/>
  <c r="AK88" i="142"/>
  <c r="AK87" i="142"/>
  <c r="Y75" i="142"/>
  <c r="Y74" i="142"/>
  <c r="Y76" i="142"/>
  <c r="Y83" i="142"/>
  <c r="BI91" i="142"/>
  <c r="AW101" i="142"/>
  <c r="AW84" i="142"/>
  <c r="AW82" i="142"/>
  <c r="AW96" i="142"/>
  <c r="AW83" i="142"/>
  <c r="BI79" i="142"/>
  <c r="AW88" i="142"/>
  <c r="BI100" i="142"/>
  <c r="Y102" i="142"/>
  <c r="BI102" i="142"/>
  <c r="Y86" i="142"/>
  <c r="Y97" i="142"/>
  <c r="A103" i="142"/>
  <c r="Y87" i="142"/>
  <c r="AK78" i="142"/>
  <c r="AK95" i="142"/>
  <c r="M75" i="142"/>
  <c r="A90" i="142"/>
  <c r="A98" i="142"/>
  <c r="A92" i="142"/>
  <c r="M78" i="142"/>
  <c r="M95" i="142"/>
  <c r="M84" i="142"/>
  <c r="M101" i="142"/>
  <c r="Y92" i="142"/>
  <c r="Y103" i="142"/>
  <c r="AK92" i="142"/>
  <c r="AK103" i="142"/>
  <c r="AK90" i="142"/>
  <c r="AK98" i="142"/>
  <c r="AW76" i="142"/>
  <c r="AW74" i="142"/>
  <c r="BI87" i="142"/>
  <c r="BI88" i="142"/>
  <c r="BI86" i="142"/>
  <c r="BI97" i="142"/>
  <c r="A75" i="142"/>
  <c r="A74" i="142"/>
  <c r="Y101" i="142"/>
  <c r="Y82" i="142"/>
  <c r="Y96" i="142"/>
  <c r="Y84" i="142"/>
  <c r="BI103" i="142"/>
  <c r="M82" i="142"/>
  <c r="M96" i="142"/>
  <c r="A101" i="142"/>
  <c r="BI90" i="142"/>
  <c r="BI98" i="142"/>
  <c r="BI92" i="142"/>
  <c r="AW91" i="142"/>
  <c r="AW92" i="142"/>
  <c r="AW90" i="142"/>
  <c r="AW98" i="142"/>
  <c r="M92" i="142"/>
  <c r="M103" i="142"/>
  <c r="M91" i="142"/>
  <c r="M90" i="142"/>
  <c r="M98" i="142"/>
  <c r="A79" i="142"/>
  <c r="A80" i="142"/>
  <c r="A100" i="142"/>
  <c r="AK82" i="142"/>
  <c r="AK96" i="142"/>
  <c r="AK84" i="142"/>
  <c r="BI74" i="142"/>
  <c r="BI76" i="142"/>
  <c r="BI75" i="142"/>
  <c r="M79" i="142"/>
  <c r="M80" i="142"/>
  <c r="Y100" i="142"/>
  <c r="Y79" i="142"/>
  <c r="AW80" i="142"/>
  <c r="AW100" i="142"/>
  <c r="M86" i="142"/>
  <c r="M97" i="142"/>
  <c r="M87" i="142"/>
  <c r="BI82" i="142"/>
  <c r="BI96" i="142"/>
  <c r="BI101" i="142"/>
  <c r="BI83" i="142"/>
  <c r="AW102" i="142"/>
  <c r="AW86" i="142"/>
  <c r="AW97" i="142"/>
  <c r="B25" i="142" a="1"/>
  <c r="Z35" i="142" l="1"/>
  <c r="B31" i="142"/>
  <c r="B35" i="142"/>
  <c r="AL23" i="142"/>
  <c r="AL46" i="142" s="1"/>
  <c r="AL58" i="142" s="1"/>
  <c r="AL61" i="142" s="1"/>
  <c r="AX9" i="142"/>
  <c r="B44" i="142"/>
  <c r="B46" i="142" s="1"/>
  <c r="B58" i="142" s="1"/>
  <c r="B61" i="142" s="1"/>
  <c r="AX43" i="142"/>
  <c r="AX44" i="142" s="1"/>
  <c r="N20" i="142" a="1"/>
  <c r="N20" i="142" s="1"/>
  <c r="N35" i="142" s="1"/>
  <c r="AL20" i="142" a="1"/>
  <c r="AL20" i="142" s="1"/>
  <c r="B25" i="142"/>
  <c r="BJ19" i="142"/>
  <c r="BJ20" i="142" s="1" a="1"/>
  <c r="BJ20" i="142" s="1"/>
  <c r="AX20" i="142" a="1"/>
  <c r="AX20" i="142" s="1"/>
  <c r="Z43" i="142"/>
  <c r="Z44" i="142" s="1"/>
  <c r="N9" i="142"/>
  <c r="AL25" i="142" a="1"/>
  <c r="B68" i="142" a="1"/>
  <c r="AL68" i="142" a="1"/>
  <c r="B26" i="142" a="1"/>
  <c r="BJ43" i="142" l="1"/>
  <c r="BJ44" i="142" s="1"/>
  <c r="B68" i="142"/>
  <c r="AL25" i="142"/>
  <c r="AL48" i="142" s="1"/>
  <c r="AL63" i="142" s="1"/>
  <c r="N31" i="142"/>
  <c r="BJ9" i="142"/>
  <c r="BJ23" i="142" s="1"/>
  <c r="AX23" i="142"/>
  <c r="AL35" i="142"/>
  <c r="AL36" i="142" s="1"/>
  <c r="AL31" i="142"/>
  <c r="B26" i="142"/>
  <c r="C100" i="142" s="1"/>
  <c r="C108" i="142" s="1"/>
  <c r="AL68" i="142"/>
  <c r="BJ31" i="142"/>
  <c r="BJ35" i="142"/>
  <c r="B36" i="142"/>
  <c r="B32" i="142"/>
  <c r="B48" i="142"/>
  <c r="B63" i="142" s="1"/>
  <c r="B38" i="142"/>
  <c r="B47" i="142"/>
  <c r="B62" i="142" s="1"/>
  <c r="Z9" i="142"/>
  <c r="Z23" i="142" s="1"/>
  <c r="N23" i="142"/>
  <c r="AX35" i="142"/>
  <c r="AX31" i="142"/>
  <c r="B70" i="142" a="1"/>
  <c r="B69" i="142" a="1"/>
  <c r="C68" i="142" a="1"/>
  <c r="B71" i="142" a="1"/>
  <c r="AL26" i="142" a="1"/>
  <c r="BJ25" i="142" a="1"/>
  <c r="AX25" i="142" a="1"/>
  <c r="B33" i="142" a="1"/>
  <c r="AM68" i="142" a="1"/>
  <c r="AL71" i="142" a="1"/>
  <c r="AL69" i="142" a="1"/>
  <c r="AL70" i="142" a="1"/>
  <c r="B77" i="142" a="1"/>
  <c r="AL37" i="142" a="1"/>
  <c r="B39" i="142" a="1"/>
  <c r="AL77" i="142" a="1"/>
  <c r="B73" i="142" a="1"/>
  <c r="Z25" i="142" a="1"/>
  <c r="B37" i="142" a="1"/>
  <c r="N25" i="142" a="1"/>
  <c r="AL47" i="142" l="1"/>
  <c r="AL62" i="142" s="1"/>
  <c r="AL32" i="142"/>
  <c r="AL50" i="142" s="1"/>
  <c r="AL64" i="142" s="1"/>
  <c r="AL38" i="142"/>
  <c r="AX25" i="142"/>
  <c r="AX38" i="142" s="1"/>
  <c r="AX54" i="142" s="1"/>
  <c r="AX66" i="142" s="1"/>
  <c r="BJ25" i="142"/>
  <c r="AL26" i="142"/>
  <c r="AM100" i="142" s="1"/>
  <c r="G108" i="142" s="1"/>
  <c r="I131" i="142" s="1"/>
  <c r="B71" i="142"/>
  <c r="C68" i="142"/>
  <c r="B69" i="142"/>
  <c r="B94" i="142" s="1"/>
  <c r="B70" i="142"/>
  <c r="AX46" i="142"/>
  <c r="AX58" i="142" s="1"/>
  <c r="AX61" i="142" s="1"/>
  <c r="BJ46" i="142"/>
  <c r="BJ58" i="142" s="1"/>
  <c r="BJ61" i="142" s="1"/>
  <c r="N25" i="142"/>
  <c r="B37" i="142"/>
  <c r="C102" i="142" s="1"/>
  <c r="C117" i="142" s="1"/>
  <c r="Z25" i="142"/>
  <c r="B73" i="142"/>
  <c r="AL77" i="142"/>
  <c r="B39" i="142"/>
  <c r="C103" i="142" s="1"/>
  <c r="C120" i="142" s="1"/>
  <c r="AL37" i="142"/>
  <c r="AM102" i="142" s="1"/>
  <c r="G117" i="142" s="1"/>
  <c r="B77" i="142"/>
  <c r="AL70" i="142"/>
  <c r="AL69" i="142"/>
  <c r="AL71" i="142"/>
  <c r="AM68" i="142"/>
  <c r="B33" i="142"/>
  <c r="C101" i="142" s="1"/>
  <c r="C114" i="142" s="1"/>
  <c r="N46" i="142"/>
  <c r="N58" i="142" s="1"/>
  <c r="N61" i="142" s="1"/>
  <c r="B52" i="142"/>
  <c r="B65" i="142" s="1"/>
  <c r="Z46" i="142"/>
  <c r="Z58" i="142" s="1"/>
  <c r="Z61" i="142" s="1"/>
  <c r="B54" i="142"/>
  <c r="B66" i="142" s="1"/>
  <c r="D131" i="142"/>
  <c r="C111" i="142"/>
  <c r="C131" i="142"/>
  <c r="AL52" i="142"/>
  <c r="AL65" i="142" s="1"/>
  <c r="J131" i="142"/>
  <c r="B50" i="142"/>
  <c r="B64" i="142" s="1"/>
  <c r="AL54" i="142"/>
  <c r="AL66" i="142" s="1"/>
  <c r="AL73" i="142" a="1"/>
  <c r="AL33" i="142" a="1"/>
  <c r="AL39" i="142" a="1"/>
  <c r="C71" i="142" a="1"/>
  <c r="AX68" i="142" a="1"/>
  <c r="AX26" i="142" a="1"/>
  <c r="BJ68" i="142" a="1"/>
  <c r="C69" i="142" a="1"/>
  <c r="C70" i="142" a="1"/>
  <c r="AX39" i="142" a="1"/>
  <c r="BJ26" i="142" a="1"/>
  <c r="AL79" i="142" a="1"/>
  <c r="AM77" i="142" a="1"/>
  <c r="AL78" i="142" a="1"/>
  <c r="AL80" i="142" a="1"/>
  <c r="AM71" i="142" a="1"/>
  <c r="B89" i="142" a="1"/>
  <c r="B81" i="142" a="1"/>
  <c r="Z26" i="142" a="1"/>
  <c r="N68" i="142" a="1"/>
  <c r="AX89" i="142" a="1"/>
  <c r="B85" i="142" a="1"/>
  <c r="AM69" i="142" a="1"/>
  <c r="AL85" i="142" a="1"/>
  <c r="C77" i="142" a="1"/>
  <c r="B78" i="142" a="1"/>
  <c r="B80" i="142" a="1"/>
  <c r="B79" i="142" a="1"/>
  <c r="AL81" i="142" a="1"/>
  <c r="AL89" i="142" a="1"/>
  <c r="N26" i="142" a="1"/>
  <c r="B75" i="142" a="1"/>
  <c r="C73" i="142" a="1"/>
  <c r="B74" i="142" a="1"/>
  <c r="B76" i="142" a="1"/>
  <c r="AM70" i="142" a="1"/>
  <c r="Z68" i="142" a="1"/>
  <c r="AL39" i="142" l="1"/>
  <c r="AM103" i="142" s="1"/>
  <c r="G120" i="142" s="1"/>
  <c r="AL33" i="142"/>
  <c r="AM101" i="142" s="1"/>
  <c r="G114" i="142" s="1"/>
  <c r="J137" i="142" s="1"/>
  <c r="AL73" i="142"/>
  <c r="AX32" i="142"/>
  <c r="BJ26" i="142"/>
  <c r="BK100" i="142" s="1"/>
  <c r="G110" i="142" s="1"/>
  <c r="AX39" i="142"/>
  <c r="AY103" i="142" s="1"/>
  <c r="G121" i="142" s="1"/>
  <c r="J144" i="142" s="1"/>
  <c r="C70" i="142"/>
  <c r="C69" i="142"/>
  <c r="BJ68" i="142"/>
  <c r="AX26" i="142"/>
  <c r="AY100" i="142" s="1"/>
  <c r="G109" i="142" s="1"/>
  <c r="AX68" i="142"/>
  <c r="C71" i="142"/>
  <c r="BJ48" i="142"/>
  <c r="BJ63" i="142" s="1"/>
  <c r="BJ47" i="142"/>
  <c r="BJ62" i="142" s="1"/>
  <c r="BJ32" i="142"/>
  <c r="BJ38" i="142"/>
  <c r="BJ54" i="142" s="1"/>
  <c r="BJ66" i="142" s="1"/>
  <c r="BJ36" i="142"/>
  <c r="G111" i="142"/>
  <c r="J134" i="142" s="1"/>
  <c r="AX36" i="142"/>
  <c r="AX48" i="142"/>
  <c r="AX63" i="142" s="1"/>
  <c r="AX47" i="142"/>
  <c r="AX62" i="142" s="1"/>
  <c r="Z68" i="142"/>
  <c r="AM70" i="142"/>
  <c r="B76" i="142"/>
  <c r="B74" i="142"/>
  <c r="C73" i="142"/>
  <c r="B75" i="142"/>
  <c r="N26" i="142"/>
  <c r="O100" i="142" s="1"/>
  <c r="C109" i="142" s="1"/>
  <c r="AL89" i="142"/>
  <c r="AL81" i="142"/>
  <c r="B79" i="142"/>
  <c r="B80" i="142"/>
  <c r="B78" i="142"/>
  <c r="C77" i="142"/>
  <c r="AL85" i="142"/>
  <c r="AM69" i="142"/>
  <c r="B85" i="142"/>
  <c r="AX89" i="142"/>
  <c r="N68" i="142"/>
  <c r="Z26" i="142"/>
  <c r="AA100" i="142" s="1"/>
  <c r="C110" i="142" s="1"/>
  <c r="B81" i="142"/>
  <c r="B89" i="142"/>
  <c r="AM71" i="142"/>
  <c r="AL80" i="142"/>
  <c r="AL78" i="142"/>
  <c r="AM77" i="142"/>
  <c r="AL79" i="142"/>
  <c r="C137" i="142"/>
  <c r="D137" i="142"/>
  <c r="N32" i="142"/>
  <c r="N48" i="142"/>
  <c r="N63" i="142" s="1"/>
  <c r="N36" i="142"/>
  <c r="N38" i="142"/>
  <c r="N47" i="142"/>
  <c r="N62" i="142" s="1"/>
  <c r="D134" i="142"/>
  <c r="C134" i="142"/>
  <c r="C140" i="142"/>
  <c r="D140" i="142"/>
  <c r="I134" i="142"/>
  <c r="I137" i="142"/>
  <c r="C126" i="142"/>
  <c r="C127" i="142" s="1"/>
  <c r="AL94" i="142"/>
  <c r="AL99" i="142" s="1"/>
  <c r="B126" i="142"/>
  <c r="B127" i="142" s="1"/>
  <c r="B99" i="142"/>
  <c r="I140" i="142"/>
  <c r="J140" i="142"/>
  <c r="D143" i="142"/>
  <c r="C143" i="142"/>
  <c r="Z36" i="142"/>
  <c r="Z38" i="142"/>
  <c r="Z47" i="142"/>
  <c r="Z62" i="142" s="1"/>
  <c r="Z32" i="142"/>
  <c r="Z48" i="142"/>
  <c r="Z63" i="142" s="1"/>
  <c r="J143" i="142"/>
  <c r="I143" i="142"/>
  <c r="AL74" i="142" a="1"/>
  <c r="AM73" i="142" a="1"/>
  <c r="AL75" i="142" a="1"/>
  <c r="AL76" i="142" a="1"/>
  <c r="AX33" i="142" a="1"/>
  <c r="BJ39" i="142" a="1"/>
  <c r="AX71" i="142" a="1"/>
  <c r="AX69" i="142" a="1"/>
  <c r="AY68" i="142" a="1"/>
  <c r="AX70" i="142" a="1"/>
  <c r="BJ37" i="142" a="1"/>
  <c r="BJ77" i="142" a="1"/>
  <c r="AX37" i="142" a="1"/>
  <c r="BJ70" i="142" a="1"/>
  <c r="BK68" i="142" a="1"/>
  <c r="BJ71" i="142" a="1"/>
  <c r="BJ69" i="142" a="1"/>
  <c r="BJ73" i="142" a="1"/>
  <c r="AX77" i="142" a="1"/>
  <c r="BJ33" i="142" a="1"/>
  <c r="AX73" i="142" a="1"/>
  <c r="C75" i="142" a="1"/>
  <c r="C80" i="142" a="1"/>
  <c r="AY89" i="142" a="1"/>
  <c r="AX90" i="142" a="1"/>
  <c r="AX91" i="142" a="1"/>
  <c r="AX92" i="142" a="1"/>
  <c r="O68" i="142" a="1"/>
  <c r="N69" i="142" a="1"/>
  <c r="N70" i="142" a="1"/>
  <c r="N71" i="142" a="1"/>
  <c r="B84" i="142" a="1"/>
  <c r="B83" i="142" a="1"/>
  <c r="C81" i="142" a="1"/>
  <c r="B82" i="142" a="1"/>
  <c r="AM78" i="142" a="1"/>
  <c r="N33" i="142" a="1"/>
  <c r="BJ89" i="142" a="1"/>
  <c r="Z39" i="142" a="1"/>
  <c r="Z73" i="142" a="1"/>
  <c r="Z33" i="142" a="1"/>
  <c r="Z71" i="142" a="1"/>
  <c r="Z70" i="142" a="1"/>
  <c r="Z69" i="142" a="1"/>
  <c r="AA68" i="142" a="1"/>
  <c r="C78" i="142" a="1"/>
  <c r="C89" i="142" a="1"/>
  <c r="B90" i="142" a="1"/>
  <c r="B91" i="142" a="1"/>
  <c r="B92" i="142" a="1"/>
  <c r="N77" i="142" a="1"/>
  <c r="AM89" i="142" a="1"/>
  <c r="AL90" i="142" a="1"/>
  <c r="AL91" i="142" a="1"/>
  <c r="AL92" i="142" a="1"/>
  <c r="AM85" i="142" a="1"/>
  <c r="AL86" i="142" a="1"/>
  <c r="AL87" i="142" a="1"/>
  <c r="AL88" i="142" a="1"/>
  <c r="AM79" i="142" a="1"/>
  <c r="N37" i="142" a="1"/>
  <c r="Z37" i="142" a="1"/>
  <c r="C76" i="142" a="1"/>
  <c r="N39" i="142" a="1"/>
  <c r="Z77" i="142" a="1"/>
  <c r="C79" i="142" a="1"/>
  <c r="C74" i="142" a="1"/>
  <c r="N73" i="142" a="1"/>
  <c r="AM81" i="142" a="1"/>
  <c r="AL82" i="142" a="1"/>
  <c r="AL84" i="142" a="1"/>
  <c r="AL83" i="142" a="1"/>
  <c r="C85" i="142" a="1"/>
  <c r="B86" i="142" a="1"/>
  <c r="B87" i="142" a="1"/>
  <c r="B88" i="142" a="1"/>
  <c r="AM80" i="142" a="1"/>
  <c r="I144" i="142" l="1"/>
  <c r="AL76" i="142"/>
  <c r="AL75" i="142"/>
  <c r="AM73" i="142"/>
  <c r="AL74" i="142"/>
  <c r="AX33" i="142"/>
  <c r="AY101" i="142" s="1"/>
  <c r="G115" i="142" s="1"/>
  <c r="I138" i="142" s="1"/>
  <c r="AX50" i="142"/>
  <c r="AX64" i="142" s="1"/>
  <c r="AX73" i="142"/>
  <c r="BJ33" i="142"/>
  <c r="BK101" i="142" s="1"/>
  <c r="G116" i="142" s="1"/>
  <c r="AX77" i="142"/>
  <c r="BJ73" i="142"/>
  <c r="BJ69" i="142"/>
  <c r="BJ71" i="142"/>
  <c r="BK68" i="142"/>
  <c r="BJ70" i="142"/>
  <c r="AX37" i="142"/>
  <c r="AY102" i="142" s="1"/>
  <c r="G118" i="142" s="1"/>
  <c r="BJ77" i="142"/>
  <c r="BJ37" i="142"/>
  <c r="BK102" i="142" s="1"/>
  <c r="G119" i="142" s="1"/>
  <c r="AX70" i="142"/>
  <c r="AY68" i="142"/>
  <c r="AX69" i="142"/>
  <c r="AX71" i="142"/>
  <c r="BJ39" i="142"/>
  <c r="BK103" i="142" s="1"/>
  <c r="G122" i="142" s="1"/>
  <c r="BJ50" i="142"/>
  <c r="BJ64" i="142" s="1"/>
  <c r="AX52" i="142"/>
  <c r="AX65" i="142" s="1"/>
  <c r="BJ52" i="142"/>
  <c r="BJ65" i="142" s="1"/>
  <c r="I132" i="142"/>
  <c r="J132" i="142"/>
  <c r="G112" i="142"/>
  <c r="J133" i="142"/>
  <c r="G113" i="142"/>
  <c r="I133" i="142"/>
  <c r="AM80" i="142"/>
  <c r="B88" i="142"/>
  <c r="B87" i="142"/>
  <c r="B86" i="142"/>
  <c r="C85" i="142"/>
  <c r="AL83" i="142"/>
  <c r="AL84" i="142"/>
  <c r="AL82" i="142"/>
  <c r="AM81" i="142"/>
  <c r="N73" i="142"/>
  <c r="C74" i="142"/>
  <c r="C79" i="142"/>
  <c r="Z77" i="142"/>
  <c r="N39" i="142"/>
  <c r="O103" i="142" s="1"/>
  <c r="C121" i="142" s="1"/>
  <c r="C76" i="142"/>
  <c r="Z37" i="142"/>
  <c r="AA102" i="142" s="1"/>
  <c r="C119" i="142" s="1"/>
  <c r="N37" i="142"/>
  <c r="O102" i="142" s="1"/>
  <c r="C118" i="142" s="1"/>
  <c r="AM79" i="142"/>
  <c r="AL88" i="142"/>
  <c r="AL87" i="142"/>
  <c r="AL86" i="142"/>
  <c r="AM85" i="142"/>
  <c r="AL92" i="142"/>
  <c r="AL91" i="142"/>
  <c r="AL90" i="142"/>
  <c r="AM89" i="142"/>
  <c r="N77" i="142"/>
  <c r="B92" i="142"/>
  <c r="B91" i="142"/>
  <c r="B90" i="142"/>
  <c r="C89" i="142"/>
  <c r="C78" i="142"/>
  <c r="AA68" i="142"/>
  <c r="Z69" i="142"/>
  <c r="Z70" i="142"/>
  <c r="Z71" i="142"/>
  <c r="Z33" i="142"/>
  <c r="AA101" i="142" s="1"/>
  <c r="C116" i="142" s="1"/>
  <c r="Z73" i="142"/>
  <c r="Z39" i="142"/>
  <c r="AA103" i="142" s="1"/>
  <c r="C122" i="142" s="1"/>
  <c r="BJ89" i="142"/>
  <c r="N33" i="142"/>
  <c r="O101" i="142" s="1"/>
  <c r="C115" i="142" s="1"/>
  <c r="AM78" i="142"/>
  <c r="B82" i="142"/>
  <c r="C81" i="142"/>
  <c r="B83" i="142"/>
  <c r="B84" i="142"/>
  <c r="N71" i="142"/>
  <c r="N70" i="142"/>
  <c r="N69" i="142"/>
  <c r="O68" i="142"/>
  <c r="AX92" i="142"/>
  <c r="AX91" i="142"/>
  <c r="AX90" i="142"/>
  <c r="AY89" i="142"/>
  <c r="C80" i="142"/>
  <c r="C75" i="142"/>
  <c r="E134" i="142"/>
  <c r="F134" i="142" s="1"/>
  <c r="D111" i="142"/>
  <c r="E103" i="142" s="1"/>
  <c r="N54" i="142"/>
  <c r="N66" i="142" s="1"/>
  <c r="I145" i="142"/>
  <c r="J145" i="142"/>
  <c r="Z52" i="142"/>
  <c r="Z65" i="142" s="1"/>
  <c r="N52" i="142"/>
  <c r="N65" i="142" s="1"/>
  <c r="H111" i="142"/>
  <c r="K134" i="142"/>
  <c r="L134" i="142" s="1"/>
  <c r="B95" i="142"/>
  <c r="C112" i="142"/>
  <c r="D132" i="142"/>
  <c r="C132" i="142"/>
  <c r="C133" i="142"/>
  <c r="D133" i="142"/>
  <c r="C113" i="142"/>
  <c r="Z50" i="142"/>
  <c r="Z64" i="142" s="1"/>
  <c r="Z54" i="142"/>
  <c r="Z66" i="142" s="1"/>
  <c r="N50" i="142"/>
  <c r="N64" i="142" s="1"/>
  <c r="AL95" i="142"/>
  <c r="AM76" i="142" a="1"/>
  <c r="AM75" i="142" a="1"/>
  <c r="AM74" i="142" a="1"/>
  <c r="AX81" i="142" a="1"/>
  <c r="AX75" i="142" a="1"/>
  <c r="AX76" i="142" a="1"/>
  <c r="AY73" i="142" a="1"/>
  <c r="AX74" i="142" a="1"/>
  <c r="BJ85" i="142" a="1"/>
  <c r="BK70" i="142" a="1"/>
  <c r="AY69" i="142" a="1"/>
  <c r="AX78" i="142" a="1"/>
  <c r="AX79" i="142" a="1"/>
  <c r="AY77" i="142" a="1"/>
  <c r="AX80" i="142" a="1"/>
  <c r="AY71" i="142" a="1"/>
  <c r="BK73" i="142" a="1"/>
  <c r="BJ74" i="142" a="1"/>
  <c r="BJ75" i="142" a="1"/>
  <c r="BJ76" i="142" a="1"/>
  <c r="BJ80" i="142" a="1"/>
  <c r="BK77" i="142" a="1"/>
  <c r="BJ78" i="142" a="1"/>
  <c r="BJ79" i="142" a="1"/>
  <c r="BK69" i="142" a="1"/>
  <c r="BJ81" i="142" a="1"/>
  <c r="BK71" i="142" a="1"/>
  <c r="AY70" i="142" a="1"/>
  <c r="AX85" i="142" a="1"/>
  <c r="AM83" i="142" a="1"/>
  <c r="AM86" i="142" a="1"/>
  <c r="AA69" i="142" a="1"/>
  <c r="BJ90" i="142" a="1"/>
  <c r="BJ91" i="142" a="1"/>
  <c r="BJ92" i="142" a="1"/>
  <c r="BK89" i="142" a="1"/>
  <c r="C84" i="142" a="1"/>
  <c r="AY91" i="142" a="1"/>
  <c r="N85" i="142" a="1"/>
  <c r="C87" i="142" a="1"/>
  <c r="C86" i="142" a="1"/>
  <c r="AM91" i="142" a="1"/>
  <c r="Z78" i="142" a="1"/>
  <c r="AA77" i="142" a="1"/>
  <c r="Z80" i="142" a="1"/>
  <c r="Z79" i="142" a="1"/>
  <c r="AM88" i="142" a="1"/>
  <c r="C91" i="142" a="1"/>
  <c r="Z75" i="142" a="1"/>
  <c r="Z74" i="142" a="1"/>
  <c r="AA73" i="142" a="1"/>
  <c r="Z76" i="142" a="1"/>
  <c r="AM87" i="142" a="1"/>
  <c r="C90" i="142" a="1"/>
  <c r="C83" i="142" a="1"/>
  <c r="AY92" i="142" a="1"/>
  <c r="Z85" i="142" a="1"/>
  <c r="C88" i="142" a="1"/>
  <c r="AM84" i="142" a="1"/>
  <c r="AA70" i="142" a="1"/>
  <c r="O71" i="142" a="1"/>
  <c r="AY90" i="142" a="1"/>
  <c r="N89" i="142" a="1"/>
  <c r="Z81" i="142" a="1"/>
  <c r="AM82" i="142" a="1"/>
  <c r="AM92" i="142" a="1"/>
  <c r="N79" i="142" a="1"/>
  <c r="N78" i="142" a="1"/>
  <c r="O77" i="142" a="1"/>
  <c r="N80" i="142" a="1"/>
  <c r="AA71" i="142" a="1"/>
  <c r="O70" i="142" a="1"/>
  <c r="C92" i="142" a="1"/>
  <c r="C82" i="142" a="1"/>
  <c r="O69" i="142" a="1"/>
  <c r="N76" i="142" a="1"/>
  <c r="O73" i="142" a="1"/>
  <c r="N75" i="142" a="1"/>
  <c r="N74" i="142" a="1"/>
  <c r="AM90" i="142" a="1"/>
  <c r="Z89" i="142" a="1"/>
  <c r="N81" i="142" a="1"/>
  <c r="AM74" i="142" l="1"/>
  <c r="AM75" i="142"/>
  <c r="AM76" i="142"/>
  <c r="J138" i="142"/>
  <c r="AX81" i="142"/>
  <c r="M134" i="142"/>
  <c r="AX85" i="142"/>
  <c r="AY70" i="142"/>
  <c r="BK71" i="142"/>
  <c r="BJ81" i="142"/>
  <c r="BK69" i="142"/>
  <c r="BJ79" i="142"/>
  <c r="BJ78" i="142"/>
  <c r="BK77" i="142"/>
  <c r="BJ80" i="142"/>
  <c r="BJ76" i="142"/>
  <c r="BJ75" i="142"/>
  <c r="BJ74" i="142"/>
  <c r="BK73" i="142"/>
  <c r="AY71" i="142"/>
  <c r="AX80" i="142"/>
  <c r="AY77" i="142"/>
  <c r="AX79" i="142"/>
  <c r="AX78" i="142"/>
  <c r="AY69" i="142"/>
  <c r="BK70" i="142"/>
  <c r="BJ85" i="142"/>
  <c r="AX74" i="142"/>
  <c r="AY73" i="142"/>
  <c r="AX76" i="142"/>
  <c r="AX75" i="142"/>
  <c r="J136" i="142"/>
  <c r="I136" i="142"/>
  <c r="I142" i="142"/>
  <c r="J142" i="142"/>
  <c r="BJ94" i="142"/>
  <c r="BJ99" i="142" s="1"/>
  <c r="I135" i="142"/>
  <c r="J135" i="142"/>
  <c r="J141" i="142"/>
  <c r="I141" i="142"/>
  <c r="AX94" i="142"/>
  <c r="AX99" i="142" s="1"/>
  <c r="J139" i="142"/>
  <c r="I139" i="142"/>
  <c r="N81" i="142"/>
  <c r="Z89" i="142"/>
  <c r="AM90" i="142"/>
  <c r="N74" i="142"/>
  <c r="N75" i="142"/>
  <c r="O73" i="142"/>
  <c r="N76" i="142"/>
  <c r="O69" i="142"/>
  <c r="C82" i="142"/>
  <c r="C92" i="142"/>
  <c r="O70" i="142"/>
  <c r="AA71" i="142"/>
  <c r="N80" i="142"/>
  <c r="O77" i="142"/>
  <c r="N78" i="142"/>
  <c r="N79" i="142"/>
  <c r="AM92" i="142"/>
  <c r="AM82" i="142"/>
  <c r="Z81" i="142"/>
  <c r="N89" i="142"/>
  <c r="AY90" i="142"/>
  <c r="O71" i="142"/>
  <c r="AA70" i="142"/>
  <c r="AM84" i="142"/>
  <c r="C88" i="142"/>
  <c r="Z85" i="142"/>
  <c r="AY92" i="142"/>
  <c r="C83" i="142"/>
  <c r="C90" i="142"/>
  <c r="AM87" i="142"/>
  <c r="Z76" i="142"/>
  <c r="AA73" i="142"/>
  <c r="Z74" i="142"/>
  <c r="Z75" i="142"/>
  <c r="C91" i="142"/>
  <c r="AM88" i="142"/>
  <c r="Z79" i="142"/>
  <c r="Z80" i="142"/>
  <c r="AA77" i="142"/>
  <c r="Z78" i="142"/>
  <c r="AM91" i="142"/>
  <c r="C86" i="142"/>
  <c r="C87" i="142"/>
  <c r="N85" i="142"/>
  <c r="AY91" i="142"/>
  <c r="C84" i="142"/>
  <c r="BK89" i="142"/>
  <c r="BJ92" i="142"/>
  <c r="BJ91" i="142"/>
  <c r="BJ90" i="142"/>
  <c r="AA69" i="142"/>
  <c r="AM86" i="142"/>
  <c r="AM83" i="142"/>
  <c r="C135" i="142"/>
  <c r="D135" i="142"/>
  <c r="D145" i="142"/>
  <c r="C145" i="142"/>
  <c r="C144" i="142"/>
  <c r="D144" i="142"/>
  <c r="B100" i="142"/>
  <c r="D108" i="142" s="1"/>
  <c r="E131" i="142"/>
  <c r="F131" i="142" s="1"/>
  <c r="AL98" i="142"/>
  <c r="N94" i="142"/>
  <c r="N99" i="142" s="1"/>
  <c r="B96" i="142"/>
  <c r="AL96" i="142"/>
  <c r="AX98" i="142"/>
  <c r="C138" i="142"/>
  <c r="D138" i="142"/>
  <c r="D142" i="142"/>
  <c r="C142" i="142"/>
  <c r="B98" i="142"/>
  <c r="C136" i="142"/>
  <c r="D136" i="142"/>
  <c r="C139" i="142"/>
  <c r="D139" i="142"/>
  <c r="B97" i="142"/>
  <c r="C141" i="142"/>
  <c r="D141" i="142"/>
  <c r="AL100" i="142"/>
  <c r="H108" i="142" s="1"/>
  <c r="K131" i="142"/>
  <c r="Z94" i="142"/>
  <c r="Z99" i="142" s="1"/>
  <c r="AL97" i="142"/>
  <c r="AX88" i="142" a="1"/>
  <c r="AX87" i="142" a="1"/>
  <c r="AX86" i="142" a="1"/>
  <c r="AY85" i="142" a="1"/>
  <c r="BK78" i="142" a="1"/>
  <c r="AY75" i="142" a="1"/>
  <c r="BK74" i="142" a="1"/>
  <c r="BK80" i="142" a="1"/>
  <c r="AY80" i="142" a="1"/>
  <c r="BK85" i="142" a="1"/>
  <c r="BJ86" i="142" a="1"/>
  <c r="BJ88" i="142" a="1"/>
  <c r="BJ87" i="142" a="1"/>
  <c r="AY78" i="142" a="1"/>
  <c r="BJ83" i="142" a="1"/>
  <c r="BJ84" i="142" a="1"/>
  <c r="BK81" i="142" a="1"/>
  <c r="BJ82" i="142" a="1"/>
  <c r="BK76" i="142" a="1"/>
  <c r="AY74" i="142" a="1"/>
  <c r="BK75" i="142" a="1"/>
  <c r="AY79" i="142" a="1"/>
  <c r="BK79" i="142" a="1"/>
  <c r="AY76" i="142" a="1"/>
  <c r="Z92" i="142" a="1"/>
  <c r="Z90" i="142" a="1"/>
  <c r="Z91" i="142" a="1"/>
  <c r="AA89" i="142" a="1"/>
  <c r="O80" i="142" a="1"/>
  <c r="AA80" i="142" a="1"/>
  <c r="N82" i="142" a="1"/>
  <c r="O81" i="142" a="1"/>
  <c r="N84" i="142" a="1"/>
  <c r="N83" i="142" a="1"/>
  <c r="O85" i="142" a="1"/>
  <c r="N86" i="142" a="1"/>
  <c r="N87" i="142" a="1"/>
  <c r="N88" i="142" a="1"/>
  <c r="BK90" i="142" a="1"/>
  <c r="Z84" i="142" a="1"/>
  <c r="Z83" i="142" a="1"/>
  <c r="Z82" i="142" a="1"/>
  <c r="AA81" i="142" a="1"/>
  <c r="AA76" i="142" a="1"/>
  <c r="O76" i="142" a="1"/>
  <c r="Z86" i="142" a="1"/>
  <c r="AA85" i="142" a="1"/>
  <c r="Z87" i="142" a="1"/>
  <c r="Z88" i="142" a="1"/>
  <c r="AA78" i="142" a="1"/>
  <c r="O74" i="142" a="1"/>
  <c r="O78" i="142" a="1"/>
  <c r="O89" i="142" a="1"/>
  <c r="N90" i="142" a="1"/>
  <c r="N91" i="142" a="1"/>
  <c r="N92" i="142" a="1"/>
  <c r="AA79" i="142" a="1"/>
  <c r="O75" i="142" a="1"/>
  <c r="O79" i="142" a="1"/>
  <c r="AA74" i="142" a="1"/>
  <c r="BK92" i="142" a="1"/>
  <c r="AA75" i="142" a="1"/>
  <c r="BK91" i="142" a="1"/>
  <c r="AX84" i="142" a="1"/>
  <c r="AY81" i="142" a="1"/>
  <c r="AX82" i="142" a="1"/>
  <c r="AX83" i="142" a="1"/>
  <c r="AX83" i="142" l="1"/>
  <c r="AX82" i="142"/>
  <c r="AY81" i="142"/>
  <c r="AX84" i="142"/>
  <c r="AY76" i="142"/>
  <c r="BK79" i="142"/>
  <c r="AY79" i="142"/>
  <c r="BK75" i="142"/>
  <c r="AY74" i="142"/>
  <c r="BK76" i="142"/>
  <c r="BJ82" i="142"/>
  <c r="BK81" i="142"/>
  <c r="BJ84" i="142"/>
  <c r="BJ83" i="142"/>
  <c r="AY78" i="142"/>
  <c r="BJ87" i="142"/>
  <c r="BJ88" i="142"/>
  <c r="BJ86" i="142"/>
  <c r="BK85" i="142"/>
  <c r="AY80" i="142"/>
  <c r="BK80" i="142"/>
  <c r="BK74" i="142"/>
  <c r="AY75" i="142"/>
  <c r="BK78" i="142"/>
  <c r="AY85" i="142"/>
  <c r="AX86" i="142"/>
  <c r="AX87" i="142"/>
  <c r="AX88" i="142"/>
  <c r="H112" i="142"/>
  <c r="K135" i="142"/>
  <c r="L135" i="142" s="1"/>
  <c r="AX95" i="142"/>
  <c r="K136" i="142"/>
  <c r="H113" i="142"/>
  <c r="BJ95" i="142"/>
  <c r="BK91" i="142"/>
  <c r="AA75" i="142"/>
  <c r="BK92" i="142"/>
  <c r="AA74" i="142"/>
  <c r="O79" i="142"/>
  <c r="O75" i="142"/>
  <c r="AA79" i="142"/>
  <c r="N92" i="142"/>
  <c r="N91" i="142"/>
  <c r="N90" i="142"/>
  <c r="O89" i="142"/>
  <c r="O78" i="142"/>
  <c r="O74" i="142"/>
  <c r="AA78" i="142"/>
  <c r="Z88" i="142"/>
  <c r="Z87" i="142"/>
  <c r="AA85" i="142"/>
  <c r="Z86" i="142"/>
  <c r="O76" i="142"/>
  <c r="AA76" i="142"/>
  <c r="AA81" i="142"/>
  <c r="Z82" i="142"/>
  <c r="Z83" i="142"/>
  <c r="Z84" i="142"/>
  <c r="BK90" i="142"/>
  <c r="N88" i="142"/>
  <c r="N87" i="142"/>
  <c r="N86" i="142"/>
  <c r="O85" i="142"/>
  <c r="N83" i="142"/>
  <c r="N84" i="142"/>
  <c r="O81" i="142"/>
  <c r="N82" i="142"/>
  <c r="AA80" i="142"/>
  <c r="O80" i="142"/>
  <c r="AA89" i="142"/>
  <c r="Z91" i="142"/>
  <c r="Z90" i="142"/>
  <c r="Z92" i="142"/>
  <c r="AL101" i="142"/>
  <c r="H114" i="142" s="1"/>
  <c r="K137" i="142"/>
  <c r="AL102" i="142"/>
  <c r="H117" i="142" s="1"/>
  <c r="K140" i="142"/>
  <c r="B103" i="142"/>
  <c r="E143" i="142"/>
  <c r="F143" i="142" s="1"/>
  <c r="B101" i="142"/>
  <c r="D114" i="142" s="1"/>
  <c r="E137" i="142"/>
  <c r="F137" i="142" s="1"/>
  <c r="D113" i="142"/>
  <c r="E136" i="142"/>
  <c r="F136" i="142" s="1"/>
  <c r="E140" i="142"/>
  <c r="F140" i="142" s="1"/>
  <c r="B102" i="142"/>
  <c r="N95" i="142"/>
  <c r="E135" i="142"/>
  <c r="F135" i="142" s="1"/>
  <c r="D112" i="142"/>
  <c r="Z95" i="142"/>
  <c r="BJ98" i="142"/>
  <c r="K144" i="142"/>
  <c r="AX103" i="142"/>
  <c r="H121" i="142" s="1"/>
  <c r="M131" i="142"/>
  <c r="L131" i="142"/>
  <c r="K143" i="142"/>
  <c r="AL103" i="142"/>
  <c r="H120" i="142" s="1"/>
  <c r="AY83" i="142" a="1"/>
  <c r="AY82" i="142" a="1"/>
  <c r="AY84" i="142" a="1"/>
  <c r="BK82" i="142" a="1"/>
  <c r="BK88" i="142" a="1"/>
  <c r="AY86" i="142" a="1"/>
  <c r="AY88" i="142" a="1"/>
  <c r="BK86" i="142" a="1"/>
  <c r="BK83" i="142" a="1"/>
  <c r="AY87" i="142" a="1"/>
  <c r="BK87" i="142" a="1"/>
  <c r="BK84" i="142" a="1"/>
  <c r="O84" i="142" a="1"/>
  <c r="AA91" i="142" a="1"/>
  <c r="O92" i="142" a="1"/>
  <c r="O88" i="142" a="1"/>
  <c r="AA90" i="142" a="1"/>
  <c r="AA92" i="142" a="1"/>
  <c r="O91" i="142" a="1"/>
  <c r="AA88" i="142" a="1"/>
  <c r="O87" i="142" a="1"/>
  <c r="O82" i="142" a="1"/>
  <c r="O90" i="142" a="1"/>
  <c r="AA87" i="142" a="1"/>
  <c r="AA82" i="142" a="1"/>
  <c r="O86" i="142" a="1"/>
  <c r="AA83" i="142" a="1"/>
  <c r="AA86" i="142" a="1"/>
  <c r="AA84" i="142" a="1"/>
  <c r="O83" i="142" a="1"/>
  <c r="AY84" i="142" l="1"/>
  <c r="AY82" i="142"/>
  <c r="AY83" i="142"/>
  <c r="M135" i="142"/>
  <c r="AX96" i="142"/>
  <c r="BK84" i="142"/>
  <c r="BK87" i="142"/>
  <c r="AY87" i="142"/>
  <c r="BK83" i="142"/>
  <c r="BK86" i="142"/>
  <c r="AY88" i="142"/>
  <c r="AY86" i="142"/>
  <c r="BK88" i="142"/>
  <c r="BK82" i="142"/>
  <c r="L136" i="142"/>
  <c r="M136" i="142"/>
  <c r="AX100" i="142"/>
  <c r="H109" i="142" s="1"/>
  <c r="K132" i="142"/>
  <c r="BJ97" i="142"/>
  <c r="AX97" i="142"/>
  <c r="K133" i="142"/>
  <c r="BJ100" i="142"/>
  <c r="H110" i="142" s="1"/>
  <c r="BJ96" i="142"/>
  <c r="O83" i="142"/>
  <c r="AA84" i="142"/>
  <c r="AA86" i="142"/>
  <c r="AA83" i="142"/>
  <c r="O86" i="142"/>
  <c r="AA82" i="142"/>
  <c r="AA87" i="142"/>
  <c r="O90" i="142"/>
  <c r="O82" i="142"/>
  <c r="O87" i="142"/>
  <c r="AA88" i="142"/>
  <c r="O91" i="142"/>
  <c r="AA92" i="142"/>
  <c r="AA90" i="142"/>
  <c r="O88" i="142"/>
  <c r="O92" i="142"/>
  <c r="AA91" i="142"/>
  <c r="O84" i="142"/>
  <c r="Z97" i="142"/>
  <c r="M137" i="142"/>
  <c r="L137" i="142"/>
  <c r="N97" i="142"/>
  <c r="Z96" i="142"/>
  <c r="N98" i="142"/>
  <c r="D117" i="142"/>
  <c r="D120" i="142"/>
  <c r="N96" i="142"/>
  <c r="E132" i="142"/>
  <c r="F132" i="142" s="1"/>
  <c r="N100" i="142"/>
  <c r="D109" i="142" s="1"/>
  <c r="M143" i="142"/>
  <c r="L143" i="142"/>
  <c r="L144" i="142"/>
  <c r="M144" i="142"/>
  <c r="E133" i="142"/>
  <c r="F133" i="142" s="1"/>
  <c r="Z100" i="142"/>
  <c r="D110" i="142" s="1"/>
  <c r="M140" i="142"/>
  <c r="L140" i="142"/>
  <c r="Z98" i="142"/>
  <c r="K145" i="142"/>
  <c r="BJ103" i="142"/>
  <c r="H122" i="142" s="1"/>
  <c r="AX101" i="142" l="1"/>
  <c r="H115" i="142" s="1"/>
  <c r="K138" i="142"/>
  <c r="K142" i="142"/>
  <c r="BJ102" i="142"/>
  <c r="H119" i="142" s="1"/>
  <c r="K139" i="142"/>
  <c r="BJ101" i="142"/>
  <c r="H116" i="142" s="1"/>
  <c r="L133" i="142"/>
  <c r="M133" i="142"/>
  <c r="K141" i="142"/>
  <c r="AX102" i="142"/>
  <c r="H118" i="142" s="1"/>
  <c r="L132" i="142"/>
  <c r="M132" i="142"/>
  <c r="Z103" i="142"/>
  <c r="E145" i="142"/>
  <c r="F145" i="142" s="1"/>
  <c r="M145" i="142"/>
  <c r="L145" i="142"/>
  <c r="E141" i="142"/>
  <c r="F141" i="142" s="1"/>
  <c r="N102" i="142"/>
  <c r="D115" i="142" s="1"/>
  <c r="N103" i="142"/>
  <c r="E144" i="142"/>
  <c r="F144" i="142" s="1"/>
  <c r="E139" i="142"/>
  <c r="F139" i="142" s="1"/>
  <c r="Z101" i="142"/>
  <c r="E138" i="142"/>
  <c r="F138" i="142" s="1"/>
  <c r="N101" i="142"/>
  <c r="E142" i="142"/>
  <c r="F142" i="142" s="1"/>
  <c r="Z102" i="142"/>
  <c r="D116" i="142" s="1"/>
  <c r="L138" i="142" l="1"/>
  <c r="M138" i="142"/>
  <c r="L139" i="142"/>
  <c r="M139" i="142"/>
  <c r="L141" i="142"/>
  <c r="M141" i="142"/>
  <c r="M142" i="142"/>
  <c r="L142" i="142"/>
  <c r="D118" i="142"/>
  <c r="D121" i="142"/>
  <c r="D122" i="142"/>
  <c r="D119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<sst xmlns="http://schemas.openxmlformats.org/spreadsheetml/2006/main" count="1114" uniqueCount="172">
  <si>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</si>
  <si>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</si>
  <si>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</si>
  <si>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</si>
  <si>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</si>
  <si>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</si>
  <si>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</si>
  <si>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</si>
  <si>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</si>
  <si>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</si>
  <si>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</si>
  <si>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</si>
  <si>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</si>
  <si>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</si>
  <si>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</si>
  <si>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</si>
  <si>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</si>
  <si>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</si>
  <si>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</si>
  <si>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</si>
  <si>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</si>
  <si>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</si>
  <si>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</si>
  <si>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</si>
  <si>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</si>
  <si>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</si>
  <si>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</si>
  <si>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</si>
  <si>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</si>
  <si>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</si>
  <si>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</si>
  <si>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</si>
  <si>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</si>
  <si>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</si>
  <si>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</si>
  <si>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</si>
  <si>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</si>
  <si>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</si>
  <si>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</si>
  <si>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</si>
  <si>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</si>
  <si>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</si>
  <si>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</si>
  <si>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</si>
  <si>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</si>
  <si>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</si>
  <si>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</si>
  <si>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</si>
  <si>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</si>
  <si>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</si>
  <si>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</si>
  <si>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</si>
  <si>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</si>
  <si>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</si>
  <si>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</si>
  <si>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</si>
  <si>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</si>
  <si>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</si>
  <si>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</si>
  <si>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</si>
  <si>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</si>
  <si>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</si>
  <si>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</si>
  <si>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</si>
  <si>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</si>
  <si>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</si>
  <si>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</si>
  <si>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</si>
  <si>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</si>
  <si>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</si>
  <si>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</si>
  <si>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</si>
  <si>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</si>
  <si>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</si>
  <si>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</si>
  <si>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</si>
  <si>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</si>
  <si>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</si>
  <si>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</si>
  <si>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</si>
  <si>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</si>
  <si>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</si>
  <si>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</si>
  <si>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</si>
  <si>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</si>
  <si>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</si>
  <si>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</si>
  <si>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</si>
  <si>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</si>
  <si>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</si>
  <si>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</si>
  <si>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</si>
  <si>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</si>
  <si>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</si>
  <si>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</si>
  <si>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</si>
  <si>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</si>
  <si>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</si>
  <si>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</si>
  <si>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</si>
  <si>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</si>
  <si>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</si>
  <si>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</si>
  <si>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</si>
  <si>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</si>
  <si>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</si>
  <si>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</si>
  <si>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</si>
  <si>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</si>
  <si>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</si>
  <si>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</si>
  <si>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</si>
  <si>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</si>
  <si>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</si>
  <si>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</si>
  <si>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</si>
  <si>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</si>
  <si>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</si>
  <si>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</si>
  <si>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</si>
  <si>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</si>
  <si>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</si>
  <si>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</si>
  <si>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</si>
  <si>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</si>
  <si>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</si>
  <si>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</si>
  <si>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</si>
  <si>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</si>
  <si>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</si>
  <si>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</si>
  <si>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</si>
  <si>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</si>
  <si>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</si>
  <si>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</si>
  <si>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</si>
  <si>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</si>
  <si>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</si>
  <si>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</si>
  <si>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</si>
  <si>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</si>
  <si>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</si>
  <si>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</si>
  <si>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</si>
  <si>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</si>
  <si>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</si>
  <si>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</si>
  <si>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</si>
  <si>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</si>
  <si>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</si>
  <si>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</si>
  <si>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</si>
  <si>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Key result for the result table</t>
  </si>
  <si>
    <t>Dataset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</si>
  <si>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</si>
  <si>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</si>
  <si>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</si>
  <si>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</si>
  <si>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</si>
  <si>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the baseline survey dataset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</si>
  <si>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</si>
  <si>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</si>
  <si>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</si>
  <si>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</si>
  <si>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</si>
  <si>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</si>
  <si>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</si>
  <si>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</si>
  <si>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</si>
  <si>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</si>
  <si>
    <t>Matt's way</t>
  </si>
  <si>
    <t>Aver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</si>
</sst>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10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9" fontId="0" fillId="0" borderId="0" xfId="2" applyFont="1"/>
    <xf numFmtId="10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0" fillId="24" borderId="0" xfId="0" applyFill="1"/>
    <xf numFmtId="167" fontId="0" fillId="24" borderId="0" xfId="0" applyNumberFormat="1" applyFill="1"/>
    <xf numFmtId="9" fontId="0" fillId="24" borderId="0" xfId="2" applyFont="1" applyFill="1"/>
    <xf numFmtId="0" fontId="15" fillId="23" borderId="0" xfId="9"/>
    <xf numFmtId="43" fontId="0" fillId="15" borderId="0" xfId="8" applyFont="1" applyFill="1"/>
    <xf numFmtId="43" fontId="0" fillId="0" borderId="0" xfId="8" applyFont="1"/>
    <xf numFmtId="167" fontId="0" fillId="0" borderId="0" xfId="2" applyNumberFormat="1" applyFont="1"/>
    <xf numFmtId="169" fontId="5" fillId="15" borderId="0" xfId="2" applyNumberFormat="1" applyFont="1" applyFill="1"/>
    <xf numFmtId="169" fontId="5" fillId="0" borderId="0" xfId="2" applyNumberFormat="1" applyFont="1"/>
    <xf numFmtId="166" fontId="0" fillId="0" borderId="0" xfId="2" applyNumberFormat="1" applyFont="1"/>
    <xf numFmtId="0" fontId="0" fillId="0" borderId="2" xfId="0" applyBorder="1" applyAlignment="1">
      <alignment horizontal="center"/>
    </xf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49A5-CB74-4466-BD3A-DD75ED679588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Parts'!$B$67,1,0,0)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Parts'!$B$67,1,0,0)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Parts'!$B$73,1,0,0)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45"/>
  <sheetViews>
    <sheetView tabSelected="1" topLeftCell="A109" zoomScale="90" zoomScaleNormal="90" zoomScaleSheetLayoutView="40" zoomScalePageLayoutView="10" workbookViewId="0">
      <selection activeCell="E127" sqref="E127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9.140625" customWidth="1"/>
    <col min="8" max="8" width="13.42578125" customWidth="1"/>
    <col min="9" max="9" width="21.140625" bestFit="1" customWidth="1"/>
    <col min="10" max="10" width="24.140625" customWidth="1"/>
    <col min="11" max="11" width="11.140625" customWidth="1"/>
    <col min="12" max="12" width="11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5"/>
      <c r="F1" s="105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4" t="s">
        <v>128</v>
      </c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K3" s="83" t="s">
        <v>127</v>
      </c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6">
        <v>-3.1915911761351801</v>
      </c>
      <c r="C7" t="s">
        <v>14</v>
      </c>
      <c r="D7" t="s">
        <v>4</v>
      </c>
      <c r="E7" t="s">
        <v>13</v>
      </c>
      <c r="M7" t="s">
        <v>28</v>
      </c>
      <c r="N7" s="46">
        <v>-3.1915911761351801</v>
      </c>
      <c r="O7" t="s">
        <v>14</v>
      </c>
      <c r="P7" t="s">
        <v>4</v>
      </c>
      <c r="Q7" t="s">
        <v>13</v>
      </c>
      <c r="Y7" t="s">
        <v>28</v>
      </c>
      <c r="Z7" s="46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6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6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6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6">
        <v>1.2859210860958401</v>
      </c>
      <c r="C8" t="s">
        <v>14</v>
      </c>
      <c r="D8" t="s">
        <v>4</v>
      </c>
      <c r="E8" t="s">
        <v>13</v>
      </c>
      <c r="M8" t="s">
        <v>0</v>
      </c>
      <c r="N8" s="46">
        <v>1.2859210860958401</v>
      </c>
      <c r="O8" t="s">
        <v>14</v>
      </c>
      <c r="P8" t="s">
        <v>4</v>
      </c>
      <c r="Q8" t="s">
        <v>13</v>
      </c>
      <c r="Y8" t="s">
        <v>0</v>
      </c>
      <c r="Z8" s="46">
        <v>1.2859210860958401</v>
      </c>
      <c r="AA8" t="s">
        <v>14</v>
      </c>
      <c r="AB8" t="s">
        <v>4</v>
      </c>
      <c r="AC8" t="s">
        <v>13</v>
      </c>
      <c r="AK8" t="s">
        <v>0</v>
      </c>
      <c r="AL8" s="46">
        <v>2.44</v>
      </c>
      <c r="AM8" t="s">
        <v>14</v>
      </c>
      <c r="AN8" t="s">
        <v>4</v>
      </c>
      <c r="AO8" t="s">
        <v>13</v>
      </c>
      <c r="AW8" t="s">
        <v>0</v>
      </c>
      <c r="AX8" s="46">
        <v>2.44</v>
      </c>
      <c r="AY8" t="s">
        <v>14</v>
      </c>
      <c r="AZ8" t="s">
        <v>4</v>
      </c>
      <c r="BA8" t="s">
        <v>13</v>
      </c>
      <c r="BI8" t="s">
        <v>0</v>
      </c>
      <c r="BJ8" s="46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-3.3700436188923719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-3.3700436188923719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-3.3700436188923719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-6.4715346923129804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-6.4715346923129804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-6.4715346923129804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5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5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5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5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5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5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6" t="s">
        <v>102</v>
      </c>
      <c r="B11" s="6" t="s">
        <v>103</v>
      </c>
      <c r="C11" t="s">
        <v>104</v>
      </c>
      <c r="M11" s="66" t="s">
        <v>102</v>
      </c>
      <c r="N11" s="6" t="s">
        <v>103</v>
      </c>
      <c r="O11" t="s">
        <v>104</v>
      </c>
      <c r="Y11" s="66" t="s">
        <v>102</v>
      </c>
      <c r="Z11" s="6" t="s">
        <v>103</v>
      </c>
      <c r="AA11" t="s">
        <v>104</v>
      </c>
      <c r="AK11" s="66" t="s">
        <v>102</v>
      </c>
      <c r="AL11" s="6" t="s">
        <v>103</v>
      </c>
      <c r="AM11" t="s">
        <v>104</v>
      </c>
      <c r="AW11" s="66" t="s">
        <v>102</v>
      </c>
      <c r="AX11" s="6" t="s">
        <v>103</v>
      </c>
      <c r="AY11" t="s">
        <v>104</v>
      </c>
      <c r="BI11" s="66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7">
        <v>8.5099999999999995E-2</v>
      </c>
      <c r="C12" s="68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7">
        <v>8.5099999999999995E-2</v>
      </c>
      <c r="O12" s="68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7">
        <v>8.5099999999999995E-2</v>
      </c>
      <c r="AA12" s="68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7">
        <v>8.5099999999999995E-2</v>
      </c>
      <c r="AM12" s="68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7">
        <v>8.5099999999999995E-2</v>
      </c>
      <c r="AY12" s="68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7">
        <v>8.5099999999999995E-2</v>
      </c>
      <c r="BK12" s="68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7">
        <v>0.24</v>
      </c>
      <c r="C13" s="68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7">
        <v>0.24</v>
      </c>
      <c r="O13" s="68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7">
        <v>0.24</v>
      </c>
      <c r="AA13" s="68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7">
        <v>0.24</v>
      </c>
      <c r="AM13" s="68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7">
        <v>0.24</v>
      </c>
      <c r="AY13" s="68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7">
        <v>0.24</v>
      </c>
      <c r="BK13" s="68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7">
        <v>2.98E-2</v>
      </c>
      <c r="C14" s="68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7">
        <v>2.98E-2</v>
      </c>
      <c r="O14" s="68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7">
        <v>2.98E-2</v>
      </c>
      <c r="AA14" s="68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7">
        <v>2.98E-2</v>
      </c>
      <c r="AM14" s="68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7">
        <v>2.98E-2</v>
      </c>
      <c r="AY14" s="68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7">
        <v>2.98E-2</v>
      </c>
      <c r="BK14" s="68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7">
        <v>8.3400000000000002E-3</v>
      </c>
      <c r="C15" s="68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7">
        <v>8.3400000000000002E-3</v>
      </c>
      <c r="O15" s="68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7">
        <v>8.3400000000000002E-3</v>
      </c>
      <c r="AA15" s="68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7">
        <v>8.3400000000000002E-3</v>
      </c>
      <c r="AM15" s="68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7">
        <v>8.3400000000000002E-3</v>
      </c>
      <c r="AY15" s="68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7">
        <v>8.3400000000000002E-3</v>
      </c>
      <c r="BK15" s="68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7">
        <v>0.29199999999999998</v>
      </c>
      <c r="C16" s="68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7">
        <v>0.29199999999999998</v>
      </c>
      <c r="O16" s="68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7">
        <v>0.29199999999999998</v>
      </c>
      <c r="AA16" s="68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7">
        <v>0.29199999999999998</v>
      </c>
      <c r="AM16" s="68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7">
        <v>0.29199999999999998</v>
      </c>
      <c r="AY16" s="68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7">
        <v>0.29199999999999998</v>
      </c>
      <c r="BK16" s="68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7">
        <v>0.187</v>
      </c>
      <c r="C17" s="68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7">
        <v>0.187</v>
      </c>
      <c r="O17" s="68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7">
        <v>0.187</v>
      </c>
      <c r="AA17" s="68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7">
        <v>0.187</v>
      </c>
      <c r="AM17" s="68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7">
        <v>0.187</v>
      </c>
      <c r="AY17" s="68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7">
        <v>0.187</v>
      </c>
      <c r="BK17" s="68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7">
        <f>1-(SUM(B12:B17))</f>
        <v>0.1577599999999999</v>
      </c>
      <c r="C18" s="68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7">
        <f>1-(SUM(N12:N17))</f>
        <v>0.1577599999999999</v>
      </c>
      <c r="O18" s="68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7">
        <f>1-(SUM(Z12:Z17))</f>
        <v>0.1577599999999999</v>
      </c>
      <c r="AA18" s="68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7">
        <f>1-(SUM(AL12:AL17))</f>
        <v>0.1577599999999999</v>
      </c>
      <c r="AM18" s="68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7">
        <f>1-(SUM(AX12:AX17))</f>
        <v>0.1577599999999999</v>
      </c>
      <c r="AY18" s="68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7">
        <f>1-(SUM(BJ12:BJ17))</f>
        <v>0.1577599999999999</v>
      </c>
      <c r="BK18" s="68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9">
        <f ca="1">RAND()</f>
        <v>0.57570815510538109</v>
      </c>
      <c r="C19" s="68"/>
      <c r="M19" t="s">
        <v>113</v>
      </c>
      <c r="N19" s="69">
        <f ca="1">B19</f>
        <v>0.57570815510538109</v>
      </c>
      <c r="O19" s="68"/>
      <c r="Y19" t="s">
        <v>113</v>
      </c>
      <c r="Z19" s="69">
        <f ca="1">N19</f>
        <v>0.57570815510538109</v>
      </c>
      <c r="AA19" s="68"/>
      <c r="AK19" t="s">
        <v>113</v>
      </c>
      <c r="AL19" s="69">
        <f ca="1">RAND()</f>
        <v>5.8159285087687085E-2</v>
      </c>
      <c r="AM19" s="68"/>
      <c r="AW19" t="s">
        <v>113</v>
      </c>
      <c r="AX19" s="69">
        <f ca="1">AL19</f>
        <v>5.8159285087687085E-2</v>
      </c>
      <c r="AY19" s="68"/>
      <c r="BI19" t="s">
        <v>113</v>
      </c>
      <c r="BJ19" s="69">
        <f ca="1">AX19</f>
        <v>5.8159285087687085E-2</v>
      </c>
      <c r="BK19" s="68"/>
    </row>
    <row r="20" spans="1:71" x14ac:dyDescent="0.25">
      <c r="A20" t="s">
        <v>114</v>
      </c>
      <c r="B20" s="6" t="str" cm="1">
        <f t="array" aca="1" ref="B20" ca="1">INDEX(A12:A18,COUNTIF(C12:C18,"&lt;="&amp;B19)+1)</f>
        <v>Kentucky</v>
      </c>
      <c r="C20" t="s">
        <v>102</v>
      </c>
      <c r="M20" t="s">
        <v>114</v>
      </c>
      <c r="N20" s="6" t="str" cm="1">
        <f t="array" aca="1" ref="N20" ca="1">INDEX(M12:M18,COUNTIF(O12:O18,"&lt;="&amp;N19)+1)</f>
        <v>Kentucky</v>
      </c>
      <c r="O20" t="s">
        <v>102</v>
      </c>
      <c r="Y20" t="s">
        <v>114</v>
      </c>
      <c r="Z20" s="6" t="str" cm="1">
        <f t="array" aca="1" ref="Z20" ca="1">INDEX(Y12:Y18,COUNTIF(AA12:AA18,"&lt;="&amp;Z19)+1)</f>
        <v>Kentucky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Typhimurium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Typhimurium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Typhimurium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2" t="s">
        <v>117</v>
      </c>
      <c r="B22" s="73"/>
      <c r="C22" s="73"/>
      <c r="D22" s="73"/>
      <c r="E22" s="73"/>
      <c r="F22" s="74"/>
      <c r="G22" s="74"/>
      <c r="H22" s="74"/>
      <c r="I22" s="74"/>
      <c r="J22" s="74"/>
      <c r="K22" s="74"/>
      <c r="M22" s="72" t="s">
        <v>117</v>
      </c>
      <c r="N22" s="73"/>
      <c r="O22" s="73"/>
      <c r="P22" s="73"/>
      <c r="Q22" s="73"/>
      <c r="R22" s="74"/>
      <c r="S22" s="74"/>
      <c r="T22" s="74"/>
      <c r="U22" s="74"/>
      <c r="V22" s="74"/>
      <c r="W22" s="74"/>
      <c r="Y22" s="72" t="s">
        <v>117</v>
      </c>
      <c r="Z22" s="73"/>
      <c r="AA22" s="73"/>
      <c r="AB22" s="73"/>
      <c r="AC22" s="73"/>
      <c r="AD22" s="74"/>
      <c r="AE22" s="74"/>
      <c r="AF22" s="74"/>
      <c r="AG22" s="74"/>
      <c r="AH22" s="74"/>
      <c r="AI22" s="74"/>
      <c r="AK22" s="72" t="s">
        <v>117</v>
      </c>
      <c r="AL22" s="73"/>
      <c r="AM22" s="73"/>
      <c r="AN22" s="73"/>
      <c r="AO22" s="73"/>
      <c r="AP22" s="74"/>
      <c r="AQ22" s="74"/>
      <c r="AR22" s="74"/>
      <c r="AS22" s="74"/>
      <c r="AT22" s="74"/>
      <c r="AU22" s="74"/>
      <c r="AW22" s="72" t="s">
        <v>117</v>
      </c>
      <c r="AX22" s="73"/>
      <c r="AY22" s="73"/>
      <c r="AZ22" s="73"/>
      <c r="BA22" s="73"/>
      <c r="BB22" s="74"/>
      <c r="BC22" s="74"/>
      <c r="BD22" s="74"/>
      <c r="BE22" s="74"/>
      <c r="BF22" s="74"/>
      <c r="BG22" s="74"/>
      <c r="BI22" s="72" t="s">
        <v>117</v>
      </c>
      <c r="BJ22" s="73"/>
      <c r="BK22" s="73"/>
      <c r="BL22" s="73"/>
      <c r="BM22" s="73"/>
      <c r="BN22" s="74"/>
      <c r="BO22" s="74"/>
      <c r="BP22" s="74"/>
      <c r="BQ22" s="74"/>
      <c r="BR22" s="74"/>
      <c r="BS22" s="74"/>
    </row>
    <row r="23" spans="1:71" x14ac:dyDescent="0.25">
      <c r="A23" t="s">
        <v>29</v>
      </c>
      <c r="B23" s="15">
        <f ca="1">10^(B9)</f>
        <v>4.2653667692235908E-4</v>
      </c>
      <c r="C23" t="s">
        <v>3</v>
      </c>
      <c r="M23" t="s">
        <v>29</v>
      </c>
      <c r="N23" s="15">
        <f ca="1">10^(N9)</f>
        <v>4.2653667692235908E-4</v>
      </c>
      <c r="O23" t="s">
        <v>3</v>
      </c>
      <c r="Y23" t="s">
        <v>29</v>
      </c>
      <c r="Z23" s="15">
        <f ca="1">10^(Z9)</f>
        <v>4.2653667692235908E-4</v>
      </c>
      <c r="AA23" t="s">
        <v>3</v>
      </c>
      <c r="AK23" t="s">
        <v>29</v>
      </c>
      <c r="AL23" s="15">
        <f ca="1">10^(AL9)</f>
        <v>3.3764887549632441E-7</v>
      </c>
      <c r="AM23" t="s">
        <v>3</v>
      </c>
      <c r="AW23" t="s">
        <v>29</v>
      </c>
      <c r="AX23" s="15">
        <f ca="1">10^(AX9)</f>
        <v>3.3764887549632441E-7</v>
      </c>
      <c r="AY23" t="s">
        <v>3</v>
      </c>
      <c r="BI23" t="s">
        <v>29</v>
      </c>
      <c r="BJ23" s="15">
        <f ca="1">10^(BJ9)</f>
        <v>3.3764887549632441E-7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0.20511299999999999</v>
      </c>
      <c r="M26" t="s">
        <v>138</v>
      </c>
      <c r="N26" s="17" cm="1">
        <f t="array" aca="1" ref="N26" ca="1">_xll.RiskMean(N25)</f>
        <v>6.4989999999999996E-3</v>
      </c>
      <c r="Y26" t="s">
        <v>138</v>
      </c>
      <c r="Z26" s="17" cm="1">
        <f t="array" aca="1" ref="Z26" ca="1">_xll.RiskMean(Z25)</f>
        <v>5.8E-4</v>
      </c>
      <c r="AK26" t="s">
        <v>138</v>
      </c>
      <c r="AL26" s="17" cm="1">
        <f t="array" aca="1" ref="AL26" ca="1">_xll.RiskMean(AL25)</f>
        <v>0.132544</v>
      </c>
      <c r="AW26" t="s">
        <v>138</v>
      </c>
      <c r="AX26" s="17" cm="1">
        <f t="array" aca="1" ref="AX26" ca="1">_xll.RiskMean(AX25)</f>
        <v>2.3265000000000001E-2</v>
      </c>
      <c r="BI26" t="s">
        <v>138</v>
      </c>
      <c r="BJ26" s="17" cm="1">
        <f t="array" aca="1" ref="BJ26" ca="1">_xll.RiskMean(BJ25)</f>
        <v>8.2699999999999996E-3</v>
      </c>
    </row>
    <row r="27" spans="1:71" ht="18.75" x14ac:dyDescent="0.3">
      <c r="A27" s="75" t="s">
        <v>118</v>
      </c>
      <c r="B27" s="76"/>
      <c r="C27" s="77"/>
      <c r="D27" s="77"/>
      <c r="E27" s="77"/>
      <c r="F27" s="77"/>
      <c r="G27" s="77"/>
      <c r="H27" s="77"/>
      <c r="I27" s="77"/>
      <c r="J27" s="77"/>
      <c r="K27" s="77"/>
      <c r="M27" s="75" t="s">
        <v>118</v>
      </c>
      <c r="N27" s="76"/>
      <c r="O27" s="77"/>
      <c r="P27" s="77"/>
      <c r="Q27" s="77"/>
      <c r="R27" s="77"/>
      <c r="S27" s="77"/>
      <c r="T27" s="77"/>
      <c r="U27" s="77"/>
      <c r="V27" s="77"/>
      <c r="W27" s="77"/>
      <c r="Y27" s="75" t="s">
        <v>118</v>
      </c>
      <c r="Z27" s="76"/>
      <c r="AA27" s="77"/>
      <c r="AB27" s="77"/>
      <c r="AC27" s="77"/>
      <c r="AD27" s="77"/>
      <c r="AE27" s="77"/>
      <c r="AF27" s="77"/>
      <c r="AG27" s="77"/>
      <c r="AH27" s="77"/>
      <c r="AI27" s="77"/>
      <c r="AK27" s="75" t="s">
        <v>118</v>
      </c>
      <c r="AL27" s="76"/>
      <c r="AM27" s="77"/>
      <c r="AN27" s="77"/>
      <c r="AO27" s="77"/>
      <c r="AP27" s="77"/>
      <c r="AQ27" s="77"/>
      <c r="AR27" s="77"/>
      <c r="AS27" s="77"/>
      <c r="AT27" s="77"/>
      <c r="AU27" s="77"/>
      <c r="AW27" s="75" t="s">
        <v>118</v>
      </c>
      <c r="AX27" s="76"/>
      <c r="AY27" s="77"/>
      <c r="AZ27" s="77"/>
      <c r="BA27" s="77"/>
      <c r="BB27" s="77"/>
      <c r="BC27" s="77"/>
      <c r="BD27" s="77"/>
      <c r="BE27" s="77"/>
      <c r="BF27" s="77"/>
      <c r="BG27" s="77"/>
      <c r="BI27" s="75" t="s">
        <v>118</v>
      </c>
      <c r="BJ27" s="76"/>
      <c r="BK27" s="77"/>
      <c r="BL27" s="77"/>
      <c r="BM27" s="77"/>
      <c r="BN27" s="77"/>
      <c r="BO27" s="77"/>
      <c r="BP27" s="77"/>
      <c r="BQ27" s="77"/>
      <c r="BR27" s="77"/>
      <c r="BS27" s="77"/>
    </row>
    <row r="28" spans="1:71" x14ac:dyDescent="0.25">
      <c r="A28" t="s">
        <v>119</v>
      </c>
      <c r="B28" s="70" t="s">
        <v>105</v>
      </c>
      <c r="M28" t="s">
        <v>119</v>
      </c>
      <c r="N28" s="70" t="s">
        <v>105</v>
      </c>
      <c r="Y28" t="s">
        <v>119</v>
      </c>
      <c r="Z28" s="70" t="s">
        <v>105</v>
      </c>
      <c r="AK28" t="s">
        <v>119</v>
      </c>
      <c r="AL28" s="70" t="s">
        <v>105</v>
      </c>
      <c r="AW28" t="s">
        <v>119</v>
      </c>
      <c r="AX28" s="70" t="s">
        <v>105</v>
      </c>
      <c r="BI28" t="s">
        <v>119</v>
      </c>
      <c r="BJ28" s="70" t="s">
        <v>105</v>
      </c>
    </row>
    <row r="29" spans="1:71" x14ac:dyDescent="0.25">
      <c r="A29" t="s">
        <v>119</v>
      </c>
      <c r="B29" s="70" t="s">
        <v>107</v>
      </c>
      <c r="M29" t="s">
        <v>119</v>
      </c>
      <c r="N29" s="70" t="s">
        <v>107</v>
      </c>
      <c r="Y29" t="s">
        <v>119</v>
      </c>
      <c r="Z29" s="70" t="s">
        <v>107</v>
      </c>
      <c r="AK29" t="s">
        <v>119</v>
      </c>
      <c r="AL29" s="70" t="s">
        <v>107</v>
      </c>
      <c r="AW29" t="s">
        <v>119</v>
      </c>
      <c r="AX29" s="70" t="s">
        <v>107</v>
      </c>
      <c r="BI29" t="s">
        <v>119</v>
      </c>
      <c r="BJ29" s="70" t="s">
        <v>107</v>
      </c>
    </row>
    <row r="30" spans="1:71" x14ac:dyDescent="0.25">
      <c r="A30" t="s">
        <v>119</v>
      </c>
      <c r="B30" s="70" t="s">
        <v>111</v>
      </c>
      <c r="M30" t="s">
        <v>119</v>
      </c>
      <c r="N30" s="70" t="s">
        <v>111</v>
      </c>
      <c r="Y30" t="s">
        <v>119</v>
      </c>
      <c r="Z30" s="70" t="s">
        <v>111</v>
      </c>
      <c r="AK30" t="s">
        <v>119</v>
      </c>
      <c r="AL30" s="70" t="s">
        <v>111</v>
      </c>
      <c r="AW30" t="s">
        <v>119</v>
      </c>
      <c r="AX30" s="70" t="s">
        <v>111</v>
      </c>
      <c r="BI30" t="s">
        <v>119</v>
      </c>
      <c r="BJ30" s="70" t="s">
        <v>111</v>
      </c>
    </row>
    <row r="31" spans="1:71" x14ac:dyDescent="0.25">
      <c r="A31" t="s">
        <v>122</v>
      </c>
      <c r="B31" s="6">
        <f ca="1">IF(ISNUMBER(MATCH(B20,B28:B30,0)),1,0)</f>
        <v>0</v>
      </c>
      <c r="C31" t="s">
        <v>7</v>
      </c>
      <c r="M31" t="s">
        <v>122</v>
      </c>
      <c r="N31" s="6">
        <f ca="1">IF(ISNUMBER(MATCH(N20,N28:N30,0)),1,0)</f>
        <v>0</v>
      </c>
      <c r="O31" t="s">
        <v>7</v>
      </c>
      <c r="Y31" t="s">
        <v>122</v>
      </c>
      <c r="Z31" s="6">
        <f ca="1">IF(ISNUMBER(MATCH(Z20,Z28:Z30,0)),1,0)</f>
        <v>0</v>
      </c>
      <c r="AA31" t="s">
        <v>7</v>
      </c>
      <c r="AK31" t="s">
        <v>122</v>
      </c>
      <c r="AL31" s="6">
        <f ca="1">IF(ISNUMBER(MATCH(AL20,AL28:AL30,0)),1,0)</f>
        <v>1</v>
      </c>
      <c r="AM31" t="s">
        <v>7</v>
      </c>
      <c r="AW31" t="s">
        <v>122</v>
      </c>
      <c r="AX31" s="6">
        <f ca="1">IF(ISNUMBER(MATCH(AX20,AX28:AX30,0)),1,0)</f>
        <v>1</v>
      </c>
      <c r="AY31" t="s">
        <v>7</v>
      </c>
      <c r="BI31" t="s">
        <v>122</v>
      </c>
      <c r="BJ31" s="6">
        <f ca="1">IF(ISNUMBER(MATCH(BJ20,BJ28:BJ30,0)),1,0)</f>
        <v>1</v>
      </c>
      <c r="BK31" t="s">
        <v>7</v>
      </c>
    </row>
    <row r="32" spans="1:71" x14ac:dyDescent="0.25">
      <c r="A32" t="s">
        <v>121</v>
      </c>
      <c r="B32" s="71">
        <f ca="1">B25*B31</f>
        <v>0</v>
      </c>
      <c r="C32" t="s">
        <v>7</v>
      </c>
      <c r="M32" t="s">
        <v>121</v>
      </c>
      <c r="N32" s="71">
        <f ca="1">N25*N31</f>
        <v>0</v>
      </c>
      <c r="O32" t="s">
        <v>7</v>
      </c>
      <c r="Y32" t="s">
        <v>121</v>
      </c>
      <c r="Z32" s="71">
        <f ca="1">Z25*Z31</f>
        <v>0</v>
      </c>
      <c r="AA32" t="s">
        <v>7</v>
      </c>
      <c r="AK32" t="s">
        <v>121</v>
      </c>
      <c r="AL32" s="71">
        <f ca="1">AL25*AL31</f>
        <v>0</v>
      </c>
      <c r="AM32" t="s">
        <v>7</v>
      </c>
      <c r="AW32" t="s">
        <v>121</v>
      </c>
      <c r="AX32" s="71">
        <f ca="1">AX25*AX31</f>
        <v>0</v>
      </c>
      <c r="AY32" t="s">
        <v>7</v>
      </c>
      <c r="BI32" t="s">
        <v>121</v>
      </c>
      <c r="BJ32" s="71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0.104879</v>
      </c>
      <c r="M33" t="s">
        <v>139</v>
      </c>
      <c r="N33" s="17" cm="1">
        <f t="array" aca="1" ref="N33" ca="1">_xll.RiskMean(N32)</f>
        <v>3.2799999999999999E-3</v>
      </c>
      <c r="Y33" t="s">
        <v>139</v>
      </c>
      <c r="Z33" s="17" cm="1">
        <f t="array" aca="1" ref="Z33" ca="1">_xll.RiskMean(Z32)</f>
        <v>2.8400000000000002E-4</v>
      </c>
      <c r="AK33" t="s">
        <v>139</v>
      </c>
      <c r="AL33" s="17" cm="1">
        <f t="array" aca="1" ref="AL33" ca="1">_xll.RiskMean(AL32)</f>
        <v>6.8284999999999998E-2</v>
      </c>
      <c r="AW33" t="s">
        <v>139</v>
      </c>
      <c r="AX33" s="17" cm="1">
        <f t="array" aca="1" ref="AX33" ca="1">_xll.RiskMean(AX32)</f>
        <v>1.2031999999999999E-2</v>
      </c>
      <c r="BI33" t="s">
        <v>139</v>
      </c>
      <c r="BJ33" s="17" cm="1">
        <f t="array" aca="1" ref="BJ33" ca="1">_xll.RiskMean(BJ32)</f>
        <v>4.2979999999999997E-3</v>
      </c>
    </row>
    <row r="34" spans="1:71" x14ac:dyDescent="0.25">
      <c r="A34" t="s">
        <v>120</v>
      </c>
      <c r="B34" s="70" t="s">
        <v>110</v>
      </c>
      <c r="M34" t="s">
        <v>120</v>
      </c>
      <c r="N34" s="70" t="s">
        <v>110</v>
      </c>
      <c r="Y34" t="s">
        <v>120</v>
      </c>
      <c r="Z34" s="70" t="s">
        <v>110</v>
      </c>
      <c r="AK34" t="s">
        <v>120</v>
      </c>
      <c r="AL34" s="70" t="s">
        <v>110</v>
      </c>
      <c r="AW34" t="s">
        <v>120</v>
      </c>
      <c r="AX34" s="70" t="s">
        <v>110</v>
      </c>
      <c r="BI34" t="s">
        <v>120</v>
      </c>
      <c r="BJ34" s="70" t="s">
        <v>110</v>
      </c>
    </row>
    <row r="35" spans="1:71" x14ac:dyDescent="0.25">
      <c r="A35" t="s">
        <v>141</v>
      </c>
      <c r="B35" s="6">
        <f ca="1">IF(ISNUMBER(MATCH(B20,B34,0)),1,0)</f>
        <v>1</v>
      </c>
      <c r="M35" t="s">
        <v>141</v>
      </c>
      <c r="N35" s="6">
        <f ca="1">IF(ISNUMBER(MATCH(N20,N34,0)),1,0)</f>
        <v>1</v>
      </c>
      <c r="Y35" t="s">
        <v>141</v>
      </c>
      <c r="Z35" s="6">
        <f ca="1">IF(ISNUMBER(MATCH(Z20,Z34,0)),1,0)</f>
        <v>1</v>
      </c>
      <c r="AK35" t="s">
        <v>141</v>
      </c>
      <c r="AL35" s="6">
        <f ca="1">IF(ISNUMBER(MATCH(AL20,AL34,0)),1,0)</f>
        <v>0</v>
      </c>
      <c r="AW35" t="s">
        <v>141</v>
      </c>
      <c r="AX35" s="6">
        <f ca="1">IF(ISNUMBER(MATCH(AX20,AX34,0)),1,0)</f>
        <v>0</v>
      </c>
      <c r="BI35" t="s">
        <v>141</v>
      </c>
      <c r="BJ35" s="6">
        <f ca="1">IF(ISNUMBER(MATCH(BJ20,BJ34,0)),1,0)</f>
        <v>0</v>
      </c>
    </row>
    <row r="36" spans="1:71" x14ac:dyDescent="0.25">
      <c r="A36" t="s">
        <v>140</v>
      </c>
      <c r="B36" s="71">
        <f ca="1">B25*B35</f>
        <v>0</v>
      </c>
      <c r="C36" t="s">
        <v>7</v>
      </c>
      <c r="M36" t="s">
        <v>140</v>
      </c>
      <c r="N36" s="71">
        <f ca="1">N25*N35</f>
        <v>0</v>
      </c>
      <c r="O36" t="s">
        <v>7</v>
      </c>
      <c r="Y36" t="s">
        <v>140</v>
      </c>
      <c r="Z36" s="71">
        <f ca="1">Z25*Z35</f>
        <v>0</v>
      </c>
      <c r="AA36" t="s">
        <v>7</v>
      </c>
      <c r="AK36" t="s">
        <v>140</v>
      </c>
      <c r="AL36" s="71">
        <f ca="1">AL25*AL35</f>
        <v>0</v>
      </c>
      <c r="AM36" t="s">
        <v>7</v>
      </c>
      <c r="AW36" t="s">
        <v>140</v>
      </c>
      <c r="AX36" s="71">
        <f ca="1">AX25*AX35</f>
        <v>0</v>
      </c>
      <c r="AY36" t="s">
        <v>7</v>
      </c>
      <c r="BI36" t="s">
        <v>140</v>
      </c>
      <c r="BJ36" s="71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5.9957999999999997E-2</v>
      </c>
      <c r="M37" t="s">
        <v>130</v>
      </c>
      <c r="N37" s="17" cm="1">
        <f t="array" aca="1" ref="N37" ca="1">_xll.RiskMean(N36)</f>
        <v>1.89E-3</v>
      </c>
      <c r="Y37" t="s">
        <v>130</v>
      </c>
      <c r="Z37" s="17" cm="1">
        <f t="array" aca="1" ref="Z37" ca="1">_xll.RiskMean(Z36)</f>
        <v>1.8000000000000001E-4</v>
      </c>
      <c r="AK37" t="s">
        <v>130</v>
      </c>
      <c r="AL37" s="17" cm="1">
        <f t="array" aca="1" ref="AL37" ca="1">_xll.RiskMean(AL36)</f>
        <v>3.8547999999999999E-2</v>
      </c>
      <c r="AW37" t="s">
        <v>130</v>
      </c>
      <c r="AX37" s="17" cm="1">
        <f t="array" aca="1" ref="AX37" ca="1">_xll.RiskMean(AX36)</f>
        <v>6.7590000000000003E-3</v>
      </c>
      <c r="BI37" t="s">
        <v>130</v>
      </c>
      <c r="BJ37" s="17" cm="1">
        <f t="array" aca="1" ref="BJ37" ca="1">_xll.RiskMean(BJ36)</f>
        <v>2.3990000000000001E-3</v>
      </c>
    </row>
    <row r="38" spans="1:71" x14ac:dyDescent="0.25">
      <c r="A38" t="s">
        <v>131</v>
      </c>
      <c r="B38" s="71">
        <f ca="1">B25*ABS(B35-1)</f>
        <v>0</v>
      </c>
      <c r="M38" t="s">
        <v>131</v>
      </c>
      <c r="N38" s="71">
        <f ca="1">N25*ABS(N35-1)</f>
        <v>0</v>
      </c>
      <c r="Y38" t="s">
        <v>131</v>
      </c>
      <c r="Z38" s="71">
        <f ca="1">Z25*ABS(Z35-1)</f>
        <v>0</v>
      </c>
      <c r="AK38" t="s">
        <v>131</v>
      </c>
      <c r="AL38" s="71">
        <f ca="1">AL25*ABS(AL35-1)</f>
        <v>0</v>
      </c>
      <c r="AW38" t="s">
        <v>131</v>
      </c>
      <c r="AX38" s="71">
        <f ca="1">AX25*ABS(AX35-1)</f>
        <v>0</v>
      </c>
      <c r="BI38" t="s">
        <v>131</v>
      </c>
      <c r="BJ38" s="71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0.14515500000000001</v>
      </c>
      <c r="M39" t="s">
        <v>132</v>
      </c>
      <c r="N39" s="17" cm="1">
        <f t="array" aca="1" ref="N39" ca="1">_xll.RiskMean(N38)</f>
        <v>4.6090000000000002E-3</v>
      </c>
      <c r="Y39" t="s">
        <v>132</v>
      </c>
      <c r="Z39" s="17" cm="1">
        <f t="array" aca="1" ref="Z39" ca="1">_xll.RiskMean(Z38)</f>
        <v>4.0000000000000002E-4</v>
      </c>
      <c r="AK39" t="s">
        <v>132</v>
      </c>
      <c r="AL39" s="17" cm="1">
        <f t="array" aca="1" ref="AL39" ca="1">_xll.RiskMean(AL38)</f>
        <v>9.3995999999999996E-2</v>
      </c>
      <c r="AW39" t="s">
        <v>132</v>
      </c>
      <c r="AX39" s="17" cm="1">
        <f t="array" aca="1" ref="AX39" ca="1">_xll.RiskMean(AX38)</f>
        <v>1.6506E-2</v>
      </c>
      <c r="BI39" t="s">
        <v>132</v>
      </c>
      <c r="BJ39" s="17" cm="1">
        <f t="array" aca="1" ref="BJ39" ca="1">_xll.RiskMean(BJ38)</f>
        <v>5.8710000000000004E-3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1.9678443071353147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1.9678443071353147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1.9678443071353147</v>
      </c>
      <c r="AA43" t="s">
        <v>18</v>
      </c>
      <c r="AB43" t="s">
        <v>17</v>
      </c>
      <c r="AC43" t="s">
        <v>11</v>
      </c>
      <c r="AK43" t="s">
        <v>63</v>
      </c>
      <c r="AL43" s="14" cm="1">
        <f t="array" aca="1" ref="AL43" ca="1">_xll.RiskNormal(AL41,AL42)</f>
        <v>1.5990431585965887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1.5990431585965887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1.5990431585965887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92.863341566973844</v>
      </c>
      <c r="C44" t="s">
        <v>5</v>
      </c>
      <c r="M44" t="s">
        <v>64</v>
      </c>
      <c r="N44" s="14">
        <f ca="1">10^(N43)</f>
        <v>92.863341566973844</v>
      </c>
      <c r="O44" t="s">
        <v>5</v>
      </c>
      <c r="Y44" t="s">
        <v>64</v>
      </c>
      <c r="Z44" s="14">
        <f ca="1">10^(Z43)</f>
        <v>92.863341566973844</v>
      </c>
      <c r="AA44" t="s">
        <v>5</v>
      </c>
      <c r="AK44" t="s">
        <v>64</v>
      </c>
      <c r="AL44" s="14">
        <f ca="1">10^(AL43)</f>
        <v>39.723102287368711</v>
      </c>
      <c r="AM44" t="s">
        <v>5</v>
      </c>
      <c r="AW44" t="s">
        <v>64</v>
      </c>
      <c r="AX44" s="14">
        <f ca="1">10^(AX43)</f>
        <v>39.723102287368711</v>
      </c>
      <c r="AY44" t="s">
        <v>5</v>
      </c>
      <c r="BI44" t="s">
        <v>64</v>
      </c>
      <c r="BJ44" s="14">
        <f ca="1">10^(BJ43)</f>
        <v>39.723102287368711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8" t="s">
        <v>93</v>
      </c>
      <c r="B46" s="49">
        <f ca="1">B23*B44</f>
        <v>3.9609621119883004E-2</v>
      </c>
      <c r="C46" s="48" t="s">
        <v>10</v>
      </c>
      <c r="D46" s="48" t="s">
        <v>6</v>
      </c>
      <c r="M46" s="48" t="s">
        <v>93</v>
      </c>
      <c r="N46" s="49">
        <f ca="1">N23*N44</f>
        <v>3.9609621119883004E-2</v>
      </c>
      <c r="O46" s="48" t="s">
        <v>10</v>
      </c>
      <c r="P46" s="48" t="s">
        <v>6</v>
      </c>
      <c r="Y46" s="48" t="s">
        <v>93</v>
      </c>
      <c r="Z46" s="49">
        <f ca="1">Z23*Z44</f>
        <v>3.9609621119883004E-2</v>
      </c>
      <c r="AA46" s="48" t="s">
        <v>10</v>
      </c>
      <c r="AB46" s="48" t="s">
        <v>6</v>
      </c>
      <c r="AK46" s="48" t="s">
        <v>93</v>
      </c>
      <c r="AL46" s="49">
        <f ca="1">AL23*AL44</f>
        <v>1.3412460818555518E-5</v>
      </c>
      <c r="AM46" s="48" t="s">
        <v>10</v>
      </c>
      <c r="AN46" s="48" t="s">
        <v>6</v>
      </c>
      <c r="AW46" s="48" t="s">
        <v>93</v>
      </c>
      <c r="AX46" s="49">
        <f ca="1">AX23*AX44</f>
        <v>1.3412460818555518E-5</v>
      </c>
      <c r="AY46" s="48" t="s">
        <v>10</v>
      </c>
      <c r="AZ46" s="48" t="s">
        <v>6</v>
      </c>
      <c r="BI46" s="48" t="s">
        <v>93</v>
      </c>
      <c r="BJ46" s="49">
        <f ca="1">BJ23*BJ44</f>
        <v>1.3412460818555518E-5</v>
      </c>
      <c r="BK46" s="48" t="s">
        <v>10</v>
      </c>
      <c r="BL46" s="48" t="s">
        <v>6</v>
      </c>
    </row>
    <row r="47" spans="1:71" x14ac:dyDescent="0.25">
      <c r="A47" s="79" t="s">
        <v>142</v>
      </c>
      <c r="B47" s="80">
        <f ca="1">IF(B$25=1,NA(),B$46)</f>
        <v>3.9609621119883004E-2</v>
      </c>
      <c r="C47" s="79" t="s">
        <v>10</v>
      </c>
      <c r="M47" s="79" t="s">
        <v>142</v>
      </c>
      <c r="N47" s="80">
        <f ca="1">IF(N$25=1,NA(),N$46)</f>
        <v>3.9609621119883004E-2</v>
      </c>
      <c r="O47" s="79" t="s">
        <v>10</v>
      </c>
      <c r="Y47" s="79" t="s">
        <v>142</v>
      </c>
      <c r="Z47" s="80">
        <f ca="1">IF(Z$25=1,NA(),Z$46)</f>
        <v>3.9609621119883004E-2</v>
      </c>
      <c r="AA47" s="79" t="s">
        <v>10</v>
      </c>
      <c r="AK47" s="79" t="s">
        <v>142</v>
      </c>
      <c r="AL47" s="80">
        <f ca="1">IF(AL$25=1,NA(),AL$46)</f>
        <v>1.3412460818555518E-5</v>
      </c>
      <c r="AM47" s="79" t="s">
        <v>10</v>
      </c>
      <c r="AW47" s="79" t="s">
        <v>142</v>
      </c>
      <c r="AX47" s="80">
        <f ca="1">IF(AX$25=1,NA(),AX$46)</f>
        <v>1.3412460818555518E-5</v>
      </c>
      <c r="AY47" s="79" t="s">
        <v>10</v>
      </c>
      <c r="BI47" s="79" t="s">
        <v>142</v>
      </c>
      <c r="BJ47" s="80">
        <f ca="1">IF(BJ$25=1,NA(),BJ$46)</f>
        <v>1.3412460818555518E-5</v>
      </c>
      <c r="BK47" s="79" t="s">
        <v>10</v>
      </c>
    </row>
    <row r="48" spans="1:71" x14ac:dyDescent="0.25">
      <c r="A48" s="79" t="s">
        <v>143</v>
      </c>
      <c r="B48" s="80" t="e">
        <f ca="1">IF(B$25=0,NA(),B$46)</f>
        <v>#N/A</v>
      </c>
      <c r="C48" s="79" t="s">
        <v>10</v>
      </c>
      <c r="M48" s="79" t="s">
        <v>143</v>
      </c>
      <c r="N48" s="80" t="e">
        <f ca="1">IF(N$25=0,NA(),N$46)</f>
        <v>#N/A</v>
      </c>
      <c r="O48" s="79" t="s">
        <v>10</v>
      </c>
      <c r="Y48" s="79" t="s">
        <v>143</v>
      </c>
      <c r="Z48" s="80" t="e">
        <f ca="1">IF(Z$25=0,NA(),Z$46)</f>
        <v>#N/A</v>
      </c>
      <c r="AA48" s="79" t="s">
        <v>10</v>
      </c>
      <c r="AK48" s="79" t="s">
        <v>143</v>
      </c>
      <c r="AL48" s="80" t="e">
        <f ca="1">IF(AL$25=0,NA(),AL$46)</f>
        <v>#N/A</v>
      </c>
      <c r="AM48" s="79" t="s">
        <v>10</v>
      </c>
      <c r="AW48" s="79" t="s">
        <v>143</v>
      </c>
      <c r="AX48" s="80" t="e">
        <f ca="1">IF(AX$25=0,NA(),AX$46)</f>
        <v>#N/A</v>
      </c>
      <c r="AY48" s="79" t="s">
        <v>10</v>
      </c>
      <c r="BI48" s="79" t="s">
        <v>143</v>
      </c>
      <c r="BJ48" s="80" t="e">
        <f ca="1">IF(BJ$25=0,NA(),BJ$46)</f>
        <v>#N/A</v>
      </c>
      <c r="BK48" s="79" t="s">
        <v>10</v>
      </c>
    </row>
    <row r="49" spans="1:71" x14ac:dyDescent="0.25">
      <c r="A49" s="78" t="s">
        <v>124</v>
      </c>
      <c r="B49" s="51"/>
      <c r="C49" s="50"/>
      <c r="M49" s="78" t="s">
        <v>124</v>
      </c>
      <c r="N49" s="51"/>
      <c r="O49" s="50"/>
      <c r="Y49" s="78" t="s">
        <v>124</v>
      </c>
      <c r="Z49" s="51"/>
      <c r="AA49" s="50"/>
      <c r="AK49" s="78" t="s">
        <v>124</v>
      </c>
      <c r="AL49" s="51"/>
      <c r="AM49" s="50"/>
      <c r="AW49" s="78" t="s">
        <v>124</v>
      </c>
      <c r="AX49" s="51"/>
      <c r="AY49" s="50"/>
      <c r="BI49" s="78" t="s">
        <v>124</v>
      </c>
      <c r="BJ49" s="51"/>
      <c r="BK49" s="50"/>
    </row>
    <row r="50" spans="1:71" x14ac:dyDescent="0.25">
      <c r="A50" s="50" t="s">
        <v>144</v>
      </c>
      <c r="B50" s="51" t="e">
        <f ca="1">IF(B32=0,NA(),B46)</f>
        <v>#N/A</v>
      </c>
      <c r="C50" s="50" t="s">
        <v>10</v>
      </c>
      <c r="M50" s="50" t="s">
        <v>144</v>
      </c>
      <c r="N50" s="51" t="e">
        <f ca="1">IF(N32=0,NA(),N46)</f>
        <v>#N/A</v>
      </c>
      <c r="O50" s="50" t="s">
        <v>10</v>
      </c>
      <c r="Y50" s="50" t="s">
        <v>144</v>
      </c>
      <c r="Z50" s="51" t="e">
        <f ca="1">IF(Z32=0,NA(),Z46)</f>
        <v>#N/A</v>
      </c>
      <c r="AA50" s="50" t="s">
        <v>10</v>
      </c>
      <c r="AK50" s="50" t="s">
        <v>144</v>
      </c>
      <c r="AL50" s="51" t="e">
        <f ca="1">IF(AL32=0,NA(),AL46)</f>
        <v>#N/A</v>
      </c>
      <c r="AM50" s="50" t="s">
        <v>10</v>
      </c>
      <c r="AW50" s="50" t="s">
        <v>144</v>
      </c>
      <c r="AX50" s="51" t="e">
        <f ca="1">IF(AX32=0,NA(),AX46)</f>
        <v>#N/A</v>
      </c>
      <c r="AY50" s="50" t="s">
        <v>10</v>
      </c>
      <c r="BI50" s="50" t="s">
        <v>144</v>
      </c>
      <c r="BJ50" s="51" t="e">
        <f ca="1">IF(BJ32=0,NA(),BJ46)</f>
        <v>#N/A</v>
      </c>
      <c r="BK50" s="50" t="s">
        <v>10</v>
      </c>
    </row>
    <row r="51" spans="1:71" x14ac:dyDescent="0.25">
      <c r="A51" s="78" t="s">
        <v>134</v>
      </c>
      <c r="B51" s="51"/>
      <c r="C51" s="50"/>
      <c r="M51" s="78" t="s">
        <v>134</v>
      </c>
      <c r="N51" s="51"/>
      <c r="O51" s="50"/>
      <c r="Y51" s="78" t="s">
        <v>134</v>
      </c>
      <c r="Z51" s="51"/>
      <c r="AA51" s="50"/>
      <c r="AK51" s="78" t="s">
        <v>134</v>
      </c>
      <c r="AL51" s="51"/>
      <c r="AM51" s="50"/>
      <c r="AW51" s="78" t="s">
        <v>134</v>
      </c>
      <c r="AX51" s="51"/>
      <c r="AY51" s="50"/>
      <c r="BI51" s="78" t="s">
        <v>134</v>
      </c>
      <c r="BJ51" s="51"/>
      <c r="BK51" s="50"/>
    </row>
    <row r="52" spans="1:71" x14ac:dyDescent="0.25">
      <c r="A52" s="50" t="s">
        <v>135</v>
      </c>
      <c r="B52" s="51" t="e">
        <f ca="1">IF(B36=1,B46,NA())</f>
        <v>#N/A</v>
      </c>
      <c r="C52" s="50"/>
      <c r="M52" s="50" t="s">
        <v>135</v>
      </c>
      <c r="N52" s="51" t="e">
        <f ca="1">IF(N36=1,N46,NA())</f>
        <v>#N/A</v>
      </c>
      <c r="O52" s="50"/>
      <c r="Y52" s="50" t="s">
        <v>135</v>
      </c>
      <c r="Z52" s="51" t="e">
        <f ca="1">IF(Z36=1,Z46,NA())</f>
        <v>#N/A</v>
      </c>
      <c r="AA52" s="50"/>
      <c r="AK52" s="50" t="s">
        <v>135</v>
      </c>
      <c r="AL52" s="51" t="e">
        <f ca="1">IF(AL36=1,AL46,NA())</f>
        <v>#N/A</v>
      </c>
      <c r="AM52" s="50"/>
      <c r="AW52" s="50" t="s">
        <v>135</v>
      </c>
      <c r="AX52" s="51" t="e">
        <f ca="1">IF(AX36=1,AX46,NA())</f>
        <v>#N/A</v>
      </c>
      <c r="AY52" s="50"/>
      <c r="BI52" s="50" t="s">
        <v>135</v>
      </c>
      <c r="BJ52" s="51" t="e">
        <f ca="1">IF(BJ36=1,BJ46,NA())</f>
        <v>#N/A</v>
      </c>
      <c r="BK52" s="50"/>
    </row>
    <row r="53" spans="1:71" x14ac:dyDescent="0.25">
      <c r="A53" s="78" t="s">
        <v>136</v>
      </c>
      <c r="B53" s="51"/>
      <c r="C53" s="50"/>
      <c r="M53" s="78" t="s">
        <v>136</v>
      </c>
      <c r="N53" s="51"/>
      <c r="O53" s="50"/>
      <c r="Y53" s="78" t="s">
        <v>136</v>
      </c>
      <c r="Z53" s="51"/>
      <c r="AA53" s="50"/>
      <c r="AK53" s="78" t="s">
        <v>136</v>
      </c>
      <c r="AL53" s="51"/>
      <c r="AM53" s="50"/>
      <c r="AW53" s="78" t="s">
        <v>136</v>
      </c>
      <c r="AX53" s="51"/>
      <c r="AY53" s="50"/>
      <c r="BI53" s="78" t="s">
        <v>136</v>
      </c>
      <c r="BJ53" s="51"/>
      <c r="BK53" s="50"/>
    </row>
    <row r="54" spans="1:71" x14ac:dyDescent="0.25">
      <c r="A54" s="50" t="s">
        <v>137</v>
      </c>
      <c r="B54" s="51" t="e">
        <f ca="1">IF(B38=0,NA(),B46)</f>
        <v>#N/A</v>
      </c>
      <c r="C54" s="50" t="s">
        <v>10</v>
      </c>
      <c r="M54" s="50" t="s">
        <v>137</v>
      </c>
      <c r="N54" s="51" t="e">
        <f ca="1">IF(N38=0,NA(),N46)</f>
        <v>#N/A</v>
      </c>
      <c r="O54" s="50" t="s">
        <v>10</v>
      </c>
      <c r="Y54" s="50" t="s">
        <v>137</v>
      </c>
      <c r="Z54" s="51" t="e">
        <f ca="1">IF(Z38=0,NA(),Z46)</f>
        <v>#N/A</v>
      </c>
      <c r="AA54" s="50" t="s">
        <v>10</v>
      </c>
      <c r="AK54" s="50" t="s">
        <v>137</v>
      </c>
      <c r="AL54" s="51" t="e">
        <f ca="1">IF(AL38=0,NA(),AL46)</f>
        <v>#N/A</v>
      </c>
      <c r="AM54" s="50" t="s">
        <v>10</v>
      </c>
      <c r="AW54" s="50" t="s">
        <v>137</v>
      </c>
      <c r="AX54" s="51" t="e">
        <f ca="1">IF(AX38=0,NA(),AX46)</f>
        <v>#N/A</v>
      </c>
      <c r="AY54" s="50" t="s">
        <v>10</v>
      </c>
      <c r="BI54" s="50" t="s">
        <v>137</v>
      </c>
      <c r="BJ54" s="51" t="e">
        <f ca="1">IF(BJ38=0,NA(),BJ46)</f>
        <v>#N/A</v>
      </c>
      <c r="BK54" s="50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>
        <f ca="1">B46</f>
        <v>3.9609621119883004E-2</v>
      </c>
      <c r="C58" t="s">
        <v>10</v>
      </c>
      <c r="D58" t="s">
        <v>6</v>
      </c>
      <c r="E58" t="s">
        <v>20</v>
      </c>
      <c r="M58" t="s">
        <v>94</v>
      </c>
      <c r="N58" s="8">
        <f ca="1">N46</f>
        <v>3.9609621119883004E-2</v>
      </c>
      <c r="O58" t="s">
        <v>10</v>
      </c>
      <c r="P58" t="s">
        <v>6</v>
      </c>
      <c r="Q58" t="s">
        <v>20</v>
      </c>
      <c r="Y58" t="s">
        <v>94</v>
      </c>
      <c r="Z58" s="8">
        <f ca="1">Z46</f>
        <v>3.9609621119883004E-2</v>
      </c>
      <c r="AA58" t="s">
        <v>10</v>
      </c>
      <c r="AB58" t="s">
        <v>6</v>
      </c>
      <c r="AC58" t="s">
        <v>20</v>
      </c>
      <c r="AK58" t="s">
        <v>94</v>
      </c>
      <c r="AL58" s="8">
        <f ca="1">AL46</f>
        <v>1.3412460818555518E-5</v>
      </c>
      <c r="AM58" t="s">
        <v>10</v>
      </c>
      <c r="AN58" t="s">
        <v>6</v>
      </c>
      <c r="AO58" t="s">
        <v>20</v>
      </c>
      <c r="AW58" t="s">
        <v>94</v>
      </c>
      <c r="AX58" s="8">
        <f ca="1">AX46</f>
        <v>1.3412460818555518E-5</v>
      </c>
      <c r="AY58" t="s">
        <v>10</v>
      </c>
      <c r="AZ58" t="s">
        <v>6</v>
      </c>
      <c r="BA58" t="s">
        <v>20</v>
      </c>
      <c r="BI58" t="s">
        <v>94</v>
      </c>
      <c r="BJ58" s="8">
        <f ca="1">BJ46</f>
        <v>1.3412460818555518E-5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4">
        <v>1.175E-4</v>
      </c>
      <c r="D59" t="s">
        <v>4</v>
      </c>
      <c r="E59" t="s">
        <v>20</v>
      </c>
      <c r="F59" s="25"/>
      <c r="M59" t="s">
        <v>32</v>
      </c>
      <c r="N59" s="54">
        <v>1.175E-4</v>
      </c>
      <c r="P59" t="s">
        <v>4</v>
      </c>
      <c r="Q59" t="s">
        <v>20</v>
      </c>
      <c r="R59" s="25"/>
      <c r="Y59" t="s">
        <v>32</v>
      </c>
      <c r="Z59" s="54">
        <v>1.175E-4</v>
      </c>
      <c r="AB59" t="s">
        <v>4</v>
      </c>
      <c r="AC59" t="s">
        <v>20</v>
      </c>
      <c r="AD59" s="25"/>
      <c r="AK59" t="s">
        <v>32</v>
      </c>
      <c r="AL59" s="54">
        <v>3.4999999999999998E-7</v>
      </c>
      <c r="AN59" t="s">
        <v>4</v>
      </c>
      <c r="AO59" t="s">
        <v>20</v>
      </c>
      <c r="AP59" s="25"/>
      <c r="AW59" t="s">
        <v>32</v>
      </c>
      <c r="AX59" s="54">
        <v>3.4999999999999998E-7</v>
      </c>
      <c r="AZ59" t="s">
        <v>4</v>
      </c>
      <c r="BA59" t="s">
        <v>20</v>
      </c>
      <c r="BB59" s="25"/>
      <c r="BI59" t="s">
        <v>32</v>
      </c>
      <c r="BJ59" s="54">
        <v>3.4999999999999998E-7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2">
        <f ca="1">IF(B60=1,B58*B59,B58)</f>
        <v>4.6541304815862526E-6</v>
      </c>
      <c r="C61" s="20" t="s">
        <v>10</v>
      </c>
      <c r="D61" t="s">
        <v>6</v>
      </c>
      <c r="E61" t="s">
        <v>20</v>
      </c>
      <c r="M61" s="20" t="s">
        <v>123</v>
      </c>
      <c r="N61" s="52">
        <f ca="1">IF(N60=1,N58*N59,N58)</f>
        <v>4.6541304815862526E-6</v>
      </c>
      <c r="O61" s="20" t="s">
        <v>10</v>
      </c>
      <c r="P61" t="s">
        <v>6</v>
      </c>
      <c r="Q61" t="s">
        <v>20</v>
      </c>
      <c r="Y61" s="20" t="s">
        <v>123</v>
      </c>
      <c r="Z61" s="52">
        <f ca="1">IF(Z60=1,Z58*Z59,Z58)</f>
        <v>4.6541304815862526E-6</v>
      </c>
      <c r="AA61" s="20" t="s">
        <v>10</v>
      </c>
      <c r="AB61" t="s">
        <v>6</v>
      </c>
      <c r="AC61" t="s">
        <v>20</v>
      </c>
      <c r="AK61" s="20" t="s">
        <v>123</v>
      </c>
      <c r="AL61" s="52">
        <f ca="1">IF(AL60=1,AL58*AL59,AL58)</f>
        <v>4.6943612864944308E-12</v>
      </c>
      <c r="AM61" s="20" t="s">
        <v>10</v>
      </c>
      <c r="AN61" t="s">
        <v>6</v>
      </c>
      <c r="AO61" t="s">
        <v>20</v>
      </c>
      <c r="AW61" s="20" t="s">
        <v>123</v>
      </c>
      <c r="AX61" s="52">
        <f ca="1">IF(AX60=1,AX58*AX59,AX58)</f>
        <v>4.6943612864944308E-12</v>
      </c>
      <c r="AY61" s="20" t="s">
        <v>10</v>
      </c>
      <c r="AZ61" t="s">
        <v>6</v>
      </c>
      <c r="BA61" t="s">
        <v>20</v>
      </c>
      <c r="BI61" s="20" t="s">
        <v>123</v>
      </c>
      <c r="BJ61" s="52">
        <f ca="1">IF(BJ60=1,BJ58*BJ59,BJ58)</f>
        <v>4.6943612864944308E-12</v>
      </c>
      <c r="BK61" s="20" t="s">
        <v>10</v>
      </c>
      <c r="BL61" t="s">
        <v>6</v>
      </c>
      <c r="BM61" t="s">
        <v>20</v>
      </c>
    </row>
    <row r="62" spans="1:71" x14ac:dyDescent="0.25">
      <c r="A62" s="79" t="str">
        <f>A47&amp;" (after scaling factor)"</f>
        <v>Level under the threshold (after scaling factor)</v>
      </c>
      <c r="B62" s="80">
        <f ca="1">B47*B59</f>
        <v>4.6541304815862526E-6</v>
      </c>
      <c r="C62" s="79" t="s">
        <v>10</v>
      </c>
      <c r="D62" t="s">
        <v>86</v>
      </c>
      <c r="J62" s="7"/>
      <c r="M62" s="79" t="str">
        <f>M47&amp;" (after scaling factor)"</f>
        <v>Level under the threshold (after scaling factor)</v>
      </c>
      <c r="N62" s="80">
        <f ca="1">N47*N59</f>
        <v>4.6541304815862526E-6</v>
      </c>
      <c r="O62" s="79" t="s">
        <v>10</v>
      </c>
      <c r="P62" t="s">
        <v>86</v>
      </c>
      <c r="V62" s="7"/>
      <c r="Y62" s="79" t="str">
        <f>Y47&amp;" (after scaling factor)"</f>
        <v>Level under the threshold (after scaling factor)</v>
      </c>
      <c r="Z62" s="80">
        <f ca="1">Z47*Z59</f>
        <v>4.6541304815862526E-6</v>
      </c>
      <c r="AA62" s="79" t="s">
        <v>10</v>
      </c>
      <c r="AB62" t="s">
        <v>86</v>
      </c>
      <c r="AH62" s="7"/>
      <c r="AK62" s="79" t="str">
        <f>AK47&amp;" (after scaling factor)"</f>
        <v>Level under the threshold (after scaling factor)</v>
      </c>
      <c r="AL62" s="80">
        <f ca="1">AL47*AL59</f>
        <v>4.6943612864944308E-12</v>
      </c>
      <c r="AM62" s="79" t="s">
        <v>10</v>
      </c>
      <c r="AN62" t="s">
        <v>86</v>
      </c>
      <c r="AT62" s="7"/>
      <c r="AW62" s="79" t="str">
        <f>AW47&amp;" (after scaling factor)"</f>
        <v>Level under the threshold (after scaling factor)</v>
      </c>
      <c r="AX62" s="80">
        <f ca="1">AX47*AX59</f>
        <v>4.6943612864944308E-12</v>
      </c>
      <c r="AY62" s="79" t="s">
        <v>10</v>
      </c>
      <c r="AZ62" t="s">
        <v>86</v>
      </c>
      <c r="BF62" s="7"/>
      <c r="BI62" s="79" t="str">
        <f>BI47&amp;" (after scaling factor)"</f>
        <v>Level under the threshold (after scaling factor)</v>
      </c>
      <c r="BJ62" s="80">
        <f ca="1">BJ47*BJ59</f>
        <v>4.6943612864944308E-12</v>
      </c>
      <c r="BK62" s="79" t="s">
        <v>10</v>
      </c>
      <c r="BL62" t="s">
        <v>86</v>
      </c>
      <c r="BR62" s="7"/>
    </row>
    <row r="63" spans="1:71" x14ac:dyDescent="0.25">
      <c r="A63" s="79" t="str">
        <f>A48&amp;" (after scaling factor)"</f>
        <v>Level over the threshold (after scaling factor)</v>
      </c>
      <c r="B63" s="80" t="e">
        <f ca="1">B48*B59</f>
        <v>#N/A</v>
      </c>
      <c r="C63" s="79" t="s">
        <v>10</v>
      </c>
      <c r="M63" s="79" t="str">
        <f>M48&amp;" (after scaling factor)"</f>
        <v>Level over the threshold (after scaling factor)</v>
      </c>
      <c r="N63" s="80" t="e">
        <f ca="1">N48*N59</f>
        <v>#N/A</v>
      </c>
      <c r="O63" s="79" t="s">
        <v>10</v>
      </c>
      <c r="Y63" s="79" t="str">
        <f>Y48&amp;" (after scaling factor)"</f>
        <v>Level over the threshold (after scaling factor)</v>
      </c>
      <c r="Z63" s="80" t="e">
        <f ca="1">Z48*Z59</f>
        <v>#N/A</v>
      </c>
      <c r="AA63" s="79" t="s">
        <v>10</v>
      </c>
      <c r="AK63" s="79" t="str">
        <f>AK48&amp;" (after scaling factor)"</f>
        <v>Level over the threshold (after scaling factor)</v>
      </c>
      <c r="AL63" s="80" t="e">
        <f ca="1">AL48*AL59</f>
        <v>#N/A</v>
      </c>
      <c r="AM63" s="79" t="s">
        <v>10</v>
      </c>
      <c r="AW63" s="79" t="str">
        <f>AW48&amp;" (after scaling factor)"</f>
        <v>Level over the threshold (after scaling factor)</v>
      </c>
      <c r="AX63" s="80" t="e">
        <f ca="1">AX48*AX59</f>
        <v>#N/A</v>
      </c>
      <c r="AY63" s="79" t="s">
        <v>10</v>
      </c>
      <c r="BI63" s="79" t="str">
        <f>BI48&amp;" (after scaling factor)"</f>
        <v>Level over the threshold (after scaling factor)</v>
      </c>
      <c r="BJ63" s="80" t="e">
        <f ca="1">BJ48*BJ59</f>
        <v>#N/A</v>
      </c>
      <c r="BK63" s="79" t="s">
        <v>10</v>
      </c>
    </row>
    <row r="64" spans="1:71" x14ac:dyDescent="0.25">
      <c r="A64" s="50" t="str">
        <f>A50&amp; " (after scaling factor)"</f>
        <v>Inclusion list &amp; level over the threshold (after scaling factor)</v>
      </c>
      <c r="B64" s="51" t="e">
        <f ca="1">B50*B$59</f>
        <v>#N/A</v>
      </c>
      <c r="C64" s="50" t="s">
        <v>10</v>
      </c>
      <c r="M64" s="50" t="str">
        <f>M50&amp; " (after scaling factor)"</f>
        <v>Inclusion list &amp; level over the threshold (after scaling factor)</v>
      </c>
      <c r="N64" s="51" t="e">
        <f ca="1">N50*N$59</f>
        <v>#N/A</v>
      </c>
      <c r="O64" s="50" t="s">
        <v>10</v>
      </c>
      <c r="Y64" s="50" t="str">
        <f>Y50&amp; " (after scaling factor)"</f>
        <v>Inclusion list &amp; level over the threshold (after scaling factor)</v>
      </c>
      <c r="Z64" s="51" t="e">
        <f ca="1">Z50*Z$59</f>
        <v>#N/A</v>
      </c>
      <c r="AA64" s="50" t="s">
        <v>10</v>
      </c>
      <c r="AK64" s="50" t="str">
        <f>AK50&amp; " (after scaling factor)"</f>
        <v>Inclusion list &amp; level over the threshold (after scaling factor)</v>
      </c>
      <c r="AL64" s="51" t="e">
        <f ca="1">AL50*AL$59</f>
        <v>#N/A</v>
      </c>
      <c r="AM64" s="50" t="s">
        <v>10</v>
      </c>
      <c r="AW64" s="50" t="str">
        <f>AW50&amp; " (after scaling factor)"</f>
        <v>Inclusion list &amp; level over the threshold (after scaling factor)</v>
      </c>
      <c r="AX64" s="51" t="e">
        <f ca="1">AX50*AX$59</f>
        <v>#N/A</v>
      </c>
      <c r="AY64" s="50" t="s">
        <v>10</v>
      </c>
      <c r="BI64" s="50" t="str">
        <f>BI50&amp; " (after scaling factor)"</f>
        <v>Inclusion list &amp; level over the threshold (after scaling factor)</v>
      </c>
      <c r="BJ64" s="51" t="e">
        <f ca="1">BJ50*BJ$59</f>
        <v>#N/A</v>
      </c>
      <c r="BK64" s="50" t="s">
        <v>10</v>
      </c>
    </row>
    <row r="65" spans="1:71" x14ac:dyDescent="0.25">
      <c r="A65" s="50" t="str">
        <f>A52&amp; " (after scaling factor)"</f>
        <v>Serotype Kentucky &amp; level over the threshold (after scaling factor)</v>
      </c>
      <c r="B65" s="51" t="e">
        <f ca="1">B52*B$59</f>
        <v>#N/A</v>
      </c>
      <c r="C65" s="50" t="s">
        <v>10</v>
      </c>
      <c r="M65" s="50" t="str">
        <f>M52&amp; " (after scaling factor)"</f>
        <v>Serotype Kentucky &amp; level over the threshold (after scaling factor)</v>
      </c>
      <c r="N65" s="51" t="e">
        <f ca="1">N52*N$59</f>
        <v>#N/A</v>
      </c>
      <c r="O65" s="50" t="s">
        <v>10</v>
      </c>
      <c r="Y65" s="50" t="str">
        <f>Y52&amp; " (after scaling factor)"</f>
        <v>Serotype Kentucky &amp; level over the threshold (after scaling factor)</v>
      </c>
      <c r="Z65" s="51" t="e">
        <f ca="1">Z52*Z$59</f>
        <v>#N/A</v>
      </c>
      <c r="AA65" s="50" t="s">
        <v>10</v>
      </c>
      <c r="AK65" s="50" t="str">
        <f>AK52&amp; " (after scaling factor)"</f>
        <v>Serotype Kentucky &amp; level over the threshold (after scaling factor)</v>
      </c>
      <c r="AL65" s="51" t="e">
        <f ca="1">AL52*AL$59</f>
        <v>#N/A</v>
      </c>
      <c r="AM65" s="50" t="s">
        <v>10</v>
      </c>
      <c r="AW65" s="50" t="str">
        <f>AW52&amp; " (after scaling factor)"</f>
        <v>Serotype Kentucky &amp; level over the threshold (after scaling factor)</v>
      </c>
      <c r="AX65" s="51" t="e">
        <f ca="1">AX52*AX$59</f>
        <v>#N/A</v>
      </c>
      <c r="AY65" s="50" t="s">
        <v>10</v>
      </c>
      <c r="BI65" s="50" t="str">
        <f>BI52&amp; " (after scaling factor)"</f>
        <v>Serotype Kentucky &amp; level over the threshold (after scaling factor)</v>
      </c>
      <c r="BJ65" s="51" t="e">
        <f ca="1">BJ52*BJ$59</f>
        <v>#N/A</v>
      </c>
      <c r="BK65" s="50" t="s">
        <v>10</v>
      </c>
    </row>
    <row r="66" spans="1:71" x14ac:dyDescent="0.25">
      <c r="A66" s="50" t="str">
        <f>A54&amp; " (after scaling factor)"</f>
        <v>Serotype not Kentucky &amp; level over the threshold (after scaling factor)</v>
      </c>
      <c r="B66" s="51" t="e">
        <f ca="1">B54*B59</f>
        <v>#N/A</v>
      </c>
      <c r="C66" s="50" t="s">
        <v>10</v>
      </c>
      <c r="M66" s="50" t="str">
        <f>M54&amp; " (after scaling factor)"</f>
        <v>Serotype not Kentucky &amp; level over the threshold (after scaling factor)</v>
      </c>
      <c r="N66" s="51" t="e">
        <f ca="1">N54*N59</f>
        <v>#N/A</v>
      </c>
      <c r="O66" s="50" t="s">
        <v>10</v>
      </c>
      <c r="Y66" s="50" t="str">
        <f>Y54&amp; " (after scaling factor)"</f>
        <v>Serotype not Kentucky &amp; level over the threshold (after scaling factor)</v>
      </c>
      <c r="Z66" s="51" t="e">
        <f ca="1">Z54*Z59</f>
        <v>#N/A</v>
      </c>
      <c r="AA66" s="50" t="s">
        <v>10</v>
      </c>
      <c r="AK66" s="50" t="str">
        <f>AK54&amp; " (after scaling factor)"</f>
        <v>Serotype not Kentucky &amp; level over the threshold (after scaling factor)</v>
      </c>
      <c r="AL66" s="51" t="e">
        <f ca="1">AL54*AL59</f>
        <v>#N/A</v>
      </c>
      <c r="AM66" s="50" t="s">
        <v>10</v>
      </c>
      <c r="AW66" s="50" t="str">
        <f>AW54&amp; " (after scaling factor)"</f>
        <v>Serotype not Kentucky &amp; level over the threshold (after scaling factor)</v>
      </c>
      <c r="AX66" s="51" t="e">
        <f ca="1">AX54*AX59</f>
        <v>#N/A</v>
      </c>
      <c r="AY66" s="50" t="s">
        <v>10</v>
      </c>
      <c r="BI66" s="50" t="str">
        <f>BI54&amp; " (after scaling factor)"</f>
        <v>Serotype not Kentucky &amp; level over the threshold (after scaling factor)</v>
      </c>
      <c r="BJ66" s="51" t="e">
        <f ca="1">BJ54*BJ59</f>
        <v>#N/A</v>
      </c>
      <c r="BK66" s="50" t="s">
        <v>10</v>
      </c>
    </row>
    <row r="67" spans="1:71" ht="15.75" x14ac:dyDescent="0.25">
      <c r="A67" s="34" t="s">
        <v>98</v>
      </c>
      <c r="B67" s="64" t="s">
        <v>96</v>
      </c>
      <c r="C67" s="64" t="s">
        <v>97</v>
      </c>
      <c r="D67" s="56"/>
      <c r="E67" s="56"/>
      <c r="F67" s="56"/>
      <c r="G67" s="56"/>
      <c r="H67" s="56"/>
      <c r="I67" s="56"/>
      <c r="J67" s="56"/>
      <c r="K67" s="56"/>
      <c r="M67" s="34" t="s">
        <v>98</v>
      </c>
      <c r="N67" s="64" t="s">
        <v>96</v>
      </c>
      <c r="O67" s="64" t="s">
        <v>97</v>
      </c>
      <c r="P67" s="56"/>
      <c r="Q67" s="56"/>
      <c r="R67" s="56"/>
      <c r="S67" s="56"/>
      <c r="T67" s="56"/>
      <c r="U67" s="56"/>
      <c r="V67" s="56"/>
      <c r="W67" s="56"/>
      <c r="Y67" s="34" t="s">
        <v>98</v>
      </c>
      <c r="Z67" s="64" t="s">
        <v>96</v>
      </c>
      <c r="AA67" s="64" t="s">
        <v>97</v>
      </c>
      <c r="AB67" s="56"/>
      <c r="AC67" s="56"/>
      <c r="AD67" s="56"/>
      <c r="AE67" s="56"/>
      <c r="AF67" s="56"/>
      <c r="AG67" s="56"/>
      <c r="AH67" s="56"/>
      <c r="AI67" s="56"/>
      <c r="AK67" s="34" t="s">
        <v>98</v>
      </c>
      <c r="AL67" s="64" t="s">
        <v>96</v>
      </c>
      <c r="AM67" s="64" t="s">
        <v>97</v>
      </c>
      <c r="AN67" s="56"/>
      <c r="AO67" s="56"/>
      <c r="AP67" s="56"/>
      <c r="AQ67" s="56"/>
      <c r="AR67" s="56"/>
      <c r="AS67" s="56"/>
      <c r="AT67" s="56"/>
      <c r="AU67" s="56"/>
      <c r="AW67" s="34" t="s">
        <v>98</v>
      </c>
      <c r="AX67" s="64" t="s">
        <v>96</v>
      </c>
      <c r="AY67" s="64" t="s">
        <v>97</v>
      </c>
      <c r="AZ67" s="56"/>
      <c r="BA67" s="56"/>
      <c r="BB67" s="56"/>
      <c r="BC67" s="56"/>
      <c r="BD67" s="56"/>
      <c r="BE67" s="56"/>
      <c r="BF67" s="56"/>
      <c r="BG67" s="56"/>
      <c r="BI67" s="34" t="s">
        <v>98</v>
      </c>
      <c r="BJ67" s="64" t="s">
        <v>96</v>
      </c>
      <c r="BK67" s="64" t="s">
        <v>97</v>
      </c>
      <c r="BL67" s="56"/>
      <c r="BM67" s="56"/>
      <c r="BN67" s="56"/>
      <c r="BO67" s="56"/>
      <c r="BP67" s="56"/>
      <c r="BQ67" s="56"/>
      <c r="BR67" s="56"/>
      <c r="BS67" s="56"/>
    </row>
    <row r="68" spans="1:71" x14ac:dyDescent="0.25">
      <c r="A68" s="59" t="s">
        <v>84</v>
      </c>
      <c r="B68" s="62" cm="1">
        <f t="array" aca="1" ref="B68" ca="1">_xll.RiskOutput()+1-(1+(B61/C56))^(-B56)</f>
        <v>1.1976809433100755E-8</v>
      </c>
      <c r="C68" s="63" cm="1">
        <f t="array" aca="1" ref="C68" ca="1">_xll.RiskOutput()+LOG10(B68)</f>
        <v>-7.9216588605900213</v>
      </c>
      <c r="D68" t="s">
        <v>99</v>
      </c>
      <c r="E68" t="s">
        <v>20</v>
      </c>
      <c r="F68" s="20" t="s">
        <v>87</v>
      </c>
      <c r="M68" s="59" t="s">
        <v>84</v>
      </c>
      <c r="N68" s="62" cm="1">
        <f t="array" aca="1" ref="N68" ca="1">_xll.RiskOutput()+1-(1+(N61/O56))^(-N56)</f>
        <v>1.1976809433100755E-8</v>
      </c>
      <c r="O68" s="63" cm="1">
        <f t="array" aca="1" ref="O68" ca="1">_xll.RiskOutput()+LOG10(N68)</f>
        <v>-7.9216588605900213</v>
      </c>
      <c r="P68" t="s">
        <v>99</v>
      </c>
      <c r="Q68" t="s">
        <v>20</v>
      </c>
      <c r="R68" s="20" t="s">
        <v>87</v>
      </c>
      <c r="Y68" s="59" t="s">
        <v>84</v>
      </c>
      <c r="Z68" s="62" cm="1">
        <f t="array" aca="1" ref="Z68" ca="1">_xll.RiskOutput()+1-(1+(Z61/AA56))^(-Z56)</f>
        <v>1.1976809433100755E-8</v>
      </c>
      <c r="AA68" s="63" cm="1">
        <f t="array" aca="1" ref="AA68" ca="1">_xll.RiskOutput()+LOG10(Z68)</f>
        <v>-7.9216588605900213</v>
      </c>
      <c r="AB68" t="s">
        <v>99</v>
      </c>
      <c r="AC68" t="s">
        <v>20</v>
      </c>
      <c r="AD68" s="20" t="s">
        <v>87</v>
      </c>
      <c r="AK68" s="59" t="s">
        <v>84</v>
      </c>
      <c r="AL68" s="62" cm="1">
        <f t="array" aca="1" ref="AL68" ca="1">_xll.RiskOutput()+1-(1+(AL61/AM56))^(-AL56)</f>
        <v>1.1990408665951691E-14</v>
      </c>
      <c r="AM68" s="63" cm="1">
        <f t="array" aca="1" ref="AM68" ca="1">_xll.RiskOutput()+LOG10(AL68)</f>
        <v>-13.921166014704054</v>
      </c>
      <c r="AN68" t="s">
        <v>99</v>
      </c>
      <c r="AO68" t="s">
        <v>20</v>
      </c>
      <c r="AP68" s="20" t="s">
        <v>87</v>
      </c>
      <c r="AW68" s="59" t="s">
        <v>84</v>
      </c>
      <c r="AX68" s="62" cm="1">
        <f t="array" aca="1" ref="AX68" ca="1">_xll.RiskOutput()+1-(1+(AX61/AY56))^(-AX56)</f>
        <v>1.1990408665951691E-14</v>
      </c>
      <c r="AY68" s="63" cm="1">
        <f t="array" aca="1" ref="AY68" ca="1">_xll.RiskOutput()+LOG10(AX68)</f>
        <v>-13.921166014704054</v>
      </c>
      <c r="AZ68" t="s">
        <v>99</v>
      </c>
      <c r="BA68" t="s">
        <v>20</v>
      </c>
      <c r="BB68" s="20" t="s">
        <v>87</v>
      </c>
      <c r="BI68" s="59" t="s">
        <v>84</v>
      </c>
      <c r="BJ68" s="62" cm="1">
        <f t="array" aca="1" ref="BJ68" ca="1">_xll.RiskOutput()+1-(1+(BJ61/BK56))^(-BJ56)</f>
        <v>1.1990408665951691E-14</v>
      </c>
      <c r="BK68" s="63" cm="1">
        <f t="array" aca="1" ref="BK68" ca="1">_xll.RiskOutput()+LOG10(BJ68)</f>
        <v>-13.921166014704054</v>
      </c>
      <c r="BL68" t="s">
        <v>99</v>
      </c>
      <c r="BM68" t="s">
        <v>20</v>
      </c>
      <c r="BN68" s="20" t="s">
        <v>87</v>
      </c>
    </row>
    <row r="69" spans="1:71" x14ac:dyDescent="0.25">
      <c r="A69" s="60" t="s">
        <v>22</v>
      </c>
      <c r="B69" s="61" cm="1">
        <f t="array" aca="1" ref="B69" ca="1">_xll.RiskMean(B68)</f>
        <v>1.9808065143085155E-6</v>
      </c>
      <c r="C69" s="58" cm="1">
        <f t="array" aca="1" ref="C69" ca="1">_xll.RiskOutput()+LOG10(B69)</f>
        <v>-5.7031579443867582</v>
      </c>
      <c r="E69" s="20"/>
      <c r="M69" s="60" t="s">
        <v>22</v>
      </c>
      <c r="N69" s="61" cm="1">
        <f t="array" aca="1" ref="N69" ca="1">_xll.RiskMean(N68)</f>
        <v>1.9808065143085155E-6</v>
      </c>
      <c r="O69" s="58" cm="1">
        <f t="array" aca="1" ref="O69" ca="1">_xll.RiskOutput()+LOG10(N69)</f>
        <v>-5.7031579443867582</v>
      </c>
      <c r="Q69" s="20"/>
      <c r="Y69" s="60" t="s">
        <v>22</v>
      </c>
      <c r="Z69" s="61" cm="1">
        <f t="array" aca="1" ref="Z69" ca="1">_xll.RiskMean(Z68)</f>
        <v>1.9808065143085155E-6</v>
      </c>
      <c r="AA69" s="58" cm="1">
        <f t="array" aca="1" ref="AA69" ca="1">_xll.RiskOutput()+LOG10(Z69)</f>
        <v>-5.7031579443867582</v>
      </c>
      <c r="AC69" s="20"/>
      <c r="AK69" s="60" t="s">
        <v>22</v>
      </c>
      <c r="AL69" s="61" cm="1">
        <f t="array" aca="1" ref="AL69" ca="1">_xll.RiskMean(AL68)</f>
        <v>2.1814846706259576E-6</v>
      </c>
      <c r="AM69" s="58" cm="1">
        <f t="array" aca="1" ref="AM69" ca="1">_xll.RiskOutput()+LOG10(AL69)</f>
        <v>-5.6612478344699406</v>
      </c>
      <c r="AO69" s="20"/>
      <c r="AW69" s="60" t="s">
        <v>22</v>
      </c>
      <c r="AX69" s="61" cm="1">
        <f t="array" aca="1" ref="AX69" ca="1">_xll.RiskMean(AX68)</f>
        <v>2.1814846706259576E-6</v>
      </c>
      <c r="AY69" s="58" cm="1">
        <f t="array" aca="1" ref="AY69" ca="1">_xll.RiskOutput()+LOG10(AX69)</f>
        <v>-5.6612478344699406</v>
      </c>
      <c r="BA69" s="20"/>
      <c r="BI69" s="60" t="s">
        <v>22</v>
      </c>
      <c r="BJ69" s="61" cm="1">
        <f t="array" aca="1" ref="BJ69" ca="1">_xll.RiskMean(BJ68)</f>
        <v>2.1814846706259576E-6</v>
      </c>
      <c r="BK69" s="58" cm="1">
        <f t="array" aca="1" ref="BK69" ca="1">_xll.RiskOutput()+LOG10(BJ69)</f>
        <v>-5.6612478344699406</v>
      </c>
      <c r="BM69" s="20"/>
    </row>
    <row r="70" spans="1:71" x14ac:dyDescent="0.25">
      <c r="A70" s="47" t="s">
        <v>25</v>
      </c>
      <c r="B70" s="10" cm="1">
        <f t="array" aca="1" ref="B70" ca="1">_xll.RiskPercentile(B68,0.05)</f>
        <v>1.5953394161272172E-10</v>
      </c>
      <c r="C70" s="57" cm="1">
        <f t="array" aca="1" ref="C70" ca="1">_xll.RiskOutput()+LOG10(B70)</f>
        <v>-9.7971469045382857</v>
      </c>
      <c r="M70" s="47" t="s">
        <v>25</v>
      </c>
      <c r="N70" s="10" cm="1">
        <f t="array" aca="1" ref="N70" ca="1">_xll.RiskPercentile(N68,0.05)</f>
        <v>1.5953394161272172E-10</v>
      </c>
      <c r="O70" s="57" cm="1">
        <f t="array" aca="1" ref="O70" ca="1">_xll.RiskOutput()+LOG10(N70)</f>
        <v>-9.7971469045382857</v>
      </c>
      <c r="Y70" s="47" t="s">
        <v>25</v>
      </c>
      <c r="Z70" s="10" cm="1">
        <f t="array" aca="1" ref="Z70" ca="1">_xll.RiskPercentile(Z68,0.05)</f>
        <v>1.5953394161272172E-10</v>
      </c>
      <c r="AA70" s="57" cm="1">
        <f t="array" aca="1" ref="AA70" ca="1">_xll.RiskOutput()+LOG10(Z70)</f>
        <v>-9.7971469045382857</v>
      </c>
      <c r="AK70" s="47" t="s">
        <v>25</v>
      </c>
      <c r="AL70" s="10" cm="1">
        <f t="array" aca="1" ref="AL70" ca="1">_xll.RiskPercentile(AL68,0.05)</f>
        <v>0</v>
      </c>
      <c r="AM70" s="57" t="e" cm="1">
        <f t="array" aca="1" ref="AM70" ca="1">_xll.RiskOutput()+LOG10(AL70)</f>
        <v>#NUM!</v>
      </c>
      <c r="AW70" s="47" t="s">
        <v>25</v>
      </c>
      <c r="AX70" s="10" cm="1">
        <f t="array" aca="1" ref="AX70" ca="1">_xll.RiskPercentile(AX68,0.05)</f>
        <v>0</v>
      </c>
      <c r="AY70" s="57" t="e" cm="1">
        <f t="array" aca="1" ref="AY70" ca="1">_xll.RiskOutput()+LOG10(AX70)</f>
        <v>#NUM!</v>
      </c>
      <c r="BI70" s="47" t="s">
        <v>25</v>
      </c>
      <c r="BJ70" s="10" cm="1">
        <f t="array" aca="1" ref="BJ70" ca="1">_xll.RiskPercentile(BJ68,0.05)</f>
        <v>0</v>
      </c>
      <c r="BK70" s="57" t="e" cm="1">
        <f t="array" aca="1" ref="BK70" ca="1">_xll.RiskOutput()+LOG10(BJ70)</f>
        <v>#NUM!</v>
      </c>
    </row>
    <row r="71" spans="1:71" x14ac:dyDescent="0.25">
      <c r="A71" s="47" t="s">
        <v>23</v>
      </c>
      <c r="B71" s="10" cm="1">
        <f t="array" aca="1" ref="B71" ca="1">_xll.RiskPercentile(B68,0.95)</f>
        <v>3.1316338454656645E-6</v>
      </c>
      <c r="C71" s="57" cm="1">
        <f t="array" aca="1" ref="C71" ca="1">_xll.RiskOutput()+LOG10(B71)</f>
        <v>-5.5042290218981833</v>
      </c>
      <c r="M71" s="47" t="s">
        <v>23</v>
      </c>
      <c r="N71" s="10" cm="1">
        <f t="array" aca="1" ref="N71" ca="1">_xll.RiskPercentile(N68,0.95)</f>
        <v>3.1316338454656645E-6</v>
      </c>
      <c r="O71" s="57" cm="1">
        <f t="array" aca="1" ref="O71" ca="1">_xll.RiskOutput()+LOG10(N71)</f>
        <v>-5.5042290218981833</v>
      </c>
      <c r="Y71" s="47" t="s">
        <v>23</v>
      </c>
      <c r="Z71" s="10" cm="1">
        <f t="array" aca="1" ref="Z71" ca="1">_xll.RiskPercentile(Z68,0.95)</f>
        <v>3.1316338454656645E-6</v>
      </c>
      <c r="AA71" s="57" cm="1">
        <f t="array" aca="1" ref="AA71" ca="1">_xll.RiskOutput()+LOG10(Z71)</f>
        <v>-5.5042290218981833</v>
      </c>
      <c r="AK71" s="47" t="s">
        <v>23</v>
      </c>
      <c r="AL71" s="10" cm="1">
        <f t="array" aca="1" ref="AL71" ca="1">_xll.RiskPercentile(AL68,0.95)</f>
        <v>1.5659654239996712E-8</v>
      </c>
      <c r="AM71" s="57" cm="1">
        <f t="array" aca="1" ref="AM71" ca="1">_xll.RiskOutput()+LOG10(AL71)</f>
        <v>-7.8052178312512073</v>
      </c>
      <c r="AW71" s="47" t="s">
        <v>23</v>
      </c>
      <c r="AX71" s="10" cm="1">
        <f t="array" aca="1" ref="AX71" ca="1">_xll.RiskPercentile(AX68,0.95)</f>
        <v>1.5659654239996712E-8</v>
      </c>
      <c r="AY71" s="57" cm="1">
        <f t="array" aca="1" ref="AY71" ca="1">_xll.RiskOutput()+LOG10(AX71)</f>
        <v>-7.8052178312512073</v>
      </c>
      <c r="BI71" s="47" t="s">
        <v>23</v>
      </c>
      <c r="BJ71" s="10" cm="1">
        <f t="array" aca="1" ref="BJ71" ca="1">_xll.RiskPercentile(BJ68,0.95)</f>
        <v>1.5659654239996712E-8</v>
      </c>
      <c r="BK71" s="57" cm="1">
        <f t="array" aca="1" ref="BK71" ca="1">_xll.RiskOutput()+LOG10(BJ71)</f>
        <v>-7.8052178312512073</v>
      </c>
    </row>
    <row r="72" spans="1:71" ht="18.75" x14ac:dyDescent="0.3">
      <c r="A72" s="34" t="s">
        <v>34</v>
      </c>
      <c r="B72" s="64" t="s">
        <v>96</v>
      </c>
      <c r="C72" s="64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4" t="s">
        <v>96</v>
      </c>
      <c r="O72" s="64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4" t="s">
        <v>96</v>
      </c>
      <c r="AA72" s="64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4" t="s">
        <v>96</v>
      </c>
      <c r="AM72" s="64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4" t="s">
        <v>96</v>
      </c>
      <c r="AY72" s="64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4" t="s">
        <v>96</v>
      </c>
      <c r="BK72" s="64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3" t="str">
        <f>"P(ill) from " &amp;A47</f>
        <v>P(ill) from Level under the threshold</v>
      </c>
      <c r="B73" s="62" cm="1">
        <f t="array" aca="1" ref="B73" ca="1">_xll.RiskOutput()+1-(1+(B$62/C$56))^(-B$56)</f>
        <v>1.1976809433100755E-8</v>
      </c>
      <c r="C73" s="63" cm="1">
        <f t="array" aca="1" ref="C73" ca="1">_xll.RiskOutput()+LOG10(B73)</f>
        <v>-7.9216588605900213</v>
      </c>
      <c r="E73" t="s">
        <v>20</v>
      </c>
      <c r="M73" s="53" t="str">
        <f>"P(ill) from " &amp;M47</f>
        <v>P(ill) from Level under the threshold</v>
      </c>
      <c r="N73" s="62" cm="1">
        <f t="array" aca="1" ref="N73" ca="1">_xll.RiskOutput()+1-(1+(N$62/O$56))^(-N$56)</f>
        <v>1.1976809433100755E-8</v>
      </c>
      <c r="O73" s="63" cm="1">
        <f t="array" aca="1" ref="O73" ca="1">_xll.RiskOutput()+LOG10(N73)</f>
        <v>-7.9216588605900213</v>
      </c>
      <c r="Q73" t="s">
        <v>20</v>
      </c>
      <c r="Y73" s="53" t="str">
        <f>"P(ill) from " &amp;Y47</f>
        <v>P(ill) from Level under the threshold</v>
      </c>
      <c r="Z73" s="62" cm="1">
        <f t="array" aca="1" ref="Z73" ca="1">_xll.RiskOutput()+1-(1+(Z$62/AA$56))^(-Z$56)</f>
        <v>1.1976809433100755E-8</v>
      </c>
      <c r="AA73" s="63" cm="1">
        <f t="array" aca="1" ref="AA73" ca="1">_xll.RiskOutput()+LOG10(Z73)</f>
        <v>-7.9216588605900213</v>
      </c>
      <c r="AC73" t="s">
        <v>20</v>
      </c>
      <c r="AK73" s="53" t="str">
        <f>"P(ill) from " &amp;AK47</f>
        <v>P(ill) from Level under the threshold</v>
      </c>
      <c r="AL73" s="62" cm="1">
        <f t="array" aca="1" ref="AL73" ca="1">_xll.RiskOutput()+1-(1+(AL$62/AM$56))^(-AL$56)</f>
        <v>1.1990408665951691E-14</v>
      </c>
      <c r="AM73" s="63" cm="1">
        <f t="array" aca="1" ref="AM73" ca="1">_xll.RiskOutput()+LOG10(AL73)</f>
        <v>-13.921166014704054</v>
      </c>
      <c r="AO73" t="s">
        <v>20</v>
      </c>
      <c r="AW73" s="53" t="str">
        <f>"P(ill) from " &amp;AW47</f>
        <v>P(ill) from Level under the threshold</v>
      </c>
      <c r="AX73" s="62" cm="1">
        <f t="array" aca="1" ref="AX73" ca="1">_xll.RiskOutput()+1-(1+(AX$62/AY$56))^(-AX$56)</f>
        <v>1.1990408665951691E-14</v>
      </c>
      <c r="AY73" s="63" cm="1">
        <f t="array" aca="1" ref="AY73" ca="1">_xll.RiskOutput()+LOG10(AX73)</f>
        <v>-13.921166014704054</v>
      </c>
      <c r="BA73" t="s">
        <v>20</v>
      </c>
      <c r="BI73" s="53" t="str">
        <f>"P(ill) from " &amp;BI47</f>
        <v>P(ill) from Level under the threshold</v>
      </c>
      <c r="BJ73" s="62" cm="1">
        <f t="array" aca="1" ref="BJ73" ca="1">_xll.RiskOutput()+1-(1+(BJ$62/BK$56))^(-BJ$56)</f>
        <v>1.1990408665951691E-14</v>
      </c>
      <c r="BK73" s="63" cm="1">
        <f t="array" aca="1" ref="BK73" ca="1">_xll.RiskOutput()+LOG10(BJ73)</f>
        <v>-13.921166014704054</v>
      </c>
      <c r="BM73" t="s">
        <v>20</v>
      </c>
    </row>
    <row r="74" spans="1:71" x14ac:dyDescent="0.25">
      <c r="A74" s="47" t="str">
        <f>A$73&amp; "-mean"</f>
        <v>P(ill) from Level under the threshold-mean</v>
      </c>
      <c r="B74" s="18" cm="1">
        <f t="array" aca="1" ref="B74" ca="1">_xll.RiskMean(B73)</f>
        <v>4.1957085729977494E-8</v>
      </c>
      <c r="C74" s="58" cm="1">
        <f t="array" aca="1" ref="C74" ca="1">_xll.RiskOutput()+LOG10(B74)</f>
        <v>-7.3771946848098322</v>
      </c>
      <c r="M74" s="47" t="str">
        <f>M$73&amp; "-mean"</f>
        <v>P(ill) from Level under the threshold-mean</v>
      </c>
      <c r="N74" s="18" cm="1">
        <f t="array" aca="1" ref="N74" ca="1">_xll.RiskMean(N73)</f>
        <v>6.5236962844097566E-7</v>
      </c>
      <c r="O74" s="58" cm="1">
        <f t="array" aca="1" ref="O74" ca="1">_xll.RiskOutput()+LOG10(N74)</f>
        <v>-6.1855062660675779</v>
      </c>
      <c r="Y74" s="47" t="str">
        <f>Y$73&amp; "-mean"</f>
        <v>P(ill) from Level under the threshold-mean</v>
      </c>
      <c r="Z74" s="18" cm="1">
        <f t="array" aca="1" ref="Z74" ca="1">_xll.RiskMean(Z73)</f>
        <v>1.2675533067527495E-6</v>
      </c>
      <c r="AA74" s="58" cm="1">
        <f t="array" aca="1" ref="AA74" ca="1">_xll.RiskOutput()+LOG10(Z74)</f>
        <v>-5.8970337674251923</v>
      </c>
      <c r="AK74" s="47" t="str">
        <f>AK$73&amp; "-mean"</f>
        <v>P(ill) from Level under the threshold-mean</v>
      </c>
      <c r="AL74" s="18" cm="1">
        <f t="array" aca="1" ref="AL74" ca="1">_xll.RiskMean(AL73)</f>
        <v>4.6153035069370737E-11</v>
      </c>
      <c r="AM74" s="58" cm="1">
        <f t="array" aca="1" ref="AM74" ca="1">_xll.RiskOutput()+LOG10(AL74)</f>
        <v>-10.335799734063016</v>
      </c>
      <c r="AW74" s="47" t="str">
        <f>AW$73&amp; "-mean"</f>
        <v>P(ill) from Level under the threshold-mean</v>
      </c>
      <c r="AX74" s="18" cm="1">
        <f t="array" aca="1" ref="AX74" ca="1">_xll.RiskMean(AX73)</f>
        <v>1.756257866114125E-9</v>
      </c>
      <c r="AY74" s="58" cm="1">
        <f t="array" aca="1" ref="AY74" ca="1">_xll.RiskOutput()+LOG10(AX74)</f>
        <v>-8.7554117175822714</v>
      </c>
      <c r="BI74" s="47" t="str">
        <f>BI$73&amp; "-mean"</f>
        <v>P(ill) from Level under the threshold-mean</v>
      </c>
      <c r="BJ74" s="18" cm="1">
        <f t="array" aca="1" ref="BJ74" ca="1">_xll.RiskMean(BJ73)</f>
        <v>7.7426624175306887E-9</v>
      </c>
      <c r="BK74" s="58" cm="1">
        <f t="array" aca="1" ref="BK74" ca="1">_xll.RiskOutput()+LOG10(BJ74)</f>
        <v>-8.1111096756970387</v>
      </c>
    </row>
    <row r="75" spans="1:71" x14ac:dyDescent="0.25">
      <c r="A75" s="47" t="str">
        <f>A$73&amp; "-5th"</f>
        <v>P(ill) from Level under the threshold-5th</v>
      </c>
      <c r="B75" s="19" cm="1">
        <f t="array" aca="1" ref="B75" ca="1">_xll.RiskPercentile(B73,0.05)</f>
        <v>1.1427392365703781E-10</v>
      </c>
      <c r="C75" s="57" cm="1">
        <f t="array" aca="1" ref="C75" ca="1">_xll.RiskOutput()+LOG10(B75)</f>
        <v>-9.942052860627216</v>
      </c>
      <c r="M75" s="47" t="str">
        <f>M$73&amp; "-5th"</f>
        <v>P(ill) from Level under the threshold-5th</v>
      </c>
      <c r="N75" s="19" cm="1">
        <f t="array" aca="1" ref="N75" ca="1">_xll.RiskPercentile(N73,0.05)</f>
        <v>1.580071629092572E-10</v>
      </c>
      <c r="O75" s="57" cm="1">
        <f t="array" aca="1" ref="O75" ca="1">_xll.RiskOutput()+LOG10(N75)</f>
        <v>-9.8013232248085345</v>
      </c>
      <c r="Y75" s="47" t="str">
        <f>Y$73&amp; "-5th"</f>
        <v>P(ill) from Level under the threshold-5th</v>
      </c>
      <c r="Z75" s="19" cm="1">
        <f t="array" aca="1" ref="Z75" ca="1">_xll.RiskPercentile(Z73,0.05)</f>
        <v>1.5939249919938447E-10</v>
      </c>
      <c r="AA75" s="57" cm="1">
        <f t="array" aca="1" ref="AA75" ca="1">_xll.RiskOutput()+LOG10(Z75)</f>
        <v>-9.7975321197840977</v>
      </c>
      <c r="AK75" s="47" t="str">
        <f>AK$73&amp; "-5th"</f>
        <v>P(ill) from Level under the threshold-5th</v>
      </c>
      <c r="AL75" s="19" cm="1">
        <f t="array" aca="1" ref="AL75" ca="1">_xll.RiskPercentile(AL73,0.05)</f>
        <v>0</v>
      </c>
      <c r="AM75" s="57" t="e" cm="1">
        <f t="array" aca="1" ref="AM75" ca="1">_xll.RiskOutput()+LOG10(AL75)</f>
        <v>#NUM!</v>
      </c>
      <c r="AW75" s="47" t="str">
        <f>AW$73&amp; "-5th"</f>
        <v>P(ill) from Level under the threshold-5th</v>
      </c>
      <c r="AX75" s="19" cm="1">
        <f t="array" aca="1" ref="AX75" ca="1">_xll.RiskPercentile(AX73,0.05)</f>
        <v>0</v>
      </c>
      <c r="AY75" s="57" t="e" cm="1">
        <f t="array" aca="1" ref="AY75" ca="1">_xll.RiskOutput()+LOG10(AX75)</f>
        <v>#NUM!</v>
      </c>
      <c r="BI75" s="47" t="str">
        <f>BI$73&amp; "-5th"</f>
        <v>P(ill) from Level under the threshold-5th</v>
      </c>
      <c r="BJ75" s="19" cm="1">
        <f t="array" aca="1" ref="BJ75" ca="1">_xll.RiskPercentile(BJ73,0.05)</f>
        <v>0</v>
      </c>
      <c r="BK75" s="57" t="e" cm="1">
        <f t="array" aca="1" ref="BK75" ca="1">_xll.RiskOutput()+LOG10(BJ75)</f>
        <v>#NUM!</v>
      </c>
    </row>
    <row r="76" spans="1:71" x14ac:dyDescent="0.25">
      <c r="A76" s="47" t="str">
        <f>A$73&amp; "-95th"</f>
        <v>P(ill) from Level under the threshold-95th</v>
      </c>
      <c r="B76" s="19" cm="1">
        <f t="array" aca="1" ref="B76" ca="1">_xll.RiskPercentile(B73,0.95)</f>
        <v>1.9315945332110118E-7</v>
      </c>
      <c r="C76" s="57" cm="1">
        <f t="array" aca="1" ref="C76" ca="1">_xll.RiskOutput()+LOG10(B76)</f>
        <v>-6.7140840324079774</v>
      </c>
      <c r="M76" s="47" t="str">
        <f>M$73&amp; "-95th"</f>
        <v>P(ill) from Level under the threshold-95th</v>
      </c>
      <c r="N76" s="19" cm="1">
        <f t="array" aca="1" ref="N76" ca="1">_xll.RiskPercentile(N73,0.95)</f>
        <v>2.6337531140452342E-6</v>
      </c>
      <c r="O76" s="57" cm="1">
        <f t="array" aca="1" ref="O76" ca="1">_xll.RiskOutput()+LOG10(N76)</f>
        <v>-5.5794249378909671</v>
      </c>
      <c r="Y76" s="47" t="str">
        <f>Y$73&amp; "-95th"</f>
        <v>P(ill) from Level under the threshold-95th</v>
      </c>
      <c r="Z76" s="19" cm="1">
        <f t="array" aca="1" ref="Z76" ca="1">_xll.RiskPercentile(Z73,0.95)</f>
        <v>3.0810750237808548E-6</v>
      </c>
      <c r="AA76" s="57" cm="1">
        <f t="array" aca="1" ref="AA76" ca="1">_xll.RiskOutput()+LOG10(Z76)</f>
        <v>-5.5112977265394871</v>
      </c>
      <c r="AK76" s="47" t="str">
        <f>AK$73&amp; "-95th"</f>
        <v>P(ill) from Level under the threshold-95th</v>
      </c>
      <c r="AL76" s="19" cm="1">
        <f t="array" aca="1" ref="AL76" ca="1">_xll.RiskPercentile(AL73,0.95)</f>
        <v>2.8056423850841838E-10</v>
      </c>
      <c r="AM76" s="57" cm="1">
        <f t="array" aca="1" ref="AM76" ca="1">_xll.RiskOutput()+LOG10(AL76)</f>
        <v>-9.5519676861523841</v>
      </c>
      <c r="AW76" s="47" t="str">
        <f>AW$73&amp; "-95th"</f>
        <v>P(ill) from Level under the threshold-95th</v>
      </c>
      <c r="AX76" s="19" cm="1">
        <f t="array" aca="1" ref="AX76" ca="1">_xll.RiskPercentile(AX73,0.95)</f>
        <v>5.5497730855336158E-9</v>
      </c>
      <c r="AY76" s="57" cm="1">
        <f t="array" aca="1" ref="AY76" ca="1">_xll.RiskOutput()+LOG10(AX76)</f>
        <v>-8.2557247735827755</v>
      </c>
      <c r="BI76" s="47" t="str">
        <f>BI$73&amp; "-95th"</f>
        <v>P(ill) from Level under the threshold-95th</v>
      </c>
      <c r="BJ76" s="19" cm="1">
        <f t="array" aca="1" ref="BJ76" ca="1">_xll.RiskPercentile(BJ73,0.95)</f>
        <v>1.05297751629152E-8</v>
      </c>
      <c r="BK76" s="57" cm="1">
        <f t="array" aca="1" ref="BK76" ca="1">_xll.RiskOutput()+LOG10(BJ76)</f>
        <v>-7.9775809019909367</v>
      </c>
    </row>
    <row r="77" spans="1:71" x14ac:dyDescent="0.25">
      <c r="A77" s="2" t="str">
        <f>"P(ill) from "&amp;A48</f>
        <v>P(ill) from Level over the threshold</v>
      </c>
      <c r="B77" s="62" t="e" cm="1">
        <f t="array" aca="1" ref="B77" ca="1">_xll.RiskOutput()+1-(1+(B$63/C$56))^(-B$56)</f>
        <v>#N/A</v>
      </c>
      <c r="C77" s="63" t="e" cm="1">
        <f t="array" aca="1" ref="C77" ca="1">_xll.RiskOutput()+LOG10(B77)</f>
        <v>#N/A</v>
      </c>
      <c r="E77" t="s">
        <v>20</v>
      </c>
      <c r="M77" s="2" t="str">
        <f>"P(ill) from "&amp;M48</f>
        <v>P(ill) from Level over the threshold</v>
      </c>
      <c r="N77" s="62" t="e" cm="1">
        <f t="array" aca="1" ref="N77" ca="1">_xll.RiskOutput()+1-(1+(N$63/O$56))^(-N$56)</f>
        <v>#N/A</v>
      </c>
      <c r="O77" s="63" t="e" cm="1">
        <f t="array" aca="1" ref="O77" ca="1">_xll.RiskOutput()+LOG10(N77)</f>
        <v>#N/A</v>
      </c>
      <c r="Q77" t="s">
        <v>20</v>
      </c>
      <c r="Y77" s="2" t="str">
        <f>"P(ill) from "&amp;Y48</f>
        <v>P(ill) from Level over the threshold</v>
      </c>
      <c r="Z77" s="62" t="e" cm="1">
        <f t="array" aca="1" ref="Z77" ca="1">_xll.RiskOutput()+1-(1+(Z$63/AA$56))^(-Z$56)</f>
        <v>#N/A</v>
      </c>
      <c r="AA77" s="63" t="e" cm="1">
        <f t="array" aca="1" ref="AA77" ca="1">_xll.RiskOutput()+LOG10(Z77)</f>
        <v>#N/A</v>
      </c>
      <c r="AC77" t="s">
        <v>20</v>
      </c>
      <c r="AK77" s="2" t="str">
        <f>"P(ill) from "&amp;AK48</f>
        <v>P(ill) from Level over the threshold</v>
      </c>
      <c r="AL77" s="62" t="e" cm="1">
        <f t="array" aca="1" ref="AL77" ca="1">_xll.RiskOutput()+1-(1+(AL$63/AM$56))^(-AL$56)</f>
        <v>#N/A</v>
      </c>
      <c r="AM77" s="63" t="e" cm="1">
        <f t="array" aca="1" ref="AM77" ca="1">_xll.RiskOutput()+LOG10(AL77)</f>
        <v>#N/A</v>
      </c>
      <c r="AO77" t="s">
        <v>20</v>
      </c>
      <c r="AW77" s="2" t="str">
        <f>"P(ill) from "&amp;AW48</f>
        <v>P(ill) from Level over the threshold</v>
      </c>
      <c r="AX77" s="62" t="e" cm="1">
        <f t="array" aca="1" ref="AX77" ca="1">_xll.RiskOutput()+1-(1+(AX$63/AY$56))^(-AX$56)</f>
        <v>#N/A</v>
      </c>
      <c r="AY77" s="63" t="e" cm="1">
        <f t="array" aca="1" ref="AY77" ca="1">_xll.RiskOutput()+LOG10(AX77)</f>
        <v>#N/A</v>
      </c>
      <c r="BA77" t="s">
        <v>20</v>
      </c>
      <c r="BI77" s="2" t="str">
        <f>"P(ill) from "&amp;BI48</f>
        <v>P(ill) from Level over the threshold</v>
      </c>
      <c r="BJ77" s="62" t="e" cm="1">
        <f t="array" aca="1" ref="BJ77" ca="1">_xll.RiskOutput()+1-(1+(BJ$63/BK$56))^(-BJ$56)</f>
        <v>#N/A</v>
      </c>
      <c r="BK77" s="63" t="e" cm="1">
        <f t="array" aca="1" ref="BK77" ca="1">_xll.RiskOutput()+LOG10(BJ77)</f>
        <v>#N/A</v>
      </c>
      <c r="BM77" t="s">
        <v>20</v>
      </c>
    </row>
    <row r="78" spans="1:71" x14ac:dyDescent="0.25">
      <c r="A78" s="47" t="str">
        <f>A$77&amp;"-mean"</f>
        <v>P(ill) from Level over the threshold-mean</v>
      </c>
      <c r="B78" s="18" cm="1">
        <f t="array" aca="1" ref="B78" ca="1">_xll.RiskMean(B77)</f>
        <v>9.4945487234055222E-6</v>
      </c>
      <c r="C78" s="58" cm="1">
        <f t="array" aca="1" ref="C78" ca="1">_xll.RiskOutput()+LOG10(B78)</f>
        <v>-5.0225256724848739</v>
      </c>
      <c r="M78" s="47" t="str">
        <f>M$77&amp;"-mean"</f>
        <v>P(ill) from Level over the threshold-mean</v>
      </c>
      <c r="N78" s="18" cm="1">
        <f t="array" aca="1" ref="N78" ca="1">_xll.RiskMean(N77)</f>
        <v>2.0505872227769996E-4</v>
      </c>
      <c r="O78" s="58" cm="1">
        <f t="array" aca="1" ref="O78" ca="1">_xll.RiskOutput()+LOG10(N78)</f>
        <v>-3.6881217530455501</v>
      </c>
      <c r="Y78" s="47" t="str">
        <f>Y$77&amp;"-mean"</f>
        <v>P(ill) from Level over the threshold-mean</v>
      </c>
      <c r="Z78" s="18" cm="1">
        <f t="array" aca="1" ref="Z78" ca="1">_xll.RiskMean(Z77)</f>
        <v>1.2310144628856915E-3</v>
      </c>
      <c r="AA78" s="58" cm="1">
        <f t="array" aca="1" ref="AA78" ca="1">_xll.RiskOutput()+LOG10(Z78)</f>
        <v>-2.9097368446198209</v>
      </c>
      <c r="AK78" s="47" t="str">
        <f>AK$77&amp;"-mean"</f>
        <v>P(ill) from Level over the threshold-mean</v>
      </c>
      <c r="AL78" s="18" cm="1">
        <f t="array" aca="1" ref="AL78" ca="1">_xll.RiskMean(AL77)</f>
        <v>1.6458267706563671E-5</v>
      </c>
      <c r="AM78" s="58" cm="1">
        <f t="array" aca="1" ref="AM78" ca="1">_xll.RiskOutput()+LOG10(AL78)</f>
        <v>-4.7836158778158246</v>
      </c>
      <c r="AW78" s="47" t="str">
        <f>AW$77&amp;"-mean"</f>
        <v>P(ill) from Level over the threshold-mean</v>
      </c>
      <c r="AX78" s="18" cm="1">
        <f t="array" aca="1" ref="AX78" ca="1">_xll.RiskMean(AX77)</f>
        <v>9.3693069937636586E-5</v>
      </c>
      <c r="AY78" s="58" cm="1">
        <f t="array" aca="1" ref="AY78" ca="1">_xll.RiskOutput()+LOG10(AX78)</f>
        <v>-4.0282925307680122</v>
      </c>
      <c r="BI78" s="47" t="str">
        <f>BI$77&amp;"-mean"</f>
        <v>P(ill) from Level over the threshold-mean</v>
      </c>
      <c r="BJ78" s="18" cm="1">
        <f t="array" aca="1" ref="BJ78" ca="1">_xll.RiskMean(BJ77)</f>
        <v>2.6285441838290772E-4</v>
      </c>
      <c r="BK78" s="58" cm="1">
        <f t="array" aca="1" ref="BK78" ca="1">_xll.RiskOutput()+LOG10(BJ78)</f>
        <v>-3.5802847184241817</v>
      </c>
    </row>
    <row r="79" spans="1:71" x14ac:dyDescent="0.25">
      <c r="A79" s="47" t="str">
        <f>A$77&amp;"-5th"</f>
        <v>P(ill) from Level over the threshold-5th</v>
      </c>
      <c r="B79" s="19" cm="1">
        <f t="array" aca="1" ref="B79" ca="1">_xll.RiskPercentile(B77,0.05)</f>
        <v>2.0353797436367671E-7</v>
      </c>
      <c r="C79" s="57" cm="1">
        <f t="array" aca="1" ref="C79" ca="1">_xll.RiskOutput()+LOG10(B79)</f>
        <v>-6.691354551952128</v>
      </c>
      <c r="M79" s="47" t="str">
        <f>M$77&amp;"-5th"</f>
        <v>P(ill) from Level over the threshold-5th</v>
      </c>
      <c r="N79" s="19" cm="1">
        <f t="array" aca="1" ref="N79" ca="1">_xll.RiskPercentile(N77,0.05)</f>
        <v>2.2989850300025871E-5</v>
      </c>
      <c r="O79" s="57" cm="1">
        <f t="array" aca="1" ref="O79" ca="1">_xll.RiskOutput()+LOG10(N79)</f>
        <v>-4.6384638566595759</v>
      </c>
      <c r="Y79" s="47" t="str">
        <f>Y$77&amp;"-5th"</f>
        <v>P(ill) from Level over the threshold-5th</v>
      </c>
      <c r="Z79" s="19" cm="1">
        <f t="array" aca="1" ref="Z79" ca="1">_xll.RiskPercentile(Z77,0.05)</f>
        <v>2.1558636046259405E-4</v>
      </c>
      <c r="AA79" s="57" cm="1">
        <f t="array" aca="1" ref="AA79" ca="1">_xll.RiskOutput()+LOG10(Z79)</f>
        <v>-3.6663787191959254</v>
      </c>
      <c r="AK79" s="47" t="str">
        <f>AK$77&amp;"-5th"</f>
        <v>P(ill) from Level over the threshold-5th</v>
      </c>
      <c r="AL79" s="19" cm="1">
        <f t="array" aca="1" ref="AL79" ca="1">_xll.RiskPercentile(AL77,0.05)</f>
        <v>7.2311889809384411E-10</v>
      </c>
      <c r="AM79" s="57" cm="1">
        <f t="array" aca="1" ref="AM79" ca="1">_xll.RiskOutput()+LOG10(AL79)</f>
        <v>-9.1407902884030214</v>
      </c>
      <c r="AW79" s="47" t="str">
        <f>AW$77&amp;"-5th"</f>
        <v>P(ill) from Level over the threshold-5th</v>
      </c>
      <c r="AX79" s="19" cm="1">
        <f t="array" aca="1" ref="AX79" ca="1">_xll.RiskPercentile(AX77,0.05)</f>
        <v>8.7066140075364729E-8</v>
      </c>
      <c r="AY79" s="57" cm="1">
        <f t="array" aca="1" ref="AY79" ca="1">_xll.RiskOutput()+LOG10(AX79)</f>
        <v>-7.0601507087979609</v>
      </c>
      <c r="BI79" s="47" t="str">
        <f>BI$77&amp;"-5th"</f>
        <v>P(ill) from Level over the threshold-5th</v>
      </c>
      <c r="BJ79" s="19" cm="1">
        <f t="array" aca="1" ref="BJ79" ca="1">_xll.RiskPercentile(BJ77,0.05)</f>
        <v>8.0062639806754987E-7</v>
      </c>
      <c r="BK79" s="57" cm="1">
        <f t="array" aca="1" ref="BK79" ca="1">_xll.RiskOutput()+LOG10(BJ79)</f>
        <v>-6.0965700945381025</v>
      </c>
    </row>
    <row r="80" spans="1:71" x14ac:dyDescent="0.25">
      <c r="A80" s="47" t="str">
        <f>A$77&amp;"-95th"</f>
        <v>P(ill) from Level over the threshold-95th</v>
      </c>
      <c r="B80" s="19" cm="1">
        <f t="array" aca="1" ref="B80" ca="1">_xll.RiskPercentile(B77,0.95)</f>
        <v>2.3503851863226899E-5</v>
      </c>
      <c r="C80" s="57" cm="1">
        <f t="array" aca="1" ref="C80" ca="1">_xll.RiskOutput()+LOG10(B80)</f>
        <v>-4.6288609587553955</v>
      </c>
      <c r="M80" s="47" t="str">
        <f>M$77&amp;"-95th"</f>
        <v>P(ill) from Level over the threshold-95th</v>
      </c>
      <c r="N80" s="19" cm="1">
        <f t="array" aca="1" ref="N80" ca="1">_xll.RiskPercentile(N77,0.95)</f>
        <v>6.2807167166689659E-4</v>
      </c>
      <c r="O80" s="57" cm="1">
        <f t="array" aca="1" ref="O80" ca="1">_xll.RiskOutput()+LOG10(N80)</f>
        <v>-3.201990794426202</v>
      </c>
      <c r="Y80" s="47" t="str">
        <f>Y$77&amp;"-95th"</f>
        <v>P(ill) from Level over the threshold-95th</v>
      </c>
      <c r="Z80" s="19" cm="1">
        <f t="array" aca="1" ref="Z80" ca="1">_xll.RiskPercentile(Z77,0.95)</f>
        <v>3.2872084226850395E-3</v>
      </c>
      <c r="AA80" s="57" cm="1">
        <f t="array" aca="1" ref="AA80" ca="1">_xll.RiskOutput()+LOG10(Z80)</f>
        <v>-2.4831727589690651</v>
      </c>
      <c r="AK80" s="47" t="str">
        <f>AK$77&amp;"-95th"</f>
        <v>P(ill) from Level over the threshold-95th</v>
      </c>
      <c r="AL80" s="19" cm="1">
        <f t="array" aca="1" ref="AL80" ca="1">_xll.RiskPercentile(AL77,0.95)</f>
        <v>1.7025163943085175E-6</v>
      </c>
      <c r="AM80" s="57" cm="1">
        <f t="array" aca="1" ref="AM80" ca="1">_xll.RiskOutput()+LOG10(AL80)</f>
        <v>-5.7689086973749761</v>
      </c>
      <c r="AW80" s="47" t="str">
        <f>AW$77&amp;"-95th"</f>
        <v>P(ill) from Level over the threshold-95th</v>
      </c>
      <c r="AX80" s="19" cm="1">
        <f t="array" aca="1" ref="AX80" ca="1">_xll.RiskPercentile(AX77,0.95)</f>
        <v>4.3187020038248924E-5</v>
      </c>
      <c r="AY80" s="57" cm="1">
        <f t="array" aca="1" ref="AY80" ca="1">_xll.RiskOutput()+LOG10(AX80)</f>
        <v>-4.3646467618148277</v>
      </c>
      <c r="BI80" s="47" t="str">
        <f>BI$77&amp;"-95th"</f>
        <v>P(ill) from Level over the threshold-95th</v>
      </c>
      <c r="BJ80" s="19" cm="1">
        <f t="array" aca="1" ref="BJ80" ca="1">_xll.RiskPercentile(BJ77,0.95)</f>
        <v>2.2757073449297671E-4</v>
      </c>
      <c r="BK80" s="57" cm="1">
        <f t="array" aca="1" ref="BK80" ca="1">_xll.RiskOutput()+LOG10(BJ80)</f>
        <v>-3.6428835887858244</v>
      </c>
    </row>
    <row r="81" spans="1:71" x14ac:dyDescent="0.25">
      <c r="A81" s="53" t="str">
        <f>"P(ill) from " &amp; A50</f>
        <v>P(ill) from Inclusion list &amp; level over the threshold</v>
      </c>
      <c r="B81" s="62" t="e" cm="1">
        <f t="array" aca="1" ref="B81" ca="1">_xll.RiskOutput()+1-(1+(B$64/C$56))^(-B$56)</f>
        <v>#N/A</v>
      </c>
      <c r="C81" s="63" t="e" cm="1">
        <f t="array" aca="1" ref="C81" ca="1">_xll.RiskOutput()+LOG10(B81)</f>
        <v>#N/A</v>
      </c>
      <c r="E81" t="s">
        <v>20</v>
      </c>
      <c r="M81" s="53" t="str">
        <f>"P(ill) from " &amp; M50</f>
        <v>P(ill) from Inclusion list &amp; level over the threshold</v>
      </c>
      <c r="N81" s="62" t="e" cm="1">
        <f t="array" aca="1" ref="N81" ca="1">_xll.RiskOutput()+1-(1+(N$64/O$56))^(-N$56)</f>
        <v>#N/A</v>
      </c>
      <c r="O81" s="63" t="e" cm="1">
        <f t="array" aca="1" ref="O81" ca="1">_xll.RiskOutput()+LOG10(N81)</f>
        <v>#N/A</v>
      </c>
      <c r="Q81" t="s">
        <v>20</v>
      </c>
      <c r="Y81" s="53" t="str">
        <f>"P(ill) from " &amp; Y50</f>
        <v>P(ill) from Inclusion list &amp; level over the threshold</v>
      </c>
      <c r="Z81" s="62" t="e" cm="1">
        <f t="array" aca="1" ref="Z81" ca="1">_xll.RiskOutput()+1-(1+(Z$64/AA$56))^(-Z$56)</f>
        <v>#N/A</v>
      </c>
      <c r="AA81" s="63" t="e" cm="1">
        <f t="array" aca="1" ref="AA81" ca="1">_xll.RiskOutput()+LOG10(Z81)</f>
        <v>#N/A</v>
      </c>
      <c r="AC81" t="s">
        <v>20</v>
      </c>
      <c r="AK81" s="53" t="str">
        <f>"P(ill) from " &amp; AK50</f>
        <v>P(ill) from Inclusion list &amp; level over the threshold</v>
      </c>
      <c r="AL81" s="62" t="e" cm="1">
        <f t="array" aca="1" ref="AL81" ca="1">_xll.RiskOutput()+1-(1+(AL$64/AM$56))^(-AL$56)</f>
        <v>#N/A</v>
      </c>
      <c r="AM81" s="63" t="e" cm="1">
        <f t="array" aca="1" ref="AM81" ca="1">_xll.RiskOutput()+LOG10(AL81)</f>
        <v>#N/A</v>
      </c>
      <c r="AO81" t="s">
        <v>20</v>
      </c>
      <c r="AW81" s="53" t="str">
        <f>"P(ill) from " &amp; AW50</f>
        <v>P(ill) from Inclusion list &amp; level over the threshold</v>
      </c>
      <c r="AX81" s="62" t="e" cm="1">
        <f t="array" aca="1" ref="AX81" ca="1">_xll.RiskOutput()+1-(1+(AX$64/AY$56))^(-AX$56)</f>
        <v>#N/A</v>
      </c>
      <c r="AY81" s="63" t="e" cm="1">
        <f t="array" aca="1" ref="AY81" ca="1">_xll.RiskOutput()+LOG10(AX81)</f>
        <v>#N/A</v>
      </c>
      <c r="BA81" t="s">
        <v>20</v>
      </c>
      <c r="BI81" s="53" t="str">
        <f>"P(ill) from " &amp; BI50</f>
        <v>P(ill) from Inclusion list &amp; level over the threshold</v>
      </c>
      <c r="BJ81" s="62" t="e" cm="1">
        <f t="array" aca="1" ref="BJ81" ca="1">_xll.RiskOutput()+1-(1+(BJ$64/BK$56))^(-BJ$56)</f>
        <v>#N/A</v>
      </c>
      <c r="BK81" s="63" t="e" cm="1">
        <f t="array" aca="1" ref="BK81" ca="1">_xll.RiskOutput()+LOG10(BJ81)</f>
        <v>#N/A</v>
      </c>
      <c r="BM81" t="s">
        <v>20</v>
      </c>
    </row>
    <row r="82" spans="1:71" x14ac:dyDescent="0.25">
      <c r="A82" s="47" t="str">
        <f>A$81&amp;" -mean"</f>
        <v>P(ill) from Inclusion list &amp; level over the threshold -mean</v>
      </c>
      <c r="B82" s="18" cm="1">
        <f t="array" aca="1" ref="B82" ca="1">_xll.RiskMean(B81)</f>
        <v>8.9313658400392332E-6</v>
      </c>
      <c r="C82" s="58" cm="1">
        <f t="array" aca="1" ref="C82" ca="1">_xll.RiskOutput()+LOG10(B82)</f>
        <v>-5.0490821210180892</v>
      </c>
      <c r="M82" s="47" t="str">
        <f>M$81&amp;" -mean"</f>
        <v>P(ill) from Inclusion list &amp; level over the threshold -mean</v>
      </c>
      <c r="N82" s="18" cm="1">
        <f t="array" aca="1" ref="N82" ca="1">_xll.RiskMean(N81)</f>
        <v>1.8960012236242721E-4</v>
      </c>
      <c r="O82" s="58" cm="1">
        <f t="array" aca="1" ref="O82" ca="1">_xll.RiskOutput()+LOG10(N82)</f>
        <v>-3.7221613867167829</v>
      </c>
      <c r="Y82" s="47" t="str">
        <f>Y$81&amp;" -mean"</f>
        <v>P(ill) from Inclusion list &amp; level over the threshold -mean</v>
      </c>
      <c r="Z82" s="18" cm="1">
        <f t="array" aca="1" ref="Z82" ca="1">_xll.RiskMean(Z81)</f>
        <v>1.1182393148678295E-3</v>
      </c>
      <c r="AA82" s="58" cm="1">
        <f t="array" aca="1" ref="AA82" ca="1">_xll.RiskOutput()+LOG10(Z82)</f>
        <v>-2.9514652429573269</v>
      </c>
      <c r="AK82" s="47" t="str">
        <f>AK$81&amp;" -mean"</f>
        <v>P(ill) from Inclusion list &amp; level over the threshold -mean</v>
      </c>
      <c r="AL82" s="18" cm="1">
        <f t="array" aca="1" ref="AL82" ca="1">_xll.RiskMean(AL81)</f>
        <v>1.9411198794051747E-5</v>
      </c>
      <c r="AM82" s="58" cm="1">
        <f t="array" aca="1" ref="AM82" ca="1">_xll.RiskOutput()+LOG10(AL82)</f>
        <v>-4.7119476426866092</v>
      </c>
      <c r="AW82" s="47" t="str">
        <f>AW$81&amp;" -mean"</f>
        <v>P(ill) from Inclusion list &amp; level over the threshold -mean</v>
      </c>
      <c r="AX82" s="18" cm="1">
        <f t="array" aca="1" ref="AX82" ca="1">_xll.RiskMean(AX81)</f>
        <v>1.1009208544675139E-4</v>
      </c>
      <c r="AY82" s="58" cm="1">
        <f t="array" aca="1" ref="AY82" ca="1">_xll.RiskOutput()+LOG10(AX82)</f>
        <v>-3.9582439014674127</v>
      </c>
      <c r="BI82" s="47" t="str">
        <f>BI$81&amp;" -mean"</f>
        <v>P(ill) from Inclusion list &amp; level over the threshold -mean</v>
      </c>
      <c r="BJ82" s="18" cm="1">
        <f t="array" aca="1" ref="BJ82" ca="1">_xll.RiskMean(BJ81)</f>
        <v>3.0747324773147444E-4</v>
      </c>
      <c r="BK82" s="58" cm="1">
        <f t="array" aca="1" ref="BK82" ca="1">_xll.RiskOutput()+LOG10(BJ82)</f>
        <v>-3.512192664825224</v>
      </c>
    </row>
    <row r="83" spans="1:71" x14ac:dyDescent="0.25">
      <c r="A83" s="47" t="str">
        <f>A$81&amp;" -5th"</f>
        <v>P(ill) from Inclusion list &amp; level over the threshold -5th</v>
      </c>
      <c r="B83" s="19" cm="1">
        <f t="array" aca="1" ref="B83" ca="1">_xll.RiskPercentile(B81,0.05)</f>
        <v>2.0316769755446273E-7</v>
      </c>
      <c r="C83" s="57" cm="1">
        <f t="array" aca="1" ref="C83" ca="1">_xll.RiskOutput()+LOG10(B83)</f>
        <v>-6.6921453411176222</v>
      </c>
      <c r="M83" s="47" t="str">
        <f>M$81&amp;" -5th"</f>
        <v>P(ill) from Inclusion list &amp; level over the threshold -5th</v>
      </c>
      <c r="N83" s="19" cm="1">
        <f t="array" aca="1" ref="N83" ca="1">_xll.RiskPercentile(N81,0.05)</f>
        <v>2.273148701958938E-5</v>
      </c>
      <c r="O83" s="57" cm="1">
        <f t="array" aca="1" ref="O83" ca="1">_xll.RiskOutput()+LOG10(N83)</f>
        <v>-4.6433721532201027</v>
      </c>
      <c r="Y83" s="47" t="str">
        <f>Y$81&amp;" -5th"</f>
        <v>P(ill) from Inclusion list &amp; level over the threshold -5th</v>
      </c>
      <c r="Z83" s="19" cm="1">
        <f t="array" aca="1" ref="Z83" ca="1">_xll.RiskPercentile(Z81,0.05)</f>
        <v>2.199886513397642E-4</v>
      </c>
      <c r="AA83" s="57" cm="1">
        <f t="array" aca="1" ref="AA83" ca="1">_xll.RiskOutput()+LOG10(Z83)</f>
        <v>-3.6575997227579928</v>
      </c>
      <c r="AK83" s="47" t="str">
        <f>AK$81&amp;" -5th"</f>
        <v>P(ill) from Inclusion list &amp; level over the threshold -5th</v>
      </c>
      <c r="AL83" s="19" cm="1">
        <f t="array" aca="1" ref="AL83" ca="1">_xll.RiskPercentile(AL81,0.05)</f>
        <v>7.2264905170982274E-10</v>
      </c>
      <c r="AM83" s="57" cm="1">
        <f t="array" aca="1" ref="AM83" ca="1">_xll.RiskOutput()+LOG10(AL83)</f>
        <v>-9.1410725628843927</v>
      </c>
      <c r="AW83" s="47" t="str">
        <f>AW$81&amp;" -5th"</f>
        <v>P(ill) from Inclusion list &amp; level over the threshold -5th</v>
      </c>
      <c r="AX83" s="19" cm="1">
        <f t="array" aca="1" ref="AX83" ca="1">_xll.RiskPercentile(AX81,0.05)</f>
        <v>8.6714314395663905E-8</v>
      </c>
      <c r="AY83" s="57" cm="1">
        <f t="array" aca="1" ref="AY83" ca="1">_xll.RiskOutput()+LOG10(AX83)</f>
        <v>-7.0619092052929773</v>
      </c>
      <c r="BI83" s="47" t="str">
        <f>BI$81&amp;" -5th"</f>
        <v>P(ill) from Inclusion list &amp; level over the threshold -5th</v>
      </c>
      <c r="BJ83" s="19" cm="1">
        <f t="array" aca="1" ref="BJ83" ca="1">_xll.RiskPercentile(BJ81,0.05)</f>
        <v>7.881712235091598E-7</v>
      </c>
      <c r="BK83" s="57" cm="1">
        <f t="array" aca="1" ref="BK83" ca="1">_xll.RiskOutput()+LOG10(BJ83)</f>
        <v>-6.1033794254705702</v>
      </c>
    </row>
    <row r="84" spans="1:71" x14ac:dyDescent="0.25">
      <c r="A84" s="47" t="str">
        <f>A$81&amp;" -95th"</f>
        <v>P(ill) from Inclusion list &amp; level over the threshold -95th</v>
      </c>
      <c r="B84" s="19" cm="1">
        <f t="array" aca="1" ref="B84" ca="1">_xll.RiskPercentile(B81,0.95)</f>
        <v>2.3359093707320255E-5</v>
      </c>
      <c r="C84" s="57" cm="1">
        <f t="array" aca="1" ref="C84" ca="1">_xll.RiskOutput()+LOG10(B84)</f>
        <v>-4.6315440111120854</v>
      </c>
      <c r="M84" s="47" t="str">
        <f>M$81&amp;" -95th"</f>
        <v>P(ill) from Inclusion list &amp; level over the threshold -95th</v>
      </c>
      <c r="N84" s="19" cm="1">
        <f t="array" aca="1" ref="N84" ca="1">_xll.RiskPercentile(N81,0.95)</f>
        <v>5.8781841449373484E-4</v>
      </c>
      <c r="O84" s="57" cm="1">
        <f t="array" aca="1" ref="O84" ca="1">_xll.RiskOutput()+LOG10(N84)</f>
        <v>-3.2307568129763196</v>
      </c>
      <c r="Y84" s="47" t="str">
        <f>Y$81&amp;" -95th"</f>
        <v>P(ill) from Inclusion list &amp; level over the threshold -95th</v>
      </c>
      <c r="Z84" s="19" cm="1">
        <f t="array" aca="1" ref="Z84" ca="1">_xll.RiskPercentile(Z81,0.95)</f>
        <v>3.2872084226850395E-3</v>
      </c>
      <c r="AA84" s="57" cm="1">
        <f t="array" aca="1" ref="AA84" ca="1">_xll.RiskOutput()+LOG10(Z84)</f>
        <v>-2.4831727589690651</v>
      </c>
      <c r="AK84" s="47" t="str">
        <f>AK$81&amp;" -95th"</f>
        <v>P(ill) from Inclusion list &amp; level over the threshold -95th</v>
      </c>
      <c r="AL84" s="19" cm="1">
        <f t="array" aca="1" ref="AL84" ca="1">_xll.RiskPercentile(AL81,0.95)</f>
        <v>1.7325989590810664E-6</v>
      </c>
      <c r="AM84" s="57" cm="1">
        <f t="array" aca="1" ref="AM84" ca="1">_xll.RiskOutput()+LOG10(AL84)</f>
        <v>-5.7613019508544125</v>
      </c>
      <c r="AW84" s="47" t="str">
        <f>AW$81&amp;" -95th"</f>
        <v>P(ill) from Inclusion list &amp; level over the threshold -95th</v>
      </c>
      <c r="AX84" s="19" cm="1">
        <f t="array" aca="1" ref="AX84" ca="1">_xll.RiskPercentile(AX81,0.95)</f>
        <v>4.6066448411097305E-5</v>
      </c>
      <c r="AY84" s="57" cm="1">
        <f t="array" aca="1" ref="AY84" ca="1">_xll.RiskOutput()+LOG10(AX84)</f>
        <v>-4.3366152692953897</v>
      </c>
      <c r="BI84" s="47" t="str">
        <f>BI$81&amp;" -95th"</f>
        <v>P(ill) from Inclusion list &amp; level over the threshold -95th</v>
      </c>
      <c r="BJ84" s="19" cm="1">
        <f t="array" aca="1" ref="BJ84" ca="1">_xll.RiskPercentile(BJ81,0.95)</f>
        <v>2.323150439671462E-4</v>
      </c>
      <c r="BK84" s="57" cm="1">
        <f t="array" aca="1" ref="BK84" ca="1">_xll.RiskOutput()+LOG10(BJ84)</f>
        <v>-3.6339226657900854</v>
      </c>
    </row>
    <row r="85" spans="1:71" x14ac:dyDescent="0.25">
      <c r="A85" s="53" t="str">
        <f>"P(ill) from "&amp;A$52</f>
        <v>P(ill) from Serotype Kentucky &amp; level over the threshold</v>
      </c>
      <c r="B85" s="62" t="e" cm="1">
        <f t="array" aca="1" ref="B85" ca="1">_xll.RiskOutput()+1-(1+(B$65/C$56))^(-B$56)</f>
        <v>#N/A</v>
      </c>
      <c r="C85" s="63" t="e" cm="1">
        <f t="array" aca="1" ref="C85" ca="1">_xll.RiskOutput()+LOG10(B85)</f>
        <v>#N/A</v>
      </c>
      <c r="E85" t="s">
        <v>20</v>
      </c>
      <c r="M85" s="53" t="str">
        <f>"P(ill) from "&amp;M$52</f>
        <v>P(ill) from Serotype Kentucky &amp; level over the threshold</v>
      </c>
      <c r="N85" s="62" t="e" cm="1">
        <f t="array" aca="1" ref="N85" ca="1">_xll.RiskOutput()+1-(1+(N$65/O$56))^(-N$56)</f>
        <v>#N/A</v>
      </c>
      <c r="O85" s="63" t="e" cm="1">
        <f t="array" aca="1" ref="O85" ca="1">_xll.RiskOutput()+LOG10(N85)</f>
        <v>#N/A</v>
      </c>
      <c r="Q85" t="s">
        <v>20</v>
      </c>
      <c r="Y85" s="53" t="str">
        <f>"P(ill) from "&amp;Y$52</f>
        <v>P(ill) from Serotype Kentucky &amp; level over the threshold</v>
      </c>
      <c r="Z85" s="62" t="e" cm="1">
        <f t="array" aca="1" ref="Z85" ca="1">_xll.RiskOutput()+1-(1+(Z$65/AA$56))^(-Z$56)</f>
        <v>#N/A</v>
      </c>
      <c r="AA85" s="63" t="e" cm="1">
        <f t="array" aca="1" ref="AA85" ca="1">_xll.RiskOutput()+LOG10(Z85)</f>
        <v>#N/A</v>
      </c>
      <c r="AC85" t="s">
        <v>20</v>
      </c>
      <c r="AK85" s="53" t="str">
        <f>"P(ill) from "&amp;AK$52</f>
        <v>P(ill) from Serotype Kentucky &amp; level over the threshold</v>
      </c>
      <c r="AL85" s="62" t="e" cm="1">
        <f t="array" aca="1" ref="AL85" ca="1">_xll.RiskOutput()+1-(1+(AL$65/AM$56))^(-AL$56)</f>
        <v>#N/A</v>
      </c>
      <c r="AM85" s="63" t="e" cm="1">
        <f t="array" aca="1" ref="AM85" ca="1">_xll.RiskOutput()+LOG10(AL85)</f>
        <v>#N/A</v>
      </c>
      <c r="AO85" t="s">
        <v>20</v>
      </c>
      <c r="AW85" s="53" t="str">
        <f>"P(ill) from "&amp;AW$52</f>
        <v>P(ill) from Serotype Kentucky &amp; level over the threshold</v>
      </c>
      <c r="AX85" s="62" t="e" cm="1">
        <f t="array" aca="1" ref="AX85" ca="1">_xll.RiskOutput()+1-(1+(AX$65/AY$56))^(-AX$56)</f>
        <v>#N/A</v>
      </c>
      <c r="AY85" s="63" t="e" cm="1">
        <f t="array" aca="1" ref="AY85" ca="1">_xll.RiskOutput()+LOG10(AX85)</f>
        <v>#N/A</v>
      </c>
      <c r="BA85" t="s">
        <v>20</v>
      </c>
      <c r="BI85" s="53" t="str">
        <f>"P(ill) from "&amp;BI$52</f>
        <v>P(ill) from Serotype Kentucky &amp; level over the threshold</v>
      </c>
      <c r="BJ85" s="62" t="e" cm="1">
        <f t="array" aca="1" ref="BJ85" ca="1">_xll.RiskOutput()+1-(1+(BJ$65/BK$56))^(-BJ$56)</f>
        <v>#N/A</v>
      </c>
      <c r="BK85" s="63" t="e" cm="1">
        <f t="array" aca="1" ref="BK85" ca="1">_xll.RiskOutput()+LOG10(BJ85)</f>
        <v>#N/A</v>
      </c>
      <c r="BM85" t="s">
        <v>20</v>
      </c>
    </row>
    <row r="86" spans="1:71" x14ac:dyDescent="0.25">
      <c r="A86" s="47" t="str">
        <f>A$85&amp; " -mean"</f>
        <v>P(ill) from Serotype Kentucky &amp; level over the threshold -mean</v>
      </c>
      <c r="B86" s="18" cm="1">
        <f t="array" aca="1" ref="B86" ca="1">_xll.RiskMean(B85)</f>
        <v>1.0610643643351863E-5</v>
      </c>
      <c r="C86" s="58" cm="1">
        <f t="array" aca="1" ref="C86" ca="1">_xll.RiskOutput()+LOG10(B86)</f>
        <v>-4.9742582709264003</v>
      </c>
      <c r="M86" s="47" t="str">
        <f>M$85&amp; " -mean"</f>
        <v>P(ill) from Serotype Kentucky &amp; level over the threshold -mean</v>
      </c>
      <c r="N86" s="18" cm="1">
        <f t="array" aca="1" ref="N86" ca="1">_xll.RiskMean(N85)</f>
        <v>2.4148479951652881E-4</v>
      </c>
      <c r="O86" s="58" cm="1">
        <f t="array" aca="1" ref="O86" ca="1">_xll.RiskOutput()+LOG10(N86)</f>
        <v>-3.6171102011189196</v>
      </c>
      <c r="Y86" s="47" t="str">
        <f>Y$85&amp; " -mean"</f>
        <v>P(ill) from Serotype Kentucky &amp; level over the threshold -mean</v>
      </c>
      <c r="Z86" s="18" cm="1">
        <f t="array" aca="1" ref="Z86" ca="1">_xll.RiskMean(Z85)</f>
        <v>1.525103627910632E-3</v>
      </c>
      <c r="AA86" s="58" cm="1">
        <f t="array" aca="1" ref="AA86" ca="1">_xll.RiskOutput()+LOG10(Z86)</f>
        <v>-2.8167006458249197</v>
      </c>
      <c r="AK86" s="47" t="str">
        <f>AK$85&amp; " -mean"</f>
        <v>P(ill) from Serotype Kentucky &amp; level over the threshold -mean</v>
      </c>
      <c r="AL86" s="18" cm="1">
        <f t="array" aca="1" ref="AL86" ca="1">_xll.RiskMean(AL85)</f>
        <v>8.8125306686863887E-6</v>
      </c>
      <c r="AM86" s="58" cm="1">
        <f t="array" aca="1" ref="AM86" ca="1">_xll.RiskOutput()+LOG10(AL86)</f>
        <v>-5.0548993585999105</v>
      </c>
      <c r="AW86" s="47" t="str">
        <f>AW$85&amp; " -mean"</f>
        <v>P(ill) from Serotype Kentucky &amp; level over the threshold -mean</v>
      </c>
      <c r="AX86" s="18" cm="1">
        <f t="array" aca="1" ref="AX86" ca="1">_xll.RiskMean(AX85)</f>
        <v>5.0187784230748123E-5</v>
      </c>
      <c r="AY86" s="58" cm="1">
        <f t="array" aca="1" ref="AY86" ca="1">_xll.RiskOutput()+LOG10(AX86)</f>
        <v>-4.2994019778106995</v>
      </c>
      <c r="BI86" s="47" t="str">
        <f>BI$85&amp; " -mean"</f>
        <v>P(ill) from Serotype Kentucky &amp; level over the threshold -mean</v>
      </c>
      <c r="BJ86" s="18" cm="1">
        <f t="array" aca="1" ref="BJ86" ca="1">_xll.RiskMean(BJ85)</f>
        <v>1.4068027832300119E-4</v>
      </c>
      <c r="BK86" s="58" cm="1">
        <f t="array" aca="1" ref="BK86" ca="1">_xll.RiskOutput()+LOG10(BJ86)</f>
        <v>-3.8517667811425271</v>
      </c>
    </row>
    <row r="87" spans="1:71" x14ac:dyDescent="0.25">
      <c r="A87" s="47" t="str">
        <f>A$85&amp; " -5th"</f>
        <v>P(ill) from Serotype Kentucky &amp; level over the threshold -5th</v>
      </c>
      <c r="B87" s="19" cm="1">
        <f t="array" aca="1" ref="B87" ca="1">_xll.RiskPercentile(B85,0.05)</f>
        <v>2.0362146380126234E-7</v>
      </c>
      <c r="C87" s="57" cm="1">
        <f t="array" aca="1" ref="C87" ca="1">_xll.RiskOutput()+LOG10(B87)</f>
        <v>-6.6911764448071125</v>
      </c>
      <c r="M87" s="47" t="str">
        <f>M$85&amp; " -5th"</f>
        <v>P(ill) from Serotype Kentucky &amp; level over the threshold -5th</v>
      </c>
      <c r="N87" s="19" cm="1">
        <f t="array" aca="1" ref="N87" ca="1">_xll.RiskPercentile(N85,0.05)</f>
        <v>2.3133029015132145E-5</v>
      </c>
      <c r="O87" s="57" cm="1">
        <f t="array" aca="1" ref="O87" ca="1">_xll.RiskOutput()+LOG10(N87)</f>
        <v>-4.6357674974312983</v>
      </c>
      <c r="Y87" s="47" t="str">
        <f>Y$85&amp; " -5th"</f>
        <v>P(ill) from Serotype Kentucky &amp; level over the threshold -5th</v>
      </c>
      <c r="Z87" s="19" cm="1">
        <f t="array" aca="1" ref="Z87" ca="1">_xll.RiskPercentile(Z85,0.05)</f>
        <v>2.1558636046259405E-4</v>
      </c>
      <c r="AA87" s="57" cm="1">
        <f t="array" aca="1" ref="AA87" ca="1">_xll.RiskOutput()+LOG10(Z87)</f>
        <v>-3.6663787191959254</v>
      </c>
      <c r="AK87" s="47" t="str">
        <f>AK$85&amp; " -5th"</f>
        <v>P(ill) from Serotype Kentucky &amp; level over the threshold -5th</v>
      </c>
      <c r="AL87" s="19" cm="1">
        <f t="array" aca="1" ref="AL87" ca="1">_xll.RiskPercentile(AL85,0.05)</f>
        <v>7.2181549626293418E-10</v>
      </c>
      <c r="AM87" s="57" cm="1">
        <f t="array" aca="1" ref="AM87" ca="1">_xll.RiskOutput()+LOG10(AL87)</f>
        <v>-9.1415737985452274</v>
      </c>
      <c r="AW87" s="47" t="str">
        <f>AW$85&amp; " -5th"</f>
        <v>P(ill) from Serotype Kentucky &amp; level over the threshold -5th</v>
      </c>
      <c r="AX87" s="19" cm="1">
        <f t="array" aca="1" ref="AX87" ca="1">_xll.RiskPercentile(AX85,0.05)</f>
        <v>8.6821057232455701E-8</v>
      </c>
      <c r="AY87" s="57" cm="1">
        <f t="array" aca="1" ref="AY87" ca="1">_xll.RiskOutput()+LOG10(AX87)</f>
        <v>-7.0613749299989772</v>
      </c>
      <c r="BI87" s="47" t="str">
        <f>BI$85&amp; " -5th"</f>
        <v>P(ill) from Serotype Kentucky &amp; level over the threshold -5th</v>
      </c>
      <c r="BJ87" s="19" cm="1">
        <f t="array" aca="1" ref="BJ87" ca="1">_xll.RiskPercentile(BJ85,0.05)</f>
        <v>8.0690873505151473E-7</v>
      </c>
      <c r="BK87" s="57" cm="1">
        <f t="array" aca="1" ref="BK87" ca="1">_xll.RiskOutput()+LOG10(BJ87)</f>
        <v>-6.0931755831279046</v>
      </c>
    </row>
    <row r="88" spans="1:71" x14ac:dyDescent="0.25">
      <c r="A88" s="47" t="str">
        <f>A$85&amp; " -95th"</f>
        <v>P(ill) from Serotype Kentucky &amp; level over the threshold -95th</v>
      </c>
      <c r="B88" s="19" cm="1">
        <f t="array" aca="1" ref="B88" ca="1">_xll.RiskPercentile(B85,0.95)</f>
        <v>2.338229096066069E-5</v>
      </c>
      <c r="C88" s="57" cm="1">
        <f t="array" aca="1" ref="C88" ca="1">_xll.RiskOutput()+LOG10(B88)</f>
        <v>-4.6311129395886486</v>
      </c>
      <c r="M88" s="47" t="str">
        <f>M$85&amp; " -95th"</f>
        <v>P(ill) from Serotype Kentucky &amp; level over the threshold -95th</v>
      </c>
      <c r="N88" s="19" cm="1">
        <f t="array" aca="1" ref="N88" ca="1">_xll.RiskPercentile(N85,0.95)</f>
        <v>7.9002373781866808E-4</v>
      </c>
      <c r="O88" s="57" cm="1">
        <f t="array" aca="1" ref="O88" ca="1">_xll.RiskOutput()+LOG10(N88)</f>
        <v>-3.1023598592807256</v>
      </c>
      <c r="Y88" s="47" t="str">
        <f>Y$85&amp; " -95th"</f>
        <v>P(ill) from Serotype Kentucky &amp; level over the threshold -95th</v>
      </c>
      <c r="Z88" s="19" cm="1">
        <f t="array" aca="1" ref="Z88" ca="1">_xll.RiskPercentile(Z85,0.95)</f>
        <v>4.1833474622970934E-3</v>
      </c>
      <c r="AA88" s="57" cm="1">
        <f t="array" aca="1" ref="AA88" ca="1">_xll.RiskOutput()+LOG10(Z88)</f>
        <v>-2.3784760621008605</v>
      </c>
      <c r="AK88" s="47" t="str">
        <f>AK$85&amp; " -95th"</f>
        <v>P(ill) from Serotype Kentucky &amp; level over the threshold -95th</v>
      </c>
      <c r="AL88" s="19" cm="1">
        <f t="array" aca="1" ref="AL88" ca="1">_xll.RiskPercentile(AL85,0.95)</f>
        <v>1.6794014283671999E-6</v>
      </c>
      <c r="AM88" s="57" cm="1">
        <f t="array" aca="1" ref="AM88" ca="1">_xll.RiskOutput()+LOG10(AL88)</f>
        <v>-5.7748454817731965</v>
      </c>
      <c r="AW88" s="47" t="str">
        <f>AW$85&amp; " -95th"</f>
        <v>P(ill) from Serotype Kentucky &amp; level over the threshold -95th</v>
      </c>
      <c r="AX88" s="19" cm="1">
        <f t="array" aca="1" ref="AX88" ca="1">_xll.RiskPercentile(AX85,0.95)</f>
        <v>4.1900002416550564E-5</v>
      </c>
      <c r="AY88" s="57" cm="1">
        <f t="array" aca="1" ref="AY88" ca="1">_xll.RiskOutput()+LOG10(AX88)</f>
        <v>-4.3777859519861018</v>
      </c>
      <c r="BI88" s="47" t="str">
        <f>BI$85&amp; " -95th"</f>
        <v>P(ill) from Serotype Kentucky &amp; level over the threshold -95th</v>
      </c>
      <c r="BJ88" s="19" cm="1">
        <f t="array" aca="1" ref="BJ88" ca="1">_xll.RiskPercentile(BJ85,0.95)</f>
        <v>2.234475618251297E-4</v>
      </c>
      <c r="BK88" s="57" cm="1">
        <f t="array" aca="1" ref="BK88" ca="1">_xll.RiskOutput()+LOG10(BJ88)</f>
        <v>-3.6508243798340949</v>
      </c>
    </row>
    <row r="89" spans="1:71" x14ac:dyDescent="0.25">
      <c r="A89" s="53" t="str">
        <f>"P(ill) from "&amp;A$54</f>
        <v>P(ill) from Serotype not Kentucky &amp; level over the threshold</v>
      </c>
      <c r="B89" s="62" t="e" cm="1">
        <f t="array" aca="1" ref="B89" ca="1">_xll.RiskOutput()+1-(1+(B$66/C$56))^(-B$56)</f>
        <v>#N/A</v>
      </c>
      <c r="C89" s="63" t="e" cm="1">
        <f t="array" aca="1" ref="C89" ca="1">_xll.RiskOutput()+LOG10(B89)</f>
        <v>#N/A</v>
      </c>
      <c r="E89" t="s">
        <v>20</v>
      </c>
      <c r="M89" s="53" t="str">
        <f>"P(ill) from "&amp;M$54</f>
        <v>P(ill) from Serotype not Kentucky &amp; level over the threshold</v>
      </c>
      <c r="N89" s="62" t="e" cm="1">
        <f t="array" aca="1" ref="N89" ca="1">_xll.RiskOutput()+1-(1+(N$66/O$56))^(-N$56)</f>
        <v>#N/A</v>
      </c>
      <c r="O89" s="63" t="e" cm="1">
        <f t="array" aca="1" ref="O89" ca="1">_xll.RiskOutput()+LOG10(N89)</f>
        <v>#N/A</v>
      </c>
      <c r="Q89" t="s">
        <v>20</v>
      </c>
      <c r="Y89" s="53" t="str">
        <f>"P(ill) from "&amp;Y$54</f>
        <v>P(ill) from Serotype not Kentucky &amp; level over the threshold</v>
      </c>
      <c r="Z89" s="62" t="e" cm="1">
        <f t="array" aca="1" ref="Z89" ca="1">_xll.RiskOutput()+1-(1+(Z$66/AA$56))^(-Z$56)</f>
        <v>#N/A</v>
      </c>
      <c r="AA89" s="63" t="e" cm="1">
        <f t="array" aca="1" ref="AA89" ca="1">_xll.RiskOutput()+LOG10(Z89)</f>
        <v>#N/A</v>
      </c>
      <c r="AC89" t="s">
        <v>20</v>
      </c>
      <c r="AK89" s="53" t="str">
        <f>"P(ill) from "&amp;AK$54</f>
        <v>P(ill) from Serotype not Kentucky &amp; level over the threshold</v>
      </c>
      <c r="AL89" s="62" t="e" cm="1">
        <f t="array" aca="1" ref="AL89" ca="1">_xll.RiskOutput()+1-(1+(AL$66/AM$56))^(-AL$56)</f>
        <v>#N/A</v>
      </c>
      <c r="AM89" s="63" t="e" cm="1">
        <f t="array" aca="1" ref="AM89" ca="1">_xll.RiskOutput()+LOG10(AL89)</f>
        <v>#N/A</v>
      </c>
      <c r="AO89" t="s">
        <v>20</v>
      </c>
      <c r="AW89" s="53" t="str">
        <f>"P(ill) from "&amp;AW$54</f>
        <v>P(ill) from Serotype not Kentucky &amp; level over the threshold</v>
      </c>
      <c r="AX89" s="62" t="e" cm="1">
        <f t="array" aca="1" ref="AX89" ca="1">_xll.RiskOutput()+1-(1+(AX$66/AY$56))^(-AX$56)</f>
        <v>#N/A</v>
      </c>
      <c r="AY89" s="63" t="e" cm="1">
        <f t="array" aca="1" ref="AY89" ca="1">_xll.RiskOutput()+LOG10(AX89)</f>
        <v>#N/A</v>
      </c>
      <c r="BA89" t="s">
        <v>20</v>
      </c>
      <c r="BI89" s="53" t="str">
        <f>"P(ill) from "&amp;BI$54</f>
        <v>P(ill) from Serotype not Kentucky &amp; level over the threshold</v>
      </c>
      <c r="BJ89" s="62" t="e" cm="1">
        <f t="array" aca="1" ref="BJ89" ca="1">_xll.RiskOutput()+1-(1+(BJ$66/BK$56))^(-BJ$56)</f>
        <v>#N/A</v>
      </c>
      <c r="BK89" s="63" t="e" cm="1">
        <f t="array" aca="1" ref="BK89" ca="1">_xll.RiskOutput()+LOG10(BJ89)</f>
        <v>#N/A</v>
      </c>
      <c r="BM89" t="s">
        <v>20</v>
      </c>
    </row>
    <row r="90" spans="1:71" x14ac:dyDescent="0.25">
      <c r="A90" s="47" t="str">
        <f>A$89&amp; " -mean"</f>
        <v>P(ill) from Serotype not Kentucky &amp; level over the threshold -mean</v>
      </c>
      <c r="B90" s="18" cm="1">
        <f t="array" aca="1" ref="B90" ca="1">_xll.RiskMean(B89)</f>
        <v>9.0335324359187538E-6</v>
      </c>
      <c r="C90" s="58" cm="1">
        <f t="array" aca="1" ref="C90" ca="1">_xll.RiskOutput()+LOG10(B90)</f>
        <v>-5.0441423917196548</v>
      </c>
      <c r="M90" s="47" t="str">
        <f>M$89&amp; " -mean"</f>
        <v>P(ill) from Serotype not Kentucky &amp; level over the threshold -mean</v>
      </c>
      <c r="N90" s="18" cm="1">
        <f t="array" aca="1" ref="N90" ca="1">_xll.RiskMean(N89)</f>
        <v>1.901215806024151E-4</v>
      </c>
      <c r="O90" s="58" cm="1">
        <f t="array" aca="1" ref="O90" ca="1">_xll.RiskOutput()+LOG10(N90)</f>
        <v>-3.7209685837942077</v>
      </c>
      <c r="Y90" s="47" t="str">
        <f>Y$89&amp; " -mean"</f>
        <v>P(ill) from Serotype not Kentucky &amp; level over the threshold -mean</v>
      </c>
      <c r="Z90" s="18" cm="1">
        <f t="array" aca="1" ref="Z90" ca="1">_xll.RiskMean(Z89)</f>
        <v>1.0986743386244683E-3</v>
      </c>
      <c r="AA90" s="58" cm="1">
        <f t="array" aca="1" ref="AA90" ca="1">_xll.RiskOutput()+LOG10(Z90)</f>
        <v>-2.9591310190392699</v>
      </c>
      <c r="AK90" s="47" t="str">
        <f>AK$89&amp; " -mean"</f>
        <v>P(ill) from Serotype not Kentucky &amp; level over the threshold -mean</v>
      </c>
      <c r="AL90" s="18" cm="1">
        <f t="array" aca="1" ref="AL90" ca="1">_xll.RiskMean(AL89)</f>
        <v>1.9593804020195362E-5</v>
      </c>
      <c r="AM90" s="58" cm="1">
        <f t="array" aca="1" ref="AM90" ca="1">_xll.RiskOutput()+LOG10(AL90)</f>
        <v>-4.7078812401359302</v>
      </c>
      <c r="AW90" s="47" t="str">
        <f>AW$89&amp; " -mean"</f>
        <v>P(ill) from Serotype not Kentucky &amp; level over the threshold -mean</v>
      </c>
      <c r="AX90" s="18" cm="1">
        <f t="array" aca="1" ref="AX90" ca="1">_xll.RiskMean(AX89)</f>
        <v>1.1150793883942179E-4</v>
      </c>
      <c r="AY90" s="58" cm="1">
        <f t="array" aca="1" ref="AY90" ca="1">_xll.RiskOutput()+LOG10(AX90)</f>
        <v>-3.9526942117959338</v>
      </c>
      <c r="BI90" s="47" t="str">
        <f>BI$89&amp; " -mean"</f>
        <v>P(ill) from Serotype not Kentucky &amp; level over the threshold -mean</v>
      </c>
      <c r="BJ90" s="18" cm="1">
        <f t="array" aca="1" ref="BJ90" ca="1">_xll.RiskMean(BJ89)</f>
        <v>3.1277704859985984E-4</v>
      </c>
      <c r="BK90" s="58" cm="1">
        <f t="array" aca="1" ref="BK90" ca="1">_xll.RiskOutput()+LOG10(BJ90)</f>
        <v>-3.5047651227225947</v>
      </c>
    </row>
    <row r="91" spans="1:71" x14ac:dyDescent="0.25">
      <c r="A91" s="47" t="str">
        <f>A$89&amp; " -5th"</f>
        <v>P(ill) from Serotype not Kentucky &amp; level over the threshold -5th</v>
      </c>
      <c r="B91" s="19" cm="1">
        <f t="array" aca="1" ref="B91" ca="1">_xll.RiskPercentile(B89,0.05)</f>
        <v>2.0349786489237687E-7</v>
      </c>
      <c r="C91" s="57" cm="1">
        <f t="array" aca="1" ref="C91" ca="1">_xll.RiskOutput()+LOG10(B91)</f>
        <v>-6.6914401430496868</v>
      </c>
      <c r="M91" s="47" t="str">
        <f>M$89&amp; " -5th"</f>
        <v>P(ill) from Serotype not Kentucky &amp; level over the threshold -5th</v>
      </c>
      <c r="N91" s="19" cm="1">
        <f t="array" aca="1" ref="N91" ca="1">_xll.RiskPercentile(N89,0.05)</f>
        <v>2.2934981054545389E-5</v>
      </c>
      <c r="O91" s="57" cm="1">
        <f t="array" aca="1" ref="O91" ca="1">_xll.RiskOutput()+LOG10(N91)</f>
        <v>-4.6395016142810634</v>
      </c>
      <c r="Y91" s="47" t="str">
        <f>Y$89&amp; " -5th"</f>
        <v>P(ill) from Serotype not Kentucky &amp; level over the threshold -5th</v>
      </c>
      <c r="Z91" s="19" cm="1">
        <f t="array" aca="1" ref="Z91" ca="1">_xll.RiskPercentile(Z89,0.05)</f>
        <v>2.1158888243943963E-4</v>
      </c>
      <c r="AA91" s="57" cm="1">
        <f t="array" aca="1" ref="AA91" ca="1">_xll.RiskOutput()+LOG10(Z91)</f>
        <v>-3.6745071552665705</v>
      </c>
      <c r="AK91" s="47" t="str">
        <f>AK$89&amp; " -5th"</f>
        <v>P(ill) from Serotype not Kentucky &amp; level over the threshold -5th</v>
      </c>
      <c r="AL91" s="19" cm="1">
        <f t="array" aca="1" ref="AL91" ca="1">_xll.RiskPercentile(AL89,0.05)</f>
        <v>7.2437722486995426E-10</v>
      </c>
      <c r="AM91" s="57" cm="1">
        <f t="array" aca="1" ref="AM91" ca="1">_xll.RiskOutput()+LOG10(AL91)</f>
        <v>-9.1400352127875699</v>
      </c>
      <c r="AW91" s="47" t="str">
        <f>AW$89&amp; " -5th"</f>
        <v>P(ill) from Serotype not Kentucky &amp; level over the threshold -5th</v>
      </c>
      <c r="AX91" s="19" cm="1">
        <f t="array" aca="1" ref="AX91" ca="1">_xll.RiskPercentile(AX89,0.05)</f>
        <v>8.7169624407579249E-8</v>
      </c>
      <c r="AY91" s="57" cm="1">
        <f t="array" aca="1" ref="AY91" ca="1">_xll.RiskOutput()+LOG10(AX91)</f>
        <v>-7.0596348252781551</v>
      </c>
      <c r="BI91" s="47" t="str">
        <f>BI$89&amp; " -5th"</f>
        <v>P(ill) from Serotype not Kentucky &amp; level over the threshold -5th</v>
      </c>
      <c r="BJ91" s="19" cm="1">
        <f t="array" aca="1" ref="BJ91" ca="1">_xll.RiskPercentile(BJ89,0.05)</f>
        <v>7.8849311657691601E-7</v>
      </c>
      <c r="BK91" s="57" cm="1">
        <f t="array" aca="1" ref="BK91" ca="1">_xll.RiskOutput()+LOG10(BJ91)</f>
        <v>-6.1032020936422571</v>
      </c>
    </row>
    <row r="92" spans="1:71" x14ac:dyDescent="0.25">
      <c r="A92" s="47" t="str">
        <f>A$89&amp; " -95th"</f>
        <v>P(ill) from Serotype not Kentucky &amp; level over the threshold -95th</v>
      </c>
      <c r="B92" s="19" cm="1">
        <f t="array" aca="1" ref="B92" ca="1">_xll.RiskPercentile(B89,0.95)</f>
        <v>2.3546390182538346E-5</v>
      </c>
      <c r="C92" s="57" cm="1">
        <f t="array" aca="1" ref="C92" ca="1">_xll.RiskOutput()+LOG10(B92)</f>
        <v>-4.6280756636505567</v>
      </c>
      <c r="M92" s="47" t="str">
        <f>M$89&amp; " -95th"</f>
        <v>P(ill) from Serotype not Kentucky &amp; level over the threshold -95th</v>
      </c>
      <c r="N92" s="19" cm="1">
        <f t="array" aca="1" ref="N92" ca="1">_xll.RiskPercentile(N89,0.95)</f>
        <v>5.862725404451874E-4</v>
      </c>
      <c r="O92" s="57" cm="1">
        <f t="array" aca="1" ref="O92" ca="1">_xll.RiskOutput()+LOG10(N92)</f>
        <v>-3.2319004466175349</v>
      </c>
      <c r="Y92" s="47" t="str">
        <f>Y$89&amp; " -95th"</f>
        <v>P(ill) from Serotype not Kentucky &amp; level over the threshold -95th</v>
      </c>
      <c r="Z92" s="19" cm="1">
        <f t="array" aca="1" ref="Z92" ca="1">_xll.RiskPercentile(Z89,0.95)</f>
        <v>3.0980755067359089E-3</v>
      </c>
      <c r="AA92" s="57" cm="1">
        <f t="array" aca="1" ref="AA92" ca="1">_xll.RiskOutput()+LOG10(Z92)</f>
        <v>-2.5089080017610796</v>
      </c>
      <c r="AK92" s="47" t="str">
        <f>AK$89&amp; " -95th"</f>
        <v>P(ill) from Serotype not Kentucky &amp; level over the threshold -95th</v>
      </c>
      <c r="AL92" s="19" cm="1">
        <f t="array" aca="1" ref="AL92" ca="1">_xll.RiskPercentile(AL89,0.95)</f>
        <v>1.7135513663557589E-6</v>
      </c>
      <c r="AM92" s="57" cm="1">
        <f t="array" aca="1" ref="AM92" ca="1">_xll.RiskOutput()+LOG10(AL92)</f>
        <v>-5.7661028723893537</v>
      </c>
      <c r="AW92" s="47" t="str">
        <f>AW$89&amp; " -95th"</f>
        <v>P(ill) from Serotype not Kentucky &amp; level over the threshold -95th</v>
      </c>
      <c r="AX92" s="19" cm="1">
        <f t="array" aca="1" ref="AX92" ca="1">_xll.RiskPercentile(AX89,0.95)</f>
        <v>4.3496936772191575E-5</v>
      </c>
      <c r="AY92" s="57" cm="1">
        <f t="array" aca="1" ref="AY92" ca="1">_xll.RiskOutput()+LOG10(AX92)</f>
        <v>-4.3615413267183962</v>
      </c>
      <c r="BI92" s="47" t="str">
        <f>BI$89&amp; " -95th"</f>
        <v>P(ill) from Serotype not Kentucky &amp; level over the threshold -95th</v>
      </c>
      <c r="BJ92" s="19" cm="1">
        <f t="array" aca="1" ref="BJ92" ca="1">_xll.RiskPercentile(BJ89,0.95)</f>
        <v>2.3115273588825147E-4</v>
      </c>
      <c r="BK92" s="57" cm="1">
        <f t="array" aca="1" ref="BK92" ca="1">_xll.RiskOutput()+LOG10(BJ92)</f>
        <v>-3.6361009619527471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>
        <f ca="1">B69</f>
        <v>1.9808065143085155E-6</v>
      </c>
      <c r="C94" t="s">
        <v>37</v>
      </c>
      <c r="D94" s="7"/>
      <c r="M94" s="43" t="s">
        <v>36</v>
      </c>
      <c r="N94" s="43">
        <f ca="1">N69</f>
        <v>1.9808065143085155E-6</v>
      </c>
      <c r="O94" t="s">
        <v>37</v>
      </c>
      <c r="P94" s="7"/>
      <c r="Y94" s="43" t="s">
        <v>36</v>
      </c>
      <c r="Z94" s="43">
        <f ca="1">Z69</f>
        <v>1.9808065143085155E-6</v>
      </c>
      <c r="AA94" t="s">
        <v>37</v>
      </c>
      <c r="AB94" s="7"/>
      <c r="AK94" s="43" t="s">
        <v>36</v>
      </c>
      <c r="AL94" s="43">
        <f ca="1">AL69</f>
        <v>2.1814846706259576E-6</v>
      </c>
      <c r="AM94" t="s">
        <v>37</v>
      </c>
      <c r="AN94" s="7"/>
      <c r="AW94" s="43" t="s">
        <v>36</v>
      </c>
      <c r="AX94" s="43">
        <f ca="1">AX69</f>
        <v>2.1814846706259576E-6</v>
      </c>
      <c r="AY94" t="s">
        <v>37</v>
      </c>
      <c r="AZ94" s="7"/>
      <c r="BI94" s="43" t="s">
        <v>36</v>
      </c>
      <c r="BJ94" s="43">
        <f ca="1">BJ69</f>
        <v>2.1814846706259576E-6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>
        <f ca="1">B78</f>
        <v>9.4945487234055222E-6</v>
      </c>
      <c r="M95" t="str">
        <f>M78</f>
        <v>P(ill) from Level over the threshold-mean</v>
      </c>
      <c r="N95" s="7">
        <f ca="1">N78</f>
        <v>2.0505872227769996E-4</v>
      </c>
      <c r="Y95" t="str">
        <f>Y78</f>
        <v>P(ill) from Level over the threshold-mean</v>
      </c>
      <c r="Z95" s="7">
        <f ca="1">Z78</f>
        <v>1.2310144628856915E-3</v>
      </c>
      <c r="AK95" t="str">
        <f>AK78</f>
        <v>P(ill) from Level over the threshold-mean</v>
      </c>
      <c r="AL95" s="7">
        <f ca="1">AL78</f>
        <v>1.6458267706563671E-5</v>
      </c>
      <c r="AW95" t="str">
        <f>AW78</f>
        <v>P(ill) from Level over the threshold-mean</v>
      </c>
      <c r="AX95" s="7">
        <f ca="1">AX78</f>
        <v>9.3693069937636586E-5</v>
      </c>
      <c r="BI95" t="str">
        <f>BI78</f>
        <v>P(ill) from Level over the threshold-mean</v>
      </c>
      <c r="BJ95" s="7">
        <f ca="1">BJ78</f>
        <v>2.6285441838290772E-4</v>
      </c>
    </row>
    <row r="96" spans="1:71" x14ac:dyDescent="0.25">
      <c r="A96" t="str">
        <f>A82</f>
        <v>P(ill) from Inclusion list &amp; level over the threshold -mean</v>
      </c>
      <c r="B96" s="7">
        <f ca="1">B82</f>
        <v>8.9313658400392332E-6</v>
      </c>
      <c r="M96" t="str">
        <f>M82</f>
        <v>P(ill) from Inclusion list &amp; level over the threshold -mean</v>
      </c>
      <c r="N96" s="7">
        <f ca="1">N82</f>
        <v>1.8960012236242721E-4</v>
      </c>
      <c r="Y96" t="str">
        <f>Y82</f>
        <v>P(ill) from Inclusion list &amp; level over the threshold -mean</v>
      </c>
      <c r="Z96" s="7">
        <f ca="1">Z82</f>
        <v>1.1182393148678295E-3</v>
      </c>
      <c r="AK96" t="str">
        <f>AK82</f>
        <v>P(ill) from Inclusion list &amp; level over the threshold -mean</v>
      </c>
      <c r="AL96" s="7">
        <f ca="1">AL82</f>
        <v>1.9411198794051747E-5</v>
      </c>
      <c r="AW96" t="str">
        <f>AW82</f>
        <v>P(ill) from Inclusion list &amp; level over the threshold -mean</v>
      </c>
      <c r="AX96" s="7">
        <f ca="1">AX82</f>
        <v>1.1009208544675139E-4</v>
      </c>
      <c r="BI96" t="str">
        <f>BI82</f>
        <v>P(ill) from Inclusion list &amp; level over the threshold -mean</v>
      </c>
      <c r="BJ96" s="7">
        <f ca="1">BJ82</f>
        <v>3.0747324773147444E-4</v>
      </c>
    </row>
    <row r="97" spans="1:63" x14ac:dyDescent="0.25">
      <c r="A97" t="str">
        <f>A86</f>
        <v>P(ill) from Serotype Kentucky &amp; level over the threshold -mean</v>
      </c>
      <c r="B97" s="7">
        <f ca="1">B86</f>
        <v>1.0610643643351863E-5</v>
      </c>
      <c r="M97" t="str">
        <f>M86</f>
        <v>P(ill) from Serotype Kentucky &amp; level over the threshold -mean</v>
      </c>
      <c r="N97" s="7">
        <f ca="1">N86</f>
        <v>2.4148479951652881E-4</v>
      </c>
      <c r="Y97" t="str">
        <f>Y86</f>
        <v>P(ill) from Serotype Kentucky &amp; level over the threshold -mean</v>
      </c>
      <c r="Z97" s="7">
        <f ca="1">Z86</f>
        <v>1.525103627910632E-3</v>
      </c>
      <c r="AK97" t="str">
        <f>AK86</f>
        <v>P(ill) from Serotype Kentucky &amp; level over the threshold -mean</v>
      </c>
      <c r="AL97" s="7">
        <f ca="1">AL86</f>
        <v>8.8125306686863887E-6</v>
      </c>
      <c r="AW97" t="str">
        <f>AW86</f>
        <v>P(ill) from Serotype Kentucky &amp; level over the threshold -mean</v>
      </c>
      <c r="AX97" s="7">
        <f ca="1">AX86</f>
        <v>5.0187784230748123E-5</v>
      </c>
      <c r="BI97" t="str">
        <f>BI86</f>
        <v>P(ill) from Serotype Kentucky &amp; level over the threshold -mean</v>
      </c>
      <c r="BJ97" s="7">
        <f ca="1">BJ86</f>
        <v>1.4068027832300119E-4</v>
      </c>
    </row>
    <row r="98" spans="1:63" x14ac:dyDescent="0.25">
      <c r="A98" t="str">
        <f>A90</f>
        <v>P(ill) from Serotype not Kentucky &amp; level over the threshold -mean</v>
      </c>
      <c r="B98" s="7">
        <f ca="1">B90</f>
        <v>9.0335324359187538E-6</v>
      </c>
      <c r="M98" t="str">
        <f>M90</f>
        <v>P(ill) from Serotype not Kentucky &amp; level over the threshold -mean</v>
      </c>
      <c r="N98" s="7">
        <f ca="1">N90</f>
        <v>1.901215806024151E-4</v>
      </c>
      <c r="Y98" t="str">
        <f>Y90</f>
        <v>P(ill) from Serotype not Kentucky &amp; level over the threshold -mean</v>
      </c>
      <c r="Z98" s="7">
        <f ca="1">Z90</f>
        <v>1.0986743386244683E-3</v>
      </c>
      <c r="AK98" t="str">
        <f>AK90</f>
        <v>P(ill) from Serotype not Kentucky &amp; level over the threshold -mean</v>
      </c>
      <c r="AL98" s="7">
        <f ca="1">AL90</f>
        <v>1.9593804020195362E-5</v>
      </c>
      <c r="AW98" t="str">
        <f>AW90</f>
        <v>P(ill) from Serotype not Kentucky &amp; level over the threshold -mean</v>
      </c>
      <c r="AX98" s="7">
        <f ca="1">AX90</f>
        <v>1.1150793883942179E-4</v>
      </c>
      <c r="BI98" t="str">
        <f>BI90</f>
        <v>P(ill) from Serotype not Kentucky &amp; level over the threshold -mean</v>
      </c>
      <c r="BJ98" s="7">
        <f ca="1">BJ90</f>
        <v>3.1277704859985984E-4</v>
      </c>
    </row>
    <row r="99" spans="1:63" x14ac:dyDescent="0.25">
      <c r="A99" t="str">
        <f>A94&amp;"-Relative Risk"</f>
        <v>No-Threshold-mean-Relative Risk</v>
      </c>
      <c r="B99" s="42">
        <f ca="1">B94/B$94</f>
        <v>1</v>
      </c>
      <c r="C99" s="81" t="s">
        <v>126</v>
      </c>
      <c r="M99" t="str">
        <f>M94&amp;"-Relative Risk"</f>
        <v>No-Threshold-mean-Relative Risk</v>
      </c>
      <c r="N99" s="42">
        <f ca="1">N94/N$94</f>
        <v>1</v>
      </c>
      <c r="O99" s="81" t="s">
        <v>126</v>
      </c>
      <c r="Y99" t="str">
        <f>Y94&amp;"-Relative Risk"</f>
        <v>No-Threshold-mean-Relative Risk</v>
      </c>
      <c r="Z99" s="42">
        <f ca="1">Z94/Z$94</f>
        <v>1</v>
      </c>
      <c r="AA99" s="81" t="s">
        <v>126</v>
      </c>
      <c r="AK99" t="str">
        <f>AK94&amp;"-Relative Risk"</f>
        <v>No-Threshold-mean-Relative Risk</v>
      </c>
      <c r="AL99" s="42">
        <f ca="1">AL94/AL$94</f>
        <v>1</v>
      </c>
      <c r="AM99" s="81" t="s">
        <v>126</v>
      </c>
      <c r="AW99" t="str">
        <f>AW94&amp;"-Relative Risk"</f>
        <v>No-Threshold-mean-Relative Risk</v>
      </c>
      <c r="AX99" s="42">
        <f ca="1">AX94/AX$94</f>
        <v>1</v>
      </c>
      <c r="AY99" s="81" t="s">
        <v>126</v>
      </c>
      <c r="BI99" t="str">
        <f>BI94&amp;"-Relative Risk"</f>
        <v>No-Threshold-mean-Relative Risk</v>
      </c>
      <c r="BJ99" s="42">
        <f ca="1">BJ94/BJ$94</f>
        <v>1</v>
      </c>
      <c r="BK99" s="81" t="s">
        <v>126</v>
      </c>
    </row>
    <row r="100" spans="1:63" x14ac:dyDescent="0.25">
      <c r="A100" t="str">
        <f>A77&amp;"-Relative Risk"</f>
        <v>P(ill) from Level over the threshold-Relative Risk</v>
      </c>
      <c r="B100" s="82">
        <f ca="1">B95/B94</f>
        <v>4.7932741814108972</v>
      </c>
      <c r="C100" s="82">
        <f ca="1">B26</f>
        <v>0.20511299999999999</v>
      </c>
      <c r="M100" t="str">
        <f>M77&amp;"-Relative Risk"</f>
        <v>P(ill) from Level over the threshold-Relative Risk</v>
      </c>
      <c r="N100" s="82">
        <f ca="1">N95/N94</f>
        <v>103.52284324412392</v>
      </c>
      <c r="O100" s="82">
        <f ca="1">N26</f>
        <v>6.4989999999999996E-3</v>
      </c>
      <c r="Y100" t="str">
        <f>Y77&amp;"-Relative Risk"</f>
        <v>P(ill) from Level over the threshold-Relative Risk</v>
      </c>
      <c r="Z100" s="82">
        <f ca="1">Z95/Z94</f>
        <v>621.47133200207054</v>
      </c>
      <c r="AA100" s="82">
        <f ca="1">Z26</f>
        <v>5.8E-4</v>
      </c>
      <c r="AK100" t="str">
        <f>AK77&amp;"-Relative Risk"</f>
        <v>P(ill) from Level over the threshold-Relative Risk</v>
      </c>
      <c r="AL100" s="82">
        <f ca="1">AL95/AL94</f>
        <v>7.5445259497703079</v>
      </c>
      <c r="AM100" s="82">
        <f ca="1">AL26</f>
        <v>0.132544</v>
      </c>
      <c r="AW100" t="str">
        <f>AW77&amp;"-Relative Risk"</f>
        <v>P(ill) from Level over the threshold-Relative Risk</v>
      </c>
      <c r="AX100" s="82">
        <f ca="1">AX95/AX94</f>
        <v>42.949222242644588</v>
      </c>
      <c r="AY100" s="82">
        <f ca="1">AX26</f>
        <v>2.3265000000000001E-2</v>
      </c>
      <c r="BI100" t="str">
        <f>BI77&amp;"-Relative Risk"</f>
        <v>P(ill) from Level over the threshold-Relative Risk</v>
      </c>
      <c r="BJ100" s="82">
        <f ca="1">BJ95/BJ94</f>
        <v>120.49336028911172</v>
      </c>
      <c r="BK100" s="82">
        <f ca="1">BJ26</f>
        <v>8.2699999999999996E-3</v>
      </c>
    </row>
    <row r="101" spans="1:63" x14ac:dyDescent="0.25">
      <c r="A101" t="str">
        <f>A81&amp;"-Relative Risk"</f>
        <v>P(ill) from Inclusion list &amp; level over the threshold-Relative Risk</v>
      </c>
      <c r="B101" s="82">
        <f ca="1">B96/B94</f>
        <v>4.508954193921916</v>
      </c>
      <c r="C101" s="82">
        <f ca="1">B33</f>
        <v>0.104879</v>
      </c>
      <c r="M101" t="str">
        <f>M81&amp;"-Relative Risk"</f>
        <v>P(ill) from Inclusion list &amp; level over the threshold-Relative Risk</v>
      </c>
      <c r="N101" s="82">
        <f ca="1">N96/N94</f>
        <v>95.718648435793924</v>
      </c>
      <c r="O101" s="82">
        <f ca="1">N33</f>
        <v>3.2799999999999999E-3</v>
      </c>
      <c r="Y101" t="str">
        <f>Y81&amp;"-Relative Risk"</f>
        <v>P(ill) from Inclusion list &amp; level over the threshold-Relative Risk</v>
      </c>
      <c r="Z101" s="82">
        <f ca="1">Z96/Z94</f>
        <v>564.5373774723264</v>
      </c>
      <c r="AA101" s="82">
        <f ca="1">Z33</f>
        <v>2.8400000000000002E-4</v>
      </c>
      <c r="AK101" t="str">
        <f>AK81&amp;"-Relative Risk"</f>
        <v>P(ill) from Inclusion list &amp; level over the threshold-Relative Risk</v>
      </c>
      <c r="AL101" s="82">
        <f ca="1">AL96/AL94</f>
        <v>8.8981596136918419</v>
      </c>
      <c r="AM101" s="82">
        <f ca="1">AL33</f>
        <v>6.8284999999999998E-2</v>
      </c>
      <c r="AW101" t="str">
        <f>AW81&amp;"-Relative Risk"</f>
        <v>P(ill) from Inclusion list &amp; level over the threshold-Relative Risk</v>
      </c>
      <c r="AX101" s="82">
        <f ca="1">AX96/AX94</f>
        <v>50.466586783376954</v>
      </c>
      <c r="AY101" s="82">
        <f ca="1">AX33</f>
        <v>1.2031999999999999E-2</v>
      </c>
      <c r="BI101" t="str">
        <f>BI81&amp;"-Relative Risk"</f>
        <v>P(ill) from Inclusion list &amp; level over the threshold-Relative Risk</v>
      </c>
      <c r="BJ101" s="82">
        <f ca="1">BJ96/BJ94</f>
        <v>140.94678356976385</v>
      </c>
      <c r="BK101" s="82">
        <f ca="1">BJ33</f>
        <v>4.2979999999999997E-3</v>
      </c>
    </row>
    <row r="102" spans="1:63" x14ac:dyDescent="0.25">
      <c r="A102" t="str">
        <f>A85&amp;"-Relative Risk"</f>
        <v>P(ill) from Serotype Kentucky &amp; level over the threshold-Relative Risk</v>
      </c>
      <c r="B102" s="82">
        <f ca="1">B97/B94</f>
        <v>5.356728972115663</v>
      </c>
      <c r="C102" s="82">
        <f ca="1">B37</f>
        <v>5.9957999999999997E-2</v>
      </c>
      <c r="M102" t="str">
        <f>M85&amp;"-Relative Risk"</f>
        <v>P(ill) from Serotype Kentucky &amp; level over the threshold-Relative Risk</v>
      </c>
      <c r="N102" s="82">
        <f ca="1">N97/N94</f>
        <v>121.91236133975929</v>
      </c>
      <c r="O102" s="82">
        <f ca="1">N37</f>
        <v>1.89E-3</v>
      </c>
      <c r="Y102" t="str">
        <f>Y85&amp;"-Relative Risk"</f>
        <v>P(ill) from Serotype Kentucky &amp; level over the threshold-Relative Risk</v>
      </c>
      <c r="Z102" s="82">
        <f ca="1">Z97/Z94</f>
        <v>769.94073721684731</v>
      </c>
      <c r="AA102" s="82">
        <f ca="1">Z37</f>
        <v>1.8000000000000001E-4</v>
      </c>
      <c r="AK102" t="str">
        <f>AK85&amp;"-Relative Risk"</f>
        <v>P(ill) from Serotype Kentucky &amp; level over the threshold-Relative Risk</v>
      </c>
      <c r="AL102" s="82">
        <f ca="1">AL97/AL94</f>
        <v>4.039694061273285</v>
      </c>
      <c r="AM102" s="82">
        <f ca="1">AL37</f>
        <v>3.8547999999999999E-2</v>
      </c>
      <c r="AW102" t="str">
        <f>AW85&amp;"-Relative Risk"</f>
        <v>P(ill) from Serotype Kentucky &amp; level over the threshold-Relative Risk</v>
      </c>
      <c r="AX102" s="82">
        <f ca="1">AX97/AX94</f>
        <v>23.006251158458603</v>
      </c>
      <c r="AY102" s="82">
        <f ca="1">AX37</f>
        <v>6.7590000000000003E-3</v>
      </c>
      <c r="BI102" t="str">
        <f>BI85&amp;"-Relative Risk"</f>
        <v>P(ill) from Serotype Kentucky &amp; level over the threshold-Relative Risk</v>
      </c>
      <c r="BJ102" s="82">
        <f ca="1">BJ97/BJ94</f>
        <v>64.488318537042133</v>
      </c>
      <c r="BK102" s="82">
        <f ca="1">BJ37</f>
        <v>2.3990000000000001E-3</v>
      </c>
    </row>
    <row r="103" spans="1:63" x14ac:dyDescent="0.25">
      <c r="A103" t="str">
        <f>A89&amp; "-Relative Risk"</f>
        <v>P(ill) from Serotype not Kentucky &amp; level over the threshold-Relative Risk</v>
      </c>
      <c r="B103" s="82">
        <f ca="1">B98/B94</f>
        <v>4.560532475365112</v>
      </c>
      <c r="C103" s="82">
        <f ca="1">B39</f>
        <v>0.14515500000000001</v>
      </c>
      <c r="E103" s="104">
        <f ca="1">D111*0.8</f>
        <v>1.6945455470545802E-2</v>
      </c>
      <c r="M103" t="str">
        <f>M89&amp; "-Relative Risk"</f>
        <v>P(ill) from Serotype not Kentucky &amp; level over the threshold-Relative Risk</v>
      </c>
      <c r="N103" s="82">
        <f ca="1">N98/N94</f>
        <v>95.981903951272642</v>
      </c>
      <c r="O103" s="82">
        <f ca="1">N39</f>
        <v>4.6090000000000002E-3</v>
      </c>
      <c r="Y103" t="str">
        <f>Y89&amp; "-Relative Risk"</f>
        <v>P(ill) from Serotype not Kentucky &amp; level over the threshold-Relative Risk</v>
      </c>
      <c r="Z103" s="82">
        <f ca="1">Z98/Z94</f>
        <v>554.66009965542105</v>
      </c>
      <c r="AA103" s="82">
        <f ca="1">Z39</f>
        <v>4.0000000000000002E-4</v>
      </c>
      <c r="AK103" t="str">
        <f>AK89&amp; "-Relative Risk"</f>
        <v>P(ill) from Serotype not Kentucky &amp; level over the threshold-Relative Risk</v>
      </c>
      <c r="AL103" s="82">
        <f ca="1">AL98/AL94</f>
        <v>8.9818664710456542</v>
      </c>
      <c r="AM103" s="82">
        <f ca="1">AL39</f>
        <v>9.3995999999999996E-2</v>
      </c>
      <c r="AW103" t="str">
        <f>AW89&amp; "-Relative Risk"</f>
        <v>P(ill) from Serotype not Kentucky &amp; level over the threshold-Relative Risk</v>
      </c>
      <c r="AX103" s="82">
        <f ca="1">AX98/AX94</f>
        <v>51.115618798928153</v>
      </c>
      <c r="AY103" s="82">
        <f ca="1">AX39</f>
        <v>1.6506E-2</v>
      </c>
      <c r="BI103" t="str">
        <f>BI89&amp; "-Relative Risk"</f>
        <v>P(ill) from Serotype not Kentucky &amp; level over the threshold-Relative Risk</v>
      </c>
      <c r="BJ103" s="82">
        <f ca="1">BJ98/BJ94</f>
        <v>143.37806394491474</v>
      </c>
      <c r="BK103" s="82">
        <f ca="1">BJ39</f>
        <v>5.8710000000000004E-3</v>
      </c>
    </row>
    <row r="104" spans="1:63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</row>
    <row r="105" spans="1:63" x14ac:dyDescent="0.25">
      <c r="A105" s="20" t="s">
        <v>152</v>
      </c>
      <c r="K105" s="7"/>
      <c r="L105" s="7"/>
      <c r="M105" s="55"/>
      <c r="P105" s="7"/>
      <c r="Q105" s="7"/>
      <c r="R105" s="55"/>
    </row>
    <row r="106" spans="1:63" x14ac:dyDescent="0.25">
      <c r="A106" t="s">
        <v>153</v>
      </c>
      <c r="B106" s="83" t="s">
        <v>150</v>
      </c>
      <c r="C106" s="83"/>
      <c r="D106" s="83"/>
      <c r="E106" s="98" t="s">
        <v>151</v>
      </c>
      <c r="F106" s="98"/>
      <c r="G106" s="98"/>
      <c r="H106" s="98"/>
    </row>
    <row r="107" spans="1:63" x14ac:dyDescent="0.25">
      <c r="A107" t="s">
        <v>163</v>
      </c>
      <c r="B107" t="s">
        <v>146</v>
      </c>
      <c r="C107" t="s">
        <v>164</v>
      </c>
      <c r="D107" t="s">
        <v>129</v>
      </c>
      <c r="E107" t="s">
        <v>163</v>
      </c>
      <c r="F107" t="s">
        <v>146</v>
      </c>
      <c r="G107" t="s">
        <v>164</v>
      </c>
      <c r="H107" t="s">
        <v>129</v>
      </c>
    </row>
    <row r="108" spans="1:63" x14ac:dyDescent="0.25">
      <c r="A108" t="s">
        <v>167</v>
      </c>
      <c r="B108" s="95">
        <v>7.4000000000000003E-3</v>
      </c>
      <c r="C108" s="96">
        <f ca="1">C100</f>
        <v>0.20511299999999999</v>
      </c>
      <c r="D108" s="97">
        <f ca="1">B100</f>
        <v>4.7932741814108972</v>
      </c>
      <c r="E108" s="95" t="s">
        <v>154</v>
      </c>
      <c r="F108" s="95">
        <v>7.4000000000000003E-3</v>
      </c>
      <c r="G108" s="96">
        <f ca="1">AM100</f>
        <v>0.132544</v>
      </c>
      <c r="H108" s="97">
        <f ca="1">AL100</f>
        <v>7.5445259497703079</v>
      </c>
      <c r="J108" s="44"/>
      <c r="K108" s="7"/>
      <c r="L108" s="7"/>
    </row>
    <row r="109" spans="1:63" x14ac:dyDescent="0.25">
      <c r="A109" t="s">
        <v>167</v>
      </c>
      <c r="B109" s="95">
        <v>1</v>
      </c>
      <c r="C109" s="96">
        <f ca="1">O100</f>
        <v>6.4989999999999996E-3</v>
      </c>
      <c r="D109" s="97">
        <f ca="1">N100</f>
        <v>103.52284324412392</v>
      </c>
      <c r="E109" s="95" t="s">
        <v>154</v>
      </c>
      <c r="F109" s="95">
        <v>1</v>
      </c>
      <c r="G109" s="96">
        <f ca="1">AY100</f>
        <v>2.3265000000000001E-2</v>
      </c>
      <c r="H109" s="97">
        <f ca="1">AX100</f>
        <v>42.949222242644588</v>
      </c>
    </row>
    <row r="110" spans="1:63" x14ac:dyDescent="0.25">
      <c r="A110" t="s">
        <v>167</v>
      </c>
      <c r="B110" s="95">
        <v>10</v>
      </c>
      <c r="C110" s="96">
        <f ca="1">AA100</f>
        <v>5.8E-4</v>
      </c>
      <c r="D110" s="97">
        <f ca="1">Z100</f>
        <v>621.47133200207054</v>
      </c>
      <c r="E110" s="95" t="s">
        <v>154</v>
      </c>
      <c r="F110" s="95">
        <v>10</v>
      </c>
      <c r="G110" s="96">
        <f ca="1">BK100</f>
        <v>8.2699999999999996E-3</v>
      </c>
      <c r="H110" s="97">
        <f ca="1">BJ100</f>
        <v>120.49336028911172</v>
      </c>
    </row>
    <row r="111" spans="1:63" x14ac:dyDescent="0.25">
      <c r="A111" t="s">
        <v>168</v>
      </c>
      <c r="B111">
        <v>7.4000000000000003E-3</v>
      </c>
      <c r="C111" s="87">
        <f ca="1">1-C108</f>
        <v>0.79488700000000001</v>
      </c>
      <c r="D111" s="91">
        <f ca="1">B74/B69</f>
        <v>2.1181819338182251E-2</v>
      </c>
      <c r="E111" t="s">
        <v>155</v>
      </c>
      <c r="F111">
        <v>7.4000000000000003E-3</v>
      </c>
      <c r="G111" s="87">
        <f ca="1">1-G108</f>
        <v>0.867456</v>
      </c>
      <c r="H111" s="101">
        <f ca="1">AL74/AL69</f>
        <v>2.1156708406356822E-5</v>
      </c>
    </row>
    <row r="112" spans="1:63" x14ac:dyDescent="0.25">
      <c r="A112" t="s">
        <v>168</v>
      </c>
      <c r="B112">
        <v>1</v>
      </c>
      <c r="C112" s="87">
        <f ca="1">1-C109</f>
        <v>0.99350099999999997</v>
      </c>
      <c r="D112" s="91">
        <f ca="1">N74/N69</f>
        <v>0.32934545788724495</v>
      </c>
      <c r="E112" t="s">
        <v>155</v>
      </c>
      <c r="F112">
        <v>1</v>
      </c>
      <c r="G112" s="87">
        <f ca="1">1-G109</f>
        <v>0.97673500000000002</v>
      </c>
      <c r="H112" s="101">
        <f ca="1">AX74/AX69</f>
        <v>8.0507458510363148E-4</v>
      </c>
    </row>
    <row r="113" spans="1:8" x14ac:dyDescent="0.25">
      <c r="A113" t="s">
        <v>168</v>
      </c>
      <c r="B113">
        <v>10</v>
      </c>
      <c r="C113" s="87">
        <f ca="1">1-C110</f>
        <v>0.99941999999999998</v>
      </c>
      <c r="D113" s="91">
        <f ca="1">Z74/Z69</f>
        <v>0.63991777975106401</v>
      </c>
      <c r="E113" t="s">
        <v>155</v>
      </c>
      <c r="F113">
        <v>10</v>
      </c>
      <c r="G113" s="87">
        <f ca="1">1-G110</f>
        <v>0.99173</v>
      </c>
      <c r="H113" s="101">
        <f ca="1">BJ74/BJ69</f>
        <v>3.549262812517954E-3</v>
      </c>
    </row>
    <row r="114" spans="1:8" x14ac:dyDescent="0.25">
      <c r="A114" t="s">
        <v>166</v>
      </c>
      <c r="B114">
        <v>7.4000000000000003E-3</v>
      </c>
      <c r="C114" s="87">
        <f ca="1">C101</f>
        <v>0.104879</v>
      </c>
      <c r="D114" s="90">
        <f ca="1">B101</f>
        <v>4.508954193921916</v>
      </c>
      <c r="E114" t="s">
        <v>166</v>
      </c>
      <c r="F114">
        <v>7.4000000000000003E-3</v>
      </c>
      <c r="G114" s="87">
        <f ca="1">AM101</f>
        <v>6.8284999999999998E-2</v>
      </c>
      <c r="H114" s="90">
        <f ca="1">AL101</f>
        <v>8.8981596136918419</v>
      </c>
    </row>
    <row r="115" spans="1:8" x14ac:dyDescent="0.25">
      <c r="A115" t="s">
        <v>166</v>
      </c>
      <c r="B115">
        <v>1</v>
      </c>
      <c r="C115" s="87">
        <f ca="1">O101</f>
        <v>3.2799999999999999E-3</v>
      </c>
      <c r="D115" s="90">
        <f ca="1">N102</f>
        <v>121.91236133975929</v>
      </c>
      <c r="E115" t="s">
        <v>166</v>
      </c>
      <c r="F115">
        <v>1</v>
      </c>
      <c r="G115" s="87">
        <f ca="1">AY101</f>
        <v>1.2031999999999999E-2</v>
      </c>
      <c r="H115" s="90">
        <f ca="1">AX101</f>
        <v>50.466586783376954</v>
      </c>
    </row>
    <row r="116" spans="1:8" x14ac:dyDescent="0.25">
      <c r="A116" t="s">
        <v>166</v>
      </c>
      <c r="B116">
        <v>10</v>
      </c>
      <c r="C116" s="87">
        <f ca="1">AA101</f>
        <v>2.8400000000000002E-4</v>
      </c>
      <c r="D116" s="90">
        <f ca="1">Z102</f>
        <v>769.94073721684731</v>
      </c>
      <c r="E116" t="s">
        <v>166</v>
      </c>
      <c r="F116">
        <v>10</v>
      </c>
      <c r="G116" s="87">
        <f ca="1">BK101</f>
        <v>4.2979999999999997E-3</v>
      </c>
      <c r="H116" s="90">
        <f ca="1">BJ101</f>
        <v>140.94678356976385</v>
      </c>
    </row>
    <row r="117" spans="1:8" x14ac:dyDescent="0.25">
      <c r="A117" t="s">
        <v>161</v>
      </c>
      <c r="B117">
        <v>7.4000000000000003E-3</v>
      </c>
      <c r="C117" s="87">
        <f ca="1">C102</f>
        <v>5.9957999999999997E-2</v>
      </c>
      <c r="D117" s="90">
        <f ca="1">B103</f>
        <v>4.560532475365112</v>
      </c>
      <c r="E117" t="s">
        <v>161</v>
      </c>
      <c r="F117">
        <v>7.4000000000000003E-3</v>
      </c>
      <c r="G117" s="87">
        <f ca="1">AM102</f>
        <v>3.8547999999999999E-2</v>
      </c>
      <c r="H117" s="90">
        <f ca="1">AL102</f>
        <v>4.039694061273285</v>
      </c>
    </row>
    <row r="118" spans="1:8" x14ac:dyDescent="0.25">
      <c r="A118" t="s">
        <v>161</v>
      </c>
      <c r="B118">
        <v>1</v>
      </c>
      <c r="C118" s="87">
        <f ca="1">O102</f>
        <v>1.89E-3</v>
      </c>
      <c r="D118" s="90">
        <f ca="1">N103</f>
        <v>95.981903951272642</v>
      </c>
      <c r="E118" t="s">
        <v>161</v>
      </c>
      <c r="F118">
        <v>1</v>
      </c>
      <c r="G118" s="87">
        <f ca="1">AY102</f>
        <v>6.7590000000000003E-3</v>
      </c>
      <c r="H118" s="90">
        <f ca="1">AX102</f>
        <v>23.006251158458603</v>
      </c>
    </row>
    <row r="119" spans="1:8" x14ac:dyDescent="0.25">
      <c r="A119" t="s">
        <v>161</v>
      </c>
      <c r="B119">
        <v>10</v>
      </c>
      <c r="C119" s="87">
        <f ca="1">AA102</f>
        <v>1.8000000000000001E-4</v>
      </c>
      <c r="D119" s="90">
        <f ca="1">Z103</f>
        <v>554.66009965542105</v>
      </c>
      <c r="E119" t="s">
        <v>161</v>
      </c>
      <c r="F119">
        <v>10</v>
      </c>
      <c r="G119" s="87">
        <f ca="1">BK102</f>
        <v>2.3990000000000001E-3</v>
      </c>
      <c r="H119" s="90">
        <f ca="1">BJ102</f>
        <v>64.488318537042133</v>
      </c>
    </row>
    <row r="120" spans="1:8" x14ac:dyDescent="0.25">
      <c r="A120" t="s">
        <v>162</v>
      </c>
      <c r="B120">
        <v>7.4000000000000003E-3</v>
      </c>
      <c r="C120" s="87">
        <f ca="1">C103</f>
        <v>0.14515500000000001</v>
      </c>
      <c r="D120" s="90">
        <f ca="1">B103</f>
        <v>4.560532475365112</v>
      </c>
      <c r="E120" t="s">
        <v>162</v>
      </c>
      <c r="F120">
        <v>7.4000000000000003E-3</v>
      </c>
      <c r="G120" s="87">
        <f ca="1">AM103</f>
        <v>9.3995999999999996E-2</v>
      </c>
      <c r="H120" s="90">
        <f ca="1">AL103</f>
        <v>8.9818664710456542</v>
      </c>
    </row>
    <row r="121" spans="1:8" x14ac:dyDescent="0.25">
      <c r="A121" t="s">
        <v>162</v>
      </c>
      <c r="B121">
        <v>1</v>
      </c>
      <c r="C121" s="87">
        <f ca="1">O103</f>
        <v>4.6090000000000002E-3</v>
      </c>
      <c r="D121" s="90">
        <f ca="1">N103</f>
        <v>95.981903951272642</v>
      </c>
      <c r="E121" t="s">
        <v>162</v>
      </c>
      <c r="F121">
        <v>1</v>
      </c>
      <c r="G121" s="87">
        <f ca="1">AY103</f>
        <v>1.6506E-2</v>
      </c>
      <c r="H121" s="90">
        <f ca="1">AX103</f>
        <v>51.115618798928153</v>
      </c>
    </row>
    <row r="122" spans="1:8" x14ac:dyDescent="0.25">
      <c r="A122" t="s">
        <v>162</v>
      </c>
      <c r="B122">
        <v>10</v>
      </c>
      <c r="C122" s="87">
        <f ca="1">AA103</f>
        <v>4.0000000000000002E-4</v>
      </c>
      <c r="D122" s="90">
        <f ca="1">Z103</f>
        <v>554.66009965542105</v>
      </c>
      <c r="E122" t="s">
        <v>162</v>
      </c>
      <c r="F122">
        <v>10</v>
      </c>
      <c r="G122" s="87">
        <f ca="1">BK103</f>
        <v>5.8710000000000004E-3</v>
      </c>
      <c r="H122" s="90">
        <f ca="1">BJ103</f>
        <v>143.37806394491474</v>
      </c>
    </row>
    <row r="124" spans="1:8" x14ac:dyDescent="0.25">
      <c r="A124" s="20" t="s">
        <v>156</v>
      </c>
      <c r="B124" s="83" t="s">
        <v>159</v>
      </c>
      <c r="C124" s="98" t="s">
        <v>160</v>
      </c>
    </row>
    <row r="125" spans="1:8" x14ac:dyDescent="0.25">
      <c r="A125" s="20" t="s">
        <v>149</v>
      </c>
      <c r="B125" s="88">
        <v>89969366913.233688</v>
      </c>
      <c r="C125" s="88">
        <v>89969366913.233688</v>
      </c>
    </row>
    <row r="126" spans="1:8" x14ac:dyDescent="0.25">
      <c r="A126" t="s">
        <v>157</v>
      </c>
      <c r="B126" s="7">
        <f ca="1">B94</f>
        <v>1.9808065143085155E-6</v>
      </c>
      <c r="C126" s="7">
        <f ca="1">AL69</f>
        <v>2.1814846706259576E-6</v>
      </c>
    </row>
    <row r="127" spans="1:8" x14ac:dyDescent="0.25">
      <c r="A127" t="s">
        <v>158</v>
      </c>
      <c r="B127" s="89">
        <f ca="1">B125*B126</f>
        <v>178211.90806994631</v>
      </c>
      <c r="C127" s="89">
        <f ca="1">C126*B125</f>
        <v>196266.79474714151</v>
      </c>
    </row>
    <row r="129" spans="1:14" x14ac:dyDescent="0.25">
      <c r="A129" t="s">
        <v>145</v>
      </c>
      <c r="B129" s="83" t="s">
        <v>150</v>
      </c>
      <c r="C129" s="83"/>
      <c r="D129" s="83"/>
      <c r="E129" s="83"/>
      <c r="F129" s="83"/>
      <c r="G129" s="98" t="s">
        <v>151</v>
      </c>
      <c r="H129" s="98"/>
      <c r="I129" s="98"/>
      <c r="J129" s="98"/>
      <c r="K129" s="98"/>
      <c r="L129" s="98"/>
      <c r="M129" t="s">
        <v>170</v>
      </c>
    </row>
    <row r="130" spans="1:14" x14ac:dyDescent="0.25">
      <c r="A130" t="s">
        <v>163</v>
      </c>
      <c r="B130" t="s">
        <v>146</v>
      </c>
      <c r="C130" t="s">
        <v>164</v>
      </c>
      <c r="D130" t="s">
        <v>165</v>
      </c>
      <c r="E130" t="s">
        <v>147</v>
      </c>
      <c r="F130" s="20" t="s">
        <v>169</v>
      </c>
      <c r="G130" t="s">
        <v>163</v>
      </c>
      <c r="H130" t="s">
        <v>146</v>
      </c>
      <c r="I130" t="s">
        <v>164</v>
      </c>
      <c r="J130" t="s">
        <v>165</v>
      </c>
      <c r="K130" t="s">
        <v>148</v>
      </c>
      <c r="L130" s="20" t="s">
        <v>169</v>
      </c>
      <c r="M130" t="s">
        <v>171</v>
      </c>
    </row>
    <row r="131" spans="1:14" x14ac:dyDescent="0.25">
      <c r="A131" t="s">
        <v>167</v>
      </c>
      <c r="B131" s="54">
        <v>7.4000000000000003E-3</v>
      </c>
      <c r="C131" s="92">
        <f ca="1">C108</f>
        <v>0.20511299999999999</v>
      </c>
      <c r="D131" s="99">
        <f ca="1">$B$125*C108</f>
        <v>18453886755.674099</v>
      </c>
      <c r="E131" s="93">
        <f ca="1">B95</f>
        <v>9.4945487234055222E-6</v>
      </c>
      <c r="F131" s="102">
        <f ca="1">D131*E131/$B$127</f>
        <v>0.9831628471717333</v>
      </c>
      <c r="G131" s="54" t="s">
        <v>154</v>
      </c>
      <c r="H131" s="54">
        <v>7.4000000000000003E-3</v>
      </c>
      <c r="I131" s="94">
        <f ca="1">G108</f>
        <v>0.132544</v>
      </c>
      <c r="J131" s="99">
        <f ca="1">$B$125*G108</f>
        <v>11924899768.147646</v>
      </c>
      <c r="K131" s="93">
        <f ca="1">AL95</f>
        <v>1.6458267706563671E-5</v>
      </c>
      <c r="L131" s="102">
        <f ca="1">J131*K131/$C$127</f>
        <v>0.99998164748635576</v>
      </c>
      <c r="M131" s="89">
        <f ca="1">J131*K131</f>
        <v>196263.192758113</v>
      </c>
      <c r="N131" s="89"/>
    </row>
    <row r="132" spans="1:14" x14ac:dyDescent="0.25">
      <c r="A132" t="s">
        <v>167</v>
      </c>
      <c r="B132" s="54">
        <v>1</v>
      </c>
      <c r="C132" s="92">
        <f t="shared" ref="C132:C145" ca="1" si="0">C109</f>
        <v>6.4989999999999996E-3</v>
      </c>
      <c r="D132" s="99">
        <f ca="1">$B$125*C109</f>
        <v>584710915.56910574</v>
      </c>
      <c r="E132" s="93">
        <f ca="1">N95</f>
        <v>2.0505872227769996E-4</v>
      </c>
      <c r="F132" s="102">
        <f ca="1">D132*E132/$B$127</f>
        <v>0.67279495824356128</v>
      </c>
      <c r="G132" s="54" t="s">
        <v>154</v>
      </c>
      <c r="H132" s="54">
        <v>1</v>
      </c>
      <c r="I132" s="94">
        <f ca="1">G109</f>
        <v>2.3265000000000001E-2</v>
      </c>
      <c r="J132" s="99">
        <f ca="1">$B$125*G109</f>
        <v>2093137321.2363818</v>
      </c>
      <c r="K132" s="93">
        <f ca="1">AX95</f>
        <v>9.3693069937636586E-5</v>
      </c>
      <c r="L132" s="102">
        <f ca="1">J132*K132/$C$127</f>
        <v>0.99921365547512653</v>
      </c>
      <c r="M132" s="89">
        <f t="shared" ref="M132:M145" ca="1" si="1">J132*K132</f>
        <v>196112.46142767763</v>
      </c>
      <c r="N132" s="89"/>
    </row>
    <row r="133" spans="1:14" x14ac:dyDescent="0.25">
      <c r="A133" t="s">
        <v>167</v>
      </c>
      <c r="B133" s="54">
        <v>10</v>
      </c>
      <c r="C133" s="92">
        <f t="shared" ca="1" si="0"/>
        <v>5.8E-4</v>
      </c>
      <c r="D133" s="99">
        <f ca="1">$B$125*C110</f>
        <v>52182232.809675537</v>
      </c>
      <c r="E133" s="93">
        <f ca="1">Z95</f>
        <v>1.2310144628856915E-3</v>
      </c>
      <c r="F133" s="102">
        <f ca="1">D133*E133/$B$127</f>
        <v>0.36045337256120091</v>
      </c>
      <c r="G133" s="54" t="s">
        <v>154</v>
      </c>
      <c r="H133" s="54">
        <v>10</v>
      </c>
      <c r="I133" s="94">
        <f ca="1">G110</f>
        <v>8.2699999999999996E-3</v>
      </c>
      <c r="J133" s="99">
        <f ca="1">$B$125*G110</f>
        <v>744046664.3724426</v>
      </c>
      <c r="K133" s="93">
        <f ca="1">BJ95</f>
        <v>2.6285441838290772E-4</v>
      </c>
      <c r="L133" s="102">
        <f ca="1">J133*K133/$C$127</f>
        <v>0.99648008959095402</v>
      </c>
      <c r="M133" s="89">
        <f t="shared" ca="1" si="1"/>
        <v>195575.95321336095</v>
      </c>
      <c r="N133" s="89"/>
    </row>
    <row r="134" spans="1:14" x14ac:dyDescent="0.25">
      <c r="A134" t="s">
        <v>168</v>
      </c>
      <c r="B134">
        <v>7.4000000000000003E-3</v>
      </c>
      <c r="C134" s="101">
        <f t="shared" ca="1" si="0"/>
        <v>0.79488700000000001</v>
      </c>
      <c r="D134" s="100">
        <f t="shared" ref="D134:D136" ca="1" si="2">$B$125*C111</f>
        <v>71515480157.559586</v>
      </c>
      <c r="E134" s="7">
        <f ca="1">B74</f>
        <v>4.1957085729977494E-8</v>
      </c>
      <c r="F134" s="103">
        <f ca="1">D134*E134/$B$127</f>
        <v>1.6837152828269676E-2</v>
      </c>
      <c r="G134" t="s">
        <v>155</v>
      </c>
      <c r="H134">
        <v>7.4000000000000003E-3</v>
      </c>
      <c r="I134" s="87">
        <f ca="1">G111</f>
        <v>0.867456</v>
      </c>
      <c r="J134" s="100">
        <f t="shared" ref="J134:J136" ca="1" si="3">$B$125*G111</f>
        <v>78044467145.086044</v>
      </c>
      <c r="K134" s="7">
        <f ca="1">AL74</f>
        <v>4.6153035069370737E-11</v>
      </c>
      <c r="L134" s="103">
        <f t="shared" ref="L134:L136" ca="1" si="4">J134*K134/$C$127</f>
        <v>1.8352513647344662E-5</v>
      </c>
      <c r="M134" s="89">
        <f t="shared" ca="1" si="1"/>
        <v>3.6019890291175085</v>
      </c>
    </row>
    <row r="135" spans="1:14" x14ac:dyDescent="0.25">
      <c r="A135" t="s">
        <v>168</v>
      </c>
      <c r="B135">
        <v>1</v>
      </c>
      <c r="C135" s="101">
        <f t="shared" ca="1" si="0"/>
        <v>0.99350099999999997</v>
      </c>
      <c r="D135" s="100">
        <f t="shared" ca="1" si="2"/>
        <v>89384655997.664581</v>
      </c>
      <c r="E135" s="7">
        <f ca="1">N74</f>
        <v>6.5236962844097566E-7</v>
      </c>
      <c r="F135" s="103">
        <f t="shared" ref="F135:F136" ca="1" si="5">D135*E135/$B$127</f>
        <v>0.32720504175643572</v>
      </c>
      <c r="G135" t="s">
        <v>155</v>
      </c>
      <c r="H135">
        <v>1</v>
      </c>
      <c r="I135" s="87">
        <f t="shared" ref="I135:I136" ca="1" si="6">G112</f>
        <v>0.97673500000000002</v>
      </c>
      <c r="J135" s="100">
        <f t="shared" ca="1" si="3"/>
        <v>87876229591.997314</v>
      </c>
      <c r="K135" s="7">
        <f ca="1">AX74</f>
        <v>1.756257866114125E-9</v>
      </c>
      <c r="L135" s="103">
        <f t="shared" ca="1" si="4"/>
        <v>7.863445248811956E-4</v>
      </c>
      <c r="M135" s="89">
        <f t="shared" ca="1" si="1"/>
        <v>154.33331946539613</v>
      </c>
    </row>
    <row r="136" spans="1:14" x14ac:dyDescent="0.25">
      <c r="A136" t="s">
        <v>168</v>
      </c>
      <c r="B136">
        <v>10</v>
      </c>
      <c r="C136" s="101">
        <f t="shared" ca="1" si="0"/>
        <v>0.99941999999999998</v>
      </c>
      <c r="D136" s="100">
        <f t="shared" ca="1" si="2"/>
        <v>89917184680.424011</v>
      </c>
      <c r="E136" s="7">
        <f ca="1">Z74</f>
        <v>1.2675533067527495E-6</v>
      </c>
      <c r="F136" s="103">
        <f t="shared" ca="1" si="5"/>
        <v>0.63954662743880841</v>
      </c>
      <c r="G136" t="s">
        <v>155</v>
      </c>
      <c r="H136">
        <v>10</v>
      </c>
      <c r="I136" s="87">
        <f t="shared" ca="1" si="6"/>
        <v>0.99173</v>
      </c>
      <c r="J136" s="100">
        <f t="shared" ca="1" si="3"/>
        <v>89225320248.861252</v>
      </c>
      <c r="K136" s="7">
        <f ca="1">BJ74</f>
        <v>7.7426624175306887E-9</v>
      </c>
      <c r="L136" s="103">
        <f t="shared" ca="1" si="4"/>
        <v>3.519910409058431E-3</v>
      </c>
      <c r="M136" s="89">
        <f t="shared" ca="1" si="1"/>
        <v>690.841533782998</v>
      </c>
    </row>
    <row r="137" spans="1:14" x14ac:dyDescent="0.25">
      <c r="A137" t="s">
        <v>166</v>
      </c>
      <c r="B137">
        <v>7.4000000000000003E-3</v>
      </c>
      <c r="C137" s="101">
        <f t="shared" ca="1" si="0"/>
        <v>0.104879</v>
      </c>
      <c r="D137" s="100">
        <f t="shared" ref="D137:D145" ca="1" si="7">$B$125*C114</f>
        <v>9435897232.4930363</v>
      </c>
      <c r="E137" s="7">
        <f ca="1">B96</f>
        <v>8.9313658400392332E-6</v>
      </c>
      <c r="F137" s="103">
        <f t="shared" ref="F137:F145" ca="1" si="8">D137*E137/$B$127</f>
        <v>0.4728946069043366</v>
      </c>
      <c r="G137" t="s">
        <v>166</v>
      </c>
      <c r="H137">
        <v>7.4000000000000003E-3</v>
      </c>
      <c r="I137" s="87">
        <f t="shared" ref="I137:I145" ca="1" si="9">G114</f>
        <v>6.8284999999999998E-2</v>
      </c>
      <c r="J137" s="100">
        <f t="shared" ref="J137:J145" ca="1" si="10">$B$125*G114</f>
        <v>6143558219.6701622</v>
      </c>
      <c r="K137" s="7">
        <f ca="1">AL96</f>
        <v>1.9411198794051747E-5</v>
      </c>
      <c r="L137" s="103">
        <f t="shared" ref="L137:L145" ca="1" si="11">J137*K137/$C$127</f>
        <v>0.60761082922094756</v>
      </c>
      <c r="M137" s="89">
        <f t="shared" ca="1" si="1"/>
        <v>119253.82990484816</v>
      </c>
      <c r="N137" s="89"/>
    </row>
    <row r="138" spans="1:14" x14ac:dyDescent="0.25">
      <c r="A138" t="s">
        <v>166</v>
      </c>
      <c r="B138">
        <v>1</v>
      </c>
      <c r="C138" s="101">
        <f t="shared" ca="1" si="0"/>
        <v>3.2799999999999999E-3</v>
      </c>
      <c r="D138" s="100">
        <f t="shared" ca="1" si="7"/>
        <v>295099523.47540647</v>
      </c>
      <c r="E138" s="7">
        <f ca="1">N96</f>
        <v>1.8960012236242721E-4</v>
      </c>
      <c r="F138" s="103">
        <f t="shared" ca="1" si="8"/>
        <v>0.31395716686940406</v>
      </c>
      <c r="G138" t="s">
        <v>166</v>
      </c>
      <c r="H138">
        <v>1</v>
      </c>
      <c r="I138" s="87">
        <f t="shared" ca="1" si="9"/>
        <v>1.2031999999999999E-2</v>
      </c>
      <c r="J138" s="100">
        <f t="shared" ca="1" si="10"/>
        <v>1082511422.7000277</v>
      </c>
      <c r="K138" s="7">
        <f ca="1">AX96</f>
        <v>1.1009208544675139E-4</v>
      </c>
      <c r="L138" s="103">
        <f t="shared" ca="1" si="11"/>
        <v>0.60721397217759154</v>
      </c>
      <c r="M138" s="89">
        <f t="shared" ca="1" si="1"/>
        <v>119175.94004497585</v>
      </c>
      <c r="N138" s="89"/>
    </row>
    <row r="139" spans="1:14" x14ac:dyDescent="0.25">
      <c r="A139" t="s">
        <v>166</v>
      </c>
      <c r="B139">
        <v>10</v>
      </c>
      <c r="C139" s="101">
        <f t="shared" ca="1" si="0"/>
        <v>2.8400000000000002E-4</v>
      </c>
      <c r="D139" s="100">
        <f t="shared" ca="1" si="7"/>
        <v>25551300.203358371</v>
      </c>
      <c r="E139" s="7">
        <f ca="1">Z96</f>
        <v>1.1182393148678295E-3</v>
      </c>
      <c r="F139" s="103">
        <f t="shared" ca="1" si="8"/>
        <v>0.1603286152021407</v>
      </c>
      <c r="G139" t="s">
        <v>166</v>
      </c>
      <c r="H139">
        <v>10</v>
      </c>
      <c r="I139" s="87">
        <f t="shared" ca="1" si="9"/>
        <v>4.2979999999999997E-3</v>
      </c>
      <c r="J139" s="100">
        <f t="shared" ca="1" si="10"/>
        <v>386688338.99307835</v>
      </c>
      <c r="K139" s="7">
        <f ca="1">BJ96</f>
        <v>3.0747324773147444E-4</v>
      </c>
      <c r="L139" s="103">
        <f t="shared" ca="1" si="11"/>
        <v>0.60578927578284503</v>
      </c>
      <c r="M139" s="89">
        <f t="shared" ca="1" si="1"/>
        <v>118896.31945009115</v>
      </c>
      <c r="N139" s="89"/>
    </row>
    <row r="140" spans="1:14" x14ac:dyDescent="0.25">
      <c r="A140" t="s">
        <v>161</v>
      </c>
      <c r="B140">
        <v>7.4000000000000003E-3</v>
      </c>
      <c r="C140" s="101">
        <f t="shared" ca="1" si="0"/>
        <v>5.9957999999999997E-2</v>
      </c>
      <c r="D140" s="100">
        <f t="shared" ca="1" si="7"/>
        <v>5394383301.3836651</v>
      </c>
      <c r="E140" s="7">
        <f ca="1">B97</f>
        <v>1.0610643643351863E-5</v>
      </c>
      <c r="F140" s="103">
        <f t="shared" ca="1" si="8"/>
        <v>0.3211787557101109</v>
      </c>
      <c r="G140" t="s">
        <v>161</v>
      </c>
      <c r="H140">
        <v>7.4000000000000003E-3</v>
      </c>
      <c r="I140" s="87">
        <f t="shared" ca="1" si="9"/>
        <v>3.8547999999999999E-2</v>
      </c>
      <c r="J140" s="100">
        <f t="shared" ca="1" si="10"/>
        <v>3468139155.7713323</v>
      </c>
      <c r="K140" s="7">
        <f ca="1">AL97</f>
        <v>8.8125306686863887E-6</v>
      </c>
      <c r="L140" s="103">
        <f t="shared" ca="1" si="11"/>
        <v>0.1557221266739626</v>
      </c>
      <c r="M140" s="89">
        <f t="shared" ca="1" si="1"/>
        <v>30563.082673506986</v>
      </c>
    </row>
    <row r="141" spans="1:14" x14ac:dyDescent="0.25">
      <c r="A141" t="s">
        <v>161</v>
      </c>
      <c r="B141">
        <v>1</v>
      </c>
      <c r="C141" s="101">
        <f t="shared" ca="1" si="0"/>
        <v>1.89E-3</v>
      </c>
      <c r="D141" s="100">
        <f t="shared" ca="1" si="7"/>
        <v>170042103.46601167</v>
      </c>
      <c r="E141" s="7">
        <f ca="1">N97</f>
        <v>2.4148479951652881E-4</v>
      </c>
      <c r="F141" s="103">
        <f t="shared" ca="1" si="8"/>
        <v>0.23041436293214507</v>
      </c>
      <c r="G141" t="s">
        <v>161</v>
      </c>
      <c r="H141">
        <v>1</v>
      </c>
      <c r="I141" s="87">
        <f t="shared" ca="1" si="9"/>
        <v>6.7590000000000003E-3</v>
      </c>
      <c r="J141" s="100">
        <f t="shared" ca="1" si="10"/>
        <v>608102950.96654654</v>
      </c>
      <c r="K141" s="7">
        <f ca="1">AX97</f>
        <v>5.0187784230748123E-5</v>
      </c>
      <c r="L141" s="103">
        <f t="shared" ca="1" si="11"/>
        <v>0.15549925158002173</v>
      </c>
      <c r="M141" s="89">
        <f t="shared" ca="1" si="1"/>
        <v>30519.339693190243</v>
      </c>
    </row>
    <row r="142" spans="1:14" x14ac:dyDescent="0.25">
      <c r="A142" t="s">
        <v>161</v>
      </c>
      <c r="B142">
        <v>10</v>
      </c>
      <c r="C142" s="101">
        <f t="shared" ca="1" si="0"/>
        <v>1.8000000000000001E-4</v>
      </c>
      <c r="D142" s="100">
        <f t="shared" ca="1" si="7"/>
        <v>16194486.044382066</v>
      </c>
      <c r="E142" s="7">
        <f ca="1">Z97</f>
        <v>1.525103627910632E-3</v>
      </c>
      <c r="F142" s="103">
        <f t="shared" ca="1" si="8"/>
        <v>0.13858933269903254</v>
      </c>
      <c r="G142" t="s">
        <v>161</v>
      </c>
      <c r="H142">
        <v>10</v>
      </c>
      <c r="I142" s="87">
        <f t="shared" ca="1" si="9"/>
        <v>2.3990000000000001E-3</v>
      </c>
      <c r="J142" s="100">
        <f t="shared" ca="1" si="10"/>
        <v>215836511.22484761</v>
      </c>
      <c r="K142" s="7">
        <f ca="1">BJ97</f>
        <v>1.4068027832300119E-4</v>
      </c>
      <c r="L142" s="103">
        <f t="shared" ca="1" si="11"/>
        <v>0.15470747617036407</v>
      </c>
      <c r="M142" s="89">
        <f t="shared" ca="1" si="1"/>
        <v>30363.940471377133</v>
      </c>
    </row>
    <row r="143" spans="1:14" x14ac:dyDescent="0.25">
      <c r="A143" t="s">
        <v>162</v>
      </c>
      <c r="B143">
        <v>7.4000000000000003E-3</v>
      </c>
      <c r="C143" s="101">
        <f t="shared" ca="1" si="0"/>
        <v>0.14515500000000001</v>
      </c>
      <c r="D143" s="100">
        <f t="shared" ca="1" si="7"/>
        <v>13059503454.290436</v>
      </c>
      <c r="E143" s="7">
        <f ca="1">B98</f>
        <v>9.0335324359187538E-6</v>
      </c>
      <c r="F143" s="103">
        <f t="shared" ca="1" si="8"/>
        <v>0.66198409146162285</v>
      </c>
      <c r="G143" t="s">
        <v>162</v>
      </c>
      <c r="H143">
        <v>7.4000000000000003E-3</v>
      </c>
      <c r="I143" s="87">
        <f t="shared" ca="1" si="9"/>
        <v>9.3995999999999996E-2</v>
      </c>
      <c r="J143" s="100">
        <f t="shared" ca="1" si="10"/>
        <v>8456760612.3763132</v>
      </c>
      <c r="K143" s="7">
        <f ca="1">AL98</f>
        <v>1.9593804020195362E-5</v>
      </c>
      <c r="L143" s="103">
        <f t="shared" ca="1" si="11"/>
        <v>0.8442595208124074</v>
      </c>
      <c r="M143" s="89">
        <f t="shared" ca="1" si="1"/>
        <v>165700.11008460881</v>
      </c>
    </row>
    <row r="144" spans="1:14" x14ac:dyDescent="0.25">
      <c r="A144" t="s">
        <v>162</v>
      </c>
      <c r="B144">
        <v>1</v>
      </c>
      <c r="C144" s="101">
        <f t="shared" ca="1" si="0"/>
        <v>4.6090000000000002E-3</v>
      </c>
      <c r="D144" s="100">
        <f t="shared" ca="1" si="7"/>
        <v>414668812.1030941</v>
      </c>
      <c r="E144" s="7">
        <f ca="1">N98</f>
        <v>1.901215806024151E-4</v>
      </c>
      <c r="F144" s="103">
        <f t="shared" ca="1" si="8"/>
        <v>0.4423805953114156</v>
      </c>
      <c r="G144" t="s">
        <v>162</v>
      </c>
      <c r="H144">
        <v>1</v>
      </c>
      <c r="I144" s="87">
        <f t="shared" ca="1" si="9"/>
        <v>1.6506E-2</v>
      </c>
      <c r="J144" s="100">
        <f t="shared" ca="1" si="10"/>
        <v>1485034370.2698352</v>
      </c>
      <c r="K144" s="7">
        <f ca="1">AX98</f>
        <v>1.1150793883942179E-4</v>
      </c>
      <c r="L144" s="103">
        <f t="shared" ca="1" si="11"/>
        <v>0.8437144038951081</v>
      </c>
      <c r="M144" s="89">
        <f t="shared" ca="1" si="1"/>
        <v>165593.12173448803</v>
      </c>
    </row>
    <row r="145" spans="1:13" x14ac:dyDescent="0.25">
      <c r="A145" t="s">
        <v>162</v>
      </c>
      <c r="B145">
        <v>10</v>
      </c>
      <c r="C145" s="101">
        <f t="shared" ca="1" si="0"/>
        <v>4.0000000000000002E-4</v>
      </c>
      <c r="D145" s="100">
        <f t="shared" ca="1" si="7"/>
        <v>35987746.765293479</v>
      </c>
      <c r="E145" s="7">
        <f ca="1">Z98</f>
        <v>1.0986743386244683E-3</v>
      </c>
      <c r="F145" s="103">
        <f t="shared" ca="1" si="8"/>
        <v>0.22186403986216843</v>
      </c>
      <c r="G145" t="s">
        <v>162</v>
      </c>
      <c r="H145">
        <v>10</v>
      </c>
      <c r="I145" s="87">
        <f t="shared" ca="1" si="9"/>
        <v>5.8710000000000004E-3</v>
      </c>
      <c r="J145" s="100">
        <f t="shared" ca="1" si="10"/>
        <v>528210153.14759499</v>
      </c>
      <c r="K145" s="7">
        <f ca="1">BJ98</f>
        <v>3.1277704859985984E-4</v>
      </c>
      <c r="L145" s="103">
        <f t="shared" ca="1" si="11"/>
        <v>0.84177261342059462</v>
      </c>
      <c r="M145" s="89">
        <f t="shared" ca="1" si="1"/>
        <v>165212.01274198474</v>
      </c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2024-01-05T23:10:28Z</dcterms:modified>
</cp:coreProperties>
</file>