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nho3\Box\Poultry\USPoultry work\risk models\Chicken Parts Model\Chicken parts model 2-WHO+Kentucky (Anautum MLE DR)\"/>
    </mc:Choice>
  </mc:AlternateContent>
  <xr:revisionPtr revIDLastSave="0" documentId="13_ncr:1_{DCDAAC6F-66E5-437B-B843-94F1D939F407}" xr6:coauthVersionLast="47" xr6:coauthVersionMax="47" xr10:uidLastSave="{00000000-0000-0000-0000-000000000000}"/>
  <bookViews>
    <workbookView xWindow="-120" yWindow="-120" windowWidth="29040" windowHeight="15840" firstSheet="1" activeTab="1" xr2:uid="{8649FD71-15AB-4D1C-8F8E-DD1C260038CD}"/>
  </bookViews>
  <sheets>
    <sheet name="goalSeekInfo" sheetId="167" state="hidden" r:id="rId1"/>
    <sheet name="Chicken Parts" sheetId="142" r:id="rId2"/>
  </sheets>
  <definedNames>
    <definedName name="_AtRisk_ReportsSetting_ReportGraphOptions" hidden="1">"REP:VER:8.1.1GRA:OUT:00INS:00SUM:T00DET:T00SCE:02SC1:33DAT:2|TRUE,.75,1|TRUE,0,.25|TRUE,.9,1SE1:38DAT:3,10,2,.95,5,16,FALSE,0,TRUE,TRUE,TRUESE2:38DAT:3,10,2,.95,5,16,FALSE,0,TRUE,TRUE,TRUETSI:002"</definedName>
    <definedName name="_AtRisk_ReportsSetting_ReportMulitSelections" hidden="1">"REP:VER:8.1.1MUL:OUT:T20INS:F11SUM:F21DET:F20SEN:F11SCE:F11TEM:F"</definedName>
    <definedName name="_AtRisk_ReportsSetting_ReportOptions" hidden="1">"REP:VER:8.1.1OPT:RAP:02RWE:00RLS:04ROT:00RST:00RRT:04AGR:FAFN:114DAT:C:\Users\rubenc2\Desktop\Chicken Parts Inclusion and Non inclusion Simulation Serotype D-R Detailed Statistics.pdfOGR:T"</definedName>
    <definedName name="_AtRisk_ReportsSetting_ReportSelectedRangeDetails" hidden="1">#REF!,#REF!,#REF!,#REF!,#REF!,#REF!,#REF!,#REF!,#REF!,#REF!,#REF!,#REF!,#REF!,#REF!,#REF!,#REF!,#REF!,#REF!,#REF!,#REF!,#REF!,#REF!,#REF!,#REF!,#REF!,#REF!</definedName>
    <definedName name="_AtRisk_ReportsSetting_ReportSelectedRangeOutputs" hidden="1">#REF!,#REF!,#REF!,#REF!,#REF!,#REF!,#REF!,#REF!,#REF!,#REF!,#REF!,#REF!,#REF!,#REF!,#REF!,#REF!,#REF!,#REF!,#REF!,#REF!,#REF!,#REF!,#REF!,#REF!,#REF!,#REF!</definedName>
    <definedName name="_AtRisk_ReportsSetting_ReportSelectedRangeSummary" hidden="1">#REF!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7</definedName>
    <definedName name="_AtRisk_SimSetting_MultipleCPUManualCount" hidden="1">7</definedName>
    <definedName name="_AtRisk_SimSetting_MultipleCPUMode" hidden="1">1</definedName>
    <definedName name="_AtRisk_SimSetting_MultipleCPUModeV8" hidden="1">1</definedName>
    <definedName name="_AtRisk_SimSetting_RandomNumberGenerator" hidden="1">0</definedName>
    <definedName name="_AtRisk_SimSetting_ShowSimulationProgressWindow" hidden="1">TRUE</definedName>
    <definedName name="_AtRisk_SimSetting_SimName001" hidden="1">""</definedName>
    <definedName name="_AtRisk_SimSetting_SimName002" hidden="1">""</definedName>
    <definedName name="_AtRisk_SimSetting_SimName003" hidden="1">""</definedName>
    <definedName name="_AtRisk_SimSetting_SimName004" hidden="1">""</definedName>
    <definedName name="_AtRisk_SimSetting_SimName005" hidden="1">""</definedName>
    <definedName name="_AtRisk_SimSetting_SimName006" hidden="1">""</definedName>
    <definedName name="_AtRisk_SimSetting_SimName007" hidden="1">""</definedName>
    <definedName name="_AtRisk_SimSetting_SimName008" hidden="1">""</definedName>
    <definedName name="_AtRisk_SimSetting_SimName009" hidden="1">""</definedName>
    <definedName name="_AtRisk_SimSetting_SimName010" hidden="1">""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Pal_Workbook_GUID" hidden="1">"WVNZPGZDHMCWZNLGFYTUZKMK"</definedName>
    <definedName name="_xlnm.Print_Area" localSheetId="1">'Chicken Parts'!$A$1:$AJ$106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imulationResultsStorageLocation" hidden="1">"2"</definedName>
    <definedName name="RiskStandardRecalc" hidden="1">2</definedName>
    <definedName name="RiskUpdateDisplay" hidden="1">FALSE</definedName>
    <definedName name="RiskUseDifferentSeedForEachSim" hidden="1">TRUE</definedName>
    <definedName name="RiskUseFixedSeed" hidden="1">FALSE</definedName>
    <definedName name="RiskUseMultipleCPUs" hidden="1">TRUE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43" i="142" l="1" a="1"/>
  <c r="AL43" i="142" s="1"/>
  <c r="AL44" i="142" s="1"/>
  <c r="B43" i="142" a="1"/>
  <c r="B43" i="142" s="1"/>
  <c r="N43" i="142" s="1"/>
  <c r="AL9" i="142" a="1"/>
  <c r="AL9" i="142" s="1"/>
  <c r="AX9" i="142" s="1"/>
  <c r="B9" i="142" a="1"/>
  <c r="B9" i="142" s="1"/>
  <c r="N9" i="142" s="1"/>
  <c r="N23" i="142" s="1"/>
  <c r="B19" i="142"/>
  <c r="B20" i="142" s="1" a="1"/>
  <c r="B20" i="142" s="1"/>
  <c r="B31" i="142" s="1"/>
  <c r="N19" i="142"/>
  <c r="Z19" i="142" s="1"/>
  <c r="AL19" i="142" s="1"/>
  <c r="AL61" i="142"/>
  <c r="AX61" i="142"/>
  <c r="BJ61" i="142"/>
  <c r="G161" i="142"/>
  <c r="G162" i="142"/>
  <c r="E161" i="142"/>
  <c r="G160" i="142"/>
  <c r="E160" i="142"/>
  <c r="C160" i="142"/>
  <c r="C161" i="142"/>
  <c r="A160" i="142"/>
  <c r="E159" i="142"/>
  <c r="A159" i="142"/>
  <c r="M105" i="142"/>
  <c r="A105" i="142"/>
  <c r="BI104" i="142"/>
  <c r="M104" i="142"/>
  <c r="A104" i="142"/>
  <c r="BI103" i="142"/>
  <c r="AW103" i="142"/>
  <c r="BI102" i="142"/>
  <c r="A102" i="142"/>
  <c r="BI101" i="142"/>
  <c r="AW101" i="142"/>
  <c r="AK101" i="142"/>
  <c r="Y101" i="142"/>
  <c r="M101" i="142"/>
  <c r="A101" i="142"/>
  <c r="M100" i="142"/>
  <c r="BI99" i="142"/>
  <c r="Y94" i="142"/>
  <c r="M94" i="142"/>
  <c r="A94" i="142"/>
  <c r="Y93" i="142"/>
  <c r="M93" i="142"/>
  <c r="M92" i="142"/>
  <c r="BI91" i="142"/>
  <c r="BI92" i="142"/>
  <c r="BI100" i="142"/>
  <c r="AW91" i="142"/>
  <c r="AK91" i="142"/>
  <c r="Y91" i="142"/>
  <c r="Y92" i="142"/>
  <c r="Y100" i="142"/>
  <c r="M91" i="142"/>
  <c r="A91" i="142"/>
  <c r="A92" i="142"/>
  <c r="A100" i="142"/>
  <c r="Y90" i="142"/>
  <c r="A90" i="142"/>
  <c r="AK89" i="142"/>
  <c r="Y89" i="142"/>
  <c r="M89" i="142"/>
  <c r="A89" i="142"/>
  <c r="AW88" i="142"/>
  <c r="AW99" i="142"/>
  <c r="BI87" i="142"/>
  <c r="BI88" i="142"/>
  <c r="AW87" i="142"/>
  <c r="AK87" i="142"/>
  <c r="Y87" i="142"/>
  <c r="M87" i="142"/>
  <c r="M90" i="142"/>
  <c r="A87" i="142"/>
  <c r="A88" i="142"/>
  <c r="A99" i="142"/>
  <c r="BI86" i="142"/>
  <c r="AW86" i="142"/>
  <c r="BI85" i="142"/>
  <c r="AW85" i="142"/>
  <c r="AK85" i="142"/>
  <c r="BI84" i="142"/>
  <c r="BI98" i="142"/>
  <c r="BI83" i="142"/>
  <c r="AW83" i="142"/>
  <c r="AW84" i="142"/>
  <c r="AW98" i="142"/>
  <c r="AK83" i="142"/>
  <c r="AK103" i="142"/>
  <c r="Y83" i="142"/>
  <c r="Y103" i="142"/>
  <c r="M83" i="142"/>
  <c r="A83" i="142"/>
  <c r="BI82" i="142"/>
  <c r="A82" i="142"/>
  <c r="BI81" i="142"/>
  <c r="A81" i="142"/>
  <c r="BI80" i="142"/>
  <c r="BI97" i="142"/>
  <c r="BI79" i="142"/>
  <c r="AW79" i="142"/>
  <c r="AW102" i="142"/>
  <c r="AK79" i="142"/>
  <c r="AK102" i="142"/>
  <c r="Y79" i="142"/>
  <c r="M79" i="142"/>
  <c r="A79" i="142"/>
  <c r="A80" i="142"/>
  <c r="A97" i="142"/>
  <c r="Y78" i="142"/>
  <c r="AW77" i="142"/>
  <c r="AK77" i="142"/>
  <c r="Y77" i="142"/>
  <c r="AW76" i="142"/>
  <c r="AK76" i="142"/>
  <c r="Y76" i="142"/>
  <c r="M76" i="142"/>
  <c r="BI75" i="142"/>
  <c r="BI78" i="142"/>
  <c r="AW75" i="142"/>
  <c r="AW78" i="142"/>
  <c r="AK75" i="142"/>
  <c r="AK78" i="142"/>
  <c r="Y75" i="142"/>
  <c r="M75" i="142"/>
  <c r="M78" i="142"/>
  <c r="A75" i="142"/>
  <c r="BI68" i="142"/>
  <c r="AW68" i="142"/>
  <c r="AK68" i="142"/>
  <c r="Y68" i="142"/>
  <c r="M68" i="142"/>
  <c r="A68" i="142"/>
  <c r="BI67" i="142"/>
  <c r="AW67" i="142"/>
  <c r="AK67" i="142"/>
  <c r="Y67" i="142"/>
  <c r="M67" i="142"/>
  <c r="A67" i="142"/>
  <c r="BI66" i="142"/>
  <c r="AW66" i="142"/>
  <c r="AK66" i="142"/>
  <c r="Y66" i="142"/>
  <c r="M66" i="142"/>
  <c r="A66" i="142"/>
  <c r="BI65" i="142"/>
  <c r="AW65" i="142"/>
  <c r="AK65" i="142"/>
  <c r="Y65" i="142"/>
  <c r="M65" i="142"/>
  <c r="A65" i="142"/>
  <c r="E175" i="142"/>
  <c r="BI64" i="142"/>
  <c r="AW64" i="142"/>
  <c r="AK64" i="142"/>
  <c r="Y64" i="142"/>
  <c r="M64" i="142"/>
  <c r="A64" i="142"/>
  <c r="N61" i="142"/>
  <c r="Z61" i="142"/>
  <c r="AL24" i="142"/>
  <c r="B24" i="142"/>
  <c r="BJ18" i="142"/>
  <c r="BK18" i="142"/>
  <c r="AX18" i="142"/>
  <c r="AY18" i="142"/>
  <c r="AL18" i="142"/>
  <c r="AM18" i="142"/>
  <c r="Z18" i="142"/>
  <c r="AA18" i="142"/>
  <c r="N18" i="142"/>
  <c r="O18" i="142"/>
  <c r="B18" i="142"/>
  <c r="C18" i="142"/>
  <c r="BK17" i="142"/>
  <c r="AY17" i="142"/>
  <c r="AM17" i="142"/>
  <c r="AA17" i="142"/>
  <c r="O17" i="142"/>
  <c r="C17" i="142"/>
  <c r="BK16" i="142"/>
  <c r="AY16" i="142"/>
  <c r="AM16" i="142"/>
  <c r="AA16" i="142"/>
  <c r="O16" i="142"/>
  <c r="C16" i="142"/>
  <c r="BK15" i="142"/>
  <c r="AY15" i="142"/>
  <c r="AM15" i="142"/>
  <c r="AA15" i="142"/>
  <c r="O15" i="142"/>
  <c r="C15" i="142"/>
  <c r="BK14" i="142"/>
  <c r="AY14" i="142"/>
  <c r="AM14" i="142"/>
  <c r="AA14" i="142"/>
  <c r="O14" i="142"/>
  <c r="C14" i="142"/>
  <c r="BK13" i="142"/>
  <c r="AY13" i="142"/>
  <c r="AM13" i="142"/>
  <c r="AA13" i="142"/>
  <c r="O13" i="142"/>
  <c r="C13" i="142"/>
  <c r="BK12" i="142"/>
  <c r="AY12" i="142"/>
  <c r="AM12" i="142"/>
  <c r="AA12" i="142"/>
  <c r="O12" i="142"/>
  <c r="C12" i="142"/>
  <c r="B2" i="167"/>
  <c r="A2" i="167"/>
  <c r="E162" i="142"/>
  <c r="G163" i="142"/>
  <c r="A161" i="142"/>
  <c r="C162" i="142"/>
  <c r="Y85" i="142"/>
  <c r="AK104" i="142"/>
  <c r="AK88" i="142"/>
  <c r="AK99" i="142"/>
  <c r="BI93" i="142"/>
  <c r="BI105" i="142"/>
  <c r="E174" i="142"/>
  <c r="BI76" i="142"/>
  <c r="AW82" i="142"/>
  <c r="A86" i="142"/>
  <c r="A85" i="142"/>
  <c r="A84" i="142"/>
  <c r="A98" i="142"/>
  <c r="AW90" i="142"/>
  <c r="AW89" i="142"/>
  <c r="AK105" i="142"/>
  <c r="AK94" i="142"/>
  <c r="AK93" i="142"/>
  <c r="AK92" i="142"/>
  <c r="AK100" i="142"/>
  <c r="A93" i="142"/>
  <c r="A103" i="142"/>
  <c r="AW104" i="142"/>
  <c r="A170" i="142"/>
  <c r="A175" i="142"/>
  <c r="AK81" i="142"/>
  <c r="M86" i="142"/>
  <c r="M85" i="142"/>
  <c r="M84" i="142"/>
  <c r="M98" i="142"/>
  <c r="Y84" i="142"/>
  <c r="Y98" i="142"/>
  <c r="Y86" i="142"/>
  <c r="AW94" i="142"/>
  <c r="AW93" i="142"/>
  <c r="AW92" i="142"/>
  <c r="AW100" i="142"/>
  <c r="BI94" i="142"/>
  <c r="M103" i="142"/>
  <c r="E171" i="142"/>
  <c r="A174" i="142"/>
  <c r="A171" i="142"/>
  <c r="E173" i="142"/>
  <c r="E170" i="142"/>
  <c r="BI77" i="142"/>
  <c r="A172" i="142"/>
  <c r="A78" i="142"/>
  <c r="A77" i="142"/>
  <c r="A76" i="142"/>
  <c r="M82" i="142"/>
  <c r="M81" i="142"/>
  <c r="AK80" i="142"/>
  <c r="AK97" i="142"/>
  <c r="AK82" i="142"/>
  <c r="AK84" i="142"/>
  <c r="AK98" i="142"/>
  <c r="M102" i="142"/>
  <c r="E172" i="142"/>
  <c r="Y80" i="142"/>
  <c r="Y97" i="142"/>
  <c r="Y102" i="142"/>
  <c r="Y82" i="142"/>
  <c r="Y81" i="142"/>
  <c r="M80" i="142"/>
  <c r="M97" i="142"/>
  <c r="AW80" i="142"/>
  <c r="AW97" i="142"/>
  <c r="AW81" i="142"/>
  <c r="AK86" i="142"/>
  <c r="Y88" i="142"/>
  <c r="Y99" i="142"/>
  <c r="Y104" i="142"/>
  <c r="M88" i="142"/>
  <c r="M99" i="142"/>
  <c r="AK90" i="142"/>
  <c r="AW105" i="142"/>
  <c r="A173" i="142"/>
  <c r="M77" i="142"/>
  <c r="BI89" i="142"/>
  <c r="BI90" i="142"/>
  <c r="Y105" i="142"/>
  <c r="A162" i="142"/>
  <c r="C163" i="142"/>
  <c r="G164" i="142"/>
  <c r="E163" i="142"/>
  <c r="G165" i="142"/>
  <c r="E164" i="142"/>
  <c r="A163" i="142"/>
  <c r="C164" i="142"/>
  <c r="E165" i="142"/>
  <c r="G166" i="142"/>
  <c r="A164" i="142"/>
  <c r="C165" i="142"/>
  <c r="E166" i="142"/>
  <c r="G167" i="142"/>
  <c r="C166" i="142"/>
  <c r="A165" i="142"/>
  <c r="E167" i="142"/>
  <c r="G168" i="142"/>
  <c r="C167" i="142"/>
  <c r="A166" i="142"/>
  <c r="E168" i="142"/>
  <c r="A167" i="142"/>
  <c r="C168" i="142"/>
  <c r="A168" i="142"/>
  <c r="N25" i="142" a="1"/>
  <c r="AX43" i="142" l="1"/>
  <c r="AX44" i="142" s="1"/>
  <c r="AL23" i="142"/>
  <c r="Z20" i="142" a="1"/>
  <c r="Z20" i="142" s="1"/>
  <c r="Z35" i="142" s="1"/>
  <c r="N25" i="142"/>
  <c r="AL20" i="142" a="1"/>
  <c r="AL20" i="142" s="1"/>
  <c r="AX19" i="142"/>
  <c r="N44" i="142"/>
  <c r="N46" i="142" s="1"/>
  <c r="N60" i="142" s="1"/>
  <c r="N63" i="142" s="1"/>
  <c r="Z43" i="142"/>
  <c r="Z44" i="142" s="1"/>
  <c r="BJ9" i="142"/>
  <c r="BJ23" i="142" s="1"/>
  <c r="AX23" i="142"/>
  <c r="B44" i="142"/>
  <c r="C58" i="142"/>
  <c r="O58" i="142" s="1"/>
  <c r="AA58" i="142" s="1"/>
  <c r="AM58" i="142" s="1"/>
  <c r="B58" i="142"/>
  <c r="N58" i="142" s="1"/>
  <c r="Z58" i="142" s="1"/>
  <c r="AL58" i="142" s="1"/>
  <c r="AX58" i="142" s="1"/>
  <c r="BJ58" i="142" s="1"/>
  <c r="B35" i="142"/>
  <c r="Z9" i="142"/>
  <c r="Z23" i="142" s="1"/>
  <c r="B23" i="142"/>
  <c r="N20" i="142" a="1"/>
  <c r="N20" i="142" s="1"/>
  <c r="AL25" i="142" a="1"/>
  <c r="N26" i="142" a="1"/>
  <c r="BJ25" i="142" a="1"/>
  <c r="Z25" i="142" a="1"/>
  <c r="AX25" i="142" a="1"/>
  <c r="B25" i="142" a="1"/>
  <c r="N70" i="142" a="1"/>
  <c r="BJ43" i="142" l="1"/>
  <c r="BJ44" i="142" s="1"/>
  <c r="AL25" i="142"/>
  <c r="Z31" i="142"/>
  <c r="AL46" i="142"/>
  <c r="AL60" i="142" s="1"/>
  <c r="AL63" i="142" s="1"/>
  <c r="N70" i="142"/>
  <c r="B25" i="142"/>
  <c r="AX25" i="142"/>
  <c r="Z25" i="142"/>
  <c r="BJ25" i="142"/>
  <c r="N26" i="142"/>
  <c r="O102" i="142" s="1"/>
  <c r="C111" i="142" s="1"/>
  <c r="AL35" i="142"/>
  <c r="AL36" i="142" s="1"/>
  <c r="AL31" i="142"/>
  <c r="B46" i="142"/>
  <c r="B60" i="142" s="1"/>
  <c r="B63" i="142" s="1"/>
  <c r="AX46" i="142"/>
  <c r="AX60" i="142" s="1"/>
  <c r="AX63" i="142" s="1"/>
  <c r="BJ19" i="142"/>
  <c r="BJ20" i="142" s="1" a="1"/>
  <c r="BJ20" i="142" s="1"/>
  <c r="AX20" i="142" a="1"/>
  <c r="AX20" i="142" s="1"/>
  <c r="Z46" i="142"/>
  <c r="Z60" i="142" s="1"/>
  <c r="Z63" i="142" s="1"/>
  <c r="BJ46" i="142"/>
  <c r="BJ60" i="142" s="1"/>
  <c r="BJ63" i="142" s="1"/>
  <c r="AL48" i="142"/>
  <c r="AL65" i="142" s="1"/>
  <c r="AL47" i="142"/>
  <c r="AL64" i="142" s="1"/>
  <c r="N35" i="142"/>
  <c r="N38" i="142" s="1"/>
  <c r="N31" i="142"/>
  <c r="N32" i="142" s="1"/>
  <c r="AY58" i="142"/>
  <c r="BK58" i="142" s="1"/>
  <c r="N48" i="142"/>
  <c r="N65" i="142" s="1"/>
  <c r="N47" i="142"/>
  <c r="N64" i="142" s="1"/>
  <c r="AL26" i="142" a="1"/>
  <c r="AL70" i="142" a="1"/>
  <c r="O70" i="142" a="1"/>
  <c r="N71" i="142" a="1"/>
  <c r="N72" i="142" a="1"/>
  <c r="N73" i="142" a="1"/>
  <c r="AX26" i="142" a="1"/>
  <c r="Z70" i="142" a="1"/>
  <c r="AL75" i="142" a="1"/>
  <c r="N33" i="142" a="1"/>
  <c r="AX70" i="142" a="1"/>
  <c r="N39" i="142" a="1"/>
  <c r="AL79" i="142" a="1"/>
  <c r="Z26" i="142" a="1"/>
  <c r="BJ70" i="142" a="1"/>
  <c r="N79" i="142" a="1"/>
  <c r="B26" i="142" a="1"/>
  <c r="BJ26" i="142" a="1"/>
  <c r="B70" i="142" a="1"/>
  <c r="N75" i="142" a="1"/>
  <c r="AL37" i="142" a="1"/>
  <c r="AL32" i="142" l="1"/>
  <c r="AL70" i="142"/>
  <c r="AL26" i="142"/>
  <c r="AM102" i="142" s="1"/>
  <c r="G110" i="142" s="1"/>
  <c r="N36" i="142"/>
  <c r="N52" i="142" s="1"/>
  <c r="N67" i="142" s="1"/>
  <c r="AL38" i="142"/>
  <c r="AL37" i="142"/>
  <c r="AM104" i="142" s="1"/>
  <c r="G119" i="142" s="1"/>
  <c r="N75" i="142"/>
  <c r="B70" i="142"/>
  <c r="BJ26" i="142"/>
  <c r="BK102" i="142" s="1"/>
  <c r="G112" i="142" s="1"/>
  <c r="B26" i="142"/>
  <c r="C102" i="142" s="1"/>
  <c r="C110" i="142" s="1"/>
  <c r="N79" i="142"/>
  <c r="BJ70" i="142"/>
  <c r="Z26" i="142"/>
  <c r="AA102" i="142" s="1"/>
  <c r="C112" i="142" s="1"/>
  <c r="AL79" i="142"/>
  <c r="N39" i="142"/>
  <c r="O105" i="142" s="1"/>
  <c r="C123" i="142" s="1"/>
  <c r="AX70" i="142"/>
  <c r="N33" i="142"/>
  <c r="O103" i="142" s="1"/>
  <c r="C117" i="142" s="1"/>
  <c r="AL75" i="142"/>
  <c r="Z70" i="142"/>
  <c r="AX26" i="142"/>
  <c r="AY102" i="142" s="1"/>
  <c r="G111" i="142" s="1"/>
  <c r="N73" i="142"/>
  <c r="N72" i="142"/>
  <c r="N71" i="142"/>
  <c r="O70" i="142"/>
  <c r="AL52" i="142"/>
  <c r="AL67" i="142" s="1"/>
  <c r="AX35" i="142"/>
  <c r="AX38" i="142" s="1"/>
  <c r="AX31" i="142"/>
  <c r="AX32" i="142" s="1"/>
  <c r="AL54" i="142"/>
  <c r="AL68" i="142" s="1"/>
  <c r="AL50" i="142"/>
  <c r="AL66" i="142" s="1"/>
  <c r="I133" i="142"/>
  <c r="I136" i="142" s="1"/>
  <c r="J133" i="142"/>
  <c r="G113" i="142"/>
  <c r="J136" i="142" s="1"/>
  <c r="BJ48" i="142"/>
  <c r="BJ65" i="142" s="1"/>
  <c r="BJ47" i="142"/>
  <c r="BJ64" i="142" s="1"/>
  <c r="C114" i="142"/>
  <c r="D137" i="142" s="1"/>
  <c r="D134" i="142"/>
  <c r="C134" i="142"/>
  <c r="C137" i="142" s="1"/>
  <c r="B38" i="142"/>
  <c r="B47" i="142"/>
  <c r="B64" i="142" s="1"/>
  <c r="B32" i="142"/>
  <c r="B36" i="142"/>
  <c r="B48" i="142"/>
  <c r="B65" i="142" s="1"/>
  <c r="Z48" i="142"/>
  <c r="Z65" i="142" s="1"/>
  <c r="Z47" i="142"/>
  <c r="Z64" i="142" s="1"/>
  <c r="Z38" i="142"/>
  <c r="Z32" i="142"/>
  <c r="Z36" i="142"/>
  <c r="N54" i="142"/>
  <c r="N68" i="142" s="1"/>
  <c r="N50" i="142"/>
  <c r="N66" i="142" s="1"/>
  <c r="AX47" i="142"/>
  <c r="AX64" i="142" s="1"/>
  <c r="AX48" i="142"/>
  <c r="AX65" i="142" s="1"/>
  <c r="BJ35" i="142"/>
  <c r="BJ38" i="142" s="1"/>
  <c r="BJ31" i="142"/>
  <c r="BJ32" i="142" s="1"/>
  <c r="AL33" i="142" a="1"/>
  <c r="F168" i="142" a="1"/>
  <c r="F165" i="142" a="1"/>
  <c r="F162" i="142" a="1"/>
  <c r="F159" i="142" a="1"/>
  <c r="F166" i="142" a="1"/>
  <c r="F163" i="142" a="1"/>
  <c r="F160" i="142" a="1"/>
  <c r="F167" i="142" a="1"/>
  <c r="F164" i="142" a="1"/>
  <c r="F161" i="142" a="1"/>
  <c r="AL73" i="142" a="1"/>
  <c r="AL72" i="142" a="1"/>
  <c r="AL71" i="142" a="1"/>
  <c r="AM70" i="142" a="1"/>
  <c r="N37" i="142" a="1"/>
  <c r="AL39" i="142" a="1"/>
  <c r="AL87" i="142" a="1"/>
  <c r="B75" i="142" a="1"/>
  <c r="Z39" i="142" a="1"/>
  <c r="N87" i="142" a="1"/>
  <c r="B33" i="142" a="1"/>
  <c r="AY70" i="142" a="1"/>
  <c r="AX73" i="142" a="1"/>
  <c r="AX71" i="142" a="1"/>
  <c r="AX72" i="142" a="1"/>
  <c r="Z33" i="142" a="1"/>
  <c r="O73" i="142" a="1"/>
  <c r="B37" i="142" a="1"/>
  <c r="Z37" i="142" a="1"/>
  <c r="N80" i="142" a="1"/>
  <c r="N81" i="142" a="1"/>
  <c r="O79" i="142" a="1"/>
  <c r="N82" i="142" a="1"/>
  <c r="O75" i="142" a="1"/>
  <c r="N77" i="142" a="1"/>
  <c r="N78" i="142" a="1"/>
  <c r="N76" i="142" a="1"/>
  <c r="BJ72" i="142" a="1"/>
  <c r="BJ71" i="142" a="1"/>
  <c r="BJ73" i="142" a="1"/>
  <c r="BK70" i="142" a="1"/>
  <c r="AL78" i="142" a="1"/>
  <c r="AL76" i="142" a="1"/>
  <c r="AM75" i="142" a="1"/>
  <c r="AL77" i="142" a="1"/>
  <c r="O72" i="142" a="1"/>
  <c r="AL91" i="142" a="1"/>
  <c r="BJ79" i="142" a="1"/>
  <c r="B79" i="142" a="1"/>
  <c r="N91" i="142" a="1"/>
  <c r="AM79" i="142" a="1"/>
  <c r="AL81" i="142" a="1"/>
  <c r="AL82" i="142" a="1"/>
  <c r="AL80" i="142" a="1"/>
  <c r="B39" i="142" a="1"/>
  <c r="Z75" i="142" a="1"/>
  <c r="AX79" i="142" a="1"/>
  <c r="C70" i="142" a="1"/>
  <c r="B71" i="142" a="1"/>
  <c r="B72" i="142" a="1"/>
  <c r="B73" i="142" a="1"/>
  <c r="B160" i="142" a="1"/>
  <c r="B163" i="142" a="1"/>
  <c r="B166" i="142" a="1"/>
  <c r="B159" i="142" a="1"/>
  <c r="B162" i="142" a="1"/>
  <c r="B165" i="142" a="1"/>
  <c r="B168" i="142" a="1"/>
  <c r="B161" i="142" a="1"/>
  <c r="B164" i="142" a="1"/>
  <c r="B167" i="142" a="1"/>
  <c r="Z72" i="142" a="1"/>
  <c r="Z73" i="142" a="1"/>
  <c r="Z71" i="142" a="1"/>
  <c r="AA70" i="142" a="1"/>
  <c r="O71" i="142" a="1"/>
  <c r="AL83" i="142" a="1"/>
  <c r="BJ75" i="142" a="1"/>
  <c r="Z79" i="142" a="1"/>
  <c r="N83" i="142" a="1"/>
  <c r="AX75" i="142" a="1"/>
  <c r="AX33" i="142" a="1"/>
  <c r="BJ33" i="142" a="1"/>
  <c r="BJ39" i="142" a="1"/>
  <c r="AX39" i="142" a="1"/>
  <c r="AL33" i="142" l="1"/>
  <c r="AM103" i="142" s="1"/>
  <c r="G116" i="142" s="1"/>
  <c r="I139" i="142" s="1"/>
  <c r="AL39" i="142"/>
  <c r="AM105" i="142" s="1"/>
  <c r="G122" i="142" s="1"/>
  <c r="I145" i="142" s="1"/>
  <c r="N37" i="142"/>
  <c r="O104" i="142" s="1"/>
  <c r="C120" i="142" s="1"/>
  <c r="C143" i="142" s="1"/>
  <c r="AM70" i="142"/>
  <c r="AL71" i="142"/>
  <c r="AL72" i="142"/>
  <c r="AL73" i="142"/>
  <c r="F161" i="142"/>
  <c r="F164" i="142"/>
  <c r="F167" i="142"/>
  <c r="F160" i="142"/>
  <c r="F163" i="142"/>
  <c r="F166" i="142"/>
  <c r="F159" i="142"/>
  <c r="F170" i="142" s="1"/>
  <c r="F162" i="142"/>
  <c r="F165" i="142"/>
  <c r="F168" i="142"/>
  <c r="AX36" i="142"/>
  <c r="AX52" i="142" s="1"/>
  <c r="AX67" i="142" s="1"/>
  <c r="BJ36" i="142"/>
  <c r="AX39" i="142"/>
  <c r="AY105" i="142" s="1"/>
  <c r="G123" i="142" s="1"/>
  <c r="BJ39" i="142"/>
  <c r="BK105" i="142" s="1"/>
  <c r="G124" i="142" s="1"/>
  <c r="BJ33" i="142"/>
  <c r="BK103" i="142" s="1"/>
  <c r="G118" i="142" s="1"/>
  <c r="AX33" i="142"/>
  <c r="AY103" i="142" s="1"/>
  <c r="G117" i="142" s="1"/>
  <c r="AX75" i="142"/>
  <c r="N83" i="142"/>
  <c r="Z79" i="142"/>
  <c r="BJ75" i="142"/>
  <c r="AL83" i="142"/>
  <c r="O71" i="142"/>
  <c r="AA70" i="142"/>
  <c r="Z71" i="142"/>
  <c r="Z73" i="142"/>
  <c r="Z72" i="142"/>
  <c r="B167" i="142"/>
  <c r="B164" i="142"/>
  <c r="B161" i="142"/>
  <c r="B168" i="142"/>
  <c r="B165" i="142"/>
  <c r="B162" i="142"/>
  <c r="B159" i="142"/>
  <c r="B166" i="142"/>
  <c r="B163" i="142"/>
  <c r="B160" i="142"/>
  <c r="B73" i="142"/>
  <c r="B72" i="142"/>
  <c r="B71" i="142"/>
  <c r="C70" i="142"/>
  <c r="AX79" i="142"/>
  <c r="Z75" i="142"/>
  <c r="B39" i="142"/>
  <c r="C105" i="142" s="1"/>
  <c r="C122" i="142" s="1"/>
  <c r="AL80" i="142"/>
  <c r="AL82" i="142"/>
  <c r="AL81" i="142"/>
  <c r="AM79" i="142"/>
  <c r="N91" i="142"/>
  <c r="B79" i="142"/>
  <c r="BJ79" i="142"/>
  <c r="AL91" i="142"/>
  <c r="O72" i="142"/>
  <c r="AL77" i="142"/>
  <c r="AM75" i="142"/>
  <c r="AL76" i="142"/>
  <c r="AL78" i="142"/>
  <c r="BK70" i="142"/>
  <c r="BJ73" i="142"/>
  <c r="BJ71" i="142"/>
  <c r="BJ72" i="142"/>
  <c r="N76" i="142"/>
  <c r="N78" i="142"/>
  <c r="N77" i="142"/>
  <c r="O75" i="142"/>
  <c r="N82" i="142"/>
  <c r="O79" i="142"/>
  <c r="N81" i="142"/>
  <c r="N80" i="142"/>
  <c r="Z37" i="142"/>
  <c r="AA104" i="142" s="1"/>
  <c r="C121" i="142" s="1"/>
  <c r="B37" i="142"/>
  <c r="C104" i="142" s="1"/>
  <c r="C119" i="142" s="1"/>
  <c r="O73" i="142"/>
  <c r="Z33" i="142"/>
  <c r="AA103" i="142" s="1"/>
  <c r="C118" i="142" s="1"/>
  <c r="AX72" i="142"/>
  <c r="AX71" i="142"/>
  <c r="AX73" i="142"/>
  <c r="AY70" i="142"/>
  <c r="B33" i="142"/>
  <c r="C103" i="142" s="1"/>
  <c r="C116" i="142" s="1"/>
  <c r="N87" i="142"/>
  <c r="Z39" i="142"/>
  <c r="AA105" i="142" s="1"/>
  <c r="C124" i="142" s="1"/>
  <c r="B75" i="142"/>
  <c r="AL87" i="142"/>
  <c r="AX54" i="142"/>
  <c r="AX68" i="142" s="1"/>
  <c r="BJ54" i="142"/>
  <c r="BJ68" i="142" s="1"/>
  <c r="BJ50" i="142"/>
  <c r="BJ66" i="142" s="1"/>
  <c r="AX50" i="142"/>
  <c r="AX66" i="142" s="1"/>
  <c r="N96" i="142"/>
  <c r="N101" i="142" s="1"/>
  <c r="C135" i="142"/>
  <c r="C138" i="142" s="1"/>
  <c r="D135" i="142"/>
  <c r="C115" i="142"/>
  <c r="D138" i="142" s="1"/>
  <c r="B54" i="142"/>
  <c r="B68" i="142" s="1"/>
  <c r="G114" i="142"/>
  <c r="J137" i="142" s="1"/>
  <c r="J134" i="142"/>
  <c r="I134" i="142"/>
  <c r="I137" i="142" s="1"/>
  <c r="I135" i="142"/>
  <c r="I138" i="142" s="1"/>
  <c r="G115" i="142"/>
  <c r="J138" i="142" s="1"/>
  <c r="J135" i="142"/>
  <c r="F174" i="142"/>
  <c r="F173" i="142"/>
  <c r="F171" i="142"/>
  <c r="D140" i="142"/>
  <c r="C140" i="142"/>
  <c r="J139" i="142"/>
  <c r="Z52" i="142"/>
  <c r="Z67" i="142" s="1"/>
  <c r="B52" i="142"/>
  <c r="B67" i="142" s="1"/>
  <c r="Z50" i="142"/>
  <c r="Z66" i="142" s="1"/>
  <c r="C133" i="142"/>
  <c r="C136" i="142" s="1"/>
  <c r="D133" i="142"/>
  <c r="C113" i="142"/>
  <c r="D136" i="142" s="1"/>
  <c r="J145" i="142"/>
  <c r="B50" i="142"/>
  <c r="B66" i="142" s="1"/>
  <c r="Z54" i="142"/>
  <c r="Z68" i="142" s="1"/>
  <c r="C128" i="142"/>
  <c r="AL96" i="142"/>
  <c r="AL101" i="142" s="1"/>
  <c r="D146" i="142"/>
  <c r="C146" i="142"/>
  <c r="J142" i="142"/>
  <c r="I142" i="142"/>
  <c r="AM71" i="142" a="1"/>
  <c r="AM72" i="142" a="1"/>
  <c r="AX37" i="142" a="1"/>
  <c r="AM73" i="142" a="1"/>
  <c r="BJ37" i="142" a="1"/>
  <c r="Z81" i="142" a="1"/>
  <c r="Z82" i="142" a="1"/>
  <c r="AA79" i="142" a="1"/>
  <c r="Z80" i="142" a="1"/>
  <c r="AA71" i="142" a="1"/>
  <c r="Z76" i="142" a="1"/>
  <c r="Z78" i="142" a="1"/>
  <c r="AA75" i="142" a="1"/>
  <c r="Z77" i="142" a="1"/>
  <c r="AM77" i="142" a="1"/>
  <c r="BK71" i="142" a="1"/>
  <c r="O82" i="142" a="1"/>
  <c r="AL90" i="142" a="1"/>
  <c r="AL88" i="142" a="1"/>
  <c r="AM87" i="142" a="1"/>
  <c r="AL89" i="142" a="1"/>
  <c r="Z83" i="142" a="1"/>
  <c r="AX87" i="142" a="1"/>
  <c r="C73" i="142" a="1"/>
  <c r="AL84" i="142" a="1"/>
  <c r="AM83" i="142" a="1"/>
  <c r="AL85" i="142" a="1"/>
  <c r="AL86" i="142" a="1"/>
  <c r="AA72" i="142" a="1"/>
  <c r="C72" i="142" a="1"/>
  <c r="B80" i="142" a="1"/>
  <c r="C79" i="142" a="1"/>
  <c r="B81" i="142" a="1"/>
  <c r="B82" i="142" a="1"/>
  <c r="AM76" i="142" a="1"/>
  <c r="O76" i="142" a="1"/>
  <c r="O81" i="142" a="1"/>
  <c r="AX91" i="142" a="1"/>
  <c r="Z91" i="142" a="1"/>
  <c r="BJ76" i="142" a="1"/>
  <c r="BJ77" i="142" a="1"/>
  <c r="BK75" i="142" a="1"/>
  <c r="BJ78" i="142" a="1"/>
  <c r="B83" i="142" a="1"/>
  <c r="C71" i="142" a="1"/>
  <c r="AM80" i="142" a="1"/>
  <c r="BJ80" i="142" a="1"/>
  <c r="BK79" i="142" a="1"/>
  <c r="BJ81" i="142" a="1"/>
  <c r="BJ82" i="142" a="1"/>
  <c r="AM78" i="142" a="1"/>
  <c r="O78" i="142" a="1"/>
  <c r="O80" i="142" a="1"/>
  <c r="AY72" i="142" a="1"/>
  <c r="N90" i="142" a="1"/>
  <c r="N88" i="142" a="1"/>
  <c r="N89" i="142" a="1"/>
  <c r="O87" i="142" a="1"/>
  <c r="BJ91" i="142" a="1"/>
  <c r="Z87" i="142" a="1"/>
  <c r="AA73" i="142" a="1"/>
  <c r="O91" i="142" a="1"/>
  <c r="N92" i="142" a="1"/>
  <c r="N93" i="142" a="1"/>
  <c r="N94" i="142" a="1"/>
  <c r="BK72" i="142" a="1"/>
  <c r="AX78" i="142" a="1"/>
  <c r="AX76" i="142" a="1"/>
  <c r="AX77" i="142" a="1"/>
  <c r="AY75" i="142" a="1"/>
  <c r="AM82" i="142" a="1"/>
  <c r="AM91" i="142" a="1"/>
  <c r="AL92" i="142" a="1"/>
  <c r="AL93" i="142" a="1"/>
  <c r="AL94" i="142" a="1"/>
  <c r="O77" i="142" a="1"/>
  <c r="AY71" i="142" a="1"/>
  <c r="BJ83" i="142" a="1"/>
  <c r="B91" i="142" a="1"/>
  <c r="B87" i="142" a="1"/>
  <c r="N84" i="142" a="1"/>
  <c r="N85" i="142" a="1"/>
  <c r="O83" i="142" a="1"/>
  <c r="N86" i="142" a="1"/>
  <c r="AX81" i="142" a="1"/>
  <c r="AX82" i="142" a="1"/>
  <c r="AX80" i="142" a="1"/>
  <c r="AY79" i="142" a="1"/>
  <c r="AM81" i="142" a="1"/>
  <c r="BK73" i="142" a="1"/>
  <c r="AY73" i="142" a="1"/>
  <c r="C75" i="142" a="1"/>
  <c r="B77" i="142" a="1"/>
  <c r="B78" i="142" a="1"/>
  <c r="B76" i="142" a="1"/>
  <c r="AX83" i="142" a="1"/>
  <c r="D143" i="142" l="1"/>
  <c r="BJ37" i="142"/>
  <c r="BK104" i="142" s="1"/>
  <c r="G121" i="142" s="1"/>
  <c r="AM73" i="142"/>
  <c r="AX37" i="142"/>
  <c r="AY104" i="142" s="1"/>
  <c r="G120" i="142" s="1"/>
  <c r="AM72" i="142"/>
  <c r="AM71" i="142"/>
  <c r="BJ52" i="142"/>
  <c r="BJ67" i="142" s="1"/>
  <c r="F172" i="142"/>
  <c r="AX83" i="142"/>
  <c r="B76" i="142"/>
  <c r="B78" i="142"/>
  <c r="B77" i="142"/>
  <c r="C75" i="142"/>
  <c r="AY73" i="142"/>
  <c r="BK73" i="142"/>
  <c r="AM81" i="142"/>
  <c r="AY79" i="142"/>
  <c r="AX80" i="142"/>
  <c r="AX82" i="142"/>
  <c r="AX81" i="142"/>
  <c r="N86" i="142"/>
  <c r="O83" i="142"/>
  <c r="N85" i="142"/>
  <c r="N84" i="142"/>
  <c r="B87" i="142"/>
  <c r="B91" i="142"/>
  <c r="BJ83" i="142"/>
  <c r="AY71" i="142"/>
  <c r="O77" i="142"/>
  <c r="AL94" i="142"/>
  <c r="AL93" i="142"/>
  <c r="AL92" i="142"/>
  <c r="AM91" i="142"/>
  <c r="AM82" i="142"/>
  <c r="AY75" i="142"/>
  <c r="AX77" i="142"/>
  <c r="AX76" i="142"/>
  <c r="AX78" i="142"/>
  <c r="BK72" i="142"/>
  <c r="N94" i="142"/>
  <c r="N93" i="142"/>
  <c r="N92" i="142"/>
  <c r="O91" i="142"/>
  <c r="AA73" i="142"/>
  <c r="Z87" i="142"/>
  <c r="BJ91" i="142"/>
  <c r="O87" i="142"/>
  <c r="N89" i="142"/>
  <c r="N88" i="142"/>
  <c r="N90" i="142"/>
  <c r="AY72" i="142"/>
  <c r="O80" i="142"/>
  <c r="O78" i="142"/>
  <c r="AM78" i="142"/>
  <c r="BJ82" i="142"/>
  <c r="BJ81" i="142"/>
  <c r="BK79" i="142"/>
  <c r="BJ80" i="142"/>
  <c r="AM80" i="142"/>
  <c r="C71" i="142"/>
  <c r="B83" i="142"/>
  <c r="BJ78" i="142"/>
  <c r="BK75" i="142"/>
  <c r="BJ77" i="142"/>
  <c r="BJ76" i="142"/>
  <c r="Z91" i="142"/>
  <c r="AX91" i="142"/>
  <c r="O81" i="142"/>
  <c r="O76" i="142"/>
  <c r="AM76" i="142"/>
  <c r="B82" i="142"/>
  <c r="B81" i="142"/>
  <c r="C79" i="142"/>
  <c r="B80" i="142"/>
  <c r="C72" i="142"/>
  <c r="AA72" i="142"/>
  <c r="AL86" i="142"/>
  <c r="AL85" i="142"/>
  <c r="AM83" i="142"/>
  <c r="AL84" i="142"/>
  <c r="C73" i="142"/>
  <c r="AX87" i="142"/>
  <c r="Z83" i="142"/>
  <c r="AL89" i="142"/>
  <c r="AM87" i="142"/>
  <c r="AL88" i="142"/>
  <c r="AL90" i="142"/>
  <c r="O82" i="142"/>
  <c r="BK71" i="142"/>
  <c r="AM77" i="142"/>
  <c r="Z77" i="142"/>
  <c r="AA75" i="142"/>
  <c r="Z78" i="142"/>
  <c r="Z76" i="142"/>
  <c r="AA71" i="142"/>
  <c r="Z80" i="142"/>
  <c r="AA79" i="142"/>
  <c r="Z82" i="142"/>
  <c r="Z81" i="142"/>
  <c r="C145" i="142"/>
  <c r="D145" i="142"/>
  <c r="J147" i="142"/>
  <c r="I147" i="142"/>
  <c r="C129" i="142"/>
  <c r="L130" i="142"/>
  <c r="C142" i="142"/>
  <c r="D142" i="142"/>
  <c r="D147" i="142"/>
  <c r="C147" i="142"/>
  <c r="AX96" i="142"/>
  <c r="AX101" i="142" s="1"/>
  <c r="C144" i="142"/>
  <c r="D144" i="142"/>
  <c r="N97" i="142"/>
  <c r="AL97" i="142"/>
  <c r="B96" i="142"/>
  <c r="B170" i="142"/>
  <c r="B171" i="142"/>
  <c r="B173" i="142"/>
  <c r="B174" i="142"/>
  <c r="B175" i="142" s="1"/>
  <c r="I140" i="142"/>
  <c r="J140" i="142"/>
  <c r="I143" i="142"/>
  <c r="J143" i="142"/>
  <c r="D139" i="142"/>
  <c r="C139" i="142"/>
  <c r="C141" i="142"/>
  <c r="D141" i="142"/>
  <c r="E137" i="142"/>
  <c r="D114" i="142"/>
  <c r="H113" i="142"/>
  <c r="K136" i="142"/>
  <c r="L136" i="142" s="1"/>
  <c r="I141" i="142"/>
  <c r="J141" i="142"/>
  <c r="F175" i="142"/>
  <c r="I144" i="142"/>
  <c r="J144" i="142"/>
  <c r="BJ96" i="142"/>
  <c r="BJ101" i="142" s="1"/>
  <c r="Z96" i="142"/>
  <c r="Z101" i="142" s="1"/>
  <c r="J146" i="142"/>
  <c r="I146" i="142"/>
  <c r="BJ87" i="142" a="1"/>
  <c r="AX85" i="142" a="1"/>
  <c r="AY83" i="142" a="1"/>
  <c r="AX86" i="142" a="1"/>
  <c r="AX84" i="142" a="1"/>
  <c r="O86" i="142" a="1"/>
  <c r="B92" i="142" a="1"/>
  <c r="C91" i="142" a="1"/>
  <c r="B93" i="142" a="1"/>
  <c r="B94" i="142" a="1"/>
  <c r="AM92" i="142" a="1"/>
  <c r="AY78" i="142" a="1"/>
  <c r="O90" i="142" a="1"/>
  <c r="BK81" i="142" a="1"/>
  <c r="BK78" i="142" a="1"/>
  <c r="C80" i="142" a="1"/>
  <c r="AM84" i="142" a="1"/>
  <c r="AM88" i="142" a="1"/>
  <c r="AA82" i="142" a="1"/>
  <c r="AY76" i="142" a="1"/>
  <c r="C76" i="142" a="1"/>
  <c r="BJ86" i="142" a="1"/>
  <c r="BJ84" i="142" a="1"/>
  <c r="BK83" i="142" a="1"/>
  <c r="BJ85" i="142" a="1"/>
  <c r="Z88" i="142" a="1"/>
  <c r="AA87" i="142" a="1"/>
  <c r="Z89" i="142" a="1"/>
  <c r="Z90" i="142" a="1"/>
  <c r="AM90" i="142" a="1"/>
  <c r="AA78" i="142" a="1"/>
  <c r="AA81" i="142" a="1"/>
  <c r="C78" i="142" a="1"/>
  <c r="O85" i="142" a="1"/>
  <c r="O94" i="142" a="1"/>
  <c r="BK91" i="142" a="1"/>
  <c r="BJ92" i="142" a="1"/>
  <c r="BJ93" i="142" a="1"/>
  <c r="BJ94" i="142" a="1"/>
  <c r="BK80" i="142" a="1"/>
  <c r="BK77" i="142" a="1"/>
  <c r="AX88" i="142" a="1"/>
  <c r="AX89" i="142" a="1"/>
  <c r="AY87" i="142" a="1"/>
  <c r="AX90" i="142" a="1"/>
  <c r="AA76" i="142" a="1"/>
  <c r="AY82" i="142" a="1"/>
  <c r="AY77" i="142" a="1"/>
  <c r="O89" i="142" a="1"/>
  <c r="Z92" i="142" a="1"/>
  <c r="Z93" i="142" a="1"/>
  <c r="AA91" i="142" a="1"/>
  <c r="Z94" i="142" a="1"/>
  <c r="AM85" i="142" a="1"/>
  <c r="C87" i="142" a="1"/>
  <c r="B89" i="142" a="1"/>
  <c r="B90" i="142" a="1"/>
  <c r="B88" i="142" a="1"/>
  <c r="B86" i="142" a="1"/>
  <c r="B84" i="142" a="1"/>
  <c r="C83" i="142" a="1"/>
  <c r="B85" i="142" a="1"/>
  <c r="AA77" i="142" a="1"/>
  <c r="C77" i="142" a="1"/>
  <c r="AY80" i="142" a="1"/>
  <c r="O84" i="142" a="1"/>
  <c r="O93" i="142" a="1"/>
  <c r="BK76" i="142" a="1"/>
  <c r="C82" i="142" a="1"/>
  <c r="AM86" i="142" a="1"/>
  <c r="Z85" i="142" a="1"/>
  <c r="AA83" i="142" a="1"/>
  <c r="Z86" i="142" a="1"/>
  <c r="Z84" i="142" a="1"/>
  <c r="AM94" i="142" a="1"/>
  <c r="O92" i="142" a="1"/>
  <c r="C81" i="142" a="1"/>
  <c r="AM89" i="142" a="1"/>
  <c r="AA80" i="142" a="1"/>
  <c r="AY81" i="142" a="1"/>
  <c r="AM93" i="142" a="1"/>
  <c r="O88" i="142" a="1"/>
  <c r="BK82" i="142" a="1"/>
  <c r="AY91" i="142" a="1"/>
  <c r="AX92" i="142" a="1"/>
  <c r="AX93" i="142" a="1"/>
  <c r="AX94" i="142" a="1"/>
  <c r="BJ87" i="142" l="1"/>
  <c r="AX94" i="142"/>
  <c r="AX93" i="142"/>
  <c r="AX92" i="142"/>
  <c r="AY91" i="142"/>
  <c r="BK82" i="142"/>
  <c r="O88" i="142"/>
  <c r="AM93" i="142"/>
  <c r="AY81" i="142"/>
  <c r="AA80" i="142"/>
  <c r="AM89" i="142"/>
  <c r="C81" i="142"/>
  <c r="O92" i="142"/>
  <c r="AM94" i="142"/>
  <c r="Z84" i="142"/>
  <c r="Z86" i="142"/>
  <c r="AA83" i="142"/>
  <c r="Z85" i="142"/>
  <c r="AM86" i="142"/>
  <c r="C82" i="142"/>
  <c r="BK76" i="142"/>
  <c r="O93" i="142"/>
  <c r="O84" i="142"/>
  <c r="AY80" i="142"/>
  <c r="C77" i="142"/>
  <c r="AA77" i="142"/>
  <c r="B85" i="142"/>
  <c r="C83" i="142"/>
  <c r="B84" i="142"/>
  <c r="B86" i="142"/>
  <c r="B88" i="142"/>
  <c r="B90" i="142"/>
  <c r="B89" i="142"/>
  <c r="C87" i="142"/>
  <c r="AM85" i="142"/>
  <c r="Z94" i="142"/>
  <c r="AA91" i="142"/>
  <c r="Z93" i="142"/>
  <c r="Z92" i="142"/>
  <c r="O89" i="142"/>
  <c r="AY77" i="142"/>
  <c r="AY82" i="142"/>
  <c r="AA76" i="142"/>
  <c r="AX90" i="142"/>
  <c r="AY87" i="142"/>
  <c r="AX89" i="142"/>
  <c r="AX88" i="142"/>
  <c r="BK77" i="142"/>
  <c r="BK80" i="142"/>
  <c r="BJ94" i="142"/>
  <c r="BJ93" i="142"/>
  <c r="BJ92" i="142"/>
  <c r="BK91" i="142"/>
  <c r="O94" i="142"/>
  <c r="O85" i="142"/>
  <c r="C78" i="142"/>
  <c r="AA81" i="142"/>
  <c r="AA78" i="142"/>
  <c r="AM90" i="142"/>
  <c r="Z90" i="142"/>
  <c r="Z89" i="142"/>
  <c r="AA87" i="142"/>
  <c r="Z88" i="142"/>
  <c r="BJ85" i="142"/>
  <c r="BK83" i="142"/>
  <c r="BJ84" i="142"/>
  <c r="BJ86" i="142"/>
  <c r="C76" i="142"/>
  <c r="AY76" i="142"/>
  <c r="AA82" i="142"/>
  <c r="AM88" i="142"/>
  <c r="AM84" i="142"/>
  <c r="C80" i="142"/>
  <c r="BK78" i="142"/>
  <c r="BK81" i="142"/>
  <c r="O90" i="142"/>
  <c r="AY78" i="142"/>
  <c r="AM92" i="142"/>
  <c r="B94" i="142"/>
  <c r="B93" i="142"/>
  <c r="C91" i="142"/>
  <c r="B92" i="142"/>
  <c r="O86" i="142"/>
  <c r="AX84" i="142"/>
  <c r="AX86" i="142"/>
  <c r="AY83" i="142"/>
  <c r="AX85" i="142"/>
  <c r="N99" i="142"/>
  <c r="Z97" i="142"/>
  <c r="N100" i="142"/>
  <c r="B128" i="142"/>
  <c r="B129" i="142" s="1"/>
  <c r="B101" i="142"/>
  <c r="K138" i="142"/>
  <c r="L138" i="142" s="1"/>
  <c r="H115" i="142"/>
  <c r="N98" i="142"/>
  <c r="AX97" i="142"/>
  <c r="K133" i="142"/>
  <c r="L133" i="142" s="1"/>
  <c r="AL102" i="142"/>
  <c r="H110" i="142" s="1"/>
  <c r="E138" i="142"/>
  <c r="F138" i="142" s="1"/>
  <c r="D115" i="142"/>
  <c r="BJ97" i="142"/>
  <c r="E134" i="142"/>
  <c r="F134" i="142" s="1"/>
  <c r="N102" i="142"/>
  <c r="D111" i="142" s="1"/>
  <c r="D113" i="142"/>
  <c r="E136" i="142"/>
  <c r="F136" i="142" s="1"/>
  <c r="H114" i="142"/>
  <c r="K137" i="142"/>
  <c r="L137" i="142" s="1"/>
  <c r="B172" i="142"/>
  <c r="F137" i="142"/>
  <c r="AL99" i="142"/>
  <c r="AL98" i="142"/>
  <c r="B97" i="142"/>
  <c r="AL100" i="142"/>
  <c r="BJ88" i="142" a="1"/>
  <c r="BJ90" i="142" a="1"/>
  <c r="BJ89" i="142" a="1"/>
  <c r="BK87" i="142" a="1"/>
  <c r="AY94" i="142" a="1"/>
  <c r="C90" i="142" a="1"/>
  <c r="AA93" i="142" a="1"/>
  <c r="AY89" i="142" a="1"/>
  <c r="BK92" i="142" a="1"/>
  <c r="BK85" i="142" a="1"/>
  <c r="C92" i="142" a="1"/>
  <c r="AY93" i="142" a="1"/>
  <c r="AA84" i="142" a="1"/>
  <c r="C85" i="142" a="1"/>
  <c r="C89" i="142" a="1"/>
  <c r="AA92" i="142" a="1"/>
  <c r="AY88" i="142" a="1"/>
  <c r="AY92" i="142" a="1"/>
  <c r="AA86" i="142" a="1"/>
  <c r="AA90" i="142" a="1"/>
  <c r="BK84" i="142" a="1"/>
  <c r="AY84" i="142" a="1"/>
  <c r="C84" i="142" a="1"/>
  <c r="AA89" i="142" a="1"/>
  <c r="BK86" i="142" a="1"/>
  <c r="C94" i="142" a="1"/>
  <c r="AY86" i="142" a="1"/>
  <c r="AA85" i="142" a="1"/>
  <c r="C86" i="142" a="1"/>
  <c r="AA94" i="142" a="1"/>
  <c r="AY90" i="142" a="1"/>
  <c r="BK94" i="142" a="1"/>
  <c r="C93" i="142" a="1"/>
  <c r="C88" i="142" a="1"/>
  <c r="BK93" i="142" a="1"/>
  <c r="AA88" i="142" a="1"/>
  <c r="AY85" i="142" a="1"/>
  <c r="BK87" i="142" l="1"/>
  <c r="BJ89" i="142"/>
  <c r="BJ90" i="142"/>
  <c r="BJ88" i="142"/>
  <c r="AY85" i="142"/>
  <c r="AA88" i="142"/>
  <c r="BK93" i="142"/>
  <c r="C88" i="142"/>
  <c r="C93" i="142"/>
  <c r="BK94" i="142"/>
  <c r="AY90" i="142"/>
  <c r="AA94" i="142"/>
  <c r="C86" i="142"/>
  <c r="AA85" i="142"/>
  <c r="AY86" i="142"/>
  <c r="C94" i="142"/>
  <c r="BK86" i="142"/>
  <c r="AA89" i="142"/>
  <c r="C84" i="142"/>
  <c r="AY84" i="142"/>
  <c r="BK84" i="142"/>
  <c r="AA90" i="142"/>
  <c r="AA86" i="142"/>
  <c r="AY92" i="142"/>
  <c r="AY88" i="142"/>
  <c r="AA92" i="142"/>
  <c r="C89" i="142"/>
  <c r="C85" i="142"/>
  <c r="AA84" i="142"/>
  <c r="AY93" i="142"/>
  <c r="C92" i="142"/>
  <c r="BK85" i="142"/>
  <c r="BK92" i="142"/>
  <c r="AY89" i="142"/>
  <c r="AA93" i="142"/>
  <c r="C90" i="142"/>
  <c r="AY94" i="142"/>
  <c r="AL103" i="142"/>
  <c r="H116" i="142" s="1"/>
  <c r="K139" i="142"/>
  <c r="L139" i="142" s="1"/>
  <c r="E140" i="142"/>
  <c r="F140" i="142" s="1"/>
  <c r="N103" i="142"/>
  <c r="N105" i="142"/>
  <c r="E146" i="142"/>
  <c r="F146" i="142" s="1"/>
  <c r="Z99" i="142"/>
  <c r="B99" i="142"/>
  <c r="E135" i="142"/>
  <c r="F135" i="142" s="1"/>
  <c r="Z102" i="142"/>
  <c r="D112" i="142" s="1"/>
  <c r="BJ99" i="142"/>
  <c r="K142" i="142"/>
  <c r="L142" i="142" s="1"/>
  <c r="AL104" i="142"/>
  <c r="H119" i="142" s="1"/>
  <c r="K135" i="142"/>
  <c r="L135" i="142" s="1"/>
  <c r="BJ102" i="142"/>
  <c r="H112" i="142" s="1"/>
  <c r="B98" i="142"/>
  <c r="N104" i="142"/>
  <c r="D117" i="142" s="1"/>
  <c r="E143" i="142"/>
  <c r="F143" i="142" s="1"/>
  <c r="AX98" i="142"/>
  <c r="BJ98" i="142"/>
  <c r="AX100" i="142"/>
  <c r="K145" i="142"/>
  <c r="L145" i="142" s="1"/>
  <c r="AL105" i="142"/>
  <c r="H122" i="142" s="1"/>
  <c r="AX99" i="142"/>
  <c r="Z100" i="142"/>
  <c r="Z98" i="142"/>
  <c r="B102" i="142"/>
  <c r="D110" i="142" s="1"/>
  <c r="E133" i="142"/>
  <c r="F133" i="142" s="1"/>
  <c r="K134" i="142"/>
  <c r="L134" i="142" s="1"/>
  <c r="AX102" i="142"/>
  <c r="H111" i="142" s="1"/>
  <c r="B100" i="142"/>
  <c r="BJ100" i="142"/>
  <c r="BK89" i="142" a="1"/>
  <c r="BK90" i="142" a="1"/>
  <c r="BK88" i="142" a="1"/>
  <c r="BK88" i="142" l="1"/>
  <c r="BK90" i="142"/>
  <c r="BK89" i="142"/>
  <c r="D120" i="142"/>
  <c r="D123" i="142"/>
  <c r="BJ104" i="142"/>
  <c r="H121" i="142" s="1"/>
  <c r="K144" i="142"/>
  <c r="L144" i="142" s="1"/>
  <c r="E139" i="142"/>
  <c r="F139" i="142" s="1"/>
  <c r="B103" i="142"/>
  <c r="D116" i="142" s="1"/>
  <c r="K146" i="142"/>
  <c r="L146" i="142" s="1"/>
  <c r="AX105" i="142"/>
  <c r="H123" i="142" s="1"/>
  <c r="K147" i="142"/>
  <c r="L147" i="142" s="1"/>
  <c r="BJ105" i="142"/>
  <c r="H124" i="142" s="1"/>
  <c r="E141" i="142"/>
  <c r="F141" i="142" s="1"/>
  <c r="Z103" i="142"/>
  <c r="BJ103" i="142"/>
  <c r="H118" i="142" s="1"/>
  <c r="K141" i="142"/>
  <c r="L141" i="142" s="1"/>
  <c r="E142" i="142"/>
  <c r="F142" i="142" s="1"/>
  <c r="B104" i="142"/>
  <c r="K143" i="142"/>
  <c r="L143" i="142" s="1"/>
  <c r="AX104" i="142"/>
  <c r="H120" i="142" s="1"/>
  <c r="B105" i="142"/>
  <c r="E145" i="142"/>
  <c r="F145" i="142" s="1"/>
  <c r="Z105" i="142"/>
  <c r="E147" i="142"/>
  <c r="F147" i="142" s="1"/>
  <c r="K140" i="142"/>
  <c r="L140" i="142" s="1"/>
  <c r="AX103" i="142"/>
  <c r="H117" i="142" s="1"/>
  <c r="E144" i="142"/>
  <c r="F144" i="142" s="1"/>
  <c r="Z104" i="142"/>
  <c r="D118" i="142" s="1"/>
  <c r="D121" i="142" l="1"/>
  <c r="D124" i="142"/>
  <c r="D119" i="142"/>
  <c r="D122" i="14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<sst xmlns="http://schemas.openxmlformats.org/spreadsheetml/2006/main" count="1122" uniqueCount="154">
  <si>
    <t>Salmonella Standard Deviation</t>
  </si>
  <si>
    <t>Units</t>
  </si>
  <si>
    <t>Data Source</t>
  </si>
  <si>
    <t>CFU/g</t>
  </si>
  <si>
    <t>Constant</t>
  </si>
  <si>
    <t>g</t>
  </si>
  <si>
    <t>Numeric Value</t>
  </si>
  <si>
    <t>1 = yes, 0 = no</t>
  </si>
  <si>
    <t>Estimated</t>
  </si>
  <si>
    <t>WHO/FAO (2002)</t>
  </si>
  <si>
    <t>CFU</t>
  </si>
  <si>
    <t>CDC 2016, Lambertini  et al. (2019)</t>
  </si>
  <si>
    <t>Value</t>
  </si>
  <si>
    <t>Baseline Survey 2012 (Parts)</t>
  </si>
  <si>
    <t>Log CFU/g</t>
  </si>
  <si>
    <t>Williams &amp; Ebel at al. 2012</t>
  </si>
  <si>
    <t>Salmonella Levels- From Censored Data Fit</t>
  </si>
  <si>
    <t>Normal</t>
  </si>
  <si>
    <t>Log (g)</t>
  </si>
  <si>
    <t>Product Standard Module</t>
  </si>
  <si>
    <t>Calculated</t>
  </si>
  <si>
    <t>Are levels above microbial threshold?</t>
  </si>
  <si>
    <t>Baseline mean</t>
  </si>
  <si>
    <t>Baseline 95th</t>
  </si>
  <si>
    <t>Key Outputs</t>
  </si>
  <si>
    <t>Baseline 5th</t>
  </si>
  <si>
    <t>Hazard in Finished Product (Salmonella Level and Serotype)</t>
  </si>
  <si>
    <t>Type</t>
  </si>
  <si>
    <t>Salmonella Mean Level</t>
  </si>
  <si>
    <t>Salmonella Level in Serving</t>
  </si>
  <si>
    <t>Normal distribution</t>
  </si>
  <si>
    <t>Consumption Module</t>
  </si>
  <si>
    <t>Scaling factor, WHO/FAO</t>
  </si>
  <si>
    <t>Use scaling factor</t>
  </si>
  <si>
    <t>Probability of Illness based on Microbial Compliance</t>
  </si>
  <si>
    <t>Chicken parts model description</t>
  </si>
  <si>
    <t>No-Threshold-mean</t>
  </si>
  <si>
    <t>This is the overall baseline risk</t>
  </si>
  <si>
    <t>Mean amount of product consumed per day by an individual</t>
  </si>
  <si>
    <t>Standard Deviation of the amount of product consumed per day by an individual</t>
  </si>
  <si>
    <t>Portion Size consumed, in log g</t>
  </si>
  <si>
    <t>Portion Size consumed, in g</t>
  </si>
  <si>
    <t>ChangingCell</t>
  </si>
  <si>
    <t>GoalCell</t>
  </si>
  <si>
    <t>GoalValue</t>
  </si>
  <si>
    <t>GoalStatisticOldFormat</t>
  </si>
  <si>
    <t>ComparisonAccuracyPercent</t>
  </si>
  <si>
    <t>MaxNumSimulations</t>
  </si>
  <si>
    <t>VariationMinimum</t>
  </si>
  <si>
    <t>VariationMaximum</t>
  </si>
  <si>
    <t>VariationMinimumInf</t>
  </si>
  <si>
    <t>VariationMaximumInf</t>
  </si>
  <si>
    <t>AccuracyIsPercent</t>
  </si>
  <si>
    <t>GenerateSimulationForSolution</t>
  </si>
  <si>
    <t>GoalStatisticPercentile</t>
  </si>
  <si>
    <t>ComparisonAccuracyValue</t>
  </si>
  <si>
    <t>GoalStatistic</t>
  </si>
  <si>
    <t>RecommendedVersion</t>
  </si>
  <si>
    <t>RequiredVersion</t>
  </si>
  <si>
    <t>8.1.0</t>
  </si>
  <si>
    <t>0.0.0</t>
  </si>
  <si>
    <t>Overall Pr Ill</t>
  </si>
  <si>
    <t>NOTE. WHO/FAO assume everyone infected gets ill (Pill|inf=1); and uses same Beta-Poisson, just lists variables as alpha and beta</t>
  </si>
  <si>
    <t>should not need this</t>
  </si>
  <si>
    <t>KEY, because this is what matters</t>
  </si>
  <si>
    <t xml:space="preserve">WHO/FAO (2002) Alpha &amp; Beta </t>
  </si>
  <si>
    <t>Dose Response Module</t>
  </si>
  <si>
    <t>Salmonella Level in Serving from the distribution</t>
  </si>
  <si>
    <t>1=yes, 0=no</t>
  </si>
  <si>
    <t>Dose in one serving (raw product)</t>
  </si>
  <si>
    <t>Dose in one serving (calcuated above), unscaled</t>
  </si>
  <si>
    <t>Linear probability</t>
  </si>
  <si>
    <t>Log10 Probability</t>
  </si>
  <si>
    <t>Probability of illness calculated with no threshold (after scaling factor)</t>
  </si>
  <si>
    <t>Beta-poisson DR model</t>
  </si>
  <si>
    <t>Dose with scaling factor</t>
  </si>
  <si>
    <t>Salmonella Serotype - From Distributions in sampling data</t>
  </si>
  <si>
    <t>Serotype</t>
  </si>
  <si>
    <t>Probability</t>
  </si>
  <si>
    <t>Cummulative Probability</t>
  </si>
  <si>
    <t>Typhimurium</t>
  </si>
  <si>
    <t>HACCP 2015 - 2022 Parts</t>
  </si>
  <si>
    <t>Enteritidis</t>
  </si>
  <si>
    <t>Heidelberg</t>
  </si>
  <si>
    <t>4,[5],12:i:−</t>
  </si>
  <si>
    <t>Kentucky</t>
  </si>
  <si>
    <t>Infantis</t>
  </si>
  <si>
    <t>Other serotypes</t>
  </si>
  <si>
    <t>Serotype draw</t>
  </si>
  <si>
    <t>Serotype in serving</t>
  </si>
  <si>
    <t>Enteriditis</t>
  </si>
  <si>
    <t>Heidelbreg</t>
  </si>
  <si>
    <t>Level based standard</t>
  </si>
  <si>
    <t>Serotype based standard</t>
  </si>
  <si>
    <t>Serotype inclusion list</t>
  </si>
  <si>
    <t>Serotype exclusion list</t>
  </si>
  <si>
    <t>Is level above threshold AND from inclusion list subtype?</t>
  </si>
  <si>
    <t>Is serotype on Inclusion List</t>
  </si>
  <si>
    <t>Dose host exposed to (after scaling factor)</t>
  </si>
  <si>
    <t>Inclusion list &amp; level based MC dose</t>
  </si>
  <si>
    <t>non-compliant</t>
  </si>
  <si>
    <t>HACCP</t>
  </si>
  <si>
    <t>Baseline</t>
  </si>
  <si>
    <t>Relative risk</t>
  </si>
  <si>
    <t>Proportion Kentucky&amp;over level threshold</t>
  </si>
  <si>
    <t>Is level above threshold AND from subtype not on exclusion list?</t>
  </si>
  <si>
    <t>Proportion not Kentucky&amp;over the level threshold</t>
  </si>
  <si>
    <t>Total Dose, unscaled</t>
  </si>
  <si>
    <t>Kentucky&amp; level over the threshold dose</t>
  </si>
  <si>
    <t>Serotype Kentucky &amp; level over the threshold</t>
  </si>
  <si>
    <t>Exclusion list(not-Kentucky) &amp; level over the threshold dose</t>
  </si>
  <si>
    <t>Serotype not Kentucky &amp; level over the threshold</t>
  </si>
  <si>
    <t xml:space="preserve">Proportion above threshold level </t>
  </si>
  <si>
    <t>Proportion above threshold level, and serotype on inclusion list</t>
  </si>
  <si>
    <t>Is level above threshold AND serotype Kentucky?</t>
  </si>
  <si>
    <t>Is serotype on Exclusion List(=Kentucky)?</t>
  </si>
  <si>
    <t>Level under the threshold</t>
  </si>
  <si>
    <t>Level over the threshold</t>
  </si>
  <si>
    <t>Inclusion list &amp; level over the threshold</t>
  </si>
  <si>
    <t>Result collection</t>
  </si>
  <si>
    <t>Level threshold</t>
  </si>
  <si>
    <t>average P ill</t>
  </si>
  <si>
    <t>Average p ill</t>
  </si>
  <si>
    <t>No. servings in US per year</t>
  </si>
  <si>
    <t>Dataset Baseline</t>
  </si>
  <si>
    <t>Dataset HACCP</t>
  </si>
  <si>
    <t>Anatum Alpha &amp; Beta from QMRA wiki</t>
  </si>
  <si>
    <t>https://qmrawiki.org/experiments/salmonella-anatum</t>
  </si>
  <si>
    <t>Alpha &amp; Beta for serotype in serving</t>
  </si>
  <si>
    <t>Loooking to Variability - Baseline no threshold</t>
  </si>
  <si>
    <t>Sim lookup</t>
  </si>
  <si>
    <t>Basic Stats From Simulations</t>
  </si>
  <si>
    <t>Max</t>
  </si>
  <si>
    <t>Min</t>
  </si>
  <si>
    <t xml:space="preserve">Range </t>
  </si>
  <si>
    <t>Mean</t>
  </si>
  <si>
    <t>St. Dev</t>
  </si>
  <si>
    <t>COV</t>
  </si>
  <si>
    <t>Under the threshold</t>
  </si>
  <si>
    <t>Over the threshold</t>
  </si>
  <si>
    <t>Key result for the result table</t>
  </si>
  <si>
    <t>Dataset</t>
  </si>
  <si>
    <t>Baseline P ill from HACCP dataset</t>
  </si>
  <si>
    <t>Baseline P ill from the baseline survey dataset</t>
  </si>
  <si>
    <t>Average no threshold P ill</t>
  </si>
  <si>
    <t xml:space="preserve">Predicted No. illnesses with simulated probability of illnesses </t>
  </si>
  <si>
    <t xml:space="preserve">Product characteristic </t>
  </si>
  <si>
    <t>Inclusion list&amp;over the level threshold</t>
  </si>
  <si>
    <t>Kentucky&amp;over the level threshold</t>
  </si>
  <si>
    <t>Not-Kentucky&amp;over the level threshold</t>
  </si>
  <si>
    <t>Proportion meeting the product characteristic</t>
  </si>
  <si>
    <t>No. of servings meeting the product characteristic</t>
  </si>
  <si>
    <t>illness proportion from the product characterized</t>
  </si>
  <si>
    <t>No illnesses predicted in a year (Baseline No. of illnesses)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</si>
</sst>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000"/>
    <numFmt numFmtId="165" formatCode="0.000"/>
    <numFmt numFmtId="166" formatCode="0.0%"/>
    <numFmt numFmtId="167" formatCode="0.000%"/>
    <numFmt numFmtId="168" formatCode="_(* #,##0_);_(* \(#,##0\);_(* &quot;-&quot;??_);_(@_)"/>
    <numFmt numFmtId="169" formatCode="0.0000%"/>
    <numFmt numFmtId="171" formatCode="0.000000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FC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10">
    <xf numFmtId="0" fontId="0" fillId="0" borderId="0"/>
    <xf numFmtId="0" fontId="3" fillId="7" borderId="3" applyNumberFormat="0" applyAlignment="0" applyProtection="0"/>
    <xf numFmtId="9" fontId="4" fillId="0" borderId="0" applyFont="0" applyFill="0" applyBorder="0" applyAlignment="0" applyProtection="0"/>
    <xf numFmtId="0" fontId="7" fillId="10" borderId="4" applyNumberFormat="0" applyAlignment="0" applyProtection="0"/>
    <xf numFmtId="0" fontId="11" fillId="19" borderId="0" applyNumberFormat="0" applyBorder="0" applyAlignment="0" applyProtection="0"/>
    <xf numFmtId="0" fontId="4" fillId="20" borderId="6" applyNumberFormat="0" applyFont="0" applyAlignment="0" applyProtection="0"/>
    <xf numFmtId="0" fontId="13" fillId="21" borderId="0" applyNumberFormat="0" applyBorder="0" applyAlignment="0" applyProtection="0"/>
    <xf numFmtId="43" fontId="4" fillId="0" borderId="0" applyFont="0" applyFill="0" applyBorder="0" applyAlignment="0" applyProtection="0"/>
    <xf numFmtId="0" fontId="14" fillId="22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11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6" borderId="0" xfId="0" applyFont="1" applyFill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8" borderId="0" xfId="0" applyFill="1"/>
    <xf numFmtId="11" fontId="3" fillId="7" borderId="3" xfId="1" applyNumberFormat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7" borderId="3" xfId="1" applyAlignment="1">
      <alignment horizontal="center"/>
    </xf>
    <xf numFmtId="166" fontId="3" fillId="7" borderId="3" xfId="2" applyNumberFormat="1" applyFont="1" applyFill="1" applyBorder="1" applyAlignment="1">
      <alignment horizontal="center"/>
    </xf>
    <xf numFmtId="11" fontId="3" fillId="9" borderId="3" xfId="2" applyNumberFormat="1" applyFont="1" applyFill="1" applyBorder="1" applyAlignment="1">
      <alignment horizontal="center"/>
    </xf>
    <xf numFmtId="11" fontId="3" fillId="7" borderId="3" xfId="2" applyNumberFormat="1" applyFont="1" applyFill="1" applyBorder="1" applyAlignment="1">
      <alignment horizontal="center"/>
    </xf>
    <xf numFmtId="0" fontId="5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/>
    <xf numFmtId="0" fontId="6" fillId="0" borderId="0" xfId="0" applyFont="1"/>
    <xf numFmtId="164" fontId="7" fillId="10" borderId="4" xfId="3" applyNumberFormat="1" applyAlignment="1">
      <alignment horizontal="center"/>
    </xf>
    <xf numFmtId="0" fontId="7" fillId="10" borderId="4" xfId="3" applyAlignment="1">
      <alignment horizontal="center"/>
    </xf>
    <xf numFmtId="0" fontId="0" fillId="3" borderId="0" xfId="0" applyFill="1"/>
    <xf numFmtId="0" fontId="2" fillId="8" borderId="2" xfId="0" applyFont="1" applyFill="1" applyBorder="1"/>
    <xf numFmtId="0" fontId="0" fillId="4" borderId="0" xfId="0" applyFill="1"/>
    <xf numFmtId="0" fontId="0" fillId="6" borderId="0" xfId="0" applyFill="1"/>
    <xf numFmtId="0" fontId="0" fillId="5" borderId="0" xfId="0" applyFill="1"/>
    <xf numFmtId="0" fontId="0" fillId="11" borderId="0" xfId="0" applyFill="1"/>
    <xf numFmtId="0" fontId="1" fillId="11" borderId="0" xfId="0" applyFont="1" applyFill="1"/>
    <xf numFmtId="0" fontId="2" fillId="11" borderId="0" xfId="0" applyFont="1" applyFill="1" applyAlignment="1">
      <alignment horizontal="center"/>
    </xf>
    <xf numFmtId="0" fontId="0" fillId="12" borderId="0" xfId="0" applyFill="1"/>
    <xf numFmtId="0" fontId="1" fillId="12" borderId="0" xfId="0" applyFont="1" applyFill="1"/>
    <xf numFmtId="0" fontId="2" fillId="12" borderId="0" xfId="0" applyFont="1" applyFill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5" fillId="0" borderId="0" xfId="0" applyFont="1" applyAlignment="1">
      <alignment horizontal="right"/>
    </xf>
    <xf numFmtId="166" fontId="0" fillId="0" borderId="0" xfId="2" applyNumberFormat="1" applyFont="1" applyFill="1"/>
    <xf numFmtId="11" fontId="5" fillId="0" borderId="0" xfId="0" applyNumberFormat="1" applyFont="1"/>
    <xf numFmtId="0" fontId="0" fillId="0" borderId="0" xfId="0" applyAlignment="1">
      <alignment wrapText="1"/>
    </xf>
    <xf numFmtId="2" fontId="7" fillId="10" borderId="4" xfId="3" applyNumberFormat="1" applyAlignment="1">
      <alignment horizontal="center"/>
    </xf>
    <xf numFmtId="0" fontId="0" fillId="15" borderId="0" xfId="0" applyFill="1"/>
    <xf numFmtId="0" fontId="0" fillId="16" borderId="0" xfId="0" applyFill="1"/>
    <xf numFmtId="11" fontId="0" fillId="16" borderId="0" xfId="0" applyNumberFormat="1" applyFill="1" applyAlignment="1">
      <alignment horizontal="center"/>
    </xf>
    <xf numFmtId="0" fontId="0" fillId="17" borderId="0" xfId="0" applyFill="1"/>
    <xf numFmtId="11" fontId="0" fillId="17" borderId="0" xfId="0" applyNumberFormat="1" applyFill="1" applyAlignment="1">
      <alignment horizontal="center"/>
    </xf>
    <xf numFmtId="11" fontId="5" fillId="0" borderId="0" xfId="0" applyNumberFormat="1" applyFont="1" applyAlignment="1">
      <alignment horizontal="center"/>
    </xf>
    <xf numFmtId="0" fontId="0" fillId="18" borderId="0" xfId="0" applyFill="1"/>
    <xf numFmtId="0" fontId="0" fillId="14" borderId="0" xfId="0" applyFill="1"/>
    <xf numFmtId="9" fontId="0" fillId="0" borderId="0" xfId="2" applyFont="1" applyFill="1" applyBorder="1"/>
    <xf numFmtId="0" fontId="10" fillId="11" borderId="0" xfId="0" applyFont="1" applyFill="1"/>
    <xf numFmtId="2" fontId="3" fillId="7" borderId="3" xfId="1" applyNumberFormat="1"/>
    <xf numFmtId="2" fontId="3" fillId="9" borderId="3" xfId="1" applyNumberFormat="1" applyFill="1"/>
    <xf numFmtId="0" fontId="5" fillId="18" borderId="0" xfId="0" applyFont="1" applyFill="1"/>
    <xf numFmtId="0" fontId="5" fillId="15" borderId="0" xfId="0" applyFont="1" applyFill="1"/>
    <xf numFmtId="11" fontId="3" fillId="9" borderId="3" xfId="1" applyNumberFormat="1" applyFill="1" applyAlignment="1">
      <alignment horizontal="center"/>
    </xf>
    <xf numFmtId="11" fontId="3" fillId="12" borderId="3" xfId="1" applyNumberFormat="1" applyFill="1" applyAlignment="1">
      <alignment horizontal="center"/>
    </xf>
    <xf numFmtId="2" fontId="3" fillId="12" borderId="3" xfId="1" applyNumberFormat="1" applyFill="1"/>
    <xf numFmtId="0" fontId="1" fillId="11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0" fillId="0" borderId="0" xfId="0" applyFont="1"/>
    <xf numFmtId="9" fontId="7" fillId="10" borderId="4" xfId="3" applyNumberFormat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166" fontId="3" fillId="7" borderId="0" xfId="2" applyNumberFormat="1" applyFont="1" applyFill="1" applyBorder="1" applyAlignment="1">
      <alignment horizontal="center"/>
    </xf>
    <xf numFmtId="0" fontId="11" fillId="19" borderId="0" xfId="4" applyNumberFormat="1" applyAlignment="1">
      <alignment horizontal="center"/>
    </xf>
    <xf numFmtId="0" fontId="8" fillId="13" borderId="6" xfId="5" applyFont="1" applyFill="1"/>
    <xf numFmtId="0" fontId="2" fillId="13" borderId="6" xfId="5" applyFont="1" applyFill="1"/>
    <xf numFmtId="0" fontId="0" fillId="13" borderId="6" xfId="5" applyFont="1" applyFill="1"/>
    <xf numFmtId="0" fontId="8" fillId="17" borderId="6" xfId="5" applyFont="1" applyFill="1"/>
    <xf numFmtId="166" fontId="3" fillId="17" borderId="6" xfId="5" applyNumberFormat="1" applyFont="1" applyFill="1" applyAlignment="1">
      <alignment horizontal="center"/>
    </xf>
    <xf numFmtId="0" fontId="0" fillId="17" borderId="6" xfId="5" applyFont="1" applyFill="1"/>
    <xf numFmtId="0" fontId="12" fillId="17" borderId="0" xfId="0" applyFont="1" applyFill="1"/>
    <xf numFmtId="0" fontId="0" fillId="13" borderId="0" xfId="0" applyFill="1"/>
    <xf numFmtId="11" fontId="0" fillId="13" borderId="0" xfId="0" applyNumberFormat="1" applyFill="1" applyAlignment="1">
      <alignment horizontal="center"/>
    </xf>
    <xf numFmtId="2" fontId="3" fillId="7" borderId="7" xfId="2" applyNumberFormat="1" applyFont="1" applyFill="1" applyBorder="1" applyAlignment="1">
      <alignment horizontal="center"/>
    </xf>
    <xf numFmtId="167" fontId="3" fillId="14" borderId="5" xfId="2" applyNumberFormat="1" applyFont="1" applyFill="1" applyBorder="1" applyAlignment="1">
      <alignment horizontal="right"/>
    </xf>
    <xf numFmtId="0" fontId="13" fillId="21" borderId="0" xfId="6"/>
    <xf numFmtId="167" fontId="0" fillId="0" borderId="0" xfId="0" applyNumberFormat="1"/>
    <xf numFmtId="168" fontId="0" fillId="0" borderId="0" xfId="7" applyNumberFormat="1" applyFont="1"/>
    <xf numFmtId="43" fontId="0" fillId="0" borderId="0" xfId="0" applyNumberFormat="1"/>
    <xf numFmtId="9" fontId="0" fillId="0" borderId="0" xfId="2" applyFont="1"/>
    <xf numFmtId="169" fontId="0" fillId="0" borderId="0" xfId="2" applyNumberFormat="1" applyFont="1"/>
    <xf numFmtId="0" fontId="0" fillId="23" borderId="0" xfId="0" applyFill="1"/>
    <xf numFmtId="167" fontId="0" fillId="23" borderId="0" xfId="0" applyNumberFormat="1" applyFill="1"/>
    <xf numFmtId="0" fontId="14" fillId="22" borderId="0" xfId="8"/>
    <xf numFmtId="2" fontId="0" fillId="0" borderId="0" xfId="0" applyNumberFormat="1"/>
    <xf numFmtId="0" fontId="15" fillId="0" borderId="0" xfId="9"/>
    <xf numFmtId="10" fontId="0" fillId="0" borderId="0" xfId="2" applyNumberFormat="1" applyFont="1"/>
    <xf numFmtId="11" fontId="0" fillId="0" borderId="0" xfId="0" applyNumberFormat="1" applyAlignment="1">
      <alignment wrapText="1"/>
    </xf>
    <xf numFmtId="0" fontId="5" fillId="0" borderId="5" xfId="0" applyFont="1" applyBorder="1"/>
    <xf numFmtId="11" fontId="5" fillId="13" borderId="5" xfId="0" applyNumberFormat="1" applyFont="1" applyFill="1" applyBorder="1"/>
    <xf numFmtId="0" fontId="5" fillId="13" borderId="5" xfId="0" applyFont="1" applyFill="1" applyBorder="1"/>
    <xf numFmtId="9" fontId="5" fillId="8" borderId="0" xfId="2" applyFont="1" applyFill="1"/>
    <xf numFmtId="0" fontId="5" fillId="8" borderId="0" xfId="0" applyFont="1" applyFill="1"/>
    <xf numFmtId="10" fontId="0" fillId="0" borderId="0" xfId="0" applyNumberFormat="1"/>
    <xf numFmtId="169" fontId="5" fillId="14" borderId="0" xfId="2" applyNumberFormat="1" applyFont="1" applyFill="1"/>
    <xf numFmtId="169" fontId="5" fillId="0" borderId="0" xfId="2" applyNumberFormat="1" applyFont="1"/>
    <xf numFmtId="9" fontId="5" fillId="0" borderId="0" xfId="2" applyFont="1"/>
    <xf numFmtId="9" fontId="5" fillId="23" borderId="0" xfId="2" applyFont="1" applyFill="1"/>
    <xf numFmtId="167" fontId="5" fillId="0" borderId="0" xfId="2" applyNumberFormat="1" applyFont="1"/>
    <xf numFmtId="0" fontId="0" fillId="14" borderId="5" xfId="0" applyFill="1" applyBorder="1"/>
    <xf numFmtId="0" fontId="13" fillId="21" borderId="0" xfId="6" applyAlignment="1">
      <alignment horizontal="right"/>
    </xf>
    <xf numFmtId="0" fontId="13" fillId="21" borderId="0" xfId="6" applyAlignment="1">
      <alignment horizontal="center"/>
    </xf>
    <xf numFmtId="167" fontId="5" fillId="14" borderId="0" xfId="2" applyNumberFormat="1" applyFont="1" applyFill="1"/>
    <xf numFmtId="10" fontId="0" fillId="14" borderId="0" xfId="0" applyNumberFormat="1" applyFill="1"/>
    <xf numFmtId="11" fontId="0" fillId="14" borderId="0" xfId="0" applyNumberFormat="1" applyFill="1"/>
    <xf numFmtId="167" fontId="0" fillId="14" borderId="0" xfId="0" applyNumberFormat="1" applyFill="1"/>
    <xf numFmtId="43" fontId="0" fillId="14" borderId="0" xfId="0" applyNumberFormat="1" applyFill="1"/>
    <xf numFmtId="0" fontId="0" fillId="0" borderId="2" xfId="0" applyBorder="1" applyAlignment="1">
      <alignment horizontal="center"/>
    </xf>
    <xf numFmtId="171" fontId="0" fillId="0" borderId="0" xfId="0" applyNumberFormat="1" applyAlignment="1">
      <alignment horizontal="center"/>
    </xf>
  </cellXfs>
  <cellStyles count="10">
    <cellStyle name="Bad" xfId="6" builtinId="27"/>
    <cellStyle name="Comma" xfId="7" builtinId="3"/>
    <cellStyle name="Good" xfId="4" builtinId="26"/>
    <cellStyle name="Hyperlink" xfId="9" builtinId="8"/>
    <cellStyle name="Input" xfId="3" builtinId="20"/>
    <cellStyle name="Neutral" xfId="8" builtinId="28"/>
    <cellStyle name="Normal" xfId="0" builtinId="0"/>
    <cellStyle name="Note" xfId="5" builtinId="10"/>
    <cellStyle name="Output" xfId="1" builtinId="21"/>
    <cellStyle name="Percent" xfId="2" builtinId="5"/>
  </cellStyles>
  <dxfs count="0"/>
  <tableStyles count="0" defaultTableStyle="TableStyleMedium2" defaultPivotStyle="PivotStyleLight16"/>
  <colors>
    <mruColors>
      <color rgb="FFFF7DBE"/>
      <color rgb="FFFF9FCF"/>
      <color rgb="FFFF3399"/>
      <color rgb="FFFFC9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mrawiki.org/experiments/salmonella-anatu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qmrawiki.org/experiments/salmonella-anatum" TargetMode="External"/><Relationship Id="rId1" Type="http://schemas.openxmlformats.org/officeDocument/2006/relationships/hyperlink" Target="https://qmrawiki.org/experiments/salmonella-anatum" TargetMode="External"/><Relationship Id="rId6" Type="http://schemas.openxmlformats.org/officeDocument/2006/relationships/hyperlink" Target="https://qmrawiki.org/experiments/salmonella-anatum" TargetMode="External"/><Relationship Id="rId5" Type="http://schemas.openxmlformats.org/officeDocument/2006/relationships/hyperlink" Target="https://qmrawiki.org/experiments/salmonella-anatum" TargetMode="External"/><Relationship Id="rId4" Type="http://schemas.openxmlformats.org/officeDocument/2006/relationships/hyperlink" Target="https://qmrawiki.org/experiments/salmonella-anat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9EB3-D9C3-45A9-A96B-81D46CB947DC}">
  <sheetPr codeName="Sheet1"/>
  <dimension ref="A1:Q2"/>
  <sheetViews>
    <sheetView workbookViewId="0"/>
  </sheetViews>
  <sheetFormatPr defaultRowHeight="15" x14ac:dyDescent="0.25"/>
  <sheetData>
    <row r="1" spans="1:17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</row>
    <row r="2" spans="1:17" x14ac:dyDescent="0.25">
      <c r="A2" t="e">
        <f>'Chicken Parts'!#REF!</f>
        <v>#REF!</v>
      </c>
      <c r="B2" t="e">
        <f>'Chicken Parts'!#REF!</f>
        <v>#REF!</v>
      </c>
      <c r="C2">
        <v>3.0000000000000001E-6</v>
      </c>
      <c r="D2">
        <v>3</v>
      </c>
      <c r="E2">
        <v>0.01</v>
      </c>
      <c r="F2">
        <v>10</v>
      </c>
      <c r="I2" t="b">
        <v>1</v>
      </c>
      <c r="J2" t="b">
        <v>1</v>
      </c>
      <c r="K2" t="b">
        <v>1</v>
      </c>
      <c r="L2" t="b">
        <v>1</v>
      </c>
      <c r="M2">
        <v>0.5</v>
      </c>
      <c r="O2">
        <v>2</v>
      </c>
      <c r="P2" t="s">
        <v>59</v>
      </c>
      <c r="Q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58D5-F0F7-484E-B28C-C52153F954FC}">
  <sheetPr codeName="Sheet3"/>
  <dimension ref="A1:BS175"/>
  <sheetViews>
    <sheetView tabSelected="1" topLeftCell="A109" zoomScale="80" zoomScaleNormal="80" zoomScaleSheetLayoutView="40" zoomScalePageLayoutView="10" workbookViewId="0">
      <selection activeCell="K128" sqref="K128"/>
    </sheetView>
  </sheetViews>
  <sheetFormatPr defaultRowHeight="15" x14ac:dyDescent="0.25"/>
  <cols>
    <col min="1" max="1" width="73.5703125" bestFit="1" customWidth="1"/>
    <col min="2" max="2" width="31.42578125" bestFit="1" customWidth="1"/>
    <col min="3" max="3" width="29" bestFit="1" customWidth="1"/>
    <col min="4" max="4" width="23.7109375" customWidth="1"/>
    <col min="5" max="5" width="61.42578125" bestFit="1" customWidth="1"/>
    <col min="6" max="6" width="16" customWidth="1"/>
    <col min="7" max="7" width="9.140625" customWidth="1"/>
    <col min="8" max="8" width="13.42578125" customWidth="1"/>
    <col min="9" max="9" width="21.140625" bestFit="1" customWidth="1"/>
    <col min="10" max="10" width="18.7109375" customWidth="1"/>
    <col min="11" max="11" width="11.140625" customWidth="1"/>
    <col min="12" max="12" width="11.42578125" customWidth="1"/>
    <col min="13" max="13" width="46.140625" customWidth="1"/>
    <col min="14" max="14" width="18.7109375" bestFit="1" customWidth="1"/>
    <col min="15" max="15" width="49.28515625" customWidth="1"/>
    <col min="16" max="16" width="12.85546875" bestFit="1" customWidth="1"/>
    <col min="19" max="19" width="12.85546875" bestFit="1" customWidth="1"/>
    <col min="22" max="22" width="12.85546875" bestFit="1" customWidth="1"/>
    <col min="25" max="25" width="80.28515625" bestFit="1" customWidth="1"/>
    <col min="26" max="26" width="18.7109375" bestFit="1" customWidth="1"/>
    <col min="27" max="27" width="29.5703125" bestFit="1" customWidth="1"/>
    <col min="28" max="28" width="12.85546875" bestFit="1" customWidth="1"/>
    <col min="31" max="31" width="12.85546875" bestFit="1" customWidth="1"/>
    <col min="34" max="34" width="12.85546875" bestFit="1" customWidth="1"/>
    <col min="37" max="37" width="72" customWidth="1"/>
    <col min="38" max="38" width="27.28515625" customWidth="1"/>
    <col min="50" max="50" width="22.85546875" customWidth="1"/>
    <col min="61" max="61" width="73.5703125" bestFit="1" customWidth="1"/>
    <col min="62" max="62" width="32" customWidth="1"/>
    <col min="63" max="63" width="29" bestFit="1" customWidth="1"/>
  </cols>
  <sheetData>
    <row r="1" spans="1:71" x14ac:dyDescent="0.25">
      <c r="A1" s="41"/>
      <c r="B1" s="6"/>
      <c r="E1" s="114"/>
      <c r="F1" s="114"/>
    </row>
    <row r="2" spans="1:71" ht="18.75" x14ac:dyDescent="0.3">
      <c r="A2" s="39"/>
      <c r="B2" s="40"/>
      <c r="C2" s="24"/>
      <c r="D2" s="24"/>
      <c r="E2" s="24"/>
    </row>
    <row r="3" spans="1:71" x14ac:dyDescent="0.25">
      <c r="A3" s="107" t="s">
        <v>102</v>
      </c>
      <c r="B3" s="108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K3" s="90" t="s">
        <v>101</v>
      </c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</row>
    <row r="4" spans="1:71" ht="15.75" x14ac:dyDescent="0.25">
      <c r="A4" s="5" t="s">
        <v>35</v>
      </c>
      <c r="B4" s="13" t="s">
        <v>12</v>
      </c>
      <c r="C4" s="5" t="s">
        <v>1</v>
      </c>
      <c r="D4" s="5" t="s">
        <v>27</v>
      </c>
      <c r="E4" s="5" t="s">
        <v>2</v>
      </c>
      <c r="F4" s="4"/>
      <c r="G4" s="4"/>
      <c r="H4" s="4"/>
      <c r="M4" s="5" t="s">
        <v>35</v>
      </c>
      <c r="N4" s="13" t="s">
        <v>12</v>
      </c>
      <c r="O4" s="5" t="s">
        <v>1</v>
      </c>
      <c r="P4" s="5" t="s">
        <v>27</v>
      </c>
      <c r="Q4" s="5" t="s">
        <v>2</v>
      </c>
      <c r="R4" s="4"/>
      <c r="S4" s="4"/>
      <c r="T4" s="4"/>
      <c r="Y4" s="5" t="s">
        <v>35</v>
      </c>
      <c r="Z4" s="13" t="s">
        <v>12</v>
      </c>
      <c r="AA4" s="5" t="s">
        <v>1</v>
      </c>
      <c r="AB4" s="5" t="s">
        <v>27</v>
      </c>
      <c r="AC4" s="5" t="s">
        <v>2</v>
      </c>
      <c r="AD4" s="4"/>
      <c r="AE4" s="4"/>
      <c r="AF4" s="4"/>
      <c r="AK4" s="5" t="s">
        <v>35</v>
      </c>
      <c r="AL4" s="13" t="s">
        <v>12</v>
      </c>
      <c r="AM4" s="5" t="s">
        <v>1</v>
      </c>
      <c r="AN4" s="5" t="s">
        <v>27</v>
      </c>
      <c r="AO4" s="5" t="s">
        <v>2</v>
      </c>
      <c r="AP4" s="4"/>
      <c r="AQ4" s="4"/>
      <c r="AR4" s="4"/>
      <c r="AW4" s="5" t="s">
        <v>35</v>
      </c>
      <c r="AX4" s="13" t="s">
        <v>12</v>
      </c>
      <c r="AY4" s="5" t="s">
        <v>1</v>
      </c>
      <c r="AZ4" s="5" t="s">
        <v>27</v>
      </c>
      <c r="BA4" s="5" t="s">
        <v>2</v>
      </c>
      <c r="BB4" s="4"/>
      <c r="BC4" s="4"/>
      <c r="BD4" s="4"/>
      <c r="BI4" s="5" t="s">
        <v>35</v>
      </c>
      <c r="BJ4" s="13" t="s">
        <v>12</v>
      </c>
      <c r="BK4" s="5" t="s">
        <v>1</v>
      </c>
      <c r="BL4" s="5" t="s">
        <v>27</v>
      </c>
      <c r="BM4" s="5" t="s">
        <v>2</v>
      </c>
      <c r="BN4" s="4"/>
      <c r="BO4" s="4"/>
      <c r="BP4" s="4"/>
    </row>
    <row r="5" spans="1:71" ht="18.75" x14ac:dyDescent="0.3">
      <c r="A5" s="29" t="s">
        <v>26</v>
      </c>
      <c r="B5" s="29"/>
      <c r="C5" s="29"/>
      <c r="D5" s="29"/>
      <c r="E5" s="29"/>
      <c r="F5" s="9"/>
      <c r="G5" s="9"/>
      <c r="H5" s="9"/>
      <c r="I5" s="9"/>
      <c r="J5" s="9"/>
      <c r="K5" s="9"/>
      <c r="M5" s="29" t="s">
        <v>26</v>
      </c>
      <c r="N5" s="29"/>
      <c r="O5" s="29"/>
      <c r="P5" s="29"/>
      <c r="Q5" s="29"/>
      <c r="R5" s="9"/>
      <c r="S5" s="9"/>
      <c r="T5" s="9"/>
      <c r="U5" s="9"/>
      <c r="V5" s="9"/>
      <c r="W5" s="9"/>
      <c r="Y5" s="29" t="s">
        <v>26</v>
      </c>
      <c r="Z5" s="29"/>
      <c r="AA5" s="29"/>
      <c r="AB5" s="29"/>
      <c r="AC5" s="29"/>
      <c r="AD5" s="9"/>
      <c r="AE5" s="9"/>
      <c r="AF5" s="9"/>
      <c r="AG5" s="9"/>
      <c r="AH5" s="9"/>
      <c r="AI5" s="9"/>
      <c r="AK5" s="29" t="s">
        <v>26</v>
      </c>
      <c r="AL5" s="29"/>
      <c r="AM5" s="29"/>
      <c r="AN5" s="29"/>
      <c r="AO5" s="29"/>
      <c r="AP5" s="9"/>
      <c r="AQ5" s="9"/>
      <c r="AR5" s="9"/>
      <c r="AS5" s="9"/>
      <c r="AT5" s="9"/>
      <c r="AU5" s="9"/>
      <c r="AW5" s="29" t="s">
        <v>26</v>
      </c>
      <c r="AX5" s="29"/>
      <c r="AY5" s="29"/>
      <c r="AZ5" s="29"/>
      <c r="BA5" s="29"/>
      <c r="BB5" s="9"/>
      <c r="BC5" s="9"/>
      <c r="BD5" s="9"/>
      <c r="BE5" s="9"/>
      <c r="BF5" s="9"/>
      <c r="BG5" s="9"/>
      <c r="BI5" s="29" t="s">
        <v>26</v>
      </c>
      <c r="BJ5" s="29"/>
      <c r="BK5" s="29"/>
      <c r="BL5" s="29"/>
      <c r="BM5" s="29"/>
      <c r="BN5" s="9"/>
      <c r="BO5" s="9"/>
      <c r="BP5" s="9"/>
      <c r="BQ5" s="9"/>
      <c r="BR5" s="9"/>
      <c r="BS5" s="9"/>
    </row>
    <row r="6" spans="1:71" ht="15.75" x14ac:dyDescent="0.25">
      <c r="A6" s="1" t="s">
        <v>16</v>
      </c>
      <c r="B6" s="12"/>
      <c r="C6" s="1"/>
      <c r="D6" s="1"/>
      <c r="E6" s="1"/>
      <c r="F6" s="2"/>
      <c r="G6" s="2"/>
      <c r="H6" s="2"/>
      <c r="I6" s="2"/>
      <c r="J6" s="2"/>
      <c r="K6" s="2"/>
      <c r="M6" s="1" t="s">
        <v>16</v>
      </c>
      <c r="N6" s="12"/>
      <c r="O6" s="1"/>
      <c r="P6" s="1"/>
      <c r="Q6" s="1"/>
      <c r="R6" s="2"/>
      <c r="S6" s="2"/>
      <c r="T6" s="2"/>
      <c r="U6" s="2"/>
      <c r="V6" s="2"/>
      <c r="W6" s="2"/>
      <c r="Y6" s="1" t="s">
        <v>16</v>
      </c>
      <c r="Z6" s="12"/>
      <c r="AA6" s="1"/>
      <c r="AB6" s="1"/>
      <c r="AC6" s="1"/>
      <c r="AD6" s="2"/>
      <c r="AE6" s="2"/>
      <c r="AF6" s="2"/>
      <c r="AG6" s="2"/>
      <c r="AH6" s="2"/>
      <c r="AI6" s="2"/>
      <c r="AK6" s="1" t="s">
        <v>16</v>
      </c>
      <c r="AL6" s="12"/>
      <c r="AM6" s="1"/>
      <c r="AN6" s="1"/>
      <c r="AO6" s="1"/>
      <c r="AP6" s="2"/>
      <c r="AQ6" s="2"/>
      <c r="AR6" s="2"/>
      <c r="AS6" s="2"/>
      <c r="AT6" s="2"/>
      <c r="AU6" s="2"/>
      <c r="AW6" s="1" t="s">
        <v>16</v>
      </c>
      <c r="AX6" s="12"/>
      <c r="AY6" s="1"/>
      <c r="AZ6" s="1"/>
      <c r="BA6" s="1"/>
      <c r="BB6" s="2"/>
      <c r="BC6" s="2"/>
      <c r="BD6" s="2"/>
      <c r="BE6" s="2"/>
      <c r="BF6" s="2"/>
      <c r="BG6" s="2"/>
      <c r="BI6" s="1" t="s">
        <v>16</v>
      </c>
      <c r="BJ6" s="12"/>
      <c r="BK6" s="1"/>
      <c r="BL6" s="1"/>
      <c r="BM6" s="1"/>
      <c r="BN6" s="2"/>
      <c r="BO6" s="2"/>
      <c r="BP6" s="2"/>
      <c r="BQ6" s="2"/>
      <c r="BR6" s="2"/>
      <c r="BS6" s="2"/>
    </row>
    <row r="7" spans="1:71" x14ac:dyDescent="0.25">
      <c r="A7" t="s">
        <v>28</v>
      </c>
      <c r="B7" s="45">
        <v>-3.1915911761351801</v>
      </c>
      <c r="C7" t="s">
        <v>14</v>
      </c>
      <c r="D7" t="s">
        <v>4</v>
      </c>
      <c r="E7" t="s">
        <v>13</v>
      </c>
      <c r="M7" t="s">
        <v>28</v>
      </c>
      <c r="N7" s="45">
        <v>-3.1915911761351801</v>
      </c>
      <c r="O7" t="s">
        <v>14</v>
      </c>
      <c r="P7" t="s">
        <v>4</v>
      </c>
      <c r="Q7" t="s">
        <v>13</v>
      </c>
      <c r="Y7" t="s">
        <v>28</v>
      </c>
      <c r="Z7" s="45">
        <v>-3.1915911761351801</v>
      </c>
      <c r="AA7" t="s">
        <v>14</v>
      </c>
      <c r="AB7" t="s">
        <v>4</v>
      </c>
      <c r="AC7" t="s">
        <v>13</v>
      </c>
      <c r="AK7" t="s">
        <v>28</v>
      </c>
      <c r="AL7" s="45">
        <v>-4.8499999999999996</v>
      </c>
      <c r="AM7" t="s">
        <v>14</v>
      </c>
      <c r="AN7" t="s">
        <v>4</v>
      </c>
      <c r="AO7" t="s">
        <v>13</v>
      </c>
      <c r="AW7" t="s">
        <v>28</v>
      </c>
      <c r="AX7" s="45">
        <v>-4.8499999999999996</v>
      </c>
      <c r="AY7" t="s">
        <v>14</v>
      </c>
      <c r="AZ7" t="s">
        <v>4</v>
      </c>
      <c r="BA7" t="s">
        <v>13</v>
      </c>
      <c r="BI7" t="s">
        <v>28</v>
      </c>
      <c r="BJ7" s="45">
        <v>-4.8499999999999996</v>
      </c>
      <c r="BK7" t="s">
        <v>14</v>
      </c>
      <c r="BL7" t="s">
        <v>4</v>
      </c>
      <c r="BM7" t="s">
        <v>13</v>
      </c>
    </row>
    <row r="8" spans="1:71" x14ac:dyDescent="0.25">
      <c r="A8" t="s">
        <v>0</v>
      </c>
      <c r="B8" s="45">
        <v>1.2859210860958401</v>
      </c>
      <c r="C8" t="s">
        <v>14</v>
      </c>
      <c r="D8" t="s">
        <v>4</v>
      </c>
      <c r="E8" t="s">
        <v>13</v>
      </c>
      <c r="M8" t="s">
        <v>0</v>
      </c>
      <c r="N8" s="45">
        <v>1.2859210860958401</v>
      </c>
      <c r="O8" t="s">
        <v>14</v>
      </c>
      <c r="P8" t="s">
        <v>4</v>
      </c>
      <c r="Q8" t="s">
        <v>13</v>
      </c>
      <c r="Y8" t="s">
        <v>0</v>
      </c>
      <c r="Z8" s="45">
        <v>1.2859210860958401</v>
      </c>
      <c r="AA8" t="s">
        <v>14</v>
      </c>
      <c r="AB8" t="s">
        <v>4</v>
      </c>
      <c r="AC8" t="s">
        <v>13</v>
      </c>
      <c r="AK8" t="s">
        <v>0</v>
      </c>
      <c r="AL8" s="45">
        <v>2.44</v>
      </c>
      <c r="AM8" t="s">
        <v>14</v>
      </c>
      <c r="AN8" t="s">
        <v>4</v>
      </c>
      <c r="AO8" t="s">
        <v>13</v>
      </c>
      <c r="AW8" t="s">
        <v>0</v>
      </c>
      <c r="AX8" s="45">
        <v>2.44</v>
      </c>
      <c r="AY8" t="s">
        <v>14</v>
      </c>
      <c r="AZ8" t="s">
        <v>4</v>
      </c>
      <c r="BA8" t="s">
        <v>13</v>
      </c>
      <c r="BI8" t="s">
        <v>0</v>
      </c>
      <c r="BJ8" s="45">
        <v>2.44</v>
      </c>
      <c r="BK8" t="s">
        <v>14</v>
      </c>
      <c r="BL8" t="s">
        <v>4</v>
      </c>
      <c r="BM8" t="s">
        <v>13</v>
      </c>
    </row>
    <row r="9" spans="1:71" x14ac:dyDescent="0.25">
      <c r="A9" t="s">
        <v>67</v>
      </c>
      <c r="B9" s="14" cm="1">
        <f t="array" aca="1" ref="B9" ca="1">_xll.RiskNormal(B7,B8)</f>
        <v>-0.72101858824647413</v>
      </c>
      <c r="C9" t="s">
        <v>14</v>
      </c>
      <c r="D9" t="s">
        <v>30</v>
      </c>
      <c r="E9" t="s">
        <v>15</v>
      </c>
      <c r="M9" t="s">
        <v>67</v>
      </c>
      <c r="N9" s="14">
        <f ca="1">B9</f>
        <v>-0.72101858824647413</v>
      </c>
      <c r="O9" t="s">
        <v>14</v>
      </c>
      <c r="P9" t="s">
        <v>30</v>
      </c>
      <c r="Q9" t="s">
        <v>15</v>
      </c>
      <c r="Y9" t="s">
        <v>67</v>
      </c>
      <c r="Z9" s="14">
        <f ca="1">N9</f>
        <v>-0.72101858824647413</v>
      </c>
      <c r="AA9" t="s">
        <v>14</v>
      </c>
      <c r="AB9" t="s">
        <v>30</v>
      </c>
      <c r="AC9" t="s">
        <v>15</v>
      </c>
      <c r="AK9" t="s">
        <v>67</v>
      </c>
      <c r="AL9" s="14" cm="1">
        <f t="array" aca="1" ref="AL9" ca="1">_xll.RiskNormal(AL7,AL8)</f>
        <v>-4.7655131852693069</v>
      </c>
      <c r="AM9" t="s">
        <v>14</v>
      </c>
      <c r="AN9" t="s">
        <v>30</v>
      </c>
      <c r="AO9" t="s">
        <v>15</v>
      </c>
      <c r="AW9" t="s">
        <v>67</v>
      </c>
      <c r="AX9" s="14">
        <f ca="1">AL9</f>
        <v>-4.7655131852693069</v>
      </c>
      <c r="AY9" t="s">
        <v>14</v>
      </c>
      <c r="AZ9" t="s">
        <v>30</v>
      </c>
      <c r="BA9" t="s">
        <v>15</v>
      </c>
      <c r="BI9" t="s">
        <v>67</v>
      </c>
      <c r="BJ9" s="14">
        <f ca="1">AX9</f>
        <v>-4.7655131852693069</v>
      </c>
      <c r="BK9" t="s">
        <v>14</v>
      </c>
      <c r="BL9" t="s">
        <v>30</v>
      </c>
      <c r="BM9" t="s">
        <v>15</v>
      </c>
    </row>
    <row r="10" spans="1:71" ht="15.75" x14ac:dyDescent="0.25">
      <c r="A10" s="1" t="s">
        <v>76</v>
      </c>
      <c r="B10" s="64"/>
      <c r="C10" s="2"/>
      <c r="D10" s="2"/>
      <c r="E10" s="2"/>
      <c r="F10" s="2"/>
      <c r="G10" s="2"/>
      <c r="H10" s="2"/>
      <c r="I10" s="2"/>
      <c r="J10" s="2"/>
      <c r="K10" s="2"/>
      <c r="M10" s="1" t="s">
        <v>76</v>
      </c>
      <c r="N10" s="64"/>
      <c r="O10" s="2"/>
      <c r="P10" s="2"/>
      <c r="Q10" s="2"/>
      <c r="R10" s="2"/>
      <c r="S10" s="2"/>
      <c r="T10" s="2"/>
      <c r="U10" s="2"/>
      <c r="V10" s="2"/>
      <c r="W10" s="2"/>
      <c r="Y10" s="1" t="s">
        <v>76</v>
      </c>
      <c r="Z10" s="64"/>
      <c r="AA10" s="2"/>
      <c r="AB10" s="2"/>
      <c r="AC10" s="2"/>
      <c r="AD10" s="2"/>
      <c r="AE10" s="2"/>
      <c r="AF10" s="2"/>
      <c r="AG10" s="2"/>
      <c r="AH10" s="2"/>
      <c r="AI10" s="2"/>
      <c r="AK10" s="1" t="s">
        <v>76</v>
      </c>
      <c r="AL10" s="64"/>
      <c r="AM10" s="2"/>
      <c r="AN10" s="2"/>
      <c r="AO10" s="2"/>
      <c r="AP10" s="2"/>
      <c r="AQ10" s="2"/>
      <c r="AR10" s="2"/>
      <c r="AS10" s="2"/>
      <c r="AT10" s="2"/>
      <c r="AU10" s="2"/>
      <c r="AW10" s="1" t="s">
        <v>76</v>
      </c>
      <c r="AX10" s="64"/>
      <c r="AY10" s="2"/>
      <c r="AZ10" s="2"/>
      <c r="BA10" s="2"/>
      <c r="BB10" s="2"/>
      <c r="BC10" s="2"/>
      <c r="BD10" s="2"/>
      <c r="BE10" s="2"/>
      <c r="BF10" s="2"/>
      <c r="BG10" s="2"/>
      <c r="BI10" s="1" t="s">
        <v>76</v>
      </c>
      <c r="BJ10" s="64"/>
      <c r="BK10" s="2"/>
      <c r="BL10" s="2"/>
      <c r="BM10" s="2"/>
      <c r="BN10" s="2"/>
      <c r="BO10" s="2"/>
      <c r="BP10" s="2"/>
      <c r="BQ10" s="2"/>
      <c r="BR10" s="2"/>
      <c r="BS10" s="2"/>
    </row>
    <row r="11" spans="1:71" ht="15.75" x14ac:dyDescent="0.25">
      <c r="A11" s="65" t="s">
        <v>77</v>
      </c>
      <c r="B11" s="6" t="s">
        <v>78</v>
      </c>
      <c r="C11" t="s">
        <v>79</v>
      </c>
      <c r="M11" s="65" t="s">
        <v>77</v>
      </c>
      <c r="N11" s="6" t="s">
        <v>78</v>
      </c>
      <c r="O11" t="s">
        <v>79</v>
      </c>
      <c r="Y11" s="65" t="s">
        <v>77</v>
      </c>
      <c r="Z11" s="6" t="s">
        <v>78</v>
      </c>
      <c r="AA11" t="s">
        <v>79</v>
      </c>
      <c r="AK11" s="65" t="s">
        <v>77</v>
      </c>
      <c r="AL11" s="6" t="s">
        <v>78</v>
      </c>
      <c r="AM11" t="s">
        <v>79</v>
      </c>
      <c r="AW11" s="65" t="s">
        <v>77</v>
      </c>
      <c r="AX11" s="6" t="s">
        <v>78</v>
      </c>
      <c r="AY11" t="s">
        <v>79</v>
      </c>
      <c r="BI11" s="65" t="s">
        <v>77</v>
      </c>
      <c r="BJ11" s="6" t="s">
        <v>78</v>
      </c>
      <c r="BK11" t="s">
        <v>79</v>
      </c>
    </row>
    <row r="12" spans="1:71" x14ac:dyDescent="0.25">
      <c r="A12" t="s">
        <v>80</v>
      </c>
      <c r="B12" s="66">
        <v>8.5099999999999995E-2</v>
      </c>
      <c r="C12" s="67">
        <f>SUM(B12:B12)</f>
        <v>8.5099999999999995E-2</v>
      </c>
      <c r="D12" t="s">
        <v>4</v>
      </c>
      <c r="E12" t="s">
        <v>81</v>
      </c>
      <c r="I12" t="s">
        <v>80</v>
      </c>
      <c r="M12" t="s">
        <v>80</v>
      </c>
      <c r="N12" s="66">
        <v>8.5099999999999995E-2</v>
      </c>
      <c r="O12" s="67">
        <f>SUM(N12:N12)</f>
        <v>8.5099999999999995E-2</v>
      </c>
      <c r="P12" t="s">
        <v>4</v>
      </c>
      <c r="Q12" t="s">
        <v>81</v>
      </c>
      <c r="U12" t="s">
        <v>80</v>
      </c>
      <c r="Y12" t="s">
        <v>80</v>
      </c>
      <c r="Z12" s="66">
        <v>8.5099999999999995E-2</v>
      </c>
      <c r="AA12" s="67">
        <f>SUM(Z12:Z12)</f>
        <v>8.5099999999999995E-2</v>
      </c>
      <c r="AB12" t="s">
        <v>4</v>
      </c>
      <c r="AC12" t="s">
        <v>81</v>
      </c>
      <c r="AG12" t="s">
        <v>80</v>
      </c>
      <c r="AK12" t="s">
        <v>80</v>
      </c>
      <c r="AL12" s="66">
        <v>8.5099999999999995E-2</v>
      </c>
      <c r="AM12" s="67">
        <f>SUM(AL12:AL12)</f>
        <v>8.5099999999999995E-2</v>
      </c>
      <c r="AN12" t="s">
        <v>4</v>
      </c>
      <c r="AO12" t="s">
        <v>81</v>
      </c>
      <c r="AS12" t="s">
        <v>80</v>
      </c>
      <c r="AW12" t="s">
        <v>80</v>
      </c>
      <c r="AX12" s="66">
        <v>8.5099999999999995E-2</v>
      </c>
      <c r="AY12" s="67">
        <f>SUM(AX12:AX12)</f>
        <v>8.5099999999999995E-2</v>
      </c>
      <c r="AZ12" t="s">
        <v>4</v>
      </c>
      <c r="BA12" t="s">
        <v>81</v>
      </c>
      <c r="BE12" t="s">
        <v>80</v>
      </c>
      <c r="BI12" t="s">
        <v>80</v>
      </c>
      <c r="BJ12" s="66">
        <v>8.5099999999999995E-2</v>
      </c>
      <c r="BK12" s="67">
        <f>SUM(BJ12:BJ12)</f>
        <v>8.5099999999999995E-2</v>
      </c>
      <c r="BL12" t="s">
        <v>4</v>
      </c>
      <c r="BM12" t="s">
        <v>81</v>
      </c>
      <c r="BQ12" t="s">
        <v>80</v>
      </c>
    </row>
    <row r="13" spans="1:71" x14ac:dyDescent="0.25">
      <c r="A13" t="s">
        <v>82</v>
      </c>
      <c r="B13" s="66">
        <v>0.24</v>
      </c>
      <c r="C13" s="67">
        <f>SUM(B12:B13)</f>
        <v>0.3251</v>
      </c>
      <c r="D13" t="s">
        <v>4</v>
      </c>
      <c r="E13" t="s">
        <v>81</v>
      </c>
      <c r="I13" t="s">
        <v>90</v>
      </c>
      <c r="M13" t="s">
        <v>82</v>
      </c>
      <c r="N13" s="66">
        <v>0.24</v>
      </c>
      <c r="O13" s="67">
        <f>SUM(N12:N13)</f>
        <v>0.3251</v>
      </c>
      <c r="P13" t="s">
        <v>4</v>
      </c>
      <c r="Q13" t="s">
        <v>81</v>
      </c>
      <c r="U13" t="s">
        <v>90</v>
      </c>
      <c r="Y13" t="s">
        <v>82</v>
      </c>
      <c r="Z13" s="66">
        <v>0.24</v>
      </c>
      <c r="AA13" s="67">
        <f>SUM(Z12:Z13)</f>
        <v>0.3251</v>
      </c>
      <c r="AB13" t="s">
        <v>4</v>
      </c>
      <c r="AC13" t="s">
        <v>81</v>
      </c>
      <c r="AG13" t="s">
        <v>90</v>
      </c>
      <c r="AK13" t="s">
        <v>82</v>
      </c>
      <c r="AL13" s="66">
        <v>0.24</v>
      </c>
      <c r="AM13" s="67">
        <f>SUM(AL12:AL13)</f>
        <v>0.3251</v>
      </c>
      <c r="AN13" t="s">
        <v>4</v>
      </c>
      <c r="AO13" t="s">
        <v>81</v>
      </c>
      <c r="AS13" t="s">
        <v>90</v>
      </c>
      <c r="AW13" t="s">
        <v>82</v>
      </c>
      <c r="AX13" s="66">
        <v>0.24</v>
      </c>
      <c r="AY13" s="67">
        <f>SUM(AX12:AX13)</f>
        <v>0.3251</v>
      </c>
      <c r="AZ13" t="s">
        <v>4</v>
      </c>
      <c r="BA13" t="s">
        <v>81</v>
      </c>
      <c r="BE13" t="s">
        <v>90</v>
      </c>
      <c r="BI13" t="s">
        <v>82</v>
      </c>
      <c r="BJ13" s="66">
        <v>0.24</v>
      </c>
      <c r="BK13" s="67">
        <f>SUM(BJ12:BJ13)</f>
        <v>0.3251</v>
      </c>
      <c r="BL13" t="s">
        <v>4</v>
      </c>
      <c r="BM13" t="s">
        <v>81</v>
      </c>
      <c r="BQ13" t="s">
        <v>90</v>
      </c>
    </row>
    <row r="14" spans="1:71" x14ac:dyDescent="0.25">
      <c r="A14" t="s">
        <v>83</v>
      </c>
      <c r="B14" s="66">
        <v>2.98E-2</v>
      </c>
      <c r="C14" s="67">
        <f>SUM(B12:B14)</f>
        <v>0.35489999999999999</v>
      </c>
      <c r="D14" t="s">
        <v>4</v>
      </c>
      <c r="E14" t="s">
        <v>81</v>
      </c>
      <c r="I14" t="s">
        <v>91</v>
      </c>
      <c r="M14" t="s">
        <v>83</v>
      </c>
      <c r="N14" s="66">
        <v>2.98E-2</v>
      </c>
      <c r="O14" s="67">
        <f>SUM(N12:N14)</f>
        <v>0.35489999999999999</v>
      </c>
      <c r="P14" t="s">
        <v>4</v>
      </c>
      <c r="Q14" t="s">
        <v>81</v>
      </c>
      <c r="U14" t="s">
        <v>91</v>
      </c>
      <c r="Y14" t="s">
        <v>83</v>
      </c>
      <c r="Z14" s="66">
        <v>2.98E-2</v>
      </c>
      <c r="AA14" s="67">
        <f>SUM(Z12:Z14)</f>
        <v>0.35489999999999999</v>
      </c>
      <c r="AB14" t="s">
        <v>4</v>
      </c>
      <c r="AC14" t="s">
        <v>81</v>
      </c>
      <c r="AG14" t="s">
        <v>91</v>
      </c>
      <c r="AK14" t="s">
        <v>83</v>
      </c>
      <c r="AL14" s="66">
        <v>2.98E-2</v>
      </c>
      <c r="AM14" s="67">
        <f>SUM(AL12:AL14)</f>
        <v>0.35489999999999999</v>
      </c>
      <c r="AN14" t="s">
        <v>4</v>
      </c>
      <c r="AO14" t="s">
        <v>81</v>
      </c>
      <c r="AS14" t="s">
        <v>91</v>
      </c>
      <c r="AW14" t="s">
        <v>83</v>
      </c>
      <c r="AX14" s="66">
        <v>2.98E-2</v>
      </c>
      <c r="AY14" s="67">
        <f>SUM(AX12:AX14)</f>
        <v>0.35489999999999999</v>
      </c>
      <c r="AZ14" t="s">
        <v>4</v>
      </c>
      <c r="BA14" t="s">
        <v>81</v>
      </c>
      <c r="BE14" t="s">
        <v>91</v>
      </c>
      <c r="BI14" t="s">
        <v>83</v>
      </c>
      <c r="BJ14" s="66">
        <v>2.98E-2</v>
      </c>
      <c r="BK14" s="67">
        <f>SUM(BJ12:BJ14)</f>
        <v>0.35489999999999999</v>
      </c>
      <c r="BL14" t="s">
        <v>4</v>
      </c>
      <c r="BM14" t="s">
        <v>81</v>
      </c>
      <c r="BQ14" t="s">
        <v>91</v>
      </c>
    </row>
    <row r="15" spans="1:71" x14ac:dyDescent="0.25">
      <c r="A15" t="s">
        <v>84</v>
      </c>
      <c r="B15" s="66">
        <v>8.3400000000000002E-3</v>
      </c>
      <c r="C15" s="67">
        <f>SUM(B12:B15)</f>
        <v>0.36324000000000001</v>
      </c>
      <c r="D15" t="s">
        <v>4</v>
      </c>
      <c r="E15" t="s">
        <v>81</v>
      </c>
      <c r="I15" t="s">
        <v>84</v>
      </c>
      <c r="M15" t="s">
        <v>84</v>
      </c>
      <c r="N15" s="66">
        <v>8.3400000000000002E-3</v>
      </c>
      <c r="O15" s="67">
        <f>SUM(N12:N15)</f>
        <v>0.36324000000000001</v>
      </c>
      <c r="P15" t="s">
        <v>4</v>
      </c>
      <c r="Q15" t="s">
        <v>81</v>
      </c>
      <c r="U15" t="s">
        <v>84</v>
      </c>
      <c r="Y15" t="s">
        <v>84</v>
      </c>
      <c r="Z15" s="66">
        <v>8.3400000000000002E-3</v>
      </c>
      <c r="AA15" s="67">
        <f>SUM(Z12:Z15)</f>
        <v>0.36324000000000001</v>
      </c>
      <c r="AB15" t="s">
        <v>4</v>
      </c>
      <c r="AC15" t="s">
        <v>81</v>
      </c>
      <c r="AG15" t="s">
        <v>84</v>
      </c>
      <c r="AK15" t="s">
        <v>84</v>
      </c>
      <c r="AL15" s="66">
        <v>8.3400000000000002E-3</v>
      </c>
      <c r="AM15" s="67">
        <f>SUM(AL12:AL15)</f>
        <v>0.36324000000000001</v>
      </c>
      <c r="AN15" t="s">
        <v>4</v>
      </c>
      <c r="AO15" t="s">
        <v>81</v>
      </c>
      <c r="AS15" t="s">
        <v>84</v>
      </c>
      <c r="AW15" t="s">
        <v>84</v>
      </c>
      <c r="AX15" s="66">
        <v>8.3400000000000002E-3</v>
      </c>
      <c r="AY15" s="67">
        <f>SUM(AX12:AX15)</f>
        <v>0.36324000000000001</v>
      </c>
      <c r="AZ15" t="s">
        <v>4</v>
      </c>
      <c r="BA15" t="s">
        <v>81</v>
      </c>
      <c r="BE15" t="s">
        <v>84</v>
      </c>
      <c r="BI15" t="s">
        <v>84</v>
      </c>
      <c r="BJ15" s="66">
        <v>8.3400000000000002E-3</v>
      </c>
      <c r="BK15" s="67">
        <f>SUM(BJ12:BJ15)</f>
        <v>0.36324000000000001</v>
      </c>
      <c r="BL15" t="s">
        <v>4</v>
      </c>
      <c r="BM15" t="s">
        <v>81</v>
      </c>
      <c r="BQ15" t="s">
        <v>84</v>
      </c>
    </row>
    <row r="16" spans="1:71" x14ac:dyDescent="0.25">
      <c r="A16" t="s">
        <v>85</v>
      </c>
      <c r="B16" s="66">
        <v>0.29199999999999998</v>
      </c>
      <c r="C16" s="67">
        <f>SUM(B12:B16)</f>
        <v>0.65524000000000004</v>
      </c>
      <c r="D16" t="s">
        <v>4</v>
      </c>
      <c r="E16" t="s">
        <v>81</v>
      </c>
      <c r="I16" t="s">
        <v>85</v>
      </c>
      <c r="M16" t="s">
        <v>85</v>
      </c>
      <c r="N16" s="66">
        <v>0.29199999999999998</v>
      </c>
      <c r="O16" s="67">
        <f>SUM(N12:N16)</f>
        <v>0.65524000000000004</v>
      </c>
      <c r="P16" t="s">
        <v>4</v>
      </c>
      <c r="Q16" t="s">
        <v>81</v>
      </c>
      <c r="U16" t="s">
        <v>85</v>
      </c>
      <c r="Y16" t="s">
        <v>85</v>
      </c>
      <c r="Z16" s="66">
        <v>0.29199999999999998</v>
      </c>
      <c r="AA16" s="67">
        <f>SUM(Z12:Z16)</f>
        <v>0.65524000000000004</v>
      </c>
      <c r="AB16" t="s">
        <v>4</v>
      </c>
      <c r="AC16" t="s">
        <v>81</v>
      </c>
      <c r="AG16" t="s">
        <v>85</v>
      </c>
      <c r="AK16" t="s">
        <v>85</v>
      </c>
      <c r="AL16" s="66">
        <v>0.29199999999999998</v>
      </c>
      <c r="AM16" s="67">
        <f>SUM(AL12:AL16)</f>
        <v>0.65524000000000004</v>
      </c>
      <c r="AN16" t="s">
        <v>4</v>
      </c>
      <c r="AO16" t="s">
        <v>81</v>
      </c>
      <c r="AS16" t="s">
        <v>85</v>
      </c>
      <c r="AW16" t="s">
        <v>85</v>
      </c>
      <c r="AX16" s="66">
        <v>0.29199999999999998</v>
      </c>
      <c r="AY16" s="67">
        <f>SUM(AX12:AX16)</f>
        <v>0.65524000000000004</v>
      </c>
      <c r="AZ16" t="s">
        <v>4</v>
      </c>
      <c r="BA16" t="s">
        <v>81</v>
      </c>
      <c r="BE16" t="s">
        <v>85</v>
      </c>
      <c r="BI16" t="s">
        <v>85</v>
      </c>
      <c r="BJ16" s="66">
        <v>0.29199999999999998</v>
      </c>
      <c r="BK16" s="67">
        <f>SUM(BJ12:BJ16)</f>
        <v>0.65524000000000004</v>
      </c>
      <c r="BL16" t="s">
        <v>4</v>
      </c>
      <c r="BM16" t="s">
        <v>81</v>
      </c>
      <c r="BQ16" t="s">
        <v>85</v>
      </c>
    </row>
    <row r="17" spans="1:71" x14ac:dyDescent="0.25">
      <c r="A17" t="s">
        <v>86</v>
      </c>
      <c r="B17" s="66">
        <v>0.187</v>
      </c>
      <c r="C17" s="67">
        <f>SUM(B12:B17)</f>
        <v>0.8422400000000001</v>
      </c>
      <c r="D17" t="s">
        <v>4</v>
      </c>
      <c r="E17" t="s">
        <v>81</v>
      </c>
      <c r="I17" t="s">
        <v>86</v>
      </c>
      <c r="M17" t="s">
        <v>86</v>
      </c>
      <c r="N17" s="66">
        <v>0.187</v>
      </c>
      <c r="O17" s="67">
        <f>SUM(N12:N17)</f>
        <v>0.8422400000000001</v>
      </c>
      <c r="P17" t="s">
        <v>4</v>
      </c>
      <c r="Q17" t="s">
        <v>81</v>
      </c>
      <c r="U17" t="s">
        <v>86</v>
      </c>
      <c r="Y17" t="s">
        <v>86</v>
      </c>
      <c r="Z17" s="66">
        <v>0.187</v>
      </c>
      <c r="AA17" s="67">
        <f>SUM(Z12:Z17)</f>
        <v>0.8422400000000001</v>
      </c>
      <c r="AB17" t="s">
        <v>4</v>
      </c>
      <c r="AC17" t="s">
        <v>81</v>
      </c>
      <c r="AG17" t="s">
        <v>86</v>
      </c>
      <c r="AK17" t="s">
        <v>86</v>
      </c>
      <c r="AL17" s="66">
        <v>0.187</v>
      </c>
      <c r="AM17" s="67">
        <f>SUM(AL12:AL17)</f>
        <v>0.8422400000000001</v>
      </c>
      <c r="AN17" t="s">
        <v>4</v>
      </c>
      <c r="AO17" t="s">
        <v>81</v>
      </c>
      <c r="AS17" t="s">
        <v>86</v>
      </c>
      <c r="AW17" t="s">
        <v>86</v>
      </c>
      <c r="AX17" s="66">
        <v>0.187</v>
      </c>
      <c r="AY17" s="67">
        <f>SUM(AX12:AX17)</f>
        <v>0.8422400000000001</v>
      </c>
      <c r="AZ17" t="s">
        <v>4</v>
      </c>
      <c r="BA17" t="s">
        <v>81</v>
      </c>
      <c r="BE17" t="s">
        <v>86</v>
      </c>
      <c r="BI17" t="s">
        <v>86</v>
      </c>
      <c r="BJ17" s="66">
        <v>0.187</v>
      </c>
      <c r="BK17" s="67">
        <f>SUM(BJ12:BJ17)</f>
        <v>0.8422400000000001</v>
      </c>
      <c r="BL17" t="s">
        <v>4</v>
      </c>
      <c r="BM17" t="s">
        <v>81</v>
      </c>
      <c r="BQ17" t="s">
        <v>86</v>
      </c>
    </row>
    <row r="18" spans="1:71" x14ac:dyDescent="0.25">
      <c r="A18" t="s">
        <v>87</v>
      </c>
      <c r="B18" s="66">
        <f>1-(SUM(B12:B17))</f>
        <v>0.1577599999999999</v>
      </c>
      <c r="C18" s="67">
        <f>SUM(B12:B18)</f>
        <v>1</v>
      </c>
      <c r="D18" t="s">
        <v>4</v>
      </c>
      <c r="E18" t="s">
        <v>81</v>
      </c>
      <c r="I18" t="s">
        <v>87</v>
      </c>
      <c r="M18" t="s">
        <v>87</v>
      </c>
      <c r="N18" s="66">
        <f>1-(SUM(N12:N17))</f>
        <v>0.1577599999999999</v>
      </c>
      <c r="O18" s="67">
        <f>SUM(N12:N18)</f>
        <v>1</v>
      </c>
      <c r="P18" t="s">
        <v>4</v>
      </c>
      <c r="Q18" t="s">
        <v>81</v>
      </c>
      <c r="U18" t="s">
        <v>87</v>
      </c>
      <c r="Y18" t="s">
        <v>87</v>
      </c>
      <c r="Z18" s="66">
        <f>1-(SUM(Z12:Z17))</f>
        <v>0.1577599999999999</v>
      </c>
      <c r="AA18" s="67">
        <f>SUM(Z12:Z18)</f>
        <v>1</v>
      </c>
      <c r="AB18" t="s">
        <v>4</v>
      </c>
      <c r="AC18" t="s">
        <v>81</v>
      </c>
      <c r="AG18" t="s">
        <v>87</v>
      </c>
      <c r="AK18" t="s">
        <v>87</v>
      </c>
      <c r="AL18" s="66">
        <f>1-(SUM(AL12:AL17))</f>
        <v>0.1577599999999999</v>
      </c>
      <c r="AM18" s="67">
        <f>SUM(AL12:AL18)</f>
        <v>1</v>
      </c>
      <c r="AN18" t="s">
        <v>4</v>
      </c>
      <c r="AO18" t="s">
        <v>81</v>
      </c>
      <c r="AS18" t="s">
        <v>87</v>
      </c>
      <c r="AW18" t="s">
        <v>87</v>
      </c>
      <c r="AX18" s="66">
        <f>1-(SUM(AX12:AX17))</f>
        <v>0.1577599999999999</v>
      </c>
      <c r="AY18" s="67">
        <f>SUM(AX12:AX18)</f>
        <v>1</v>
      </c>
      <c r="AZ18" t="s">
        <v>4</v>
      </c>
      <c r="BA18" t="s">
        <v>81</v>
      </c>
      <c r="BE18" t="s">
        <v>87</v>
      </c>
      <c r="BI18" t="s">
        <v>87</v>
      </c>
      <c r="BJ18" s="66">
        <f>1-(SUM(BJ12:BJ17))</f>
        <v>0.1577599999999999</v>
      </c>
      <c r="BK18" s="67">
        <f>SUM(BJ12:BJ18)</f>
        <v>1</v>
      </c>
      <c r="BL18" t="s">
        <v>4</v>
      </c>
      <c r="BM18" t="s">
        <v>81</v>
      </c>
      <c r="BQ18" t="s">
        <v>87</v>
      </c>
    </row>
    <row r="19" spans="1:71" x14ac:dyDescent="0.25">
      <c r="A19" t="s">
        <v>88</v>
      </c>
      <c r="B19" s="68">
        <f ca="1">RAND()</f>
        <v>0.98623549902785401</v>
      </c>
      <c r="C19" s="67"/>
      <c r="M19" t="s">
        <v>88</v>
      </c>
      <c r="N19" s="68">
        <f ca="1">B19</f>
        <v>0.98623549902785401</v>
      </c>
      <c r="O19" s="67"/>
      <c r="Y19" t="s">
        <v>88</v>
      </c>
      <c r="Z19" s="68">
        <f ca="1">N19</f>
        <v>0.98623549902785401</v>
      </c>
      <c r="AA19" s="67"/>
      <c r="AK19" t="s">
        <v>88</v>
      </c>
      <c r="AL19" s="68">
        <f ca="1">Z19</f>
        <v>0.98623549902785401</v>
      </c>
      <c r="AM19" s="67"/>
      <c r="AW19" t="s">
        <v>88</v>
      </c>
      <c r="AX19" s="68">
        <f ca="1">AL19</f>
        <v>0.98623549902785401</v>
      </c>
      <c r="AY19" s="67"/>
      <c r="BI19" t="s">
        <v>88</v>
      </c>
      <c r="BJ19" s="68">
        <f ca="1">AX19</f>
        <v>0.98623549902785401</v>
      </c>
      <c r="BK19" s="67"/>
    </row>
    <row r="20" spans="1:71" x14ac:dyDescent="0.25">
      <c r="A20" t="s">
        <v>89</v>
      </c>
      <c r="B20" s="6" t="str" cm="1">
        <f t="array" aca="1" ref="B20" ca="1">INDEX(A12:A18,COUNTIF(C12:C18,"&lt;="&amp;B19)+1)</f>
        <v>Other serotypes</v>
      </c>
      <c r="C20" t="s">
        <v>77</v>
      </c>
      <c r="M20" t="s">
        <v>89</v>
      </c>
      <c r="N20" s="6" t="str" cm="1">
        <f t="array" aca="1" ref="N20" ca="1">INDEX(M12:M18,COUNTIF(O12:O18,"&lt;="&amp;N19)+1)</f>
        <v>Other serotypes</v>
      </c>
      <c r="O20" t="s">
        <v>77</v>
      </c>
      <c r="Y20" t="s">
        <v>89</v>
      </c>
      <c r="Z20" s="6" t="str" cm="1">
        <f t="array" aca="1" ref="Z20" ca="1">INDEX(Y12:Y18,COUNTIF(AA12:AA18,"&lt;="&amp;Z19)+1)</f>
        <v>Other serotypes</v>
      </c>
      <c r="AA20" t="s">
        <v>77</v>
      </c>
      <c r="AK20" t="s">
        <v>89</v>
      </c>
      <c r="AL20" s="6" t="str" cm="1">
        <f t="array" aca="1" ref="AL20" ca="1">INDEX(AK12:AK18,COUNTIF(AM12:AM18,"&lt;="&amp;AL19)+1)</f>
        <v>Other serotypes</v>
      </c>
      <c r="AM20" t="s">
        <v>77</v>
      </c>
      <c r="AW20" t="s">
        <v>89</v>
      </c>
      <c r="AX20" s="6" t="str" cm="1">
        <f t="array" aca="1" ref="AX20" ca="1">INDEX(AW12:AW18,COUNTIF(AY12:AY18,"&lt;="&amp;AX19)+1)</f>
        <v>Other serotypes</v>
      </c>
      <c r="AY20" t="s">
        <v>77</v>
      </c>
      <c r="BI20" t="s">
        <v>89</v>
      </c>
      <c r="BJ20" s="6" t="str" cm="1">
        <f t="array" aca="1" ref="BJ20" ca="1">INDEX(BI12:BI18,COUNTIF(BK12:BK18,"&lt;="&amp;BJ19)+1)</f>
        <v>Other serotypes</v>
      </c>
      <c r="BK20" t="s">
        <v>77</v>
      </c>
    </row>
    <row r="21" spans="1:71" ht="18" customHeight="1" x14ac:dyDescent="0.3">
      <c r="A21" s="21" t="s">
        <v>19</v>
      </c>
      <c r="B21" s="21"/>
      <c r="C21" s="21"/>
      <c r="D21" s="21"/>
      <c r="E21" s="21"/>
      <c r="F21" s="28"/>
      <c r="G21" s="28"/>
      <c r="H21" s="28"/>
      <c r="I21" s="28"/>
      <c r="J21" s="28"/>
      <c r="K21" s="28"/>
      <c r="M21" s="21" t="s">
        <v>19</v>
      </c>
      <c r="N21" s="21"/>
      <c r="O21" s="21"/>
      <c r="P21" s="21"/>
      <c r="Q21" s="21"/>
      <c r="R21" s="28"/>
      <c r="S21" s="28"/>
      <c r="T21" s="28"/>
      <c r="U21" s="28"/>
      <c r="V21" s="28"/>
      <c r="W21" s="28"/>
      <c r="Y21" s="21" t="s">
        <v>19</v>
      </c>
      <c r="Z21" s="21"/>
      <c r="AA21" s="21"/>
      <c r="AB21" s="21"/>
      <c r="AC21" s="21"/>
      <c r="AD21" s="28"/>
      <c r="AE21" s="28"/>
      <c r="AF21" s="28"/>
      <c r="AG21" s="28"/>
      <c r="AH21" s="28"/>
      <c r="AI21" s="28"/>
      <c r="AK21" s="21" t="s">
        <v>19</v>
      </c>
      <c r="AL21" s="21"/>
      <c r="AM21" s="21"/>
      <c r="AN21" s="21"/>
      <c r="AO21" s="21"/>
      <c r="AP21" s="28"/>
      <c r="AQ21" s="28"/>
      <c r="AR21" s="28"/>
      <c r="AS21" s="28"/>
      <c r="AT21" s="28"/>
      <c r="AU21" s="28"/>
      <c r="AW21" s="21" t="s">
        <v>19</v>
      </c>
      <c r="AX21" s="21"/>
      <c r="AY21" s="21"/>
      <c r="AZ21" s="21"/>
      <c r="BA21" s="21"/>
      <c r="BB21" s="28"/>
      <c r="BC21" s="28"/>
      <c r="BD21" s="28"/>
      <c r="BE21" s="28"/>
      <c r="BF21" s="28"/>
      <c r="BG21" s="28"/>
      <c r="BI21" s="21" t="s">
        <v>19</v>
      </c>
      <c r="BJ21" s="21"/>
      <c r="BK21" s="21"/>
      <c r="BL21" s="21"/>
      <c r="BM21" s="21"/>
      <c r="BN21" s="28"/>
      <c r="BO21" s="28"/>
      <c r="BP21" s="28"/>
      <c r="BQ21" s="28"/>
      <c r="BR21" s="28"/>
      <c r="BS21" s="28"/>
    </row>
    <row r="22" spans="1:71" ht="18" customHeight="1" x14ac:dyDescent="0.3">
      <c r="A22" s="71" t="s">
        <v>92</v>
      </c>
      <c r="B22" s="72"/>
      <c r="C22" s="72"/>
      <c r="D22" s="72"/>
      <c r="E22" s="72"/>
      <c r="F22" s="73"/>
      <c r="G22" s="73"/>
      <c r="H22" s="73"/>
      <c r="I22" s="73"/>
      <c r="J22" s="73"/>
      <c r="K22" s="73"/>
      <c r="M22" s="71" t="s">
        <v>92</v>
      </c>
      <c r="N22" s="72"/>
      <c r="O22" s="72"/>
      <c r="P22" s="72"/>
      <c r="Q22" s="72"/>
      <c r="R22" s="73"/>
      <c r="S22" s="73"/>
      <c r="T22" s="73"/>
      <c r="U22" s="73"/>
      <c r="V22" s="73"/>
      <c r="W22" s="73"/>
      <c r="Y22" s="71" t="s">
        <v>92</v>
      </c>
      <c r="Z22" s="72"/>
      <c r="AA22" s="72"/>
      <c r="AB22" s="72"/>
      <c r="AC22" s="72"/>
      <c r="AD22" s="73"/>
      <c r="AE22" s="73"/>
      <c r="AF22" s="73"/>
      <c r="AG22" s="73"/>
      <c r="AH22" s="73"/>
      <c r="AI22" s="73"/>
      <c r="AK22" s="71" t="s">
        <v>92</v>
      </c>
      <c r="AL22" s="72"/>
      <c r="AM22" s="72"/>
      <c r="AN22" s="72"/>
      <c r="AO22" s="72"/>
      <c r="AP22" s="73"/>
      <c r="AQ22" s="73"/>
      <c r="AR22" s="73"/>
      <c r="AS22" s="73"/>
      <c r="AT22" s="73"/>
      <c r="AU22" s="73"/>
      <c r="AW22" s="71" t="s">
        <v>92</v>
      </c>
      <c r="AX22" s="72"/>
      <c r="AY22" s="72"/>
      <c r="AZ22" s="72"/>
      <c r="BA22" s="72"/>
      <c r="BB22" s="73"/>
      <c r="BC22" s="73"/>
      <c r="BD22" s="73"/>
      <c r="BE22" s="73"/>
      <c r="BF22" s="73"/>
      <c r="BG22" s="73"/>
      <c r="BI22" s="71" t="s">
        <v>92</v>
      </c>
      <c r="BJ22" s="72"/>
      <c r="BK22" s="72"/>
      <c r="BL22" s="72"/>
      <c r="BM22" s="72"/>
      <c r="BN22" s="73"/>
      <c r="BO22" s="73"/>
      <c r="BP22" s="73"/>
      <c r="BQ22" s="73"/>
      <c r="BR22" s="73"/>
      <c r="BS22" s="73"/>
    </row>
    <row r="23" spans="1:71" x14ac:dyDescent="0.25">
      <c r="A23" t="s">
        <v>29</v>
      </c>
      <c r="B23" s="15">
        <f ca="1">10^(B9)</f>
        <v>0.19009969135765648</v>
      </c>
      <c r="C23" t="s">
        <v>3</v>
      </c>
      <c r="M23" t="s">
        <v>29</v>
      </c>
      <c r="N23" s="15">
        <f ca="1">10^(N9)</f>
        <v>0.19009969135765648</v>
      </c>
      <c r="O23" t="s">
        <v>3</v>
      </c>
      <c r="Y23" t="s">
        <v>29</v>
      </c>
      <c r="Z23" s="15">
        <f ca="1">10^(Z9)</f>
        <v>0.19009969135765648</v>
      </c>
      <c r="AA23" t="s">
        <v>3</v>
      </c>
      <c r="AK23" t="s">
        <v>29</v>
      </c>
      <c r="AL23" s="115">
        <f ca="1">10^(AL9)</f>
        <v>1.7158796148740898E-5</v>
      </c>
      <c r="AM23" t="s">
        <v>3</v>
      </c>
      <c r="AW23" t="s">
        <v>29</v>
      </c>
      <c r="AX23" s="15">
        <f ca="1">10^(AX9)</f>
        <v>1.7158796148740898E-5</v>
      </c>
      <c r="AY23" t="s">
        <v>3</v>
      </c>
      <c r="BI23" t="s">
        <v>29</v>
      </c>
      <c r="BJ23" s="15">
        <f ca="1">10^(BJ9)</f>
        <v>1.7158796148740898E-5</v>
      </c>
      <c r="BK23" t="s">
        <v>3</v>
      </c>
    </row>
    <row r="24" spans="1:71" x14ac:dyDescent="0.25">
      <c r="A24" s="25" t="s">
        <v>120</v>
      </c>
      <c r="B24" s="26">
        <f>1/30*(400/1814)</f>
        <v>7.3502388827636897E-3</v>
      </c>
      <c r="C24" t="s">
        <v>3</v>
      </c>
      <c r="D24" t="s">
        <v>4</v>
      </c>
      <c r="M24" s="25" t="s">
        <v>120</v>
      </c>
      <c r="N24" s="26">
        <v>1</v>
      </c>
      <c r="O24" t="s">
        <v>3</v>
      </c>
      <c r="P24" t="s">
        <v>4</v>
      </c>
      <c r="Y24" s="25" t="s">
        <v>120</v>
      </c>
      <c r="Z24" s="26">
        <v>10</v>
      </c>
      <c r="AA24" t="s">
        <v>3</v>
      </c>
      <c r="AB24" t="s">
        <v>4</v>
      </c>
      <c r="AK24" s="25" t="s">
        <v>120</v>
      </c>
      <c r="AL24" s="26">
        <f>1/30*(400/1814)</f>
        <v>7.3502388827636897E-3</v>
      </c>
      <c r="AM24" t="s">
        <v>3</v>
      </c>
      <c r="AN24" t="s">
        <v>4</v>
      </c>
      <c r="AW24" s="25" t="s">
        <v>120</v>
      </c>
      <c r="AX24" s="26">
        <v>1</v>
      </c>
      <c r="AY24" t="s">
        <v>3</v>
      </c>
      <c r="AZ24" t="s">
        <v>4</v>
      </c>
      <c r="BI24" s="25" t="s">
        <v>120</v>
      </c>
      <c r="BJ24" s="26">
        <v>10</v>
      </c>
      <c r="BK24" t="s">
        <v>3</v>
      </c>
      <c r="BL24" t="s">
        <v>4</v>
      </c>
    </row>
    <row r="25" spans="1:71" x14ac:dyDescent="0.25">
      <c r="A25" t="s">
        <v>21</v>
      </c>
      <c r="B25" s="16" cm="1">
        <f t="array" aca="1" ref="B25" ca="1">_xll.RiskOutput()+IF(B23&gt;B24,1,0)</f>
        <v>1</v>
      </c>
      <c r="C25" t="s">
        <v>7</v>
      </c>
      <c r="D25" t="s">
        <v>8</v>
      </c>
      <c r="M25" t="s">
        <v>21</v>
      </c>
      <c r="N25" s="16" cm="1">
        <f t="array" aca="1" ref="N25" ca="1">_xll.RiskOutput()+IF(N23&gt;N24,1,0)</f>
        <v>0</v>
      </c>
      <c r="O25" t="s">
        <v>7</v>
      </c>
      <c r="P25" t="s">
        <v>8</v>
      </c>
      <c r="Y25" t="s">
        <v>21</v>
      </c>
      <c r="Z25" s="16" cm="1">
        <f t="array" aca="1" ref="Z25" ca="1">_xll.RiskOutput()+IF(Z23&gt;Z24,1,0)</f>
        <v>0</v>
      </c>
      <c r="AA25" t="s">
        <v>7</v>
      </c>
      <c r="AB25" t="s">
        <v>8</v>
      </c>
      <c r="AK25" t="s">
        <v>21</v>
      </c>
      <c r="AL25" s="16" cm="1">
        <f t="array" aca="1" ref="AL25" ca="1">_xll.RiskOutput()+IF(AL23&gt;AL24,1,0)</f>
        <v>0</v>
      </c>
      <c r="AM25" t="s">
        <v>7</v>
      </c>
      <c r="AN25" t="s">
        <v>8</v>
      </c>
      <c r="AW25" t="s">
        <v>21</v>
      </c>
      <c r="AX25" s="16" cm="1">
        <f t="array" aca="1" ref="AX25" ca="1">_xll.RiskOutput()+IF(AX23&gt;AX24,1,0)</f>
        <v>0</v>
      </c>
      <c r="AY25" t="s">
        <v>7</v>
      </c>
      <c r="AZ25" t="s">
        <v>8</v>
      </c>
      <c r="BI25" t="s">
        <v>21</v>
      </c>
      <c r="BJ25" s="16" cm="1">
        <f t="array" aca="1" ref="BJ25" ca="1">_xll.RiskOutput()+IF(BJ23&gt;BJ24,1,0)</f>
        <v>0</v>
      </c>
      <c r="BK25" t="s">
        <v>7</v>
      </c>
      <c r="BL25" t="s">
        <v>8</v>
      </c>
    </row>
    <row r="26" spans="1:71" x14ac:dyDescent="0.25">
      <c r="A26" t="s">
        <v>112</v>
      </c>
      <c r="B26" s="17" cm="1">
        <f t="array" aca="1" ref="B26" ca="1">_xll.RiskMean(B25)</f>
        <v>0.20538200000000001</v>
      </c>
      <c r="M26" t="s">
        <v>112</v>
      </c>
      <c r="N26" s="17" cm="1">
        <f t="array" aca="1" ref="N26" ca="1">_xll.RiskMean(N25)</f>
        <v>6.6150000000000002E-3</v>
      </c>
      <c r="Y26" t="s">
        <v>112</v>
      </c>
      <c r="Z26" s="17" cm="1">
        <f t="array" aca="1" ref="Z26" ca="1">_xll.RiskMean(Z25)</f>
        <v>5.9800000000000001E-4</v>
      </c>
      <c r="AK26" t="s">
        <v>112</v>
      </c>
      <c r="AL26" s="17" cm="1">
        <f t="array" aca="1" ref="AL26" ca="1">_xll.RiskMean(AL25)</f>
        <v>0.13334399999999999</v>
      </c>
      <c r="AW26" t="s">
        <v>112</v>
      </c>
      <c r="AX26" s="17" cm="1">
        <f t="array" aca="1" ref="AX26" ca="1">_xll.RiskMean(AX25)</f>
        <v>2.3441E-2</v>
      </c>
      <c r="BI26" t="s">
        <v>112</v>
      </c>
      <c r="BJ26" s="17" cm="1">
        <f t="array" aca="1" ref="BJ26" ca="1">_xll.RiskMean(BJ25)</f>
        <v>8.3379999999999999E-3</v>
      </c>
    </row>
    <row r="27" spans="1:71" ht="18.75" x14ac:dyDescent="0.3">
      <c r="A27" s="74" t="s">
        <v>93</v>
      </c>
      <c r="B27" s="75"/>
      <c r="C27" s="76"/>
      <c r="D27" s="76"/>
      <c r="E27" s="76"/>
      <c r="F27" s="76"/>
      <c r="G27" s="76"/>
      <c r="H27" s="76"/>
      <c r="I27" s="76"/>
      <c r="J27" s="76"/>
      <c r="K27" s="76"/>
      <c r="M27" s="74" t="s">
        <v>93</v>
      </c>
      <c r="N27" s="75"/>
      <c r="O27" s="76"/>
      <c r="P27" s="76"/>
      <c r="Q27" s="76"/>
      <c r="R27" s="76"/>
      <c r="S27" s="76"/>
      <c r="T27" s="76"/>
      <c r="U27" s="76"/>
      <c r="V27" s="76"/>
      <c r="W27" s="76"/>
      <c r="Y27" s="74" t="s">
        <v>93</v>
      </c>
      <c r="Z27" s="75"/>
      <c r="AA27" s="76"/>
      <c r="AB27" s="76"/>
      <c r="AC27" s="76"/>
      <c r="AD27" s="76"/>
      <c r="AE27" s="76"/>
      <c r="AF27" s="76"/>
      <c r="AG27" s="76"/>
      <c r="AH27" s="76"/>
      <c r="AI27" s="76"/>
      <c r="AK27" s="74" t="s">
        <v>93</v>
      </c>
      <c r="AL27" s="75"/>
      <c r="AM27" s="76"/>
      <c r="AN27" s="76"/>
      <c r="AO27" s="76"/>
      <c r="AP27" s="76"/>
      <c r="AQ27" s="76"/>
      <c r="AR27" s="76"/>
      <c r="AS27" s="76"/>
      <c r="AT27" s="76"/>
      <c r="AU27" s="76"/>
      <c r="AW27" s="74" t="s">
        <v>93</v>
      </c>
      <c r="AX27" s="75"/>
      <c r="AY27" s="76"/>
      <c r="AZ27" s="76"/>
      <c r="BA27" s="76"/>
      <c r="BB27" s="76"/>
      <c r="BC27" s="76"/>
      <c r="BD27" s="76"/>
      <c r="BE27" s="76"/>
      <c r="BF27" s="76"/>
      <c r="BG27" s="76"/>
      <c r="BI27" s="74" t="s">
        <v>93</v>
      </c>
      <c r="BJ27" s="75"/>
      <c r="BK27" s="76"/>
      <c r="BL27" s="76"/>
      <c r="BM27" s="76"/>
      <c r="BN27" s="76"/>
      <c r="BO27" s="76"/>
      <c r="BP27" s="76"/>
      <c r="BQ27" s="76"/>
      <c r="BR27" s="76"/>
      <c r="BS27" s="76"/>
    </row>
    <row r="28" spans="1:71" x14ac:dyDescent="0.25">
      <c r="A28" t="s">
        <v>94</v>
      </c>
      <c r="B28" s="69" t="s">
        <v>80</v>
      </c>
      <c r="M28" t="s">
        <v>94</v>
      </c>
      <c r="N28" s="69" t="s">
        <v>80</v>
      </c>
      <c r="Y28" t="s">
        <v>94</v>
      </c>
      <c r="Z28" s="69" t="s">
        <v>80</v>
      </c>
      <c r="AK28" t="s">
        <v>94</v>
      </c>
      <c r="AL28" s="69" t="s">
        <v>80</v>
      </c>
      <c r="AW28" t="s">
        <v>94</v>
      </c>
      <c r="AX28" s="69" t="s">
        <v>80</v>
      </c>
      <c r="BI28" t="s">
        <v>94</v>
      </c>
      <c r="BJ28" s="69" t="s">
        <v>80</v>
      </c>
    </row>
    <row r="29" spans="1:71" x14ac:dyDescent="0.25">
      <c r="A29" t="s">
        <v>94</v>
      </c>
      <c r="B29" s="69" t="s">
        <v>82</v>
      </c>
      <c r="M29" t="s">
        <v>94</v>
      </c>
      <c r="N29" s="69" t="s">
        <v>82</v>
      </c>
      <c r="Y29" t="s">
        <v>94</v>
      </c>
      <c r="Z29" s="69" t="s">
        <v>82</v>
      </c>
      <c r="AK29" t="s">
        <v>94</v>
      </c>
      <c r="AL29" s="69" t="s">
        <v>82</v>
      </c>
      <c r="AW29" t="s">
        <v>94</v>
      </c>
      <c r="AX29" s="69" t="s">
        <v>82</v>
      </c>
      <c r="BI29" t="s">
        <v>94</v>
      </c>
      <c r="BJ29" s="69" t="s">
        <v>82</v>
      </c>
    </row>
    <row r="30" spans="1:71" x14ac:dyDescent="0.25">
      <c r="A30" t="s">
        <v>94</v>
      </c>
      <c r="B30" s="69" t="s">
        <v>86</v>
      </c>
      <c r="M30" t="s">
        <v>94</v>
      </c>
      <c r="N30" s="69" t="s">
        <v>86</v>
      </c>
      <c r="Y30" t="s">
        <v>94</v>
      </c>
      <c r="Z30" s="69" t="s">
        <v>86</v>
      </c>
      <c r="AK30" t="s">
        <v>94</v>
      </c>
      <c r="AL30" s="69" t="s">
        <v>86</v>
      </c>
      <c r="AW30" t="s">
        <v>94</v>
      </c>
      <c r="AX30" s="69" t="s">
        <v>86</v>
      </c>
      <c r="BI30" t="s">
        <v>94</v>
      </c>
      <c r="BJ30" s="69" t="s">
        <v>86</v>
      </c>
    </row>
    <row r="31" spans="1:71" x14ac:dyDescent="0.25">
      <c r="A31" t="s">
        <v>97</v>
      </c>
      <c r="B31" s="6">
        <f ca="1">IF(ISNUMBER(MATCH(B20,B28:B30,0)),1,0)</f>
        <v>0</v>
      </c>
      <c r="C31" t="s">
        <v>7</v>
      </c>
      <c r="M31" t="s">
        <v>97</v>
      </c>
      <c r="N31" s="6">
        <f ca="1">IF(ISNUMBER(MATCH(N20,N28:N30,0)),1,0)</f>
        <v>0</v>
      </c>
      <c r="O31" t="s">
        <v>7</v>
      </c>
      <c r="Y31" t="s">
        <v>97</v>
      </c>
      <c r="Z31" s="6">
        <f ca="1">IF(ISNUMBER(MATCH(Z20,Z28:Z30,0)),1,0)</f>
        <v>0</v>
      </c>
      <c r="AA31" t="s">
        <v>7</v>
      </c>
      <c r="AK31" t="s">
        <v>97</v>
      </c>
      <c r="AL31" s="6">
        <f ca="1">IF(ISNUMBER(MATCH(AL20,AL28:AL30,0)),1,0)</f>
        <v>0</v>
      </c>
      <c r="AM31" t="s">
        <v>7</v>
      </c>
      <c r="AW31" t="s">
        <v>97</v>
      </c>
      <c r="AX31" s="6">
        <f ca="1">IF(ISNUMBER(MATCH(AX20,AX28:AX30,0)),1,0)</f>
        <v>0</v>
      </c>
      <c r="AY31" t="s">
        <v>7</v>
      </c>
      <c r="BI31" t="s">
        <v>97</v>
      </c>
      <c r="BJ31" s="6">
        <f ca="1">IF(ISNUMBER(MATCH(BJ20,BJ28:BJ30,0)),1,0)</f>
        <v>0</v>
      </c>
      <c r="BK31" t="s">
        <v>7</v>
      </c>
    </row>
    <row r="32" spans="1:71" x14ac:dyDescent="0.25">
      <c r="A32" t="s">
        <v>96</v>
      </c>
      <c r="B32" s="70">
        <f ca="1">B25*B31</f>
        <v>0</v>
      </c>
      <c r="C32" t="s">
        <v>7</v>
      </c>
      <c r="M32" t="s">
        <v>96</v>
      </c>
      <c r="N32" s="70">
        <f ca="1">N25*N31</f>
        <v>0</v>
      </c>
      <c r="O32" t="s">
        <v>7</v>
      </c>
      <c r="Y32" t="s">
        <v>96</v>
      </c>
      <c r="Z32" s="70">
        <f ca="1">Z25*Z31</f>
        <v>0</v>
      </c>
      <c r="AA32" t="s">
        <v>7</v>
      </c>
      <c r="AK32" t="s">
        <v>96</v>
      </c>
      <c r="AL32" s="70">
        <f ca="1">AL25*AL31</f>
        <v>0</v>
      </c>
      <c r="AM32" t="s">
        <v>7</v>
      </c>
      <c r="AW32" t="s">
        <v>96</v>
      </c>
      <c r="AX32" s="70">
        <f ca="1">AX25*AX31</f>
        <v>0</v>
      </c>
      <c r="AY32" t="s">
        <v>7</v>
      </c>
      <c r="BI32" t="s">
        <v>96</v>
      </c>
      <c r="BJ32" s="70">
        <f ca="1">BJ25*BJ31</f>
        <v>0</v>
      </c>
      <c r="BK32" t="s">
        <v>7</v>
      </c>
    </row>
    <row r="33" spans="1:71" x14ac:dyDescent="0.25">
      <c r="A33" t="s">
        <v>113</v>
      </c>
      <c r="B33" s="17" cm="1">
        <f t="array" aca="1" ref="B33" ca="1">_xll.RiskMean(B32)</f>
        <v>0.10534</v>
      </c>
      <c r="M33" t="s">
        <v>113</v>
      </c>
      <c r="N33" s="17" cm="1">
        <f t="array" aca="1" ref="N33" ca="1">_xll.RiskMean(N32)</f>
        <v>3.346E-3</v>
      </c>
      <c r="Y33" t="s">
        <v>113</v>
      </c>
      <c r="Z33" s="17" cm="1">
        <f t="array" aca="1" ref="Z33" ca="1">_xll.RiskMean(Z32)</f>
        <v>3.1399999999999999E-4</v>
      </c>
      <c r="AK33" t="s">
        <v>113</v>
      </c>
      <c r="AL33" s="17" cm="1">
        <f t="array" aca="1" ref="AL33" ca="1">_xll.RiskMean(AL32)</f>
        <v>6.8423999999999999E-2</v>
      </c>
      <c r="AW33" t="s">
        <v>113</v>
      </c>
      <c r="AX33" s="17" cm="1">
        <f t="array" aca="1" ref="AX33" ca="1">_xll.RiskMean(AX32)</f>
        <v>1.1957000000000001E-2</v>
      </c>
      <c r="BI33" t="s">
        <v>113</v>
      </c>
      <c r="BJ33" s="17" cm="1">
        <f t="array" aca="1" ref="BJ33" ca="1">_xll.RiskMean(BJ32)</f>
        <v>4.2199999999999998E-3</v>
      </c>
    </row>
    <row r="34" spans="1:71" x14ac:dyDescent="0.25">
      <c r="A34" t="s">
        <v>95</v>
      </c>
      <c r="B34" s="69" t="s">
        <v>85</v>
      </c>
      <c r="M34" t="s">
        <v>95</v>
      </c>
      <c r="N34" s="69" t="s">
        <v>85</v>
      </c>
      <c r="Y34" t="s">
        <v>95</v>
      </c>
      <c r="Z34" s="69" t="s">
        <v>85</v>
      </c>
      <c r="AK34" t="s">
        <v>95</v>
      </c>
      <c r="AL34" s="69" t="s">
        <v>85</v>
      </c>
      <c r="AW34" t="s">
        <v>95</v>
      </c>
      <c r="AX34" s="69" t="s">
        <v>85</v>
      </c>
      <c r="BI34" t="s">
        <v>95</v>
      </c>
      <c r="BJ34" s="69" t="s">
        <v>85</v>
      </c>
    </row>
    <row r="35" spans="1:71" x14ac:dyDescent="0.25">
      <c r="A35" t="s">
        <v>115</v>
      </c>
      <c r="B35" s="6">
        <f ca="1">IF(ISNUMBER(MATCH(B20,B34,0)),1,0)</f>
        <v>0</v>
      </c>
      <c r="M35" t="s">
        <v>115</v>
      </c>
      <c r="N35" s="6">
        <f ca="1">IF(ISNUMBER(MATCH(N20,N34,0)),1,0)</f>
        <v>0</v>
      </c>
      <c r="Y35" t="s">
        <v>115</v>
      </c>
      <c r="Z35" s="6">
        <f ca="1">IF(ISNUMBER(MATCH(Z20,Z34,0)),1,0)</f>
        <v>0</v>
      </c>
      <c r="AK35" t="s">
        <v>115</v>
      </c>
      <c r="AL35" s="6">
        <f ca="1">IF(ISNUMBER(MATCH(AL20,AL34,0)),1,0)</f>
        <v>0</v>
      </c>
      <c r="AW35" t="s">
        <v>115</v>
      </c>
      <c r="AX35" s="6">
        <f ca="1">IF(ISNUMBER(MATCH(AX20,AX34,0)),1,0)</f>
        <v>0</v>
      </c>
      <c r="BI35" t="s">
        <v>115</v>
      </c>
      <c r="BJ35" s="6">
        <f ca="1">IF(ISNUMBER(MATCH(BJ20,BJ34,0)),1,0)</f>
        <v>0</v>
      </c>
    </row>
    <row r="36" spans="1:71" x14ac:dyDescent="0.25">
      <c r="A36" t="s">
        <v>114</v>
      </c>
      <c r="B36" s="70">
        <f ca="1">B25*B35</f>
        <v>0</v>
      </c>
      <c r="C36" t="s">
        <v>7</v>
      </c>
      <c r="M36" t="s">
        <v>114</v>
      </c>
      <c r="N36" s="70">
        <f ca="1">N25*N35</f>
        <v>0</v>
      </c>
      <c r="O36" t="s">
        <v>7</v>
      </c>
      <c r="Y36" t="s">
        <v>114</v>
      </c>
      <c r="Z36" s="70">
        <f ca="1">Z25*Z35</f>
        <v>0</v>
      </c>
      <c r="AA36" t="s">
        <v>7</v>
      </c>
      <c r="AK36" t="s">
        <v>114</v>
      </c>
      <c r="AL36" s="70">
        <f ca="1">AL25*AL35</f>
        <v>0</v>
      </c>
      <c r="AM36" t="s">
        <v>7</v>
      </c>
      <c r="AW36" t="s">
        <v>114</v>
      </c>
      <c r="AX36" s="70">
        <f ca="1">AX25*AX35</f>
        <v>0</v>
      </c>
      <c r="AY36" t="s">
        <v>7</v>
      </c>
      <c r="BI36" t="s">
        <v>114</v>
      </c>
      <c r="BJ36" s="70">
        <f ca="1">BJ25*BJ35</f>
        <v>0</v>
      </c>
      <c r="BK36" t="s">
        <v>7</v>
      </c>
    </row>
    <row r="37" spans="1:71" x14ac:dyDescent="0.25">
      <c r="A37" t="s">
        <v>104</v>
      </c>
      <c r="B37" s="17" cm="1">
        <f t="array" aca="1" ref="B37" ca="1">_xll.RiskMean(B36)</f>
        <v>5.9974E-2</v>
      </c>
      <c r="M37" t="s">
        <v>104</v>
      </c>
      <c r="N37" s="17" cm="1">
        <f t="array" aca="1" ref="N37" ca="1">_xll.RiskMean(N36)</f>
        <v>1.9430000000000001E-3</v>
      </c>
      <c r="Y37" t="s">
        <v>104</v>
      </c>
      <c r="Z37" s="17" cm="1">
        <f t="array" aca="1" ref="Z37" ca="1">_xll.RiskMean(Z36)</f>
        <v>1.76E-4</v>
      </c>
      <c r="AK37" t="s">
        <v>104</v>
      </c>
      <c r="AL37" s="17" cm="1">
        <f t="array" aca="1" ref="AL37" ca="1">_xll.RiskMean(AL36)</f>
        <v>3.8739999999999997E-2</v>
      </c>
      <c r="AW37" t="s">
        <v>104</v>
      </c>
      <c r="AX37" s="17" cm="1">
        <f t="array" aca="1" ref="AX37" ca="1">_xll.RiskMean(AX36)</f>
        <v>6.8539999999999998E-3</v>
      </c>
      <c r="BI37" t="s">
        <v>104</v>
      </c>
      <c r="BJ37" s="17" cm="1">
        <f t="array" aca="1" ref="BJ37" ca="1">_xll.RiskMean(BJ36)</f>
        <v>2.4550000000000002E-3</v>
      </c>
    </row>
    <row r="38" spans="1:71" x14ac:dyDescent="0.25">
      <c r="A38" t="s">
        <v>105</v>
      </c>
      <c r="B38" s="70">
        <f ca="1">B25*ABS(B35-1)</f>
        <v>1</v>
      </c>
      <c r="M38" t="s">
        <v>105</v>
      </c>
      <c r="N38" s="70">
        <f ca="1">N25*ABS(N35-1)</f>
        <v>0</v>
      </c>
      <c r="Y38" t="s">
        <v>105</v>
      </c>
      <c r="Z38" s="70">
        <f ca="1">Z25*ABS(Z35-1)</f>
        <v>0</v>
      </c>
      <c r="AK38" t="s">
        <v>105</v>
      </c>
      <c r="AL38" s="70">
        <f ca="1">AL25*ABS(AL35-1)</f>
        <v>0</v>
      </c>
      <c r="AW38" t="s">
        <v>105</v>
      </c>
      <c r="AX38" s="70">
        <f ca="1">AX25*ABS(AX35-1)</f>
        <v>0</v>
      </c>
      <c r="BI38" t="s">
        <v>105</v>
      </c>
      <c r="BJ38" s="70">
        <f ca="1">BJ25*ABS(BJ35-1)</f>
        <v>0</v>
      </c>
    </row>
    <row r="39" spans="1:71" x14ac:dyDescent="0.25">
      <c r="A39" t="s">
        <v>106</v>
      </c>
      <c r="B39" s="17" cm="1">
        <f t="array" aca="1" ref="B39" ca="1">_xll.RiskMean(B38)</f>
        <v>0.14540800000000001</v>
      </c>
      <c r="M39" t="s">
        <v>106</v>
      </c>
      <c r="N39" s="17" cm="1">
        <f t="array" aca="1" ref="N39" ca="1">_xll.RiskMean(N38)</f>
        <v>4.6719999999999999E-3</v>
      </c>
      <c r="Y39" t="s">
        <v>106</v>
      </c>
      <c r="Z39" s="17" cm="1">
        <f t="array" aca="1" ref="Z39" ca="1">_xll.RiskMean(Z38)</f>
        <v>4.2200000000000001E-4</v>
      </c>
      <c r="AK39" t="s">
        <v>106</v>
      </c>
      <c r="AL39" s="17" cm="1">
        <f t="array" aca="1" ref="AL39" ca="1">_xll.RiskMean(AL38)</f>
        <v>9.4603999999999994E-2</v>
      </c>
      <c r="AW39" t="s">
        <v>106</v>
      </c>
      <c r="AX39" s="17" cm="1">
        <f t="array" aca="1" ref="AX39" ca="1">_xll.RiskMean(AX38)</f>
        <v>1.6587000000000001E-2</v>
      </c>
      <c r="BI39" t="s">
        <v>106</v>
      </c>
      <c r="BJ39" s="17" cm="1">
        <f t="array" aca="1" ref="BJ39" ca="1">_xll.RiskMean(BJ38)</f>
        <v>5.8830000000000002E-3</v>
      </c>
    </row>
    <row r="40" spans="1:71" ht="18.75" x14ac:dyDescent="0.3">
      <c r="A40" s="22" t="s">
        <v>31</v>
      </c>
      <c r="B40" s="22"/>
      <c r="C40" s="22"/>
      <c r="D40" s="22"/>
      <c r="E40" s="22"/>
      <c r="F40" s="30"/>
      <c r="G40" s="30"/>
      <c r="H40" s="30"/>
      <c r="I40" s="30"/>
      <c r="J40" s="30"/>
      <c r="K40" s="30"/>
      <c r="M40" s="22" t="s">
        <v>31</v>
      </c>
      <c r="N40" s="22"/>
      <c r="O40" s="22"/>
      <c r="P40" s="22"/>
      <c r="Q40" s="22"/>
      <c r="R40" s="30"/>
      <c r="S40" s="30"/>
      <c r="T40" s="30"/>
      <c r="U40" s="30"/>
      <c r="V40" s="30"/>
      <c r="W40" s="30"/>
      <c r="Y40" s="22" t="s">
        <v>31</v>
      </c>
      <c r="Z40" s="22"/>
      <c r="AA40" s="22"/>
      <c r="AB40" s="22"/>
      <c r="AC40" s="22"/>
      <c r="AD40" s="30"/>
      <c r="AE40" s="30"/>
      <c r="AF40" s="30"/>
      <c r="AG40" s="30"/>
      <c r="AH40" s="30"/>
      <c r="AI40" s="30"/>
      <c r="AK40" s="22" t="s">
        <v>31</v>
      </c>
      <c r="AL40" s="22"/>
      <c r="AM40" s="22"/>
      <c r="AN40" s="22"/>
      <c r="AO40" s="22"/>
      <c r="AP40" s="30"/>
      <c r="AQ40" s="30"/>
      <c r="AR40" s="30"/>
      <c r="AS40" s="30"/>
      <c r="AT40" s="30"/>
      <c r="AU40" s="30"/>
      <c r="AW40" s="22" t="s">
        <v>31</v>
      </c>
      <c r="AX40" s="22"/>
      <c r="AY40" s="22"/>
      <c r="AZ40" s="22"/>
      <c r="BA40" s="22"/>
      <c r="BB40" s="30"/>
      <c r="BC40" s="30"/>
      <c r="BD40" s="30"/>
      <c r="BE40" s="30"/>
      <c r="BF40" s="30"/>
      <c r="BG40" s="30"/>
      <c r="BI40" s="22" t="s">
        <v>31</v>
      </c>
      <c r="BJ40" s="22"/>
      <c r="BK40" s="22"/>
      <c r="BL40" s="22"/>
      <c r="BM40" s="22"/>
      <c r="BN40" s="30"/>
      <c r="BO40" s="30"/>
      <c r="BP40" s="30"/>
      <c r="BQ40" s="30"/>
      <c r="BR40" s="30"/>
      <c r="BS40" s="30"/>
    </row>
    <row r="41" spans="1:71" x14ac:dyDescent="0.25">
      <c r="A41" t="s">
        <v>38</v>
      </c>
      <c r="B41" s="27">
        <v>2.06</v>
      </c>
      <c r="C41" t="s">
        <v>18</v>
      </c>
      <c r="D41" t="s">
        <v>4</v>
      </c>
      <c r="E41" t="s">
        <v>11</v>
      </c>
      <c r="M41" t="s">
        <v>38</v>
      </c>
      <c r="N41" s="27">
        <v>2.06</v>
      </c>
      <c r="O41" t="s">
        <v>18</v>
      </c>
      <c r="P41" t="s">
        <v>4</v>
      </c>
      <c r="Q41" t="s">
        <v>11</v>
      </c>
      <c r="Y41" t="s">
        <v>38</v>
      </c>
      <c r="Z41" s="27">
        <v>2.06</v>
      </c>
      <c r="AA41" t="s">
        <v>18</v>
      </c>
      <c r="AB41" t="s">
        <v>4</v>
      </c>
      <c r="AC41" t="s">
        <v>11</v>
      </c>
      <c r="AK41" t="s">
        <v>38</v>
      </c>
      <c r="AL41" s="27">
        <v>2.06</v>
      </c>
      <c r="AM41" t="s">
        <v>18</v>
      </c>
      <c r="AN41" t="s">
        <v>4</v>
      </c>
      <c r="AO41" t="s">
        <v>11</v>
      </c>
      <c r="AW41" t="s">
        <v>38</v>
      </c>
      <c r="AX41" s="27">
        <v>2.06</v>
      </c>
      <c r="AY41" t="s">
        <v>18</v>
      </c>
      <c r="AZ41" t="s">
        <v>4</v>
      </c>
      <c r="BA41" t="s">
        <v>11</v>
      </c>
      <c r="BI41" t="s">
        <v>38</v>
      </c>
      <c r="BJ41" s="27">
        <v>2.06</v>
      </c>
      <c r="BK41" t="s">
        <v>18</v>
      </c>
      <c r="BL41" t="s">
        <v>4</v>
      </c>
      <c r="BM41" t="s">
        <v>11</v>
      </c>
    </row>
    <row r="42" spans="1:71" x14ac:dyDescent="0.25">
      <c r="A42" t="s">
        <v>39</v>
      </c>
      <c r="B42" s="27">
        <v>0.23</v>
      </c>
      <c r="C42" t="s">
        <v>18</v>
      </c>
      <c r="D42" t="s">
        <v>4</v>
      </c>
      <c r="E42" t="s">
        <v>11</v>
      </c>
      <c r="M42" t="s">
        <v>39</v>
      </c>
      <c r="N42" s="27">
        <v>0.23</v>
      </c>
      <c r="O42" t="s">
        <v>18</v>
      </c>
      <c r="P42" t="s">
        <v>4</v>
      </c>
      <c r="Q42" t="s">
        <v>11</v>
      </c>
      <c r="Y42" t="s">
        <v>39</v>
      </c>
      <c r="Z42" s="27">
        <v>0.23</v>
      </c>
      <c r="AA42" t="s">
        <v>18</v>
      </c>
      <c r="AB42" t="s">
        <v>4</v>
      </c>
      <c r="AC42" t="s">
        <v>11</v>
      </c>
      <c r="AK42" t="s">
        <v>39</v>
      </c>
      <c r="AL42" s="27">
        <v>0.23</v>
      </c>
      <c r="AM42" t="s">
        <v>18</v>
      </c>
      <c r="AN42" t="s">
        <v>4</v>
      </c>
      <c r="AO42" t="s">
        <v>11</v>
      </c>
      <c r="AW42" t="s">
        <v>39</v>
      </c>
      <c r="AX42" s="27">
        <v>0.23</v>
      </c>
      <c r="AY42" t="s">
        <v>18</v>
      </c>
      <c r="AZ42" t="s">
        <v>4</v>
      </c>
      <c r="BA42" t="s">
        <v>11</v>
      </c>
      <c r="BI42" t="s">
        <v>39</v>
      </c>
      <c r="BJ42" s="27">
        <v>0.23</v>
      </c>
      <c r="BK42" t="s">
        <v>18</v>
      </c>
      <c r="BL42" t="s">
        <v>4</v>
      </c>
      <c r="BM42" t="s">
        <v>11</v>
      </c>
    </row>
    <row r="43" spans="1:71" x14ac:dyDescent="0.25">
      <c r="A43" t="s">
        <v>40</v>
      </c>
      <c r="B43" s="14" cm="1">
        <f t="array" aca="1" ref="B43" ca="1">_xll.RiskNormal(B41,B42)</f>
        <v>2.1777534510648655</v>
      </c>
      <c r="C43" t="s">
        <v>18</v>
      </c>
      <c r="D43" t="s">
        <v>17</v>
      </c>
      <c r="E43" t="s">
        <v>11</v>
      </c>
      <c r="M43" t="s">
        <v>40</v>
      </c>
      <c r="N43" s="14">
        <f ca="1">B43</f>
        <v>2.1777534510648655</v>
      </c>
      <c r="O43" t="s">
        <v>18</v>
      </c>
      <c r="P43" t="s">
        <v>17</v>
      </c>
      <c r="Q43" t="s">
        <v>11</v>
      </c>
      <c r="Y43" t="s">
        <v>40</v>
      </c>
      <c r="Z43" s="14">
        <f ca="1">N43</f>
        <v>2.1777534510648655</v>
      </c>
      <c r="AA43" t="s">
        <v>18</v>
      </c>
      <c r="AB43" t="s">
        <v>17</v>
      </c>
      <c r="AC43" t="s">
        <v>11</v>
      </c>
      <c r="AK43" t="s">
        <v>40</v>
      </c>
      <c r="AL43" s="14" cm="1">
        <f t="array" aca="1" ref="AL43" ca="1">_xll.RiskNormal(AL41,AL42)</f>
        <v>2.2662413844499993</v>
      </c>
      <c r="AM43" t="s">
        <v>18</v>
      </c>
      <c r="AN43" t="s">
        <v>17</v>
      </c>
      <c r="AO43" t="s">
        <v>11</v>
      </c>
      <c r="AW43" t="s">
        <v>40</v>
      </c>
      <c r="AX43" s="14">
        <f ca="1">AL43</f>
        <v>2.2662413844499993</v>
      </c>
      <c r="AY43" t="s">
        <v>18</v>
      </c>
      <c r="AZ43" t="s">
        <v>17</v>
      </c>
      <c r="BA43" t="s">
        <v>11</v>
      </c>
      <c r="BI43" t="s">
        <v>40</v>
      </c>
      <c r="BJ43" s="14">
        <f ca="1">AX43</f>
        <v>2.2662413844499993</v>
      </c>
      <c r="BK43" t="s">
        <v>18</v>
      </c>
      <c r="BL43" t="s">
        <v>17</v>
      </c>
      <c r="BM43" t="s">
        <v>11</v>
      </c>
    </row>
    <row r="44" spans="1:71" x14ac:dyDescent="0.25">
      <c r="A44" t="s">
        <v>41</v>
      </c>
      <c r="B44" s="14">
        <f ca="1">10^(B43)</f>
        <v>150.57520082329333</v>
      </c>
      <c r="C44" t="s">
        <v>5</v>
      </c>
      <c r="M44" t="s">
        <v>41</v>
      </c>
      <c r="N44" s="14">
        <f ca="1">10^(N43)</f>
        <v>150.57520082329333</v>
      </c>
      <c r="O44" t="s">
        <v>5</v>
      </c>
      <c r="Y44" t="s">
        <v>41</v>
      </c>
      <c r="Z44" s="14">
        <f ca="1">10^(Z43)</f>
        <v>150.57520082329333</v>
      </c>
      <c r="AA44" t="s">
        <v>5</v>
      </c>
      <c r="AK44" t="s">
        <v>41</v>
      </c>
      <c r="AL44" s="14">
        <f ca="1">10^(AL43)</f>
        <v>184.6041178981927</v>
      </c>
      <c r="AM44" t="s">
        <v>5</v>
      </c>
      <c r="AW44" t="s">
        <v>41</v>
      </c>
      <c r="AX44" s="14">
        <f ca="1">10^(AX43)</f>
        <v>184.6041178981927</v>
      </c>
      <c r="AY44" t="s">
        <v>5</v>
      </c>
      <c r="BI44" t="s">
        <v>41</v>
      </c>
      <c r="BJ44" s="14">
        <f ca="1">10^(BJ43)</f>
        <v>184.6041178981927</v>
      </c>
      <c r="BK44" t="s">
        <v>5</v>
      </c>
    </row>
    <row r="45" spans="1:71" ht="15.75" x14ac:dyDescent="0.25">
      <c r="A45" s="3" t="s">
        <v>107</v>
      </c>
      <c r="B45" s="11"/>
      <c r="C45" s="3"/>
      <c r="D45" s="3"/>
      <c r="E45" s="3"/>
      <c r="F45" s="31"/>
      <c r="G45" s="31"/>
      <c r="H45" s="31"/>
      <c r="I45" s="31"/>
      <c r="J45" s="31"/>
      <c r="K45" s="31"/>
      <c r="M45" s="3" t="s">
        <v>107</v>
      </c>
      <c r="N45" s="11"/>
      <c r="O45" s="3"/>
      <c r="P45" s="3"/>
      <c r="Q45" s="3"/>
      <c r="R45" s="31"/>
      <c r="S45" s="31"/>
      <c r="T45" s="31"/>
      <c r="U45" s="31"/>
      <c r="V45" s="31"/>
      <c r="W45" s="31"/>
      <c r="Y45" s="3" t="s">
        <v>107</v>
      </c>
      <c r="Z45" s="11"/>
      <c r="AA45" s="3"/>
      <c r="AB45" s="3"/>
      <c r="AC45" s="3"/>
      <c r="AD45" s="31"/>
      <c r="AE45" s="31"/>
      <c r="AF45" s="31"/>
      <c r="AG45" s="31"/>
      <c r="AH45" s="31"/>
      <c r="AI45" s="31"/>
      <c r="AK45" s="3" t="s">
        <v>107</v>
      </c>
      <c r="AL45" s="11"/>
      <c r="AM45" s="3"/>
      <c r="AN45" s="3"/>
      <c r="AO45" s="3"/>
      <c r="AP45" s="31"/>
      <c r="AQ45" s="31"/>
      <c r="AR45" s="31"/>
      <c r="AS45" s="31"/>
      <c r="AT45" s="31"/>
      <c r="AU45" s="31"/>
      <c r="AW45" s="3" t="s">
        <v>107</v>
      </c>
      <c r="AX45" s="11"/>
      <c r="AY45" s="3"/>
      <c r="AZ45" s="3"/>
      <c r="BA45" s="3"/>
      <c r="BB45" s="31"/>
      <c r="BC45" s="31"/>
      <c r="BD45" s="31"/>
      <c r="BE45" s="31"/>
      <c r="BF45" s="31"/>
      <c r="BG45" s="31"/>
      <c r="BI45" s="3" t="s">
        <v>107</v>
      </c>
      <c r="BJ45" s="11"/>
      <c r="BK45" s="3"/>
      <c r="BL45" s="3"/>
      <c r="BM45" s="3"/>
      <c r="BN45" s="31"/>
      <c r="BO45" s="31"/>
      <c r="BP45" s="31"/>
      <c r="BQ45" s="31"/>
      <c r="BR45" s="31"/>
      <c r="BS45" s="31"/>
    </row>
    <row r="46" spans="1:71" x14ac:dyDescent="0.25">
      <c r="A46" s="47" t="s">
        <v>69</v>
      </c>
      <c r="B46" s="48">
        <f ca="1">B23*B44</f>
        <v>28.624299202625203</v>
      </c>
      <c r="C46" s="47" t="s">
        <v>10</v>
      </c>
      <c r="D46" s="47" t="s">
        <v>6</v>
      </c>
      <c r="M46" s="47" t="s">
        <v>69</v>
      </c>
      <c r="N46" s="48">
        <f ca="1">N23*N44</f>
        <v>28.624299202625203</v>
      </c>
      <c r="O46" s="47" t="s">
        <v>10</v>
      </c>
      <c r="P46" s="47" t="s">
        <v>6</v>
      </c>
      <c r="Y46" s="47" t="s">
        <v>69</v>
      </c>
      <c r="Z46" s="48">
        <f ca="1">Z23*Z44</f>
        <v>28.624299202625203</v>
      </c>
      <c r="AA46" s="47" t="s">
        <v>10</v>
      </c>
      <c r="AB46" s="47" t="s">
        <v>6</v>
      </c>
      <c r="AK46" s="47" t="s">
        <v>69</v>
      </c>
      <c r="AL46" s="48">
        <f ca="1">AL23*AL44</f>
        <v>3.1675844272332195E-3</v>
      </c>
      <c r="AM46" s="47" t="s">
        <v>10</v>
      </c>
      <c r="AN46" s="47" t="s">
        <v>6</v>
      </c>
      <c r="AW46" s="47" t="s">
        <v>69</v>
      </c>
      <c r="AX46" s="48">
        <f ca="1">AX23*AX44</f>
        <v>3.1675844272332195E-3</v>
      </c>
      <c r="AY46" s="47" t="s">
        <v>10</v>
      </c>
      <c r="AZ46" s="47" t="s">
        <v>6</v>
      </c>
      <c r="BI46" s="47" t="s">
        <v>69</v>
      </c>
      <c r="BJ46" s="48">
        <f ca="1">BJ23*BJ44</f>
        <v>3.1675844272332195E-3</v>
      </c>
      <c r="BK46" s="47" t="s">
        <v>10</v>
      </c>
      <c r="BL46" s="47" t="s">
        <v>6</v>
      </c>
    </row>
    <row r="47" spans="1:71" x14ac:dyDescent="0.25">
      <c r="A47" s="78" t="s">
        <v>116</v>
      </c>
      <c r="B47" s="79" t="e">
        <f ca="1">IF(B$25=1,NA(),B$46)</f>
        <v>#N/A</v>
      </c>
      <c r="C47" s="78" t="s">
        <v>10</v>
      </c>
      <c r="M47" s="78" t="s">
        <v>116</v>
      </c>
      <c r="N47" s="79">
        <f ca="1">IF(N$25=1,NA(),N$46)</f>
        <v>28.624299202625203</v>
      </c>
      <c r="O47" s="78" t="s">
        <v>10</v>
      </c>
      <c r="Y47" s="78" t="s">
        <v>116</v>
      </c>
      <c r="Z47" s="79">
        <f ca="1">IF(Z$25=1,NA(),Z$46)</f>
        <v>28.624299202625203</v>
      </c>
      <c r="AA47" s="78" t="s">
        <v>10</v>
      </c>
      <c r="AK47" s="78" t="s">
        <v>116</v>
      </c>
      <c r="AL47" s="79">
        <f ca="1">IF(AL$25=1,NA(),AL$46)</f>
        <v>3.1675844272332195E-3</v>
      </c>
      <c r="AM47" s="78" t="s">
        <v>10</v>
      </c>
      <c r="AW47" s="78" t="s">
        <v>116</v>
      </c>
      <c r="AX47" s="79">
        <f ca="1">IF(AX$25=1,NA(),AX$46)</f>
        <v>3.1675844272332195E-3</v>
      </c>
      <c r="AY47" s="78" t="s">
        <v>10</v>
      </c>
      <c r="BI47" s="78" t="s">
        <v>116</v>
      </c>
      <c r="BJ47" s="79">
        <f ca="1">IF(BJ$25=1,NA(),BJ$46)</f>
        <v>3.1675844272332195E-3</v>
      </c>
      <c r="BK47" s="78" t="s">
        <v>10</v>
      </c>
    </row>
    <row r="48" spans="1:71" x14ac:dyDescent="0.25">
      <c r="A48" s="78" t="s">
        <v>117</v>
      </c>
      <c r="B48" s="79">
        <f ca="1">IF(B$25=0,NA(),B$46)</f>
        <v>28.624299202625203</v>
      </c>
      <c r="C48" s="78" t="s">
        <v>10</v>
      </c>
      <c r="M48" s="78" t="s">
        <v>117</v>
      </c>
      <c r="N48" s="79" t="e">
        <f ca="1">IF(N$25=0,NA(),N$46)</f>
        <v>#N/A</v>
      </c>
      <c r="O48" s="78" t="s">
        <v>10</v>
      </c>
      <c r="Y48" s="78" t="s">
        <v>117</v>
      </c>
      <c r="Z48" s="79" t="e">
        <f ca="1">IF(Z$25=0,NA(),Z$46)</f>
        <v>#N/A</v>
      </c>
      <c r="AA48" s="78" t="s">
        <v>10</v>
      </c>
      <c r="AK48" s="78" t="s">
        <v>117</v>
      </c>
      <c r="AL48" s="79" t="e">
        <f ca="1">IF(AL$25=0,NA(),AL$46)</f>
        <v>#N/A</v>
      </c>
      <c r="AM48" s="78" t="s">
        <v>10</v>
      </c>
      <c r="AW48" s="78" t="s">
        <v>117</v>
      </c>
      <c r="AX48" s="79" t="e">
        <f ca="1">IF(AX$25=0,NA(),AX$46)</f>
        <v>#N/A</v>
      </c>
      <c r="AY48" s="78" t="s">
        <v>10</v>
      </c>
      <c r="BI48" s="78" t="s">
        <v>117</v>
      </c>
      <c r="BJ48" s="79" t="e">
        <f ca="1">IF(BJ$25=0,NA(),BJ$46)</f>
        <v>#N/A</v>
      </c>
      <c r="BK48" s="78" t="s">
        <v>10</v>
      </c>
    </row>
    <row r="49" spans="1:71" x14ac:dyDescent="0.25">
      <c r="A49" s="77" t="s">
        <v>99</v>
      </c>
      <c r="B49" s="50"/>
      <c r="C49" s="49"/>
      <c r="M49" s="77" t="s">
        <v>99</v>
      </c>
      <c r="N49" s="50"/>
      <c r="O49" s="49"/>
      <c r="Y49" s="77" t="s">
        <v>99</v>
      </c>
      <c r="Z49" s="50"/>
      <c r="AA49" s="49"/>
      <c r="AK49" s="77" t="s">
        <v>99</v>
      </c>
      <c r="AL49" s="50"/>
      <c r="AM49" s="49"/>
      <c r="AW49" s="77" t="s">
        <v>99</v>
      </c>
      <c r="AX49" s="50"/>
      <c r="AY49" s="49"/>
      <c r="BI49" s="77" t="s">
        <v>99</v>
      </c>
      <c r="BJ49" s="50"/>
      <c r="BK49" s="49"/>
    </row>
    <row r="50" spans="1:71" x14ac:dyDescent="0.25">
      <c r="A50" s="49" t="s">
        <v>118</v>
      </c>
      <c r="B50" s="50" t="e">
        <f ca="1">IF(B32=0,NA(),B46)</f>
        <v>#N/A</v>
      </c>
      <c r="C50" s="49" t="s">
        <v>10</v>
      </c>
      <c r="M50" s="49" t="s">
        <v>118</v>
      </c>
      <c r="N50" s="50" t="e">
        <f ca="1">IF(N32=0,NA(),N46)</f>
        <v>#N/A</v>
      </c>
      <c r="O50" s="49" t="s">
        <v>10</v>
      </c>
      <c r="Y50" s="49" t="s">
        <v>118</v>
      </c>
      <c r="Z50" s="50" t="e">
        <f ca="1">IF(Z32=0,NA(),Z46)</f>
        <v>#N/A</v>
      </c>
      <c r="AA50" s="49" t="s">
        <v>10</v>
      </c>
      <c r="AK50" s="49" t="s">
        <v>118</v>
      </c>
      <c r="AL50" s="50" t="e">
        <f ca="1">IF(AL32=0,NA(),AL46)</f>
        <v>#N/A</v>
      </c>
      <c r="AM50" s="49" t="s">
        <v>10</v>
      </c>
      <c r="AW50" s="49" t="s">
        <v>118</v>
      </c>
      <c r="AX50" s="50" t="e">
        <f ca="1">IF(AX32=0,NA(),AX46)</f>
        <v>#N/A</v>
      </c>
      <c r="AY50" s="49" t="s">
        <v>10</v>
      </c>
      <c r="BI50" s="49" t="s">
        <v>118</v>
      </c>
      <c r="BJ50" s="50" t="e">
        <f ca="1">IF(BJ32=0,NA(),BJ46)</f>
        <v>#N/A</v>
      </c>
      <c r="BK50" s="49" t="s">
        <v>10</v>
      </c>
    </row>
    <row r="51" spans="1:71" x14ac:dyDescent="0.25">
      <c r="A51" s="77" t="s">
        <v>108</v>
      </c>
      <c r="B51" s="50"/>
      <c r="C51" s="49"/>
      <c r="M51" s="77" t="s">
        <v>108</v>
      </c>
      <c r="N51" s="50"/>
      <c r="O51" s="49"/>
      <c r="Y51" s="77" t="s">
        <v>108</v>
      </c>
      <c r="Z51" s="50"/>
      <c r="AA51" s="49"/>
      <c r="AK51" s="77" t="s">
        <v>108</v>
      </c>
      <c r="AL51" s="50"/>
      <c r="AM51" s="49"/>
      <c r="AW51" s="77" t="s">
        <v>108</v>
      </c>
      <c r="AX51" s="50"/>
      <c r="AY51" s="49"/>
      <c r="BI51" s="77" t="s">
        <v>108</v>
      </c>
      <c r="BJ51" s="50"/>
      <c r="BK51" s="49"/>
    </row>
    <row r="52" spans="1:71" x14ac:dyDescent="0.25">
      <c r="A52" s="49" t="s">
        <v>109</v>
      </c>
      <c r="B52" s="50" t="e">
        <f ca="1">IF(B36=1,B46,NA())</f>
        <v>#N/A</v>
      </c>
      <c r="C52" s="49"/>
      <c r="M52" s="49" t="s">
        <v>109</v>
      </c>
      <c r="N52" s="50" t="e">
        <f ca="1">IF(N36=1,N46,NA())</f>
        <v>#N/A</v>
      </c>
      <c r="O52" s="49"/>
      <c r="Y52" s="49" t="s">
        <v>109</v>
      </c>
      <c r="Z52" s="50" t="e">
        <f ca="1">IF(Z36=1,Z46,NA())</f>
        <v>#N/A</v>
      </c>
      <c r="AA52" s="49"/>
      <c r="AK52" s="49" t="s">
        <v>109</v>
      </c>
      <c r="AL52" s="50" t="e">
        <f ca="1">IF(AL36=1,AL46,NA())</f>
        <v>#N/A</v>
      </c>
      <c r="AM52" s="49"/>
      <c r="AW52" s="49" t="s">
        <v>109</v>
      </c>
      <c r="AX52" s="50" t="e">
        <f ca="1">IF(AX36=1,AX46,NA())</f>
        <v>#N/A</v>
      </c>
      <c r="AY52" s="49"/>
      <c r="BI52" s="49" t="s">
        <v>109</v>
      </c>
      <c r="BJ52" s="50" t="e">
        <f ca="1">IF(BJ36=1,BJ46,NA())</f>
        <v>#N/A</v>
      </c>
      <c r="BK52" s="49"/>
    </row>
    <row r="53" spans="1:71" x14ac:dyDescent="0.25">
      <c r="A53" s="77" t="s">
        <v>110</v>
      </c>
      <c r="B53" s="50"/>
      <c r="C53" s="49"/>
      <c r="M53" s="77" t="s">
        <v>110</v>
      </c>
      <c r="N53" s="50"/>
      <c r="O53" s="49"/>
      <c r="Y53" s="77" t="s">
        <v>110</v>
      </c>
      <c r="Z53" s="50"/>
      <c r="AA53" s="49"/>
      <c r="AK53" s="77" t="s">
        <v>110</v>
      </c>
      <c r="AL53" s="50"/>
      <c r="AM53" s="49"/>
      <c r="AW53" s="77" t="s">
        <v>110</v>
      </c>
      <c r="AX53" s="50"/>
      <c r="AY53" s="49"/>
      <c r="BI53" s="77" t="s">
        <v>110</v>
      </c>
      <c r="BJ53" s="50"/>
      <c r="BK53" s="49"/>
    </row>
    <row r="54" spans="1:71" x14ac:dyDescent="0.25">
      <c r="A54" s="49" t="s">
        <v>111</v>
      </c>
      <c r="B54" s="50">
        <f ca="1">IF(B38=0,NA(),B46)</f>
        <v>28.624299202625203</v>
      </c>
      <c r="C54" s="49" t="s">
        <v>10</v>
      </c>
      <c r="M54" s="49" t="s">
        <v>111</v>
      </c>
      <c r="N54" s="50" t="e">
        <f ca="1">IF(N38=0,NA(),N46)</f>
        <v>#N/A</v>
      </c>
      <c r="O54" s="49" t="s">
        <v>10</v>
      </c>
      <c r="Y54" s="49" t="s">
        <v>111</v>
      </c>
      <c r="Z54" s="50" t="e">
        <f ca="1">IF(Z38=0,NA(),Z46)</f>
        <v>#N/A</v>
      </c>
      <c r="AA54" s="49" t="s">
        <v>10</v>
      </c>
      <c r="AK54" s="49" t="s">
        <v>111</v>
      </c>
      <c r="AL54" s="50" t="e">
        <f ca="1">IF(AL38=0,NA(),AL46)</f>
        <v>#N/A</v>
      </c>
      <c r="AM54" s="49" t="s">
        <v>10</v>
      </c>
      <c r="AW54" s="49" t="s">
        <v>111</v>
      </c>
      <c r="AX54" s="50" t="e">
        <f ca="1">IF(AX38=0,NA(),AX46)</f>
        <v>#N/A</v>
      </c>
      <c r="AY54" s="49" t="s">
        <v>10</v>
      </c>
      <c r="BI54" s="49" t="s">
        <v>111</v>
      </c>
      <c r="BJ54" s="50" t="e">
        <f ca="1">IF(BJ38=0,NA(),BJ46)</f>
        <v>#N/A</v>
      </c>
      <c r="BK54" s="49" t="s">
        <v>10</v>
      </c>
    </row>
    <row r="55" spans="1:71" ht="18.75" x14ac:dyDescent="0.3">
      <c r="A55" s="23" t="s">
        <v>66</v>
      </c>
      <c r="B55" s="23"/>
      <c r="C55" s="23"/>
      <c r="D55" s="23"/>
      <c r="E55" s="23"/>
      <c r="F55" s="32"/>
      <c r="G55" s="32"/>
      <c r="H55" s="32"/>
      <c r="I55" s="32"/>
      <c r="J55" s="32"/>
      <c r="K55" s="32"/>
      <c r="M55" s="23" t="s">
        <v>66</v>
      </c>
      <c r="N55" s="23"/>
      <c r="O55" s="23"/>
      <c r="P55" s="23"/>
      <c r="Q55" s="23"/>
      <c r="R55" s="32"/>
      <c r="S55" s="32"/>
      <c r="T55" s="32"/>
      <c r="U55" s="32"/>
      <c r="V55" s="32"/>
      <c r="W55" s="32"/>
      <c r="Y55" s="23" t="s">
        <v>66</v>
      </c>
      <c r="Z55" s="23"/>
      <c r="AA55" s="23"/>
      <c r="AB55" s="23"/>
      <c r="AC55" s="23"/>
      <c r="AD55" s="32"/>
      <c r="AE55" s="32"/>
      <c r="AF55" s="32"/>
      <c r="AG55" s="32"/>
      <c r="AH55" s="32"/>
      <c r="AI55" s="32"/>
      <c r="AK55" s="23" t="s">
        <v>66</v>
      </c>
      <c r="AL55" s="23"/>
      <c r="AM55" s="23"/>
      <c r="AN55" s="23"/>
      <c r="AO55" s="23"/>
      <c r="AP55" s="32"/>
      <c r="AQ55" s="32"/>
      <c r="AR55" s="32"/>
      <c r="AS55" s="32"/>
      <c r="AT55" s="32"/>
      <c r="AU55" s="32"/>
      <c r="AW55" s="23" t="s">
        <v>66</v>
      </c>
      <c r="AX55" s="23"/>
      <c r="AY55" s="23"/>
      <c r="AZ55" s="23"/>
      <c r="BA55" s="23"/>
      <c r="BB55" s="32"/>
      <c r="BC55" s="32"/>
      <c r="BD55" s="32"/>
      <c r="BE55" s="32"/>
      <c r="BF55" s="32"/>
      <c r="BG55" s="32"/>
      <c r="BI55" s="23" t="s">
        <v>66</v>
      </c>
      <c r="BJ55" s="23"/>
      <c r="BK55" s="23"/>
      <c r="BL55" s="23"/>
      <c r="BM55" s="23"/>
      <c r="BN55" s="32"/>
      <c r="BO55" s="32"/>
      <c r="BP55" s="32"/>
      <c r="BQ55" s="32"/>
      <c r="BR55" s="32"/>
      <c r="BS55" s="32"/>
    </row>
    <row r="56" spans="1:71" x14ac:dyDescent="0.25">
      <c r="A56" t="s">
        <v>65</v>
      </c>
      <c r="B56" s="6">
        <v>0.13239999999999999</v>
      </c>
      <c r="C56">
        <v>51.45</v>
      </c>
      <c r="D56" t="s">
        <v>62</v>
      </c>
      <c r="E56" t="s">
        <v>9</v>
      </c>
      <c r="M56" t="s">
        <v>65</v>
      </c>
      <c r="N56" s="6">
        <v>0.13239999999999999</v>
      </c>
      <c r="O56">
        <v>51.45</v>
      </c>
      <c r="P56" t="s">
        <v>62</v>
      </c>
      <c r="Q56" t="s">
        <v>9</v>
      </c>
      <c r="Y56" t="s">
        <v>65</v>
      </c>
      <c r="Z56" s="6">
        <v>0.13239999999999999</v>
      </c>
      <c r="AA56">
        <v>51.45</v>
      </c>
      <c r="AB56" t="s">
        <v>62</v>
      </c>
      <c r="AC56" t="s">
        <v>9</v>
      </c>
      <c r="AK56" t="s">
        <v>65</v>
      </c>
      <c r="AL56" s="6">
        <v>0.13239999999999999</v>
      </c>
      <c r="AM56">
        <v>51.45</v>
      </c>
      <c r="AN56" t="s">
        <v>62</v>
      </c>
      <c r="AO56" t="s">
        <v>9</v>
      </c>
      <c r="AW56" t="s">
        <v>65</v>
      </c>
      <c r="AX56" s="6">
        <v>0.13239999999999999</v>
      </c>
      <c r="AY56">
        <v>51.45</v>
      </c>
      <c r="AZ56" t="s">
        <v>62</v>
      </c>
      <c r="BA56" t="s">
        <v>9</v>
      </c>
      <c r="BI56" t="s">
        <v>65</v>
      </c>
      <c r="BJ56" s="6">
        <v>0.13239999999999999</v>
      </c>
      <c r="BK56">
        <v>51.45</v>
      </c>
      <c r="BL56" t="s">
        <v>62</v>
      </c>
      <c r="BM56" t="s">
        <v>9</v>
      </c>
    </row>
    <row r="57" spans="1:71" x14ac:dyDescent="0.25">
      <c r="A57" t="s">
        <v>126</v>
      </c>
      <c r="B57" s="6">
        <v>0.318</v>
      </c>
      <c r="C57" s="91">
        <v>4729.8999999999996</v>
      </c>
      <c r="D57" s="92" t="s">
        <v>127</v>
      </c>
      <c r="M57" t="s">
        <v>126</v>
      </c>
      <c r="N57" s="6">
        <v>0.318</v>
      </c>
      <c r="O57" s="91">
        <v>4729.8999999999996</v>
      </c>
      <c r="P57" s="92" t="s">
        <v>127</v>
      </c>
      <c r="Y57" t="s">
        <v>126</v>
      </c>
      <c r="Z57" s="6">
        <v>0.318</v>
      </c>
      <c r="AA57" s="91">
        <v>4729.8999999999996</v>
      </c>
      <c r="AB57" s="92" t="s">
        <v>127</v>
      </c>
      <c r="AK57" t="s">
        <v>126</v>
      </c>
      <c r="AL57" s="6">
        <v>0.318</v>
      </c>
      <c r="AM57" s="91">
        <v>4729.8999999999996</v>
      </c>
      <c r="AN57" s="92" t="s">
        <v>127</v>
      </c>
      <c r="AW57" t="s">
        <v>126</v>
      </c>
      <c r="AX57" s="6">
        <v>0.318</v>
      </c>
      <c r="AY57" s="91">
        <v>4729.8999999999996</v>
      </c>
      <c r="AZ57" s="92" t="s">
        <v>127</v>
      </c>
      <c r="BI57" t="s">
        <v>126</v>
      </c>
      <c r="BJ57" s="6">
        <v>0.318</v>
      </c>
      <c r="BK57" s="91">
        <v>4729.8999999999996</v>
      </c>
      <c r="BL57" s="92" t="s">
        <v>127</v>
      </c>
    </row>
    <row r="58" spans="1:71" x14ac:dyDescent="0.25">
      <c r="A58" t="s">
        <v>128</v>
      </c>
      <c r="B58" s="6">
        <f ca="1">IF(B20="Kentucky",B57,B56)</f>
        <v>0.13239999999999999</v>
      </c>
      <c r="C58" s="6">
        <f ca="1">IF(B20="Kentucky",C57,C56)</f>
        <v>51.45</v>
      </c>
      <c r="D58" s="92"/>
      <c r="M58" t="s">
        <v>128</v>
      </c>
      <c r="N58" s="6">
        <f ca="1">B58</f>
        <v>0.13239999999999999</v>
      </c>
      <c r="O58" s="6">
        <f ca="1">C58</f>
        <v>51.45</v>
      </c>
      <c r="P58" s="92"/>
      <c r="Y58" t="s">
        <v>128</v>
      </c>
      <c r="Z58" s="6">
        <f ca="1">N58</f>
        <v>0.13239999999999999</v>
      </c>
      <c r="AA58" s="6">
        <f ca="1">O58</f>
        <v>51.45</v>
      </c>
      <c r="AB58" s="92"/>
      <c r="AK58" t="s">
        <v>128</v>
      </c>
      <c r="AL58" s="6">
        <f ca="1">Z58</f>
        <v>0.13239999999999999</v>
      </c>
      <c r="AM58" s="6">
        <f ca="1">AA58</f>
        <v>51.45</v>
      </c>
      <c r="AN58" s="92"/>
      <c r="AW58" t="s">
        <v>128</v>
      </c>
      <c r="AX58" s="6">
        <f ca="1">AL58</f>
        <v>0.13239999999999999</v>
      </c>
      <c r="AY58" s="6">
        <f ca="1">AM58</f>
        <v>51.45</v>
      </c>
      <c r="AZ58" s="92"/>
      <c r="BI58" t="s">
        <v>128</v>
      </c>
      <c r="BJ58" s="6">
        <f ca="1">AX58</f>
        <v>0.13239999999999999</v>
      </c>
      <c r="BK58" s="6">
        <f ca="1">AY58</f>
        <v>51.45</v>
      </c>
      <c r="BL58" s="92"/>
    </row>
    <row r="59" spans="1:71" ht="18.75" x14ac:dyDescent="0.3">
      <c r="A59" s="34" t="s">
        <v>75</v>
      </c>
      <c r="B59" s="35"/>
      <c r="C59" s="35"/>
      <c r="D59" s="35"/>
      <c r="E59" s="35"/>
      <c r="F59" s="33"/>
      <c r="G59" s="33"/>
      <c r="H59" s="33"/>
      <c r="I59" s="33"/>
      <c r="J59" s="33"/>
      <c r="K59" s="33"/>
      <c r="M59" s="34" t="s">
        <v>75</v>
      </c>
      <c r="N59" s="35"/>
      <c r="O59" s="35"/>
      <c r="P59" s="35"/>
      <c r="Q59" s="35"/>
      <c r="R59" s="33"/>
      <c r="S59" s="33"/>
      <c r="T59" s="33"/>
      <c r="U59" s="33"/>
      <c r="V59" s="33"/>
      <c r="W59" s="33"/>
      <c r="Y59" s="34" t="s">
        <v>75</v>
      </c>
      <c r="Z59" s="35"/>
      <c r="AA59" s="35"/>
      <c r="AB59" s="35"/>
      <c r="AC59" s="35"/>
      <c r="AD59" s="33"/>
      <c r="AE59" s="33"/>
      <c r="AF59" s="33"/>
      <c r="AG59" s="33"/>
      <c r="AH59" s="33"/>
      <c r="AI59" s="33"/>
      <c r="AK59" s="34" t="s">
        <v>75</v>
      </c>
      <c r="AL59" s="35"/>
      <c r="AM59" s="35"/>
      <c r="AN59" s="35"/>
      <c r="AO59" s="35"/>
      <c r="AP59" s="33"/>
      <c r="AQ59" s="33"/>
      <c r="AR59" s="33"/>
      <c r="AS59" s="33"/>
      <c r="AT59" s="33"/>
      <c r="AU59" s="33"/>
      <c r="AW59" s="34" t="s">
        <v>75</v>
      </c>
      <c r="AX59" s="35"/>
      <c r="AY59" s="35"/>
      <c r="AZ59" s="35"/>
      <c r="BA59" s="35"/>
      <c r="BB59" s="33"/>
      <c r="BC59" s="33"/>
      <c r="BD59" s="33"/>
      <c r="BE59" s="33"/>
      <c r="BF59" s="33"/>
      <c r="BG59" s="33"/>
      <c r="BI59" s="34" t="s">
        <v>75</v>
      </c>
      <c r="BJ59" s="35"/>
      <c r="BK59" s="35"/>
      <c r="BL59" s="35"/>
      <c r="BM59" s="35"/>
      <c r="BN59" s="33"/>
      <c r="BO59" s="33"/>
      <c r="BP59" s="33"/>
      <c r="BQ59" s="33"/>
      <c r="BR59" s="33"/>
      <c r="BS59" s="33"/>
    </row>
    <row r="60" spans="1:71" x14ac:dyDescent="0.25">
      <c r="A60" t="s">
        <v>70</v>
      </c>
      <c r="B60" s="8">
        <f ca="1">B46</f>
        <v>28.624299202625203</v>
      </c>
      <c r="C60" t="s">
        <v>10</v>
      </c>
      <c r="D60" t="s">
        <v>6</v>
      </c>
      <c r="E60" t="s">
        <v>20</v>
      </c>
      <c r="M60" t="s">
        <v>70</v>
      </c>
      <c r="N60" s="8">
        <f ca="1">N46</f>
        <v>28.624299202625203</v>
      </c>
      <c r="O60" t="s">
        <v>10</v>
      </c>
      <c r="P60" t="s">
        <v>6</v>
      </c>
      <c r="Q60" t="s">
        <v>20</v>
      </c>
      <c r="Y60" t="s">
        <v>70</v>
      </c>
      <c r="Z60" s="8">
        <f ca="1">Z46</f>
        <v>28.624299202625203</v>
      </c>
      <c r="AA60" t="s">
        <v>10</v>
      </c>
      <c r="AB60" t="s">
        <v>6</v>
      </c>
      <c r="AC60" t="s">
        <v>20</v>
      </c>
      <c r="AK60" t="s">
        <v>70</v>
      </c>
      <c r="AL60" s="8">
        <f ca="1">AL46</f>
        <v>3.1675844272332195E-3</v>
      </c>
      <c r="AM60" t="s">
        <v>10</v>
      </c>
      <c r="AN60" t="s">
        <v>6</v>
      </c>
      <c r="AO60" t="s">
        <v>20</v>
      </c>
      <c r="AW60" t="s">
        <v>70</v>
      </c>
      <c r="AX60" s="8">
        <f ca="1">AX46</f>
        <v>3.1675844272332195E-3</v>
      </c>
      <c r="AY60" t="s">
        <v>10</v>
      </c>
      <c r="AZ60" t="s">
        <v>6</v>
      </c>
      <c r="BA60" t="s">
        <v>20</v>
      </c>
      <c r="BI60" t="s">
        <v>70</v>
      </c>
      <c r="BJ60" s="8">
        <f ca="1">BJ46</f>
        <v>3.1675844272332195E-3</v>
      </c>
      <c r="BK60" t="s">
        <v>10</v>
      </c>
      <c r="BL60" t="s">
        <v>6</v>
      </c>
      <c r="BM60" t="s">
        <v>20</v>
      </c>
    </row>
    <row r="61" spans="1:71" x14ac:dyDescent="0.25">
      <c r="A61" t="s">
        <v>32</v>
      </c>
      <c r="B61" s="53">
        <v>1.6000000000000001E-4</v>
      </c>
      <c r="D61" t="s">
        <v>4</v>
      </c>
      <c r="E61" t="s">
        <v>20</v>
      </c>
      <c r="F61" s="25"/>
      <c r="M61" t="s">
        <v>32</v>
      </c>
      <c r="N61" s="53">
        <f>B61</f>
        <v>1.6000000000000001E-4</v>
      </c>
      <c r="P61" t="s">
        <v>4</v>
      </c>
      <c r="Q61" t="s">
        <v>20</v>
      </c>
      <c r="R61" s="25"/>
      <c r="Y61" t="s">
        <v>32</v>
      </c>
      <c r="Z61" s="53">
        <f>N61</f>
        <v>1.6000000000000001E-4</v>
      </c>
      <c r="AB61" t="s">
        <v>4</v>
      </c>
      <c r="AC61" t="s">
        <v>20</v>
      </c>
      <c r="AD61" s="25"/>
      <c r="AK61" t="s">
        <v>32</v>
      </c>
      <c r="AL61" s="106">
        <f>0.00000055</f>
        <v>5.5000000000000003E-7</v>
      </c>
      <c r="AN61" t="s">
        <v>4</v>
      </c>
      <c r="AO61" t="s">
        <v>20</v>
      </c>
      <c r="AP61" s="25"/>
      <c r="AW61" t="s">
        <v>32</v>
      </c>
      <c r="AX61" s="106">
        <f>AL61</f>
        <v>5.5000000000000003E-7</v>
      </c>
      <c r="AZ61" t="s">
        <v>4</v>
      </c>
      <c r="BA61" t="s">
        <v>20</v>
      </c>
      <c r="BB61" s="25"/>
      <c r="BI61" t="s">
        <v>32</v>
      </c>
      <c r="BJ61" s="106">
        <f>AX61</f>
        <v>5.5000000000000003E-7</v>
      </c>
      <c r="BL61" t="s">
        <v>4</v>
      </c>
      <c r="BM61" t="s">
        <v>20</v>
      </c>
      <c r="BN61" s="25"/>
    </row>
    <row r="62" spans="1:71" x14ac:dyDescent="0.25">
      <c r="A62" t="s">
        <v>33</v>
      </c>
      <c r="B62">
        <v>1</v>
      </c>
      <c r="C62" t="s">
        <v>68</v>
      </c>
      <c r="M62" t="s">
        <v>33</v>
      </c>
      <c r="N62">
        <v>1</v>
      </c>
      <c r="O62" t="s">
        <v>68</v>
      </c>
      <c r="Y62" t="s">
        <v>33</v>
      </c>
      <c r="Z62">
        <v>1</v>
      </c>
      <c r="AA62" t="s">
        <v>68</v>
      </c>
      <c r="AK62" t="s">
        <v>33</v>
      </c>
      <c r="AL62">
        <v>1</v>
      </c>
      <c r="AM62" t="s">
        <v>68</v>
      </c>
      <c r="AW62" t="s">
        <v>33</v>
      </c>
      <c r="AX62">
        <v>1</v>
      </c>
      <c r="AY62" t="s">
        <v>68</v>
      </c>
      <c r="BI62" t="s">
        <v>33</v>
      </c>
      <c r="BJ62">
        <v>1</v>
      </c>
      <c r="BK62" t="s">
        <v>68</v>
      </c>
    </row>
    <row r="63" spans="1:71" x14ac:dyDescent="0.25">
      <c r="A63" s="20" t="s">
        <v>98</v>
      </c>
      <c r="B63" s="51">
        <f ca="1">IF(B62=1,B60*B61,B60)</f>
        <v>4.5798878724200324E-3</v>
      </c>
      <c r="C63" s="20" t="s">
        <v>10</v>
      </c>
      <c r="D63" t="s">
        <v>6</v>
      </c>
      <c r="E63" t="s">
        <v>20</v>
      </c>
      <c r="M63" s="20" t="s">
        <v>98</v>
      </c>
      <c r="N63" s="51">
        <f ca="1">IF(N62=1,N60*N61,N60)</f>
        <v>4.5798878724200324E-3</v>
      </c>
      <c r="O63" s="20" t="s">
        <v>10</v>
      </c>
      <c r="P63" t="s">
        <v>6</v>
      </c>
      <c r="Q63" t="s">
        <v>20</v>
      </c>
      <c r="Y63" s="20" t="s">
        <v>98</v>
      </c>
      <c r="Z63" s="51">
        <f ca="1">IF(Z62=1,Z60*Z61,Z60)</f>
        <v>4.5798878724200324E-3</v>
      </c>
      <c r="AA63" s="20" t="s">
        <v>10</v>
      </c>
      <c r="AB63" t="s">
        <v>6</v>
      </c>
      <c r="AC63" t="s">
        <v>20</v>
      </c>
      <c r="AK63" s="20" t="s">
        <v>98</v>
      </c>
      <c r="AL63" s="51">
        <f ca="1">IF(AL62=1,AL60*AL61,AL60)</f>
        <v>1.7421714349782709E-9</v>
      </c>
      <c r="AM63" s="20" t="s">
        <v>10</v>
      </c>
      <c r="AN63" t="s">
        <v>6</v>
      </c>
      <c r="AO63" t="s">
        <v>20</v>
      </c>
      <c r="AW63" s="20" t="s">
        <v>98</v>
      </c>
      <c r="AX63" s="51">
        <f ca="1">IF(AX62=1,AX60*AX61,AX60)</f>
        <v>1.7421714349782709E-9</v>
      </c>
      <c r="AY63" s="20" t="s">
        <v>10</v>
      </c>
      <c r="AZ63" t="s">
        <v>6</v>
      </c>
      <c r="BA63" t="s">
        <v>20</v>
      </c>
      <c r="BI63" s="20" t="s">
        <v>98</v>
      </c>
      <c r="BJ63" s="51">
        <f ca="1">IF(BJ62=1,BJ60*BJ61,BJ60)</f>
        <v>1.7421714349782709E-9</v>
      </c>
      <c r="BK63" s="20" t="s">
        <v>10</v>
      </c>
      <c r="BL63" t="s">
        <v>6</v>
      </c>
      <c r="BM63" t="s">
        <v>20</v>
      </c>
    </row>
    <row r="64" spans="1:71" x14ac:dyDescent="0.25">
      <c r="A64" s="78" t="str">
        <f>A47&amp;" (after scaling factor)"</f>
        <v>Level under the threshold (after scaling factor)</v>
      </c>
      <c r="B64" s="79" t="e">
        <f ca="1">B47*B61</f>
        <v>#N/A</v>
      </c>
      <c r="C64" s="78" t="s">
        <v>10</v>
      </c>
      <c r="D64" t="s">
        <v>63</v>
      </c>
      <c r="J64" s="7"/>
      <c r="M64" s="78" t="str">
        <f>M47&amp;" (after scaling factor)"</f>
        <v>Level under the threshold (after scaling factor)</v>
      </c>
      <c r="N64" s="79">
        <f ca="1">N47*N61</f>
        <v>4.5798878724200324E-3</v>
      </c>
      <c r="O64" s="78" t="s">
        <v>10</v>
      </c>
      <c r="P64" t="s">
        <v>63</v>
      </c>
      <c r="V64" s="7"/>
      <c r="Y64" s="78" t="str">
        <f>Y47&amp;" (after scaling factor)"</f>
        <v>Level under the threshold (after scaling factor)</v>
      </c>
      <c r="Z64" s="79">
        <f ca="1">Z47*Z61</f>
        <v>4.5798878724200324E-3</v>
      </c>
      <c r="AA64" s="78" t="s">
        <v>10</v>
      </c>
      <c r="AB64" t="s">
        <v>63</v>
      </c>
      <c r="AH64" s="7"/>
      <c r="AK64" s="78" t="str">
        <f>AK47&amp;" (after scaling factor)"</f>
        <v>Level under the threshold (after scaling factor)</v>
      </c>
      <c r="AL64" s="79">
        <f ca="1">AL47*AL61</f>
        <v>1.7421714349782709E-9</v>
      </c>
      <c r="AM64" s="78" t="s">
        <v>10</v>
      </c>
      <c r="AN64" t="s">
        <v>63</v>
      </c>
      <c r="AT64" s="7"/>
      <c r="AW64" s="78" t="str">
        <f>AW47&amp;" (after scaling factor)"</f>
        <v>Level under the threshold (after scaling factor)</v>
      </c>
      <c r="AX64" s="79">
        <f ca="1">AX47*AX61</f>
        <v>1.7421714349782709E-9</v>
      </c>
      <c r="AY64" s="78" t="s">
        <v>10</v>
      </c>
      <c r="AZ64" t="s">
        <v>63</v>
      </c>
      <c r="BF64" s="7"/>
      <c r="BI64" s="78" t="str">
        <f>BI47&amp;" (after scaling factor)"</f>
        <v>Level under the threshold (after scaling factor)</v>
      </c>
      <c r="BJ64" s="79">
        <f ca="1">BJ47*BJ61</f>
        <v>1.7421714349782709E-9</v>
      </c>
      <c r="BK64" s="78" t="s">
        <v>10</v>
      </c>
      <c r="BL64" t="s">
        <v>63</v>
      </c>
      <c r="BR64" s="7"/>
    </row>
    <row r="65" spans="1:71" x14ac:dyDescent="0.25">
      <c r="A65" s="78" t="str">
        <f>A48&amp;" (after scaling factor)"</f>
        <v>Level over the threshold (after scaling factor)</v>
      </c>
      <c r="B65" s="79">
        <f ca="1">B48*B61</f>
        <v>4.5798878724200324E-3</v>
      </c>
      <c r="C65" s="78" t="s">
        <v>10</v>
      </c>
      <c r="M65" s="78" t="str">
        <f>M48&amp;" (after scaling factor)"</f>
        <v>Level over the threshold (after scaling factor)</v>
      </c>
      <c r="N65" s="79" t="e">
        <f ca="1">N48*N61</f>
        <v>#N/A</v>
      </c>
      <c r="O65" s="78" t="s">
        <v>10</v>
      </c>
      <c r="Y65" s="78" t="str">
        <f>Y48&amp;" (after scaling factor)"</f>
        <v>Level over the threshold (after scaling factor)</v>
      </c>
      <c r="Z65" s="79" t="e">
        <f ca="1">Z48*Z61</f>
        <v>#N/A</v>
      </c>
      <c r="AA65" s="78" t="s">
        <v>10</v>
      </c>
      <c r="AK65" s="78" t="str">
        <f>AK48&amp;" (after scaling factor)"</f>
        <v>Level over the threshold (after scaling factor)</v>
      </c>
      <c r="AL65" s="79" t="e">
        <f ca="1">AL48*AL61</f>
        <v>#N/A</v>
      </c>
      <c r="AM65" s="78" t="s">
        <v>10</v>
      </c>
      <c r="AW65" s="78" t="str">
        <f>AW48&amp;" (after scaling factor)"</f>
        <v>Level over the threshold (after scaling factor)</v>
      </c>
      <c r="AX65" s="79" t="e">
        <f ca="1">AX48*AX61</f>
        <v>#N/A</v>
      </c>
      <c r="AY65" s="78" t="s">
        <v>10</v>
      </c>
      <c r="BI65" s="78" t="str">
        <f>BI48&amp;" (after scaling factor)"</f>
        <v>Level over the threshold (after scaling factor)</v>
      </c>
      <c r="BJ65" s="79" t="e">
        <f ca="1">BJ48*BJ61</f>
        <v>#N/A</v>
      </c>
      <c r="BK65" s="78" t="s">
        <v>10</v>
      </c>
    </row>
    <row r="66" spans="1:71" x14ac:dyDescent="0.25">
      <c r="A66" s="49" t="str">
        <f>A50&amp; " (after scaling factor)"</f>
        <v>Inclusion list &amp; level over the threshold (after scaling factor)</v>
      </c>
      <c r="B66" s="50" t="e">
        <f ca="1">B50*B$61</f>
        <v>#N/A</v>
      </c>
      <c r="C66" s="49" t="s">
        <v>10</v>
      </c>
      <c r="M66" s="49" t="str">
        <f>M50&amp; " (after scaling factor)"</f>
        <v>Inclusion list &amp; level over the threshold (after scaling factor)</v>
      </c>
      <c r="N66" s="50" t="e">
        <f ca="1">N50*N$61</f>
        <v>#N/A</v>
      </c>
      <c r="O66" s="49" t="s">
        <v>10</v>
      </c>
      <c r="Y66" s="49" t="str">
        <f>Y50&amp; " (after scaling factor)"</f>
        <v>Inclusion list &amp; level over the threshold (after scaling factor)</v>
      </c>
      <c r="Z66" s="50" t="e">
        <f ca="1">Z50*Z$61</f>
        <v>#N/A</v>
      </c>
      <c r="AA66" s="49" t="s">
        <v>10</v>
      </c>
      <c r="AK66" s="49" t="str">
        <f>AK50&amp; " (after scaling factor)"</f>
        <v>Inclusion list &amp; level over the threshold (after scaling factor)</v>
      </c>
      <c r="AL66" s="50" t="e">
        <f ca="1">AL50*AL$61</f>
        <v>#N/A</v>
      </c>
      <c r="AM66" s="49" t="s">
        <v>10</v>
      </c>
      <c r="AW66" s="49" t="str">
        <f>AW50&amp; " (after scaling factor)"</f>
        <v>Inclusion list &amp; level over the threshold (after scaling factor)</v>
      </c>
      <c r="AX66" s="50" t="e">
        <f ca="1">AX50*AX$61</f>
        <v>#N/A</v>
      </c>
      <c r="AY66" s="49" t="s">
        <v>10</v>
      </c>
      <c r="BI66" s="49" t="str">
        <f>BI50&amp; " (after scaling factor)"</f>
        <v>Inclusion list &amp; level over the threshold (after scaling factor)</v>
      </c>
      <c r="BJ66" s="50" t="e">
        <f ca="1">BJ50*BJ$61</f>
        <v>#N/A</v>
      </c>
      <c r="BK66" s="49" t="s">
        <v>10</v>
      </c>
    </row>
    <row r="67" spans="1:71" x14ac:dyDescent="0.25">
      <c r="A67" s="49" t="str">
        <f>A52&amp; " (after scaling factor)"</f>
        <v>Serotype Kentucky &amp; level over the threshold (after scaling factor)</v>
      </c>
      <c r="B67" s="50" t="e">
        <f ca="1">B52*B$61</f>
        <v>#N/A</v>
      </c>
      <c r="C67" s="49" t="s">
        <v>10</v>
      </c>
      <c r="M67" s="49" t="str">
        <f>M52&amp; " (after scaling factor)"</f>
        <v>Serotype Kentucky &amp; level over the threshold (after scaling factor)</v>
      </c>
      <c r="N67" s="50" t="e">
        <f ca="1">N52*N$61</f>
        <v>#N/A</v>
      </c>
      <c r="O67" s="49" t="s">
        <v>10</v>
      </c>
      <c r="Y67" s="49" t="str">
        <f>Y52&amp; " (after scaling factor)"</f>
        <v>Serotype Kentucky &amp; level over the threshold (after scaling factor)</v>
      </c>
      <c r="Z67" s="50" t="e">
        <f ca="1">Z52*Z$61</f>
        <v>#N/A</v>
      </c>
      <c r="AA67" s="49" t="s">
        <v>10</v>
      </c>
      <c r="AK67" s="49" t="str">
        <f>AK52&amp; " (after scaling factor)"</f>
        <v>Serotype Kentucky &amp; level over the threshold (after scaling factor)</v>
      </c>
      <c r="AL67" s="50" t="e">
        <f ca="1">AL52*AL$61</f>
        <v>#N/A</v>
      </c>
      <c r="AM67" s="49" t="s">
        <v>10</v>
      </c>
      <c r="AW67" s="49" t="str">
        <f>AW52&amp; " (after scaling factor)"</f>
        <v>Serotype Kentucky &amp; level over the threshold (after scaling factor)</v>
      </c>
      <c r="AX67" s="50" t="e">
        <f ca="1">AX52*AX$61</f>
        <v>#N/A</v>
      </c>
      <c r="AY67" s="49" t="s">
        <v>10</v>
      </c>
      <c r="BI67" s="49" t="str">
        <f>BI52&amp; " (after scaling factor)"</f>
        <v>Serotype Kentucky &amp; level over the threshold (after scaling factor)</v>
      </c>
      <c r="BJ67" s="50" t="e">
        <f ca="1">BJ52*BJ$61</f>
        <v>#N/A</v>
      </c>
      <c r="BK67" s="49" t="s">
        <v>10</v>
      </c>
    </row>
    <row r="68" spans="1:71" x14ac:dyDescent="0.25">
      <c r="A68" s="49" t="str">
        <f>A54&amp; " (after scaling factor)"</f>
        <v>Serotype not Kentucky &amp; level over the threshold (after scaling factor)</v>
      </c>
      <c r="B68" s="50">
        <f ca="1">B54*B61</f>
        <v>4.5798878724200324E-3</v>
      </c>
      <c r="C68" s="49" t="s">
        <v>10</v>
      </c>
      <c r="M68" s="49" t="str">
        <f>M54&amp; " (after scaling factor)"</f>
        <v>Serotype not Kentucky &amp; level over the threshold (after scaling factor)</v>
      </c>
      <c r="N68" s="50" t="e">
        <f ca="1">N54*N61</f>
        <v>#N/A</v>
      </c>
      <c r="O68" s="49" t="s">
        <v>10</v>
      </c>
      <c r="Y68" s="49" t="str">
        <f>Y54&amp; " (after scaling factor)"</f>
        <v>Serotype not Kentucky &amp; level over the threshold (after scaling factor)</v>
      </c>
      <c r="Z68" s="50" t="e">
        <f ca="1">Z54*Z61</f>
        <v>#N/A</v>
      </c>
      <c r="AA68" s="49" t="s">
        <v>10</v>
      </c>
      <c r="AK68" s="49" t="str">
        <f>AK54&amp; " (after scaling factor)"</f>
        <v>Serotype not Kentucky &amp; level over the threshold (after scaling factor)</v>
      </c>
      <c r="AL68" s="50" t="e">
        <f ca="1">AL54*AL61</f>
        <v>#N/A</v>
      </c>
      <c r="AM68" s="49" t="s">
        <v>10</v>
      </c>
      <c r="AW68" s="49" t="str">
        <f>AW54&amp; " (after scaling factor)"</f>
        <v>Serotype not Kentucky &amp; level over the threshold (after scaling factor)</v>
      </c>
      <c r="AX68" s="50" t="e">
        <f ca="1">AX54*AX61</f>
        <v>#N/A</v>
      </c>
      <c r="AY68" s="49" t="s">
        <v>10</v>
      </c>
      <c r="BI68" s="49" t="str">
        <f>BI54&amp; " (after scaling factor)"</f>
        <v>Serotype not Kentucky &amp; level over the threshold (after scaling factor)</v>
      </c>
      <c r="BJ68" s="50" t="e">
        <f ca="1">BJ54*BJ61</f>
        <v>#N/A</v>
      </c>
      <c r="BK68" s="49" t="s">
        <v>10</v>
      </c>
    </row>
    <row r="69" spans="1:71" ht="15.75" x14ac:dyDescent="0.25">
      <c r="A69" s="34" t="s">
        <v>73</v>
      </c>
      <c r="B69" s="63" t="s">
        <v>71</v>
      </c>
      <c r="C69" s="63" t="s">
        <v>72</v>
      </c>
      <c r="D69" s="55"/>
      <c r="E69" s="55"/>
      <c r="F69" s="55"/>
      <c r="G69" s="55"/>
      <c r="H69" s="55"/>
      <c r="I69" s="55"/>
      <c r="J69" s="55"/>
      <c r="K69" s="55"/>
      <c r="M69" s="34" t="s">
        <v>73</v>
      </c>
      <c r="N69" s="63" t="s">
        <v>71</v>
      </c>
      <c r="O69" s="63" t="s">
        <v>72</v>
      </c>
      <c r="P69" s="55"/>
      <c r="Q69" s="55"/>
      <c r="R69" s="55"/>
      <c r="S69" s="55"/>
      <c r="T69" s="55"/>
      <c r="U69" s="55"/>
      <c r="V69" s="55"/>
      <c r="W69" s="55"/>
      <c r="Y69" s="34" t="s">
        <v>73</v>
      </c>
      <c r="Z69" s="63" t="s">
        <v>71</v>
      </c>
      <c r="AA69" s="63" t="s">
        <v>72</v>
      </c>
      <c r="AB69" s="55"/>
      <c r="AC69" s="55"/>
      <c r="AD69" s="55"/>
      <c r="AE69" s="55"/>
      <c r="AF69" s="55"/>
      <c r="AG69" s="55"/>
      <c r="AH69" s="55"/>
      <c r="AI69" s="55"/>
      <c r="AK69" s="34" t="s">
        <v>73</v>
      </c>
      <c r="AL69" s="63" t="s">
        <v>71</v>
      </c>
      <c r="AM69" s="63" t="s">
        <v>72</v>
      </c>
      <c r="AN69" s="55"/>
      <c r="AO69" s="55"/>
      <c r="AP69" s="55"/>
      <c r="AQ69" s="55"/>
      <c r="AR69" s="55"/>
      <c r="AS69" s="55"/>
      <c r="AT69" s="55"/>
      <c r="AU69" s="55"/>
      <c r="AW69" s="34" t="s">
        <v>73</v>
      </c>
      <c r="AX69" s="63" t="s">
        <v>71</v>
      </c>
      <c r="AY69" s="63" t="s">
        <v>72</v>
      </c>
      <c r="AZ69" s="55"/>
      <c r="BA69" s="55"/>
      <c r="BB69" s="55"/>
      <c r="BC69" s="55"/>
      <c r="BD69" s="55"/>
      <c r="BE69" s="55"/>
      <c r="BF69" s="55"/>
      <c r="BG69" s="55"/>
      <c r="BI69" s="34" t="s">
        <v>73</v>
      </c>
      <c r="BJ69" s="63" t="s">
        <v>71</v>
      </c>
      <c r="BK69" s="63" t="s">
        <v>72</v>
      </c>
      <c r="BL69" s="55"/>
      <c r="BM69" s="55"/>
      <c r="BN69" s="55"/>
      <c r="BO69" s="55"/>
      <c r="BP69" s="55"/>
      <c r="BQ69" s="55"/>
      <c r="BR69" s="55"/>
      <c r="BS69" s="55"/>
    </row>
    <row r="70" spans="1:71" x14ac:dyDescent="0.25">
      <c r="A70" s="58" t="s">
        <v>61</v>
      </c>
      <c r="B70" s="61" cm="1">
        <f t="array" aca="1" ref="B70" ca="1">_xll.RiskOutput()+1-(1+(B63/C58))^(-B58)</f>
        <v>1.1785162181143782E-5</v>
      </c>
      <c r="C70" s="62" cm="1">
        <f t="array" aca="1" ref="C70" ca="1">_xll.RiskOutput()+LOG10(B70)</f>
        <v>-4.9286644365684928</v>
      </c>
      <c r="D70" t="s">
        <v>74</v>
      </c>
      <c r="E70" t="s">
        <v>20</v>
      </c>
      <c r="F70" s="20" t="s">
        <v>64</v>
      </c>
      <c r="M70" s="58" t="s">
        <v>61</v>
      </c>
      <c r="N70" s="61" cm="1">
        <f t="array" aca="1" ref="N70" ca="1">_xll.RiskOutput()+1-(1+(N63/O58))^(-N58)</f>
        <v>1.1785162181143782E-5</v>
      </c>
      <c r="O70" s="62" cm="1">
        <f t="array" aca="1" ref="O70" ca="1">_xll.RiskOutput()+LOG10(N70)</f>
        <v>-4.9286644365684928</v>
      </c>
      <c r="P70" t="s">
        <v>74</v>
      </c>
      <c r="Q70" t="s">
        <v>20</v>
      </c>
      <c r="R70" s="20" t="s">
        <v>64</v>
      </c>
      <c r="Y70" s="58" t="s">
        <v>61</v>
      </c>
      <c r="Z70" s="61" cm="1">
        <f t="array" aca="1" ref="Z70" ca="1">_xll.RiskOutput()+1-(1+(Z63/AA58))^(-Z58)</f>
        <v>1.1785162181143782E-5</v>
      </c>
      <c r="AA70" s="62" cm="1">
        <f t="array" aca="1" ref="AA70" ca="1">_xll.RiskOutput()+LOG10(Z70)</f>
        <v>-4.9286644365684928</v>
      </c>
      <c r="AB70" t="s">
        <v>74</v>
      </c>
      <c r="AC70" t="s">
        <v>20</v>
      </c>
      <c r="AD70" s="20" t="s">
        <v>64</v>
      </c>
      <c r="AK70" s="58" t="s">
        <v>61</v>
      </c>
      <c r="AL70" s="61" cm="1">
        <f t="array" aca="1" ref="AL70" ca="1">_xll.RiskOutput()+1-(1+(AL63/AM58))^(-AL58)</f>
        <v>4.4833026180413071E-12</v>
      </c>
      <c r="AM70" s="62" cm="1">
        <f t="array" aca="1" ref="AM70" ca="1">_xll.RiskOutput()+LOG10(AL70)</f>
        <v>-11.348401945740536</v>
      </c>
      <c r="AN70" t="s">
        <v>74</v>
      </c>
      <c r="AO70" t="s">
        <v>20</v>
      </c>
      <c r="AP70" s="20" t="s">
        <v>64</v>
      </c>
      <c r="AW70" s="58" t="s">
        <v>61</v>
      </c>
      <c r="AX70" s="61" cm="1">
        <f t="array" aca="1" ref="AX70" ca="1">_xll.RiskOutput()+1-(1+(AX63/AY58))^(-AX58)</f>
        <v>4.4833026180413071E-12</v>
      </c>
      <c r="AY70" s="62" cm="1">
        <f t="array" aca="1" ref="AY70" ca="1">_xll.RiskOutput()+LOG10(AX70)</f>
        <v>-11.348401945740536</v>
      </c>
      <c r="AZ70" t="s">
        <v>74</v>
      </c>
      <c r="BA70" t="s">
        <v>20</v>
      </c>
      <c r="BB70" s="20" t="s">
        <v>64</v>
      </c>
      <c r="BI70" s="58" t="s">
        <v>61</v>
      </c>
      <c r="BJ70" s="61" cm="1">
        <f t="array" aca="1" ref="BJ70" ca="1">_xll.RiskOutput()+1-(1+(BJ63/BK58))^(-BJ58)</f>
        <v>4.4833026180413071E-12</v>
      </c>
      <c r="BK70" s="62" cm="1">
        <f t="array" aca="1" ref="BK70" ca="1">_xll.RiskOutput()+LOG10(BJ70)</f>
        <v>-11.348401945740536</v>
      </c>
      <c r="BL70" t="s">
        <v>74</v>
      </c>
      <c r="BM70" t="s">
        <v>20</v>
      </c>
      <c r="BN70" s="20" t="s">
        <v>64</v>
      </c>
    </row>
    <row r="71" spans="1:71" x14ac:dyDescent="0.25">
      <c r="A71" s="59" t="s">
        <v>22</v>
      </c>
      <c r="B71" s="60" cm="1">
        <f t="array" aca="1" ref="B71" ca="1">_xll.RiskMean(B70)</f>
        <v>2.074446835577182E-6</v>
      </c>
      <c r="C71" s="57" cm="1">
        <f t="array" aca="1" ref="C71" ca="1">_xll.RiskOutput()+LOG10(B71)</f>
        <v>-5.6830976908959032</v>
      </c>
      <c r="E71" s="20"/>
      <c r="M71" s="59" t="s">
        <v>22</v>
      </c>
      <c r="N71" s="60" cm="1">
        <f t="array" aca="1" ref="N71" ca="1">_xll.RiskMean(N70)</f>
        <v>2.074446835577182E-6</v>
      </c>
      <c r="O71" s="57" cm="1">
        <f t="array" aca="1" ref="O71" ca="1">_xll.RiskOutput()+LOG10(N71)</f>
        <v>-5.6830976908959032</v>
      </c>
      <c r="Q71" s="20"/>
      <c r="Y71" s="59" t="s">
        <v>22</v>
      </c>
      <c r="Z71" s="60" cm="1">
        <f t="array" aca="1" ref="Z71" ca="1">_xll.RiskMean(Z70)</f>
        <v>2.074446835577182E-6</v>
      </c>
      <c r="AA71" s="57" cm="1">
        <f t="array" aca="1" ref="AA71" ca="1">_xll.RiskOutput()+LOG10(Z71)</f>
        <v>-5.6830976908959032</v>
      </c>
      <c r="AC71" s="20"/>
      <c r="AK71" s="59" t="s">
        <v>22</v>
      </c>
      <c r="AL71" s="60" cm="1">
        <f t="array" aca="1" ref="AL71" ca="1">_xll.RiskMean(AL70)</f>
        <v>1.8512427124861485E-6</v>
      </c>
      <c r="AM71" s="57" cm="1">
        <f t="array" aca="1" ref="AM71" ca="1">_xll.RiskOutput()+LOG10(AL71)</f>
        <v>-5.732536638090334</v>
      </c>
      <c r="AO71" s="20"/>
      <c r="AW71" s="59" t="s">
        <v>22</v>
      </c>
      <c r="AX71" s="60" cm="1">
        <f t="array" aca="1" ref="AX71" ca="1">_xll.RiskMean(AX70)</f>
        <v>1.8512427124861485E-6</v>
      </c>
      <c r="AY71" s="57" cm="1">
        <f t="array" aca="1" ref="AY71" ca="1">_xll.RiskOutput()+LOG10(AX71)</f>
        <v>-5.732536638090334</v>
      </c>
      <c r="BA71" s="20"/>
      <c r="BI71" s="59" t="s">
        <v>22</v>
      </c>
      <c r="BJ71" s="60" cm="1">
        <f t="array" aca="1" ref="BJ71" ca="1">_xll.RiskMean(BJ70)</f>
        <v>1.8512427124861485E-6</v>
      </c>
      <c r="BK71" s="57" cm="1">
        <f t="array" aca="1" ref="BK71" ca="1">_xll.RiskOutput()+LOG10(BJ71)</f>
        <v>-5.732536638090334</v>
      </c>
      <c r="BM71" s="20"/>
    </row>
    <row r="72" spans="1:71" x14ac:dyDescent="0.25">
      <c r="A72" s="46" t="s">
        <v>25</v>
      </c>
      <c r="B72" s="10" cm="1">
        <f t="array" aca="1" ref="B72" ca="1">_xll.RiskPercentile(B70,0.05)</f>
        <v>3.2376767933328665E-11</v>
      </c>
      <c r="C72" s="56" cm="1">
        <f t="array" aca="1" ref="C72" ca="1">_xll.RiskOutput()+LOG10(B72)</f>
        <v>-10.489766507614146</v>
      </c>
      <c r="M72" s="46" t="s">
        <v>25</v>
      </c>
      <c r="N72" s="10" cm="1">
        <f t="array" aca="1" ref="N72" ca="1">_xll.RiskPercentile(N70,0.05)</f>
        <v>3.2376767933328665E-11</v>
      </c>
      <c r="O72" s="56" cm="1">
        <f t="array" aca="1" ref="O72" ca="1">_xll.RiskOutput()+LOG10(N72)</f>
        <v>-10.489766507614146</v>
      </c>
      <c r="Y72" s="46" t="s">
        <v>25</v>
      </c>
      <c r="Z72" s="10" cm="1">
        <f t="array" aca="1" ref="Z72" ca="1">_xll.RiskPercentile(Z70,0.05)</f>
        <v>3.2376767933328665E-11</v>
      </c>
      <c r="AA72" s="56" cm="1">
        <f t="array" aca="1" ref="AA72" ca="1">_xll.RiskOutput()+LOG10(Z72)</f>
        <v>-10.489766507614146</v>
      </c>
      <c r="AK72" s="46" t="s">
        <v>25</v>
      </c>
      <c r="AL72" s="10" cm="1">
        <f t="array" aca="1" ref="AL72" ca="1">_xll.RiskPercentile(AL70,0.05)</f>
        <v>0</v>
      </c>
      <c r="AM72" s="56" t="e" cm="1">
        <f t="array" aca="1" ref="AM72" ca="1">_xll.RiskOutput()+LOG10(AL72)</f>
        <v>#NUM!</v>
      </c>
      <c r="AW72" s="46" t="s">
        <v>25</v>
      </c>
      <c r="AX72" s="10" cm="1">
        <f t="array" aca="1" ref="AX72" ca="1">_xll.RiskPercentile(AX70,0.05)</f>
        <v>0</v>
      </c>
      <c r="AY72" s="56" t="e" cm="1">
        <f t="array" aca="1" ref="AY72" ca="1">_xll.RiskOutput()+LOG10(AX72)</f>
        <v>#NUM!</v>
      </c>
      <c r="BI72" s="46" t="s">
        <v>25</v>
      </c>
      <c r="BJ72" s="10" cm="1">
        <f t="array" aca="1" ref="BJ72" ca="1">_xll.RiskPercentile(BJ70,0.05)</f>
        <v>0</v>
      </c>
      <c r="BK72" s="56" t="e" cm="1">
        <f t="array" aca="1" ref="BK72" ca="1">_xll.RiskOutput()+LOG10(BJ72)</f>
        <v>#NUM!</v>
      </c>
    </row>
    <row r="73" spans="1:71" x14ac:dyDescent="0.25">
      <c r="A73" s="46" t="s">
        <v>23</v>
      </c>
      <c r="B73" s="10" cm="1">
        <f t="array" aca="1" ref="B73" ca="1">_xll.RiskPercentile(B70,0.95)</f>
        <v>2.6265976972306149E-6</v>
      </c>
      <c r="C73" s="56" cm="1">
        <f t="array" aca="1" ref="C73" ca="1">_xll.RiskOutput()+LOG10(B73)</f>
        <v>-5.580606440823539</v>
      </c>
      <c r="M73" s="46" t="s">
        <v>23</v>
      </c>
      <c r="N73" s="10" cm="1">
        <f t="array" aca="1" ref="N73" ca="1">_xll.RiskPercentile(N70,0.95)</f>
        <v>2.6265976972306149E-6</v>
      </c>
      <c r="O73" s="56" cm="1">
        <f t="array" aca="1" ref="O73" ca="1">_xll.RiskOutput()+LOG10(N73)</f>
        <v>-5.580606440823539</v>
      </c>
      <c r="Y73" s="46" t="s">
        <v>23</v>
      </c>
      <c r="Z73" s="10" cm="1">
        <f t="array" aca="1" ref="Z73" ca="1">_xll.RiskPercentile(Z70,0.95)</f>
        <v>2.6265976972306149E-6</v>
      </c>
      <c r="AA73" s="56" cm="1">
        <f t="array" aca="1" ref="AA73" ca="1">_xll.RiskOutput()+LOG10(Z73)</f>
        <v>-5.580606440823539</v>
      </c>
      <c r="AK73" s="46" t="s">
        <v>23</v>
      </c>
      <c r="AL73" s="10" cm="1">
        <f t="array" aca="1" ref="AL73" ca="1">_xll.RiskPercentile(AL70,0.95)</f>
        <v>1.2201423760238583E-8</v>
      </c>
      <c r="AM73" s="56" cm="1">
        <f t="array" aca="1" ref="AM73" ca="1">_xll.RiskOutput()+LOG10(AL73)</f>
        <v>-7.9135894893959211</v>
      </c>
      <c r="AW73" s="46" t="s">
        <v>23</v>
      </c>
      <c r="AX73" s="10" cm="1">
        <f t="array" aca="1" ref="AX73" ca="1">_xll.RiskPercentile(AX70,0.95)</f>
        <v>1.2201423760238583E-8</v>
      </c>
      <c r="AY73" s="56" cm="1">
        <f t="array" aca="1" ref="AY73" ca="1">_xll.RiskOutput()+LOG10(AX73)</f>
        <v>-7.9135894893959211</v>
      </c>
      <c r="BI73" s="46" t="s">
        <v>23</v>
      </c>
      <c r="BJ73" s="10" cm="1">
        <f t="array" aca="1" ref="BJ73" ca="1">_xll.RiskPercentile(BJ70,0.95)</f>
        <v>1.2201423760238583E-8</v>
      </c>
      <c r="BK73" s="56" cm="1">
        <f t="array" aca="1" ref="BK73" ca="1">_xll.RiskOutput()+LOG10(BJ73)</f>
        <v>-7.9135894893959211</v>
      </c>
    </row>
    <row r="74" spans="1:71" ht="18.75" x14ac:dyDescent="0.3">
      <c r="A74" s="34" t="s">
        <v>34</v>
      </c>
      <c r="B74" s="63" t="s">
        <v>71</v>
      </c>
      <c r="C74" s="63" t="s">
        <v>72</v>
      </c>
      <c r="D74" s="35"/>
      <c r="E74" s="35"/>
      <c r="F74" s="33"/>
      <c r="G74" s="33"/>
      <c r="H74" s="33"/>
      <c r="I74" s="33"/>
      <c r="J74" s="33"/>
      <c r="K74" s="33"/>
      <c r="M74" s="34" t="s">
        <v>34</v>
      </c>
      <c r="N74" s="63" t="s">
        <v>71</v>
      </c>
      <c r="O74" s="63" t="s">
        <v>72</v>
      </c>
      <c r="P74" s="35"/>
      <c r="Q74" s="35"/>
      <c r="R74" s="33"/>
      <c r="S74" s="33"/>
      <c r="T74" s="33"/>
      <c r="U74" s="33"/>
      <c r="V74" s="33"/>
      <c r="W74" s="33"/>
      <c r="Y74" s="34" t="s">
        <v>34</v>
      </c>
      <c r="Z74" s="63" t="s">
        <v>71</v>
      </c>
      <c r="AA74" s="63" t="s">
        <v>72</v>
      </c>
      <c r="AB74" s="35"/>
      <c r="AC74" s="35"/>
      <c r="AD74" s="33"/>
      <c r="AE74" s="33"/>
      <c r="AF74" s="33"/>
      <c r="AG74" s="33"/>
      <c r="AH74" s="33"/>
      <c r="AI74" s="33"/>
      <c r="AK74" s="34" t="s">
        <v>34</v>
      </c>
      <c r="AL74" s="63" t="s">
        <v>71</v>
      </c>
      <c r="AM74" s="63" t="s">
        <v>72</v>
      </c>
      <c r="AN74" s="35"/>
      <c r="AO74" s="35"/>
      <c r="AP74" s="33"/>
      <c r="AQ74" s="33"/>
      <c r="AR74" s="33"/>
      <c r="AS74" s="33"/>
      <c r="AT74" s="33"/>
      <c r="AU74" s="33"/>
      <c r="AW74" s="34" t="s">
        <v>34</v>
      </c>
      <c r="AX74" s="63" t="s">
        <v>71</v>
      </c>
      <c r="AY74" s="63" t="s">
        <v>72</v>
      </c>
      <c r="AZ74" s="35"/>
      <c r="BA74" s="35"/>
      <c r="BB74" s="33"/>
      <c r="BC74" s="33"/>
      <c r="BD74" s="33"/>
      <c r="BE74" s="33"/>
      <c r="BF74" s="33"/>
      <c r="BG74" s="33"/>
      <c r="BI74" s="34" t="s">
        <v>34</v>
      </c>
      <c r="BJ74" s="63" t="s">
        <v>71</v>
      </c>
      <c r="BK74" s="63" t="s">
        <v>72</v>
      </c>
      <c r="BL74" s="35"/>
      <c r="BM74" s="35"/>
      <c r="BN74" s="33"/>
      <c r="BO74" s="33"/>
      <c r="BP74" s="33"/>
      <c r="BQ74" s="33"/>
      <c r="BR74" s="33"/>
      <c r="BS74" s="33"/>
    </row>
    <row r="75" spans="1:71" x14ac:dyDescent="0.25">
      <c r="A75" s="52" t="str">
        <f>"P(ill) from " &amp;A47</f>
        <v>P(ill) from Level under the threshold</v>
      </c>
      <c r="B75" s="61" t="e" cm="1">
        <f t="array" aca="1" ref="B75" ca="1">_xll.RiskOutput()+1-(1+(B$64/C$58))^(-B$58)</f>
        <v>#N/A</v>
      </c>
      <c r="C75" s="62" t="e" cm="1">
        <f t="array" aca="1" ref="C75" ca="1">_xll.RiskOutput()+LOG10(B75)</f>
        <v>#N/A</v>
      </c>
      <c r="E75" t="s">
        <v>20</v>
      </c>
      <c r="M75" s="52" t="str">
        <f>"P(ill) from " &amp;M47</f>
        <v>P(ill) from Level under the threshold</v>
      </c>
      <c r="N75" s="61" cm="1">
        <f t="array" aca="1" ref="N75" ca="1">_xll.RiskOutput()+1-(1+(N$64/O$58))^(-N$58)</f>
        <v>1.1785162181143782E-5</v>
      </c>
      <c r="O75" s="62" cm="1">
        <f t="array" aca="1" ref="O75" ca="1">_xll.RiskOutput()+LOG10(N75)</f>
        <v>-4.9286644365684928</v>
      </c>
      <c r="Q75" t="s">
        <v>20</v>
      </c>
      <c r="Y75" s="52" t="str">
        <f>"P(ill) from " &amp;Y47</f>
        <v>P(ill) from Level under the threshold</v>
      </c>
      <c r="Z75" s="61" cm="1">
        <f t="array" aca="1" ref="Z75" ca="1">_xll.RiskOutput()+1-(1+(Z$64/AA$58))^(-Z$58)</f>
        <v>1.1785162181143782E-5</v>
      </c>
      <c r="AA75" s="62" cm="1">
        <f t="array" aca="1" ref="AA75" ca="1">_xll.RiskOutput()+LOG10(Z75)</f>
        <v>-4.9286644365684928</v>
      </c>
      <c r="AC75" t="s">
        <v>20</v>
      </c>
      <c r="AK75" s="52" t="str">
        <f>"P(ill) from " &amp;AK47</f>
        <v>P(ill) from Level under the threshold</v>
      </c>
      <c r="AL75" s="61" cm="1">
        <f t="array" aca="1" ref="AL75" ca="1">_xll.RiskOutput()+1-(1+(AL$64/AM$58))^(-AL$58)</f>
        <v>4.4833026180413071E-12</v>
      </c>
      <c r="AM75" s="62" cm="1">
        <f t="array" aca="1" ref="AM75" ca="1">_xll.RiskOutput()+LOG10(AL75)</f>
        <v>-11.348401945740536</v>
      </c>
      <c r="AO75" t="s">
        <v>20</v>
      </c>
      <c r="AW75" s="52" t="str">
        <f>"P(ill) from " &amp;AW47</f>
        <v>P(ill) from Level under the threshold</v>
      </c>
      <c r="AX75" s="61" cm="1">
        <f t="array" aca="1" ref="AX75" ca="1">_xll.RiskOutput()+1-(1+(AX$64/AY$58))^(-AX$58)</f>
        <v>4.4833026180413071E-12</v>
      </c>
      <c r="AY75" s="62" cm="1">
        <f t="array" aca="1" ref="AY75" ca="1">_xll.RiskOutput()+LOG10(AX75)</f>
        <v>-11.348401945740536</v>
      </c>
      <c r="BA75" t="s">
        <v>20</v>
      </c>
      <c r="BI75" s="52" t="str">
        <f>"P(ill) from " &amp;BI47</f>
        <v>P(ill) from Level under the threshold</v>
      </c>
      <c r="BJ75" s="61" cm="1">
        <f t="array" aca="1" ref="BJ75" ca="1">_xll.RiskOutput()+1-(1+(BJ$64/BK$58))^(-BJ$58)</f>
        <v>4.4833026180413071E-12</v>
      </c>
      <c r="BK75" s="62" cm="1">
        <f t="array" aca="1" ref="BK75" ca="1">_xll.RiskOutput()+LOG10(BJ75)</f>
        <v>-11.348401945740536</v>
      </c>
      <c r="BM75" t="s">
        <v>20</v>
      </c>
    </row>
    <row r="76" spans="1:71" x14ac:dyDescent="0.25">
      <c r="A76" s="46" t="str">
        <f>A$75&amp; "-mean"</f>
        <v>P(ill) from Level under the threshold-mean</v>
      </c>
      <c r="B76" s="18" cm="1">
        <f t="array" aca="1" ref="B76" ca="1">_xll.RiskMean(B75)</f>
        <v>4.1111412918036042E-8</v>
      </c>
      <c r="C76" s="57" cm="1">
        <f t="array" aca="1" ref="C76" ca="1">_xll.RiskOutput()+LOG10(B76)</f>
        <v>-7.3860375971198735</v>
      </c>
      <c r="M76" s="46" t="str">
        <f>M$75&amp; "-mean"</f>
        <v>P(ill) from Level under the threshold-mean</v>
      </c>
      <c r="N76" s="18" cm="1">
        <f t="array" aca="1" ref="N76" ca="1">_xll.RiskMean(N75)</f>
        <v>6.3524142890100071E-7</v>
      </c>
      <c r="O76" s="57" cm="1">
        <f t="array" aca="1" ref="O76" ca="1">_xll.RiskOutput()+LOG10(N76)</f>
        <v>-6.1970611860274731</v>
      </c>
      <c r="Y76" s="46" t="str">
        <f>Y$75&amp; "-mean"</f>
        <v>P(ill) from Level under the threshold-mean</v>
      </c>
      <c r="Z76" s="18" cm="1">
        <f t="array" aca="1" ref="Z76" ca="1">_xll.RiskMean(Z75)</f>
        <v>1.230933096587665E-6</v>
      </c>
      <c r="AA76" s="57" cm="1">
        <f t="array" aca="1" ref="AA76" ca="1">_xll.RiskOutput()+LOG10(Z76)</f>
        <v>-5.9097655511080012</v>
      </c>
      <c r="AK76" s="46" t="str">
        <f>AK$75&amp; "-mean"</f>
        <v>P(ill) from Level under the threshold-mean</v>
      </c>
      <c r="AL76" s="18" cm="1">
        <f t="array" aca="1" ref="AL76" ca="1">_xll.RiskMean(AL75)</f>
        <v>5.1585046522283735E-11</v>
      </c>
      <c r="AM76" s="57" cm="1">
        <f t="array" aca="1" ref="AM76" ca="1">_xll.RiskOutput()+LOG10(AL76)</f>
        <v>-10.287476173451044</v>
      </c>
      <c r="AW76" s="46" t="str">
        <f>AW$75&amp; "-mean"</f>
        <v>P(ill) from Level under the threshold-mean</v>
      </c>
      <c r="AX76" s="18" cm="1">
        <f t="array" aca="1" ref="AX76" ca="1">_xll.RiskMean(AX75)</f>
        <v>1.950819744507103E-9</v>
      </c>
      <c r="AY76" s="57" cm="1">
        <f t="array" aca="1" ref="AY76" ca="1">_xll.RiskOutput()+LOG10(AX76)</f>
        <v>-8.7097828575057896</v>
      </c>
      <c r="BI76" s="46" t="str">
        <f>BI$75&amp; "-mean"</f>
        <v>P(ill) from Level under the threshold-mean</v>
      </c>
      <c r="BJ76" s="18" cm="1">
        <f t="array" aca="1" ref="BJ76" ca="1">_xll.RiskMean(BJ75)</f>
        <v>8.638756176663993E-9</v>
      </c>
      <c r="BK76" s="57" cm="1">
        <f t="array" aca="1" ref="BK76" ca="1">_xll.RiskOutput()+LOG10(BJ76)</f>
        <v>-8.0635487835046558</v>
      </c>
    </row>
    <row r="77" spans="1:71" x14ac:dyDescent="0.25">
      <c r="A77" s="46" t="str">
        <f>A$75&amp; "-5th"</f>
        <v>P(ill) from Level under the threshold-5th</v>
      </c>
      <c r="B77" s="19" cm="1">
        <f t="array" aca="1" ref="B77" ca="1">_xll.RiskPercentile(B75,0.05)</f>
        <v>2.2114754472113418E-11</v>
      </c>
      <c r="C77" s="56" cm="1">
        <f t="array" aca="1" ref="C77" ca="1">_xll.RiskOutput()+LOG10(B77)</f>
        <v>-10.655317877999023</v>
      </c>
      <c r="M77" s="46" t="str">
        <f>M$75&amp; "-5th"</f>
        <v>P(ill) from Level under the threshold-5th</v>
      </c>
      <c r="N77" s="19" cm="1">
        <f t="array" aca="1" ref="N77" ca="1">_xll.RiskPercentile(N75,0.05)</f>
        <v>3.2028601992806216E-11</v>
      </c>
      <c r="O77" s="56" cm="1">
        <f t="array" aca="1" ref="O77" ca="1">_xll.RiskOutput()+LOG10(N77)</f>
        <v>-10.494462017316831</v>
      </c>
      <c r="Y77" s="46" t="str">
        <f>Y$75&amp; "-5th"</f>
        <v>P(ill) from Level under the threshold-5th</v>
      </c>
      <c r="Z77" s="19" cm="1">
        <f t="array" aca="1" ref="Z77" ca="1">_xll.RiskPercentile(Z75,0.05)</f>
        <v>3.2349678491527811E-11</v>
      </c>
      <c r="AA77" s="56" cm="1">
        <f t="array" aca="1" ref="AA77" ca="1">_xll.RiskOutput()+LOG10(Z77)</f>
        <v>-10.490130031225551</v>
      </c>
      <c r="AK77" s="46" t="str">
        <f>AK$75&amp; "-5th"</f>
        <v>P(ill) from Level under the threshold-5th</v>
      </c>
      <c r="AL77" s="19" cm="1">
        <f t="array" aca="1" ref="AL77" ca="1">_xll.RiskPercentile(AL75,0.05)</f>
        <v>0</v>
      </c>
      <c r="AM77" s="56" t="e" cm="1">
        <f t="array" aca="1" ref="AM77" ca="1">_xll.RiskOutput()+LOG10(AL77)</f>
        <v>#NUM!</v>
      </c>
      <c r="AW77" s="46" t="str">
        <f>AW$75&amp; "-5th"</f>
        <v>P(ill) from Level under the threshold-5th</v>
      </c>
      <c r="AX77" s="19" cm="1">
        <f t="array" aca="1" ref="AX77" ca="1">_xll.RiskPercentile(AX75,0.05)</f>
        <v>0</v>
      </c>
      <c r="AY77" s="56" t="e" cm="1">
        <f t="array" aca="1" ref="AY77" ca="1">_xll.RiskOutput()+LOG10(AX77)</f>
        <v>#NUM!</v>
      </c>
      <c r="BI77" s="46" t="str">
        <f>BI$75&amp; "-5th"</f>
        <v>P(ill) from Level under the threshold-5th</v>
      </c>
      <c r="BJ77" s="19" cm="1">
        <f t="array" aca="1" ref="BJ77" ca="1">_xll.RiskPercentile(BJ75,0.05)</f>
        <v>0</v>
      </c>
      <c r="BK77" s="56" t="e" cm="1">
        <f t="array" aca="1" ref="BK77" ca="1">_xll.RiskOutput()+LOG10(BJ77)</f>
        <v>#NUM!</v>
      </c>
    </row>
    <row r="78" spans="1:71" x14ac:dyDescent="0.25">
      <c r="A78" s="46" t="str">
        <f>A$75&amp; "-95th"</f>
        <v>P(ill) from Level under the threshold-95th</v>
      </c>
      <c r="B78" s="19" cm="1">
        <f t="array" aca="1" ref="B78" ca="1">_xll.RiskPercentile(B75,0.95)</f>
        <v>2.1763560875687205E-7</v>
      </c>
      <c r="C78" s="56" cm="1">
        <f t="array" aca="1" ref="C78" ca="1">_xll.RiskOutput()+LOG10(B78)</f>
        <v>-6.6622700454563502</v>
      </c>
      <c r="M78" s="46" t="str">
        <f>M$75&amp; "-95th"</f>
        <v>P(ill) from Level under the threshold-95th</v>
      </c>
      <c r="N78" s="19" cm="1">
        <f t="array" aca="1" ref="N78" ca="1">_xll.RiskPercentile(N75,0.95)</f>
        <v>2.2254224665285705E-6</v>
      </c>
      <c r="O78" s="56" cm="1">
        <f t="array" aca="1" ref="O78" ca="1">_xll.RiskOutput()+LOG10(N78)</f>
        <v>-5.6525875318893757</v>
      </c>
      <c r="Y78" s="46" t="str">
        <f>Y$75&amp; "-95th"</f>
        <v>P(ill) from Level under the threshold-95th</v>
      </c>
      <c r="Z78" s="19" cm="1">
        <f t="array" aca="1" ref="Z78" ca="1">_xll.RiskPercentile(Z75,0.95)</f>
        <v>2.5805077398244336E-6</v>
      </c>
      <c r="AA78" s="56" cm="1">
        <f t="array" aca="1" ref="AA78" ca="1">_xll.RiskOutput()+LOG10(Z78)</f>
        <v>-5.5882948339945324</v>
      </c>
      <c r="AK78" s="46" t="str">
        <f>AK$75&amp; "-95th"</f>
        <v>P(ill) from Level under the threshold-95th</v>
      </c>
      <c r="AL78" s="19" cm="1">
        <f t="array" aca="1" ref="AL78" ca="1">_xll.RiskPercentile(AL75,0.95)</f>
        <v>2.9987767824479761E-10</v>
      </c>
      <c r="AM78" s="56" cm="1">
        <f t="array" aca="1" ref="AM78" ca="1">_xll.RiskOutput()+LOG10(AL78)</f>
        <v>-9.5230558602688227</v>
      </c>
      <c r="AW78" s="46" t="str">
        <f>AW$75&amp; "-95th"</f>
        <v>P(ill) from Level under the threshold-95th</v>
      </c>
      <c r="AX78" s="19" cm="1">
        <f t="array" aca="1" ref="AX78" ca="1">_xll.RiskPercentile(AX75,0.95)</f>
        <v>4.2485903684053028E-9</v>
      </c>
      <c r="AY78" s="56" cm="1">
        <f t="array" aca="1" ref="AY78" ca="1">_xll.RiskOutput()+LOG10(AX78)</f>
        <v>-8.3717551397782533</v>
      </c>
      <c r="BI78" s="46" t="str">
        <f>BI$75&amp; "-95th"</f>
        <v>P(ill) from Level under the threshold-95th</v>
      </c>
      <c r="BJ78" s="19" cm="1">
        <f t="array" aca="1" ref="BJ78" ca="1">_xll.RiskPercentile(BJ75,0.95)</f>
        <v>8.0509300337539003E-9</v>
      </c>
      <c r="BK78" s="56" cm="1">
        <f t="array" aca="1" ref="BK78" ca="1">_xll.RiskOutput()+LOG10(BJ78)</f>
        <v>-8.0941539475579845</v>
      </c>
    </row>
    <row r="79" spans="1:71" x14ac:dyDescent="0.25">
      <c r="A79" s="2" t="str">
        <f>"P(ill) from "&amp;A48</f>
        <v>P(ill) from Level over the threshold</v>
      </c>
      <c r="B79" s="61" cm="1">
        <f t="array" aca="1" ref="B79" ca="1">_xll.RiskOutput()+1-(1+(B$65/C$58))^(-B$58)</f>
        <v>1.1785162181143782E-5</v>
      </c>
      <c r="C79" s="62" cm="1">
        <f t="array" aca="1" ref="C79" ca="1">_xll.RiskOutput()+LOG10(B79)</f>
        <v>-4.9286644365684928</v>
      </c>
      <c r="E79" t="s">
        <v>20</v>
      </c>
      <c r="M79" s="2" t="str">
        <f>"P(ill) from "&amp;M48</f>
        <v>P(ill) from Level over the threshold</v>
      </c>
      <c r="N79" s="61" t="e" cm="1">
        <f t="array" aca="1" ref="N79" ca="1">_xll.RiskOutput()+1-(1+(N$65/O$58))^(-N$58)</f>
        <v>#N/A</v>
      </c>
      <c r="O79" s="62" t="e" cm="1">
        <f t="array" aca="1" ref="O79" ca="1">_xll.RiskOutput()+LOG10(N79)</f>
        <v>#N/A</v>
      </c>
      <c r="Q79" t="s">
        <v>20</v>
      </c>
      <c r="Y79" s="2" t="str">
        <f>"P(ill) from "&amp;Y48</f>
        <v>P(ill) from Level over the threshold</v>
      </c>
      <c r="Z79" s="61" t="e" cm="1">
        <f t="array" aca="1" ref="Z79" ca="1">_xll.RiskOutput()+1-(1+(Z$65/AA$58))^(-Z$58)</f>
        <v>#N/A</v>
      </c>
      <c r="AA79" s="62" t="e" cm="1">
        <f t="array" aca="1" ref="AA79" ca="1">_xll.RiskOutput()+LOG10(Z79)</f>
        <v>#N/A</v>
      </c>
      <c r="AC79" t="s">
        <v>20</v>
      </c>
      <c r="AK79" s="2" t="str">
        <f>"P(ill) from "&amp;AK48</f>
        <v>P(ill) from Level over the threshold</v>
      </c>
      <c r="AL79" s="61" t="e" cm="1">
        <f t="array" aca="1" ref="AL79" ca="1">_xll.RiskOutput()+1-(1+(AL$65/AM$58))^(-AL$58)</f>
        <v>#N/A</v>
      </c>
      <c r="AM79" s="62" t="e" cm="1">
        <f t="array" aca="1" ref="AM79" ca="1">_xll.RiskOutput()+LOG10(AL79)</f>
        <v>#N/A</v>
      </c>
      <c r="AO79" t="s">
        <v>20</v>
      </c>
      <c r="AW79" s="2" t="str">
        <f>"P(ill) from "&amp;AW48</f>
        <v>P(ill) from Level over the threshold</v>
      </c>
      <c r="AX79" s="61" t="e" cm="1">
        <f t="array" aca="1" ref="AX79" ca="1">_xll.RiskOutput()+1-(1+(AX$65/AY$58))^(-AX$58)</f>
        <v>#N/A</v>
      </c>
      <c r="AY79" s="62" t="e" cm="1">
        <f t="array" aca="1" ref="AY79" ca="1">_xll.RiskOutput()+LOG10(AX79)</f>
        <v>#N/A</v>
      </c>
      <c r="BA79" t="s">
        <v>20</v>
      </c>
      <c r="BI79" s="2" t="str">
        <f>"P(ill) from "&amp;BI48</f>
        <v>P(ill) from Level over the threshold</v>
      </c>
      <c r="BJ79" s="61" t="e" cm="1">
        <f t="array" aca="1" ref="BJ79" ca="1">_xll.RiskOutput()+1-(1+(BJ$65/BK$58))^(-BJ$58)</f>
        <v>#N/A</v>
      </c>
      <c r="BK79" s="62" t="e" cm="1">
        <f t="array" aca="1" ref="BK79" ca="1">_xll.RiskOutput()+LOG10(BJ79)</f>
        <v>#N/A</v>
      </c>
      <c r="BM79" t="s">
        <v>20</v>
      </c>
    </row>
    <row r="80" spans="1:71" x14ac:dyDescent="0.25">
      <c r="A80" s="46" t="str">
        <f>A$79&amp;"-mean"</f>
        <v>P(ill) from Level over the threshold-mean</v>
      </c>
      <c r="B80" s="18" cm="1">
        <f t="array" aca="1" ref="B80" ca="1">_xll.RiskMean(B79)</f>
        <v>9.9413725003508758E-6</v>
      </c>
      <c r="C80" s="57" cm="1">
        <f t="array" aca="1" ref="C80" ca="1">_xll.RiskOutput()+LOG10(B80)</f>
        <v>-5.0025536530090848</v>
      </c>
      <c r="M80" s="46" t="str">
        <f>M$79&amp;"-mean"</f>
        <v>P(ill) from Level over the threshold-mean</v>
      </c>
      <c r="N80" s="18" cm="1">
        <f t="array" aca="1" ref="N80" ca="1">_xll.RiskMean(N79)</f>
        <v>2.1820219633082017E-4</v>
      </c>
      <c r="O80" s="57" cm="1">
        <f t="array" aca="1" ref="O80" ca="1">_xll.RiskOutput()+LOG10(N80)</f>
        <v>-3.6611408823015035</v>
      </c>
      <c r="Y80" s="46" t="str">
        <f>Y$79&amp;"-mean"</f>
        <v>P(ill) from Level over the threshold-mean</v>
      </c>
      <c r="Z80" s="18" cm="1">
        <f t="array" aca="1" ref="Z80" ca="1">_xll.RiskMean(Z79)</f>
        <v>1.4117890250523262E-3</v>
      </c>
      <c r="AA80" s="57" cm="1">
        <f t="array" aca="1" ref="AA80" ca="1">_xll.RiskOutput()+LOG10(Z80)</f>
        <v>-2.850230198540165</v>
      </c>
      <c r="AK80" s="46" t="str">
        <f>AK$79&amp;"-mean"</f>
        <v>P(ill) from Level over the threshold-mean</v>
      </c>
      <c r="AL80" s="18" cm="1">
        <f t="array" aca="1" ref="AL80" ca="1">_xll.RiskMean(AL79)</f>
        <v>1.3882874415017414E-5</v>
      </c>
      <c r="AM80" s="57" cm="1">
        <f t="array" aca="1" ref="AM80" ca="1">_xll.RiskOutput()+LOG10(AL80)</f>
        <v>-4.8575206049662709</v>
      </c>
      <c r="AW80" s="46" t="str">
        <f>AW$79&amp;"-mean"</f>
        <v>P(ill) from Level over the threshold-mean</v>
      </c>
      <c r="AX80" s="18" cm="1">
        <f t="array" aca="1" ref="AX80" ca="1">_xll.RiskMean(AX79)</f>
        <v>7.8893290470000041E-5</v>
      </c>
      <c r="AY80" s="57" cm="1">
        <f t="array" aca="1" ref="AY80" ca="1">_xll.RiskOutput()+LOG10(AX80)</f>
        <v>-4.102959930070166</v>
      </c>
      <c r="BI80" s="46" t="str">
        <f>BI$79&amp;"-mean"</f>
        <v>P(ill) from Level over the threshold-mean</v>
      </c>
      <c r="BJ80" s="18" cm="1">
        <f t="array" aca="1" ref="BJ80" ca="1">_xll.RiskMean(BJ79)</f>
        <v>2.2099735982951383E-4</v>
      </c>
      <c r="BK80" s="57" cm="1">
        <f t="array" aca="1" ref="BK80" ca="1">_xll.RiskOutput()+LOG10(BJ80)</f>
        <v>-3.6556129146330907</v>
      </c>
    </row>
    <row r="81" spans="1:71" x14ac:dyDescent="0.25">
      <c r="A81" s="46" t="str">
        <f>A$79&amp;"-5th"</f>
        <v>P(ill) from Level over the threshold-5th</v>
      </c>
      <c r="B81" s="19" cm="1">
        <f t="array" aca="1" ref="B81" ca="1">_xll.RiskPercentile(B79,0.05)</f>
        <v>1.2747652822220346E-8</v>
      </c>
      <c r="C81" s="56" cm="1">
        <f t="array" aca="1" ref="C81" ca="1">_xll.RiskOutput()+LOG10(B81)</f>
        <v>-7.8945697728926181</v>
      </c>
      <c r="M81" s="46" t="str">
        <f>M$79&amp;"-5th"</f>
        <v>P(ill) from Level over the threshold-5th</v>
      </c>
      <c r="N81" s="19" cm="1">
        <f t="array" aca="1" ref="N81" ca="1">_xll.RiskPercentile(N79,0.05)</f>
        <v>1.2887016168638965E-6</v>
      </c>
      <c r="O81" s="56" cm="1">
        <f t="array" aca="1" ref="O81" ca="1">_xll.RiskOutput()+LOG10(N81)</f>
        <v>-5.8898476265956976</v>
      </c>
      <c r="Y81" s="46" t="str">
        <f>Y$79&amp;"-5th"</f>
        <v>P(ill) from Level over the threshold-5th</v>
      </c>
      <c r="Z81" s="19" cm="1">
        <f t="array" aca="1" ref="Z81" ca="1">_xll.RiskPercentile(Z79,0.05)</f>
        <v>1.0071405983858028E-5</v>
      </c>
      <c r="AA81" s="56" cm="1">
        <f t="array" aca="1" ref="AA81" ca="1">_xll.RiskOutput()+LOG10(Z81)</f>
        <v>-4.996909897032471</v>
      </c>
      <c r="AK81" s="46" t="str">
        <f>AK$79&amp;"-5th"</f>
        <v>P(ill) from Level over the threshold-5th</v>
      </c>
      <c r="AL81" s="19" cm="1">
        <f t="array" aca="1" ref="AL81" ca="1">_xll.RiskPercentile(AL79,0.05)</f>
        <v>5.8347771059175102E-11</v>
      </c>
      <c r="AM81" s="56" cm="1">
        <f t="array" aca="1" ref="AM81" ca="1">_xll.RiskOutput()+LOG10(AL81)</f>
        <v>-10.233975729767542</v>
      </c>
      <c r="AW81" s="46" t="str">
        <f>AW$79&amp;"-5th"</f>
        <v>P(ill) from Level over the threshold-5th</v>
      </c>
      <c r="AX81" s="19" cm="1">
        <f t="array" aca="1" ref="AX81" ca="1">_xll.RiskPercentile(AX79,0.05)</f>
        <v>6.4239373820385026E-9</v>
      </c>
      <c r="AY81" s="56" cm="1">
        <f t="array" aca="1" ref="AY81" ca="1">_xll.RiskOutput()+LOG10(AX81)</f>
        <v>-8.1921987010369239</v>
      </c>
      <c r="BI81" s="46" t="str">
        <f>BI$79&amp;"-5th"</f>
        <v>P(ill) from Level over the threshold-5th</v>
      </c>
      <c r="BJ81" s="19" cm="1">
        <f t="array" aca="1" ref="BJ81" ca="1">_xll.RiskPercentile(BJ79,0.05)</f>
        <v>6.1326618672197242E-8</v>
      </c>
      <c r="BK81" s="56" cm="1">
        <f t="array" aca="1" ref="BK81" ca="1">_xll.RiskOutput()+LOG10(BJ81)</f>
        <v>-7.2123509800783498</v>
      </c>
    </row>
    <row r="82" spans="1:71" x14ac:dyDescent="0.25">
      <c r="A82" s="46" t="str">
        <f>A$79&amp;"-95th"</f>
        <v>P(ill) from Level over the threshold-95th</v>
      </c>
      <c r="B82" s="19" cm="1">
        <f t="array" aca="1" ref="B82" ca="1">_xll.RiskPercentile(B79,0.95)</f>
        <v>2.2006696488996447E-5</v>
      </c>
      <c r="C82" s="56" cm="1">
        <f t="array" aca="1" ref="C82" ca="1">_xll.RiskOutput()+LOG10(B82)</f>
        <v>-4.6574451461916908</v>
      </c>
      <c r="M82" s="46" t="str">
        <f>M$79&amp;"-95th"</f>
        <v>P(ill) from Level over the threshold-95th</v>
      </c>
      <c r="N82" s="19" cm="1">
        <f t="array" aca="1" ref="N82" ca="1">_xll.RiskPercentile(N79,0.95)</f>
        <v>6.8818411370574761E-4</v>
      </c>
      <c r="O82" s="56" cm="1">
        <f t="array" aca="1" ref="O82" ca="1">_xll.RiskOutput()+LOG10(N82)</f>
        <v>-3.1622953570123342</v>
      </c>
      <c r="Y82" s="46" t="str">
        <f>Y$79&amp;"-95th"</f>
        <v>P(ill) from Level over the threshold-95th</v>
      </c>
      <c r="Z82" s="19" cm="1">
        <f t="array" aca="1" ref="Z82" ca="1">_xll.RiskPercentile(Z79,0.95)</f>
        <v>4.0914328059713512E-3</v>
      </c>
      <c r="AA82" s="56" cm="1">
        <f t="array" aca="1" ref="AA82" ca="1">_xll.RiskOutput()+LOG10(Z82)</f>
        <v>-2.3881245768929893</v>
      </c>
      <c r="AK82" s="46" t="str">
        <f>AK$79&amp;"-95th"</f>
        <v>P(ill) from Level over the threshold-95th</v>
      </c>
      <c r="AL82" s="19" cm="1">
        <f t="array" aca="1" ref="AL82" ca="1">_xll.RiskPercentile(AL79,0.95)</f>
        <v>1.48585372006238E-6</v>
      </c>
      <c r="AM82" s="56" cm="1">
        <f t="array" aca="1" ref="AM82" ca="1">_xll.RiskOutput()+LOG10(AL82)</f>
        <v>-5.8280239440725916</v>
      </c>
      <c r="AW82" s="46" t="str">
        <f>AW$79&amp;"-95th"</f>
        <v>P(ill) from Level over the threshold-95th</v>
      </c>
      <c r="AX82" s="19" cm="1">
        <f t="array" aca="1" ref="AX82" ca="1">_xll.RiskPercentile(AX79,0.95)</f>
        <v>3.9407398337298893E-5</v>
      </c>
      <c r="AY82" s="56" cm="1">
        <f t="array" aca="1" ref="AY82" ca="1">_xll.RiskOutput()+LOG10(AX82)</f>
        <v>-4.4044222361582852</v>
      </c>
      <c r="BI82" s="46" t="str">
        <f>BI$79&amp;"-95th"</f>
        <v>P(ill) from Level over the threshold-95th</v>
      </c>
      <c r="BJ82" s="19" cm="1">
        <f t="array" aca="1" ref="BJ82" ca="1">_xll.RiskPercentile(BJ79,0.95)</f>
        <v>2.2851461695516662E-4</v>
      </c>
      <c r="BK82" s="56" cm="1">
        <f t="array" aca="1" ref="BK82" ca="1">_xll.RiskOutput()+LOG10(BJ82)</f>
        <v>-3.6410860150254676</v>
      </c>
    </row>
    <row r="83" spans="1:71" x14ac:dyDescent="0.25">
      <c r="A83" s="52" t="str">
        <f>"P(ill) from " &amp; A50</f>
        <v>P(ill) from Inclusion list &amp; level over the threshold</v>
      </c>
      <c r="B83" s="61" t="e" cm="1">
        <f t="array" aca="1" ref="B83" ca="1">_xll.RiskOutput()+1-(1+(B$66/C$58))^(-B$58)</f>
        <v>#N/A</v>
      </c>
      <c r="C83" s="62" t="e" cm="1">
        <f t="array" aca="1" ref="C83" ca="1">_xll.RiskOutput()+LOG10(B83)</f>
        <v>#N/A</v>
      </c>
      <c r="E83" t="s">
        <v>20</v>
      </c>
      <c r="M83" s="52" t="str">
        <f>"P(ill) from " &amp; M50</f>
        <v>P(ill) from Inclusion list &amp; level over the threshold</v>
      </c>
      <c r="N83" s="61" t="e" cm="1">
        <f t="array" aca="1" ref="N83" ca="1">_xll.RiskOutput()+1-(1+(N$66/O$58))^(-N$58)</f>
        <v>#N/A</v>
      </c>
      <c r="O83" s="62" t="e" cm="1">
        <f t="array" aca="1" ref="O83" ca="1">_xll.RiskOutput()+LOG10(N83)</f>
        <v>#N/A</v>
      </c>
      <c r="Q83" t="s">
        <v>20</v>
      </c>
      <c r="Y83" s="52" t="str">
        <f>"P(ill) from " &amp; Y50</f>
        <v>P(ill) from Inclusion list &amp; level over the threshold</v>
      </c>
      <c r="Z83" s="61" t="e" cm="1">
        <f t="array" aca="1" ref="Z83" ca="1">_xll.RiskOutput()+1-(1+(Z$66/AA$58))^(-Z$58)</f>
        <v>#N/A</v>
      </c>
      <c r="AA83" s="62" t="e" cm="1">
        <f t="array" aca="1" ref="AA83" ca="1">_xll.RiskOutput()+LOG10(Z83)</f>
        <v>#N/A</v>
      </c>
      <c r="AC83" t="s">
        <v>20</v>
      </c>
      <c r="AK83" s="52" t="str">
        <f>"P(ill) from " &amp; AK50</f>
        <v>P(ill) from Inclusion list &amp; level over the threshold</v>
      </c>
      <c r="AL83" s="61" t="e" cm="1">
        <f t="array" aca="1" ref="AL83" ca="1">_xll.RiskOutput()+1-(1+(AL$66/AM$58))^(-AL$58)</f>
        <v>#N/A</v>
      </c>
      <c r="AM83" s="62" t="e" cm="1">
        <f t="array" aca="1" ref="AM83" ca="1">_xll.RiskOutput()+LOG10(AL83)</f>
        <v>#N/A</v>
      </c>
      <c r="AO83" t="s">
        <v>20</v>
      </c>
      <c r="AW83" s="52" t="str">
        <f>"P(ill) from " &amp; AW50</f>
        <v>P(ill) from Inclusion list &amp; level over the threshold</v>
      </c>
      <c r="AX83" s="61" t="e" cm="1">
        <f t="array" aca="1" ref="AX83" ca="1">_xll.RiskOutput()+1-(1+(AX$66/AY$58))^(-AX$58)</f>
        <v>#N/A</v>
      </c>
      <c r="AY83" s="62" t="e" cm="1">
        <f t="array" aca="1" ref="AY83" ca="1">_xll.RiskOutput()+LOG10(AX83)</f>
        <v>#N/A</v>
      </c>
      <c r="BA83" t="s">
        <v>20</v>
      </c>
      <c r="BI83" s="52" t="str">
        <f>"P(ill) from " &amp; BI50</f>
        <v>P(ill) from Inclusion list &amp; level over the threshold</v>
      </c>
      <c r="BJ83" s="61" t="e" cm="1">
        <f t="array" aca="1" ref="BJ83" ca="1">_xll.RiskOutput()+1-(1+(BJ$66/BK$58))^(-BJ$58)</f>
        <v>#N/A</v>
      </c>
      <c r="BK83" s="62" t="e" cm="1">
        <f t="array" aca="1" ref="BK83" ca="1">_xll.RiskOutput()+LOG10(BJ83)</f>
        <v>#N/A</v>
      </c>
      <c r="BM83" t="s">
        <v>20</v>
      </c>
    </row>
    <row r="84" spans="1:71" x14ac:dyDescent="0.25">
      <c r="A84" s="46" t="str">
        <f>A$83&amp;" -mean"</f>
        <v>P(ill) from Inclusion list &amp; level over the threshold -mean</v>
      </c>
      <c r="B84" s="18" cm="1">
        <f t="array" aca="1" ref="B84" ca="1">_xll.RiskMean(B83)</f>
        <v>1.4338062090673266E-5</v>
      </c>
      <c r="C84" s="57" cm="1">
        <f t="array" aca="1" ref="C84" ca="1">_xll.RiskOutput()+LOG10(B84)</f>
        <v>-4.8435095432428836</v>
      </c>
      <c r="M84" s="46" t="str">
        <f>M$83&amp;" -mean"</f>
        <v>P(ill) from Inclusion list &amp; level over the threshold -mean</v>
      </c>
      <c r="N84" s="18" cm="1">
        <f t="array" aca="1" ref="N84" ca="1">_xll.RiskMean(N83)</f>
        <v>3.2244181406871112E-4</v>
      </c>
      <c r="O84" s="57" cm="1">
        <f t="array" aca="1" ref="O84" ca="1">_xll.RiskOutput()+LOG10(N84)</f>
        <v>-3.4915486441566745</v>
      </c>
      <c r="Y84" s="46" t="str">
        <f>Y$83&amp;" -mean"</f>
        <v>P(ill) from Inclusion list &amp; level over the threshold -mean</v>
      </c>
      <c r="Z84" s="18" cm="1">
        <f t="array" aca="1" ref="Z84" ca="1">_xll.RiskMean(Z83)</f>
        <v>2.0850878655353892E-3</v>
      </c>
      <c r="AA84" s="57" cm="1">
        <f t="array" aca="1" ref="AA84" ca="1">_xll.RiskOutput()+LOG10(Z84)</f>
        <v>-2.6808756391491508</v>
      </c>
      <c r="AK84" s="46" t="str">
        <f>AK$83&amp;" -mean"</f>
        <v>P(ill) from Inclusion list &amp; level over the threshold -mean</v>
      </c>
      <c r="AL84" s="18" cm="1">
        <f t="array" aca="1" ref="AL84" ca="1">_xll.RiskMean(AL83)</f>
        <v>2.1205864858852619E-5</v>
      </c>
      <c r="AM84" s="57" cm="1">
        <f t="array" aca="1" ref="AM84" ca="1">_xll.RiskOutput()+LOG10(AL84)</f>
        <v>-4.673544010600267</v>
      </c>
      <c r="AW84" s="46" t="str">
        <f>AW$83&amp;" -mean"</f>
        <v>P(ill) from Inclusion list &amp; level over the threshold -mean</v>
      </c>
      <c r="AX84" s="18" cm="1">
        <f t="array" aca="1" ref="AX84" ca="1">_xll.RiskMean(AX83)</f>
        <v>1.2123890466119037E-4</v>
      </c>
      <c r="AY84" s="57" cm="1">
        <f t="array" aca="1" ref="AY84" ca="1">_xll.RiskOutput()+LOG10(AX84)</f>
        <v>-3.9163579959414139</v>
      </c>
      <c r="BI84" s="46" t="str">
        <f>BI$83&amp;" -mean"</f>
        <v>P(ill) from Inclusion list &amp; level over the threshold -mean</v>
      </c>
      <c r="BJ84" s="18" cm="1">
        <f t="array" aca="1" ref="BJ84" ca="1">_xll.RiskMean(BJ83)</f>
        <v>3.4238501780955668E-4</v>
      </c>
      <c r="BK84" s="57" cm="1">
        <f t="array" aca="1" ref="BK84" ca="1">_xll.RiskOutput()+LOG10(BJ84)</f>
        <v>-3.4654852475725568</v>
      </c>
    </row>
    <row r="85" spans="1:71" x14ac:dyDescent="0.25">
      <c r="A85" s="46" t="str">
        <f>A$83&amp;" -5th"</f>
        <v>P(ill) from Inclusion list &amp; level over the threshold -5th</v>
      </c>
      <c r="B85" s="19" cm="1">
        <f t="array" aca="1" ref="B85" ca="1">_xll.RiskPercentile(B83,0.05)</f>
        <v>2.7670586044692413E-7</v>
      </c>
      <c r="C85" s="56" cm="1">
        <f t="array" aca="1" ref="C85" ca="1">_xll.RiskOutput()+LOG10(B85)</f>
        <v>-6.5579816426920514</v>
      </c>
      <c r="M85" s="46" t="str">
        <f>M$83&amp;" -5th"</f>
        <v>P(ill) from Inclusion list &amp; level over the threshold -5th</v>
      </c>
      <c r="N85" s="19" cm="1">
        <f t="array" aca="1" ref="N85" ca="1">_xll.RiskPercentile(N83,0.05)</f>
        <v>3.0666839696769088E-5</v>
      </c>
      <c r="O85" s="56" cm="1">
        <f t="array" aca="1" ref="O85" ca="1">_xll.RiskOutput()+LOG10(N85)</f>
        <v>-4.5133309769673673</v>
      </c>
      <c r="Y85" s="46" t="str">
        <f>Y$83&amp;" -5th"</f>
        <v>P(ill) from Inclusion list &amp; level over the threshold -5th</v>
      </c>
      <c r="Z85" s="19" cm="1">
        <f t="array" aca="1" ref="Z85" ca="1">_xll.RiskPercentile(Z83,0.05)</f>
        <v>3.1032470385738975E-4</v>
      </c>
      <c r="AA85" s="56" cm="1">
        <f t="array" aca="1" ref="AA85" ca="1">_xll.RiskOutput()+LOG10(Z85)</f>
        <v>-3.5081836503845878</v>
      </c>
      <c r="AK85" s="46" t="str">
        <f>AK$83&amp;" -5th"</f>
        <v>P(ill) from Inclusion list &amp; level over the threshold -5th</v>
      </c>
      <c r="AL85" s="19" cm="1">
        <f t="array" aca="1" ref="AL85" ca="1">_xll.RiskPercentile(AL83,0.05)</f>
        <v>1.1226004570374926E-9</v>
      </c>
      <c r="AM85" s="56" cm="1">
        <f t="array" aca="1" ref="AM85" ca="1">_xll.RiskOutput()+LOG10(AL85)</f>
        <v>-8.9497747853046405</v>
      </c>
      <c r="AW85" s="46" t="str">
        <f>AW$83&amp;" -5th"</f>
        <v>P(ill) from Inclusion list &amp; level over the threshold -5th</v>
      </c>
      <c r="AX85" s="19" cm="1">
        <f t="array" aca="1" ref="AX85" ca="1">_xll.RiskPercentile(AX83,0.05)</f>
        <v>1.3842376034300941E-7</v>
      </c>
      <c r="AY85" s="56" cm="1">
        <f t="array" aca="1" ref="AY85" ca="1">_xll.RiskOutput()+LOG10(AX85)</f>
        <v>-6.8587893571322738</v>
      </c>
      <c r="BI85" s="46" t="str">
        <f>BI$83&amp;" -5th"</f>
        <v>P(ill) from Inclusion list &amp; level over the threshold -5th</v>
      </c>
      <c r="BJ85" s="19" cm="1">
        <f t="array" aca="1" ref="BJ85" ca="1">_xll.RiskPercentile(BJ83,0.05)</f>
        <v>1.3444711081112004E-6</v>
      </c>
      <c r="BK85" s="56" cm="1">
        <f t="array" aca="1" ref="BK85" ca="1">_xll.RiskOutput()+LOG10(BJ85)</f>
        <v>-5.8714485260719158</v>
      </c>
    </row>
    <row r="86" spans="1:71" x14ac:dyDescent="0.25">
      <c r="A86" s="46" t="str">
        <f>A$83&amp;" -95th"</f>
        <v>P(ill) from Inclusion list &amp; level over the threshold -95th</v>
      </c>
      <c r="B86" s="19" cm="1">
        <f t="array" aca="1" ref="B86" ca="1">_xll.RiskPercentile(B83,0.95)</f>
        <v>3.190873972935826E-5</v>
      </c>
      <c r="C86" s="56" cm="1">
        <f t="array" aca="1" ref="C86" ca="1">_xll.RiskOutput()+LOG10(B86)</f>
        <v>-4.4960903484042314</v>
      </c>
      <c r="M86" s="46" t="str">
        <f>M$83&amp;" -95th"</f>
        <v>P(ill) from Inclusion list &amp; level over the threshold -95th</v>
      </c>
      <c r="N86" s="19" cm="1">
        <f t="array" aca="1" ref="N86" ca="1">_xll.RiskPercentile(N83,0.95)</f>
        <v>1.0165736491412058E-3</v>
      </c>
      <c r="O86" s="56" cm="1">
        <f t="array" aca="1" ref="O86" ca="1">_xll.RiskOutput()+LOG10(N86)</f>
        <v>-2.992861151942865</v>
      </c>
      <c r="Y86" s="46" t="str">
        <f>Y$83&amp;" -95th"</f>
        <v>P(ill) from Inclusion list &amp; level over the threshold -95th</v>
      </c>
      <c r="Z86" s="19" cm="1">
        <f t="array" aca="1" ref="Z86" ca="1">_xll.RiskPercentile(Z83,0.95)</f>
        <v>5.3186269038577594E-3</v>
      </c>
      <c r="AA86" s="56" cm="1">
        <f t="array" aca="1" ref="AA86" ca="1">_xll.RiskOutput()+LOG10(Z86)</f>
        <v>-2.2742004739168529</v>
      </c>
      <c r="AK86" s="46" t="str">
        <f>AK$83&amp;" -95th"</f>
        <v>P(ill) from Inclusion list &amp; level over the threshold -95th</v>
      </c>
      <c r="AL86" s="19" cm="1">
        <f t="array" aca="1" ref="AL86" ca="1">_xll.RiskPercentile(AL83,0.95)</f>
        <v>2.6621719333430605E-6</v>
      </c>
      <c r="AM86" s="56" cm="1">
        <f t="array" aca="1" ref="AM86" ca="1">_xll.RiskOutput()+LOG10(AL86)</f>
        <v>-5.5747638995409581</v>
      </c>
      <c r="AW86" s="46" t="str">
        <f>AW$83&amp;" -95th"</f>
        <v>P(ill) from Inclusion list &amp; level over the threshold -95th</v>
      </c>
      <c r="AX86" s="19" cm="1">
        <f t="array" aca="1" ref="AX86" ca="1">_xll.RiskPercentile(AX83,0.95)</f>
        <v>7.0081438796609774E-5</v>
      </c>
      <c r="AY86" s="56" cm="1">
        <f t="array" aca="1" ref="AY86" ca="1">_xll.RiskOutput()+LOG10(AX86)</f>
        <v>-4.1543969905298468</v>
      </c>
      <c r="BI86" s="46" t="str">
        <f>BI$83&amp;" -95th"</f>
        <v>P(ill) from Inclusion list &amp; level over the threshold -95th</v>
      </c>
      <c r="BJ86" s="19" cm="1">
        <f t="array" aca="1" ref="BJ86" ca="1">_xll.RiskPercentile(BJ83,0.95)</f>
        <v>3.9461293851228429E-4</v>
      </c>
      <c r="BK86" s="56" cm="1">
        <f t="array" aca="1" ref="BK86" ca="1">_xll.RiskOutput()+LOG10(BJ86)</f>
        <v>-3.4038286792653567</v>
      </c>
    </row>
    <row r="87" spans="1:71" x14ac:dyDescent="0.25">
      <c r="A87" s="52" t="str">
        <f>"P(ill) from "&amp;A$52</f>
        <v>P(ill) from Serotype Kentucky &amp; level over the threshold</v>
      </c>
      <c r="B87" s="61" t="e" cm="1">
        <f t="array" aca="1" ref="B87" ca="1">_xll.RiskOutput()+1-(1+(B$67/C$58))^(-B$58)</f>
        <v>#N/A</v>
      </c>
      <c r="C87" s="62" t="e" cm="1">
        <f t="array" aca="1" ref="C87" ca="1">_xll.RiskOutput()+LOG10(B87)</f>
        <v>#N/A</v>
      </c>
      <c r="E87" t="s">
        <v>20</v>
      </c>
      <c r="M87" s="52" t="str">
        <f>"P(ill) from "&amp;M$52</f>
        <v>P(ill) from Serotype Kentucky &amp; level over the threshold</v>
      </c>
      <c r="N87" s="61" t="e" cm="1">
        <f t="array" aca="1" ref="N87" ca="1">_xll.RiskOutput()+1-(1+(N$67/O$58))^(-N$58)</f>
        <v>#N/A</v>
      </c>
      <c r="O87" s="62" t="e" cm="1">
        <f t="array" aca="1" ref="O87" ca="1">_xll.RiskOutput()+LOG10(N87)</f>
        <v>#N/A</v>
      </c>
      <c r="Q87" t="s">
        <v>20</v>
      </c>
      <c r="Y87" s="52" t="str">
        <f>"P(ill) from "&amp;Y$52</f>
        <v>P(ill) from Serotype Kentucky &amp; level over the threshold</v>
      </c>
      <c r="Z87" s="61" t="e" cm="1">
        <f t="array" aca="1" ref="Z87" ca="1">_xll.RiskOutput()+1-(1+(Z$67/AA$58))^(-Z$58)</f>
        <v>#N/A</v>
      </c>
      <c r="AA87" s="62" t="e" cm="1">
        <f t="array" aca="1" ref="AA87" ca="1">_xll.RiskOutput()+LOG10(Z87)</f>
        <v>#N/A</v>
      </c>
      <c r="AC87" t="s">
        <v>20</v>
      </c>
      <c r="AK87" s="52" t="str">
        <f>"P(ill) from "&amp;AK$52</f>
        <v>P(ill) from Serotype Kentucky &amp; level over the threshold</v>
      </c>
      <c r="AL87" s="61" t="e" cm="1">
        <f t="array" aca="1" ref="AL87" ca="1">_xll.RiskOutput()+1-(1+(AL$67/AM$58))^(-AL$58)</f>
        <v>#N/A</v>
      </c>
      <c r="AM87" s="62" t="e" cm="1">
        <f t="array" aca="1" ref="AM87" ca="1">_xll.RiskOutput()+LOG10(AL87)</f>
        <v>#N/A</v>
      </c>
      <c r="AO87" t="s">
        <v>20</v>
      </c>
      <c r="AW87" s="52" t="str">
        <f>"P(ill) from "&amp;AW$52</f>
        <v>P(ill) from Serotype Kentucky &amp; level over the threshold</v>
      </c>
      <c r="AX87" s="61" t="e" cm="1">
        <f t="array" aca="1" ref="AX87" ca="1">_xll.RiskOutput()+1-(1+(AX$67/AY$58))^(-AX$58)</f>
        <v>#N/A</v>
      </c>
      <c r="AY87" s="62" t="e" cm="1">
        <f t="array" aca="1" ref="AY87" ca="1">_xll.RiskOutput()+LOG10(AX87)</f>
        <v>#N/A</v>
      </c>
      <c r="BA87" t="s">
        <v>20</v>
      </c>
      <c r="BI87" s="52" t="str">
        <f>"P(ill) from "&amp;BI$52</f>
        <v>P(ill) from Serotype Kentucky &amp; level over the threshold</v>
      </c>
      <c r="BJ87" s="61" t="e" cm="1">
        <f t="array" aca="1" ref="BJ87" ca="1">_xll.RiskOutput()+1-(1+(BJ$67/BK$58))^(-BJ$58)</f>
        <v>#N/A</v>
      </c>
      <c r="BK87" s="62" t="e" cm="1">
        <f t="array" aca="1" ref="BK87" ca="1">_xll.RiskOutput()+LOG10(BJ87)</f>
        <v>#N/A</v>
      </c>
      <c r="BM87" t="s">
        <v>20</v>
      </c>
    </row>
    <row r="88" spans="1:71" x14ac:dyDescent="0.25">
      <c r="A88" s="46" t="str">
        <f>A$87&amp; " -mean"</f>
        <v>P(ill) from Serotype Kentucky &amp; level over the threshold -mean</v>
      </c>
      <c r="B88" s="18" cm="1">
        <f t="array" aca="1" ref="B88" ca="1">_xll.RiskMean(B87)</f>
        <v>3.6975039800925373E-7</v>
      </c>
      <c r="C88" s="57" cm="1">
        <f t="array" aca="1" ref="C88" ca="1">_xll.RiskOutput()+LOG10(B88)</f>
        <v>-6.4320913498445798</v>
      </c>
      <c r="M88" s="46" t="str">
        <f>M$87&amp; " -mean"</f>
        <v>P(ill) from Serotype Kentucky &amp; level over the threshold -mean</v>
      </c>
      <c r="N88" s="18" cm="1">
        <f t="array" aca="1" ref="N88" ca="1">_xll.RiskMean(N87)</f>
        <v>8.1024157976976927E-6</v>
      </c>
      <c r="O88" s="57" cm="1">
        <f t="array" aca="1" ref="O88" ca="1">_xll.RiskOutput()+LOG10(N88)</f>
        <v>-5.0913854735676152</v>
      </c>
      <c r="Y88" s="46" t="str">
        <f>Y$87&amp; " -mean"</f>
        <v>P(ill) from Serotype Kentucky &amp; level over the threshold -mean</v>
      </c>
      <c r="Z88" s="18" cm="1">
        <f t="array" aca="1" ref="Z88" ca="1">_xll.RiskMean(Z87)</f>
        <v>5.3119444516509922E-5</v>
      </c>
      <c r="AA88" s="57" cm="1">
        <f t="array" aca="1" ref="AA88" ca="1">_xll.RiskOutput()+LOG10(Z88)</f>
        <v>-4.2747464751437265</v>
      </c>
      <c r="AK88" s="46" t="str">
        <f>AK$87&amp; " -mean"</f>
        <v>P(ill) from Serotype Kentucky &amp; level over the threshold -mean</v>
      </c>
      <c r="AL88" s="18" cm="1">
        <f t="array" aca="1" ref="AL88" ca="1">_xll.RiskMean(AL87)</f>
        <v>3.6769750818535374E-7</v>
      </c>
      <c r="AM88" s="57" cm="1">
        <f t="array" aca="1" ref="AM88" ca="1">_xll.RiskOutput()+LOG10(AL88)</f>
        <v>-6.4345093132505768</v>
      </c>
      <c r="AW88" s="46" t="str">
        <f>AW$87&amp; " -mean"</f>
        <v>P(ill) from Serotype Kentucky &amp; level over the threshold -mean</v>
      </c>
      <c r="AX88" s="18" cm="1">
        <f t="array" aca="1" ref="AX88" ca="1">_xll.RiskMean(AX87)</f>
        <v>2.0754141308451189E-6</v>
      </c>
      <c r="AY88" s="57" cm="1">
        <f t="array" aca="1" ref="AY88" ca="1">_xll.RiskOutput()+LOG10(AX88)</f>
        <v>-5.6828952306167544</v>
      </c>
      <c r="BI88" s="46" t="str">
        <f>BI$87&amp; " -mean"</f>
        <v>P(ill) from Serotype Kentucky &amp; level over the threshold -mean</v>
      </c>
      <c r="BJ88" s="18" cm="1">
        <f t="array" aca="1" ref="BJ88" ca="1">_xll.RiskMean(BJ87)</f>
        <v>5.7650204535508529E-6</v>
      </c>
      <c r="BK88" s="57" cm="1">
        <f t="array" aca="1" ref="BK88" ca="1">_xll.RiskOutput()+LOG10(BJ88)</f>
        <v>-5.2391991475456026</v>
      </c>
    </row>
    <row r="89" spans="1:71" x14ac:dyDescent="0.25">
      <c r="A89" s="46" t="str">
        <f>A$87&amp; " -5th"</f>
        <v>P(ill) from Serotype Kentucky &amp; level over the threshold -5th</v>
      </c>
      <c r="B89" s="19" cm="1">
        <f t="array" aca="1" ref="B89" ca="1">_xll.RiskPercentile(B87,0.05)</f>
        <v>7.2767802894446731E-9</v>
      </c>
      <c r="C89" s="56" cm="1">
        <f t="array" aca="1" ref="C89" ca="1">_xll.RiskOutput()+LOG10(B89)</f>
        <v>-8.1380607376966996</v>
      </c>
      <c r="M89" s="46" t="str">
        <f>M$87&amp; " -5th"</f>
        <v>P(ill) from Serotype Kentucky &amp; level over the threshold -5th</v>
      </c>
      <c r="N89" s="19" cm="1">
        <f t="array" aca="1" ref="N89" ca="1">_xll.RiskPercentile(N87,0.05)</f>
        <v>7.4812115646860633E-7</v>
      </c>
      <c r="O89" s="56" cm="1">
        <f t="array" aca="1" ref="O89" ca="1">_xll.RiskOutput()+LOG10(N89)</f>
        <v>-6.1260280634659061</v>
      </c>
      <c r="Y89" s="46" t="str">
        <f>Y$87&amp; " -5th"</f>
        <v>P(ill) from Serotype Kentucky &amp; level over the threshold -5th</v>
      </c>
      <c r="Z89" s="19" cm="1">
        <f t="array" aca="1" ref="Z89" ca="1">_xll.RiskPercentile(Z87,0.05)</f>
        <v>7.0363227908654125E-6</v>
      </c>
      <c r="AA89" s="56" cm="1">
        <f t="array" aca="1" ref="AA89" ca="1">_xll.RiskOutput()+LOG10(Z89)</f>
        <v>-5.152654245525536</v>
      </c>
      <c r="AK89" s="46" t="str">
        <f>AK$87&amp; " -5th"</f>
        <v>P(ill) from Serotype Kentucky &amp; level over the threshold -5th</v>
      </c>
      <c r="AL89" s="19" cm="1">
        <f t="array" aca="1" ref="AL89" ca="1">_xll.RiskPercentile(AL87,0.05)</f>
        <v>2.9162006143224062E-11</v>
      </c>
      <c r="AM89" s="56" cm="1">
        <f t="array" aca="1" ref="AM89" ca="1">_xll.RiskOutput()+LOG10(AL89)</f>
        <v>-10.535182602886188</v>
      </c>
      <c r="AW89" s="46" t="str">
        <f>AW$87&amp; " -5th"</f>
        <v>P(ill) from Serotype Kentucky &amp; level over the threshold -5th</v>
      </c>
      <c r="AX89" s="19" cm="1">
        <f t="array" aca="1" ref="AX89" ca="1">_xll.RiskPercentile(AX87,0.05)</f>
        <v>3.5237126549958475E-9</v>
      </c>
      <c r="AY89" s="56" cm="1">
        <f t="array" aca="1" ref="AY89" ca="1">_xll.RiskOutput()+LOG10(AX89)</f>
        <v>-8.4529995138348291</v>
      </c>
      <c r="BI89" s="46" t="str">
        <f>BI$87&amp; " -5th"</f>
        <v>P(ill) from Serotype Kentucky &amp; level over the threshold -5th</v>
      </c>
      <c r="BJ89" s="19" cm="1">
        <f t="array" aca="1" ref="BJ89" ca="1">_xll.RiskPercentile(BJ87,0.05)</f>
        <v>3.2142308481475368E-8</v>
      </c>
      <c r="BK89" s="56" cm="1">
        <f t="array" aca="1" ref="BK89" ca="1">_xll.RiskOutput()+LOG10(BJ89)</f>
        <v>-7.4929229351407143</v>
      </c>
    </row>
    <row r="90" spans="1:71" x14ac:dyDescent="0.25">
      <c r="A90" s="46" t="str">
        <f>A$87&amp; " -95th"</f>
        <v>P(ill) from Serotype Kentucky &amp; level over the threshold -95th</v>
      </c>
      <c r="B90" s="19" cm="1">
        <f t="array" aca="1" ref="B90" ca="1">_xll.RiskPercentile(B87,0.95)</f>
        <v>8.490987484233159E-7</v>
      </c>
      <c r="C90" s="56" cm="1">
        <f t="array" aca="1" ref="C90" ca="1">_xll.RiskOutput()+LOG10(B90)</f>
        <v>-6.0710417992713879</v>
      </c>
      <c r="M90" s="46" t="str">
        <f>M$87&amp; " -95th"</f>
        <v>P(ill) from Serotype Kentucky &amp; level over the threshold -95th</v>
      </c>
      <c r="N90" s="19" cm="1">
        <f t="array" aca="1" ref="N90" ca="1">_xll.RiskPercentile(N87,0.95)</f>
        <v>2.2175085540254713E-5</v>
      </c>
      <c r="O90" s="56" cm="1">
        <f t="array" aca="1" ref="O90" ca="1">_xll.RiskOutput()+LOG10(N90)</f>
        <v>-4.6541346962047392</v>
      </c>
      <c r="Y90" s="46" t="str">
        <f>Y$87&amp; " -95th"</f>
        <v>P(ill) from Serotype Kentucky &amp; level over the threshold -95th</v>
      </c>
      <c r="Z90" s="19" cm="1">
        <f t="array" aca="1" ref="Z90" ca="1">_xll.RiskPercentile(Z87,0.95)</f>
        <v>1.7047869616992894E-4</v>
      </c>
      <c r="AA90" s="56" cm="1">
        <f t="array" aca="1" ref="AA90" ca="1">_xll.RiskOutput()+LOG10(Z90)</f>
        <v>-3.7683298847882849</v>
      </c>
      <c r="AK90" s="46" t="str">
        <f>AK$87&amp; " -95th"</f>
        <v>P(ill) from Serotype Kentucky &amp; level over the threshold -95th</v>
      </c>
      <c r="AL90" s="19" cm="1">
        <f t="array" aca="1" ref="AL90" ca="1">_xll.RiskPercentile(AL87,0.95)</f>
        <v>7.3855566884439838E-8</v>
      </c>
      <c r="AM90" s="56" cm="1">
        <f t="array" aca="1" ref="AM90" ca="1">_xll.RiskOutput()+LOG10(AL90)</f>
        <v>-7.1316167640476964</v>
      </c>
      <c r="AW90" s="46" t="str">
        <f>AW$87&amp; " -95th"</f>
        <v>P(ill) from Serotype Kentucky &amp; level over the threshold -95th</v>
      </c>
      <c r="AX90" s="19" cm="1">
        <f t="array" aca="1" ref="AX90" ca="1">_xll.RiskPercentile(AX87,0.95)</f>
        <v>1.925083361387081E-6</v>
      </c>
      <c r="AY90" s="56" cm="1">
        <f t="array" aca="1" ref="AY90" ca="1">_xll.RiskOutput()+LOG10(AX90)</f>
        <v>-5.7155504596066242</v>
      </c>
      <c r="BI90" s="46" t="str">
        <f>BI$87&amp; " -95th"</f>
        <v>P(ill) from Serotype Kentucky &amp; level over the threshold -95th</v>
      </c>
      <c r="BJ90" s="19" cm="1">
        <f t="array" aca="1" ref="BJ90" ca="1">_xll.RiskPercentile(BJ87,0.95)</f>
        <v>9.7078100737002515E-6</v>
      </c>
      <c r="BK90" s="56" cm="1">
        <f t="array" aca="1" ref="BK90" ca="1">_xll.RiskOutput()+LOG10(BJ90)</f>
        <v>-5.0128787289151759</v>
      </c>
    </row>
    <row r="91" spans="1:71" x14ac:dyDescent="0.25">
      <c r="A91" s="52" t="str">
        <f>"P(ill) from "&amp;A$54</f>
        <v>P(ill) from Serotype not Kentucky &amp; level over the threshold</v>
      </c>
      <c r="B91" s="61" cm="1">
        <f t="array" aca="1" ref="B91" ca="1">_xll.RiskOutput()+1-(1+(B$68/C$58))^(-B$58)</f>
        <v>1.1785162181143782E-5</v>
      </c>
      <c r="C91" s="62" cm="1">
        <f t="array" aca="1" ref="C91" ca="1">_xll.RiskOutput()+LOG10(B91)</f>
        <v>-4.9286644365684928</v>
      </c>
      <c r="E91" t="s">
        <v>20</v>
      </c>
      <c r="M91" s="52" t="str">
        <f>"P(ill) from "&amp;M$54</f>
        <v>P(ill) from Serotype not Kentucky &amp; level over the threshold</v>
      </c>
      <c r="N91" s="61" t="e" cm="1">
        <f t="array" aca="1" ref="N91" ca="1">_xll.RiskOutput()+1-(1+(N$68/O$58))^(-N$58)</f>
        <v>#N/A</v>
      </c>
      <c r="O91" s="62" t="e" cm="1">
        <f t="array" aca="1" ref="O91" ca="1">_xll.RiskOutput()+LOG10(N91)</f>
        <v>#N/A</v>
      </c>
      <c r="Q91" t="s">
        <v>20</v>
      </c>
      <c r="Y91" s="52" t="str">
        <f>"P(ill) from "&amp;Y$54</f>
        <v>P(ill) from Serotype not Kentucky &amp; level over the threshold</v>
      </c>
      <c r="Z91" s="61" t="e" cm="1">
        <f t="array" aca="1" ref="Z91" ca="1">_xll.RiskOutput()+1-(1+(Z$68/AA$58))^(-Z$58)</f>
        <v>#N/A</v>
      </c>
      <c r="AA91" s="62" t="e" cm="1">
        <f t="array" aca="1" ref="AA91" ca="1">_xll.RiskOutput()+LOG10(Z91)</f>
        <v>#N/A</v>
      </c>
      <c r="AC91" t="s">
        <v>20</v>
      </c>
      <c r="AK91" s="52" t="str">
        <f>"P(ill) from "&amp;AK$54</f>
        <v>P(ill) from Serotype not Kentucky &amp; level over the threshold</v>
      </c>
      <c r="AL91" s="61" t="e" cm="1">
        <f t="array" aca="1" ref="AL91" ca="1">_xll.RiskOutput()+1-(1+(AL$68/AM$58))^(-AL$58)</f>
        <v>#N/A</v>
      </c>
      <c r="AM91" s="62" t="e" cm="1">
        <f t="array" aca="1" ref="AM91" ca="1">_xll.RiskOutput()+LOG10(AL91)</f>
        <v>#N/A</v>
      </c>
      <c r="AO91" t="s">
        <v>20</v>
      </c>
      <c r="AW91" s="52" t="str">
        <f>"P(ill) from "&amp;AW$54</f>
        <v>P(ill) from Serotype not Kentucky &amp; level over the threshold</v>
      </c>
      <c r="AX91" s="61" t="e" cm="1">
        <f t="array" aca="1" ref="AX91" ca="1">_xll.RiskOutput()+1-(1+(AX$68/AY$58))^(-AX$58)</f>
        <v>#N/A</v>
      </c>
      <c r="AY91" s="62" t="e" cm="1">
        <f t="array" aca="1" ref="AY91" ca="1">_xll.RiskOutput()+LOG10(AX91)</f>
        <v>#N/A</v>
      </c>
      <c r="BA91" t="s">
        <v>20</v>
      </c>
      <c r="BI91" s="52" t="str">
        <f>"P(ill) from "&amp;BI$54</f>
        <v>P(ill) from Serotype not Kentucky &amp; level over the threshold</v>
      </c>
      <c r="BJ91" s="61" t="e" cm="1">
        <f t="array" aca="1" ref="BJ91" ca="1">_xll.RiskOutput()+1-(1+(BJ$68/BK$58))^(-BJ$58)</f>
        <v>#N/A</v>
      </c>
      <c r="BK91" s="62" t="e" cm="1">
        <f t="array" aca="1" ref="BK91" ca="1">_xll.RiskOutput()+LOG10(BJ91)</f>
        <v>#N/A</v>
      </c>
      <c r="BM91" t="s">
        <v>20</v>
      </c>
    </row>
    <row r="92" spans="1:71" x14ac:dyDescent="0.25">
      <c r="A92" s="46" t="str">
        <f>A$91&amp; " -mean"</f>
        <v>P(ill) from Serotype not Kentucky &amp; level over the threshold -mean</v>
      </c>
      <c r="B92" s="18" cm="1">
        <f t="array" aca="1" ref="B92" ca="1">_xll.RiskMean(B91)</f>
        <v>1.3889219000996217E-5</v>
      </c>
      <c r="C92" s="57" cm="1">
        <f t="array" aca="1" ref="C92" ca="1">_xll.RiskOutput()+LOG10(B92)</f>
        <v>-4.8573221742115411</v>
      </c>
      <c r="M92" s="46" t="str">
        <f>M$91&amp; " -mean"</f>
        <v>P(ill) from Serotype not Kentucky &amp; level over the threshold -mean</v>
      </c>
      <c r="N92" s="18" cm="1">
        <f t="array" aca="1" ref="N92" ca="1">_xll.RiskMean(N91)</f>
        <v>3.0557888159962602E-4</v>
      </c>
      <c r="O92" s="57" cm="1">
        <f t="array" aca="1" ref="O92" ca="1">_xll.RiskOutput()+LOG10(N92)</f>
        <v>-3.5148766629290185</v>
      </c>
      <c r="Y92" s="46" t="str">
        <f>Y$91&amp; " -mean"</f>
        <v>P(ill) from Serotype not Kentucky &amp; level over the threshold -mean</v>
      </c>
      <c r="Z92" s="18" cm="1">
        <f t="array" aca="1" ref="Z92" ca="1">_xll.RiskMean(Z91)</f>
        <v>1.978437949635984E-3</v>
      </c>
      <c r="AA92" s="57" cm="1">
        <f t="array" aca="1" ref="AA92" ca="1">_xll.RiskOutput()+LOG10(Z92)</f>
        <v>-2.7036775660971091</v>
      </c>
      <c r="AK92" s="46" t="str">
        <f>AK$91&amp; " -mean"</f>
        <v>P(ill) from Serotype not Kentucky &amp; level over the threshold -mean</v>
      </c>
      <c r="AL92" s="18" cm="1">
        <f t="array" aca="1" ref="AL92" ca="1">_xll.RiskMean(AL91)</f>
        <v>1.9417291071508486E-5</v>
      </c>
      <c r="AM92" s="57" cm="1">
        <f t="array" aca="1" ref="AM92" ca="1">_xll.RiskOutput()+LOG10(AL92)</f>
        <v>-4.7118113591220121</v>
      </c>
      <c r="AW92" s="46" t="str">
        <f>AW$91&amp; " -mean"</f>
        <v>P(ill) from Serotype not Kentucky &amp; level over the threshold -mean</v>
      </c>
      <c r="AX92" s="18" cm="1">
        <f t="array" aca="1" ref="AX92" ca="1">_xll.RiskMean(AX91)</f>
        <v>1.1063560218571534E-4</v>
      </c>
      <c r="AY92" s="57" cm="1">
        <f t="array" aca="1" ref="AY92" ca="1">_xll.RiskOutput()+LOG10(AX92)</f>
        <v>-3.9561050959540274</v>
      </c>
      <c r="BI92" s="46" t="str">
        <f>BI$91&amp; " -mean"</f>
        <v>P(ill) from Serotype not Kentucky &amp; level over the threshold -mean</v>
      </c>
      <c r="BJ92" s="18" cm="1">
        <f t="array" aca="1" ref="BJ92" ca="1">_xll.RiskMean(BJ91)</f>
        <v>3.1081469676100867E-4</v>
      </c>
      <c r="BK92" s="57" cm="1">
        <f t="array" aca="1" ref="BK92" ca="1">_xll.RiskOutput()+LOG10(BJ92)</f>
        <v>-3.5074984539274192</v>
      </c>
    </row>
    <row r="93" spans="1:71" x14ac:dyDescent="0.25">
      <c r="A93" s="46" t="str">
        <f>A$91&amp; " -5th"</f>
        <v>P(ill) from Serotype not Kentucky &amp; level over the threshold -5th</v>
      </c>
      <c r="B93" s="19" cm="1">
        <f t="array" aca="1" ref="B93" ca="1">_xll.RiskPercentile(B91,0.05)</f>
        <v>2.7634494692563294E-7</v>
      </c>
      <c r="C93" s="56" cm="1">
        <f t="array" aca="1" ref="C93" ca="1">_xll.RiskOutput()+LOG10(B93)</f>
        <v>-6.5585484722523812</v>
      </c>
      <c r="M93" s="46" t="str">
        <f>M$91&amp; " -5th"</f>
        <v>P(ill) from Serotype not Kentucky &amp; level over the threshold -5th</v>
      </c>
      <c r="N93" s="19" cm="1">
        <f t="array" aca="1" ref="N93" ca="1">_xll.RiskPercentile(N91,0.05)</f>
        <v>3.0943797201032908E-5</v>
      </c>
      <c r="O93" s="56" cm="1">
        <f t="array" aca="1" ref="O93" ca="1">_xll.RiskOutput()+LOG10(N93)</f>
        <v>-4.5094263938600498</v>
      </c>
      <c r="Y93" s="46" t="str">
        <f>Y$91&amp; " -5th"</f>
        <v>P(ill) from Serotype not Kentucky &amp; level over the threshold -5th</v>
      </c>
      <c r="Z93" s="19" cm="1">
        <f t="array" aca="1" ref="Z93" ca="1">_xll.RiskPercentile(Z91,0.05)</f>
        <v>3.0972404769136208E-4</v>
      </c>
      <c r="AA93" s="56" cm="1">
        <f t="array" aca="1" ref="AA93" ca="1">_xll.RiskOutput()+LOG10(Z93)</f>
        <v>-3.5090250737061419</v>
      </c>
      <c r="AK93" s="46" t="str">
        <f>AK$91&amp; " -5th"</f>
        <v>P(ill) from Serotype not Kentucky &amp; level over the threshold -5th</v>
      </c>
      <c r="AL93" s="19" cm="1">
        <f t="array" aca="1" ref="AL93" ca="1">_xll.RiskPercentile(AL91,0.05)</f>
        <v>1.1227130336521896E-9</v>
      </c>
      <c r="AM93" s="56" cm="1">
        <f t="array" aca="1" ref="AM93" ca="1">_xll.RiskOutput()+LOG10(AL93)</f>
        <v>-8.949731235570674</v>
      </c>
      <c r="AW93" s="46" t="str">
        <f>AW$91&amp; " -5th"</f>
        <v>P(ill) from Serotype not Kentucky &amp; level over the threshold -5th</v>
      </c>
      <c r="AX93" s="19" cm="1">
        <f t="array" aca="1" ref="AX93" ca="1">_xll.RiskPercentile(AX91,0.05)</f>
        <v>1.3685110322736449E-7</v>
      </c>
      <c r="AY93" s="56" cm="1">
        <f t="array" aca="1" ref="AY93" ca="1">_xll.RiskOutput()+LOG10(AX93)</f>
        <v>-6.8637516971678112</v>
      </c>
      <c r="BI93" s="46" t="str">
        <f>BI$91&amp; " -5th"</f>
        <v>P(ill) from Serotype not Kentucky &amp; level over the threshold -5th</v>
      </c>
      <c r="BJ93" s="19" cm="1">
        <f t="array" aca="1" ref="BJ93" ca="1">_xll.RiskPercentile(BJ91,0.05)</f>
        <v>1.2962686523065869E-6</v>
      </c>
      <c r="BK93" s="56" cm="1">
        <f t="array" aca="1" ref="BK93" ca="1">_xll.RiskOutput()+LOG10(BJ93)</f>
        <v>-5.8873049813951539</v>
      </c>
    </row>
    <row r="94" spans="1:71" x14ac:dyDescent="0.25">
      <c r="A94" s="46" t="str">
        <f>A$91&amp; " -95th"</f>
        <v>P(ill) from Serotype not Kentucky &amp; level over the threshold -95th</v>
      </c>
      <c r="B94" s="19" cm="1">
        <f t="array" aca="1" ref="B94" ca="1">_xll.RiskPercentile(B91,0.95)</f>
        <v>3.2018783611476032E-5</v>
      </c>
      <c r="C94" s="56" cm="1">
        <f t="array" aca="1" ref="C94" ca="1">_xll.RiskOutput()+LOG10(B94)</f>
        <v>-4.4945951708819951</v>
      </c>
      <c r="M94" s="46" t="str">
        <f>M$91&amp; " -95th"</f>
        <v>P(ill) from Serotype not Kentucky &amp; level over the threshold -95th</v>
      </c>
      <c r="N94" s="19" cm="1">
        <f t="array" aca="1" ref="N94" ca="1">_xll.RiskPercentile(N91,0.95)</f>
        <v>9.5559891646523898E-4</v>
      </c>
      <c r="O94" s="56" cm="1">
        <f t="array" aca="1" ref="O94" ca="1">_xll.RiskOutput()+LOG10(N94)</f>
        <v>-3.0197243513598266</v>
      </c>
      <c r="Y94" s="46" t="str">
        <f>Y$91&amp; " -95th"</f>
        <v>P(ill) from Serotype not Kentucky &amp; level over the threshold -95th</v>
      </c>
      <c r="Z94" s="19" cm="1">
        <f t="array" aca="1" ref="Z94" ca="1">_xll.RiskPercentile(Z91,0.95)</f>
        <v>5.3186269038577594E-3</v>
      </c>
      <c r="AA94" s="56" cm="1">
        <f t="array" aca="1" ref="AA94" ca="1">_xll.RiskOutput()+LOG10(Z94)</f>
        <v>-2.2742004739168529</v>
      </c>
      <c r="AK94" s="46" t="str">
        <f>AK$91&amp; " -95th"</f>
        <v>P(ill) from Serotype not Kentucky &amp; level over the threshold -95th</v>
      </c>
      <c r="AL94" s="19" cm="1">
        <f t="array" aca="1" ref="AL94" ca="1">_xll.RiskPercentile(AL91,0.95)</f>
        <v>2.6802629218281027E-6</v>
      </c>
      <c r="AM94" s="56" cm="1">
        <f t="array" aca="1" ref="AM94" ca="1">_xll.RiskOutput()+LOG10(AL94)</f>
        <v>-5.5718226015315135</v>
      </c>
      <c r="AW94" s="46" t="str">
        <f>AW$91&amp; " -95th"</f>
        <v>P(ill) from Serotype not Kentucky &amp; level over the threshold -95th</v>
      </c>
      <c r="AX94" s="19" cm="1">
        <f t="array" aca="1" ref="AX94" ca="1">_xll.RiskPercentile(AX91,0.95)</f>
        <v>6.8465239156489943E-5</v>
      </c>
      <c r="AY94" s="56" cm="1">
        <f t="array" aca="1" ref="AY94" ca="1">_xll.RiskOutput()+LOG10(AX94)</f>
        <v>-4.164529870467006</v>
      </c>
      <c r="BI94" s="46" t="str">
        <f>BI$91&amp; " -95th"</f>
        <v>P(ill) from Serotype not Kentucky &amp; level over the threshold -95th</v>
      </c>
      <c r="BJ94" s="19" cm="1">
        <f t="array" aca="1" ref="BJ94" ca="1">_xll.RiskPercentile(BJ91,0.95)</f>
        <v>3.8663431137175852E-4</v>
      </c>
      <c r="BK94" s="56" cm="1">
        <f t="array" aca="1" ref="BK94" ca="1">_xll.RiskOutput()+LOG10(BJ94)</f>
        <v>-3.412699607684067</v>
      </c>
    </row>
    <row r="95" spans="1:71" ht="18.75" x14ac:dyDescent="0.3">
      <c r="A95" s="37" t="s">
        <v>24</v>
      </c>
      <c r="B95" s="38"/>
      <c r="C95" s="38"/>
      <c r="D95" s="38"/>
      <c r="E95" s="38"/>
      <c r="F95" s="36"/>
      <c r="G95" s="36"/>
      <c r="H95" s="36"/>
      <c r="I95" s="36"/>
      <c r="J95" s="36"/>
      <c r="K95" s="36"/>
      <c r="M95" s="37" t="s">
        <v>24</v>
      </c>
      <c r="N95" s="38"/>
      <c r="O95" s="38"/>
      <c r="P95" s="38"/>
      <c r="Q95" s="38"/>
      <c r="R95" s="36"/>
      <c r="S95" s="36"/>
      <c r="T95" s="36"/>
      <c r="U95" s="36"/>
      <c r="V95" s="36"/>
      <c r="W95" s="36"/>
      <c r="Y95" s="37" t="s">
        <v>24</v>
      </c>
      <c r="Z95" s="38"/>
      <c r="AA95" s="38"/>
      <c r="AB95" s="38"/>
      <c r="AC95" s="38"/>
      <c r="AD95" s="36"/>
      <c r="AE95" s="36"/>
      <c r="AF95" s="36"/>
      <c r="AG95" s="36"/>
      <c r="AH95" s="36"/>
      <c r="AI95" s="36"/>
      <c r="AK95" s="37" t="s">
        <v>24</v>
      </c>
      <c r="AL95" s="38"/>
      <c r="AM95" s="38"/>
      <c r="AN95" s="38"/>
      <c r="AO95" s="38"/>
      <c r="AP95" s="36"/>
      <c r="AQ95" s="36"/>
      <c r="AR95" s="36"/>
      <c r="AS95" s="36"/>
      <c r="AT95" s="36"/>
      <c r="AU95" s="36"/>
      <c r="AW95" s="37" t="s">
        <v>24</v>
      </c>
      <c r="AX95" s="38"/>
      <c r="AY95" s="38"/>
      <c r="AZ95" s="38"/>
      <c r="BA95" s="38"/>
      <c r="BB95" s="36"/>
      <c r="BC95" s="36"/>
      <c r="BD95" s="36"/>
      <c r="BE95" s="36"/>
      <c r="BF95" s="36"/>
      <c r="BG95" s="36"/>
      <c r="BI95" s="37" t="s">
        <v>24</v>
      </c>
      <c r="BJ95" s="38"/>
      <c r="BK95" s="38"/>
      <c r="BL95" s="38"/>
      <c r="BM95" s="38"/>
      <c r="BN95" s="36"/>
      <c r="BO95" s="36"/>
      <c r="BP95" s="36"/>
      <c r="BQ95" s="36"/>
      <c r="BR95" s="36"/>
      <c r="BS95" s="36"/>
    </row>
    <row r="96" spans="1:71" x14ac:dyDescent="0.25">
      <c r="A96" s="43" t="s">
        <v>36</v>
      </c>
      <c r="B96" s="43">
        <f ca="1">B71</f>
        <v>2.074446835577182E-6</v>
      </c>
      <c r="C96" t="s">
        <v>37</v>
      </c>
      <c r="D96" s="7"/>
      <c r="M96" s="43" t="s">
        <v>36</v>
      </c>
      <c r="N96" s="43">
        <f ca="1">N71</f>
        <v>2.074446835577182E-6</v>
      </c>
      <c r="O96" t="s">
        <v>37</v>
      </c>
      <c r="P96" s="7"/>
      <c r="Y96" s="43" t="s">
        <v>36</v>
      </c>
      <c r="Z96" s="43">
        <f ca="1">Z71</f>
        <v>2.074446835577182E-6</v>
      </c>
      <c r="AA96" t="s">
        <v>37</v>
      </c>
      <c r="AB96" s="7"/>
      <c r="AK96" s="43" t="s">
        <v>36</v>
      </c>
      <c r="AL96" s="43">
        <f ca="1">AL71</f>
        <v>1.8512427124861485E-6</v>
      </c>
      <c r="AM96" t="s">
        <v>37</v>
      </c>
      <c r="AN96" s="7"/>
      <c r="AW96" s="43" t="s">
        <v>36</v>
      </c>
      <c r="AX96" s="43">
        <f ca="1">AX71</f>
        <v>1.8512427124861485E-6</v>
      </c>
      <c r="AY96" t="s">
        <v>37</v>
      </c>
      <c r="AZ96" s="7"/>
      <c r="BI96" s="43" t="s">
        <v>36</v>
      </c>
      <c r="BJ96" s="43">
        <f ca="1">BJ71</f>
        <v>1.8512427124861485E-6</v>
      </c>
      <c r="BK96" t="s">
        <v>37</v>
      </c>
      <c r="BL96" s="7"/>
    </row>
    <row r="97" spans="1:71" x14ac:dyDescent="0.25">
      <c r="A97" t="str">
        <f>A80</f>
        <v>P(ill) from Level over the threshold-mean</v>
      </c>
      <c r="B97" s="7">
        <f ca="1">B80</f>
        <v>9.9413725003508758E-6</v>
      </c>
      <c r="M97" t="str">
        <f>M80</f>
        <v>P(ill) from Level over the threshold-mean</v>
      </c>
      <c r="N97" s="7">
        <f ca="1">N80</f>
        <v>2.1820219633082017E-4</v>
      </c>
      <c r="Y97" t="str">
        <f>Y80</f>
        <v>P(ill) from Level over the threshold-mean</v>
      </c>
      <c r="Z97" s="7">
        <f ca="1">Z80</f>
        <v>1.4117890250523262E-3</v>
      </c>
      <c r="AK97" t="str">
        <f>AK80</f>
        <v>P(ill) from Level over the threshold-mean</v>
      </c>
      <c r="AL97" s="7">
        <f ca="1">AL80</f>
        <v>1.3882874415017414E-5</v>
      </c>
      <c r="AW97" t="str">
        <f>AW80</f>
        <v>P(ill) from Level over the threshold-mean</v>
      </c>
      <c r="AX97" s="7">
        <f ca="1">AX80</f>
        <v>7.8893290470000041E-5</v>
      </c>
      <c r="BI97" t="str">
        <f>BI80</f>
        <v>P(ill) from Level over the threshold-mean</v>
      </c>
      <c r="BJ97" s="7">
        <f ca="1">BJ80</f>
        <v>2.2099735982951383E-4</v>
      </c>
    </row>
    <row r="98" spans="1:71" x14ac:dyDescent="0.25">
      <c r="A98" t="str">
        <f>A84</f>
        <v>P(ill) from Inclusion list &amp; level over the threshold -mean</v>
      </c>
      <c r="B98" s="7">
        <f ca="1">B84</f>
        <v>1.4338062090673266E-5</v>
      </c>
      <c r="M98" t="str">
        <f>M84</f>
        <v>P(ill) from Inclusion list &amp; level over the threshold -mean</v>
      </c>
      <c r="N98" s="7">
        <f ca="1">N84</f>
        <v>3.2244181406871112E-4</v>
      </c>
      <c r="Y98" t="str">
        <f>Y84</f>
        <v>P(ill) from Inclusion list &amp; level over the threshold -mean</v>
      </c>
      <c r="Z98" s="7">
        <f ca="1">Z84</f>
        <v>2.0850878655353892E-3</v>
      </c>
      <c r="AK98" t="str">
        <f>AK84</f>
        <v>P(ill) from Inclusion list &amp; level over the threshold -mean</v>
      </c>
      <c r="AL98" s="7">
        <f ca="1">AL84</f>
        <v>2.1205864858852619E-5</v>
      </c>
      <c r="AW98" t="str">
        <f>AW84</f>
        <v>P(ill) from Inclusion list &amp; level over the threshold -mean</v>
      </c>
      <c r="AX98" s="7">
        <f ca="1">AX84</f>
        <v>1.2123890466119037E-4</v>
      </c>
      <c r="BI98" t="str">
        <f>BI84</f>
        <v>P(ill) from Inclusion list &amp; level over the threshold -mean</v>
      </c>
      <c r="BJ98" s="7">
        <f ca="1">BJ84</f>
        <v>3.4238501780955668E-4</v>
      </c>
    </row>
    <row r="99" spans="1:71" x14ac:dyDescent="0.25">
      <c r="A99" t="str">
        <f>A88</f>
        <v>P(ill) from Serotype Kentucky &amp; level over the threshold -mean</v>
      </c>
      <c r="B99" s="7">
        <f ca="1">B88</f>
        <v>3.6975039800925373E-7</v>
      </c>
      <c r="M99" t="str">
        <f>M88</f>
        <v>P(ill) from Serotype Kentucky &amp; level over the threshold -mean</v>
      </c>
      <c r="N99" s="7">
        <f ca="1">N88</f>
        <v>8.1024157976976927E-6</v>
      </c>
      <c r="Y99" t="str">
        <f>Y88</f>
        <v>P(ill) from Serotype Kentucky &amp; level over the threshold -mean</v>
      </c>
      <c r="Z99" s="7">
        <f ca="1">Z88</f>
        <v>5.3119444516509922E-5</v>
      </c>
      <c r="AK99" t="str">
        <f>AK88</f>
        <v>P(ill) from Serotype Kentucky &amp; level over the threshold -mean</v>
      </c>
      <c r="AL99" s="7">
        <f ca="1">AL88</f>
        <v>3.6769750818535374E-7</v>
      </c>
      <c r="AW99" t="str">
        <f>AW88</f>
        <v>P(ill) from Serotype Kentucky &amp; level over the threshold -mean</v>
      </c>
      <c r="AX99" s="7">
        <f ca="1">AX88</f>
        <v>2.0754141308451189E-6</v>
      </c>
      <c r="BI99" t="str">
        <f>BI88</f>
        <v>P(ill) from Serotype Kentucky &amp; level over the threshold -mean</v>
      </c>
      <c r="BJ99" s="7">
        <f ca="1">BJ88</f>
        <v>5.7650204535508529E-6</v>
      </c>
    </row>
    <row r="100" spans="1:71" x14ac:dyDescent="0.25">
      <c r="A100" t="str">
        <f>A92</f>
        <v>P(ill) from Serotype not Kentucky &amp; level over the threshold -mean</v>
      </c>
      <c r="B100" s="7">
        <f ca="1">B92</f>
        <v>1.3889219000996217E-5</v>
      </c>
      <c r="M100" t="str">
        <f>M92</f>
        <v>P(ill) from Serotype not Kentucky &amp; level over the threshold -mean</v>
      </c>
      <c r="N100" s="7">
        <f ca="1">N92</f>
        <v>3.0557888159962602E-4</v>
      </c>
      <c r="Y100" t="str">
        <f>Y92</f>
        <v>P(ill) from Serotype not Kentucky &amp; level over the threshold -mean</v>
      </c>
      <c r="Z100" s="7">
        <f ca="1">Z92</f>
        <v>1.978437949635984E-3</v>
      </c>
      <c r="AK100" t="str">
        <f>AK92</f>
        <v>P(ill) from Serotype not Kentucky &amp; level over the threshold -mean</v>
      </c>
      <c r="AL100" s="7">
        <f ca="1">AL92</f>
        <v>1.9417291071508486E-5</v>
      </c>
      <c r="AW100" t="str">
        <f>AW92</f>
        <v>P(ill) from Serotype not Kentucky &amp; level over the threshold -mean</v>
      </c>
      <c r="AX100" s="7">
        <f ca="1">AX92</f>
        <v>1.1063560218571534E-4</v>
      </c>
      <c r="BI100" t="str">
        <f>BI92</f>
        <v>P(ill) from Serotype not Kentucky &amp; level over the threshold -mean</v>
      </c>
      <c r="BJ100" s="7">
        <f ca="1">BJ92</f>
        <v>3.1081469676100867E-4</v>
      </c>
    </row>
    <row r="101" spans="1:71" x14ac:dyDescent="0.25">
      <c r="A101" t="str">
        <f>A96&amp;"-Relative Risk"</f>
        <v>No-Threshold-mean-Relative Risk</v>
      </c>
      <c r="B101" s="42">
        <f ca="1">B96/B$96</f>
        <v>1</v>
      </c>
      <c r="C101" s="80" t="s">
        <v>100</v>
      </c>
      <c r="M101" t="str">
        <f>M96&amp;"-Relative Risk"</f>
        <v>No-Threshold-mean-Relative Risk</v>
      </c>
      <c r="N101" s="42">
        <f ca="1">N96/N$96</f>
        <v>1</v>
      </c>
      <c r="O101" s="80" t="s">
        <v>100</v>
      </c>
      <c r="Y101" t="str">
        <f>Y96&amp;"-Relative Risk"</f>
        <v>No-Threshold-mean-Relative Risk</v>
      </c>
      <c r="Z101" s="42">
        <f ca="1">Z96/Z$96</f>
        <v>1</v>
      </c>
      <c r="AA101" s="80" t="s">
        <v>100</v>
      </c>
      <c r="AK101" t="str">
        <f>AK96&amp;"-Relative Risk"</f>
        <v>No-Threshold-mean-Relative Risk</v>
      </c>
      <c r="AL101" s="42">
        <f ca="1">AL96/AL$96</f>
        <v>1</v>
      </c>
      <c r="AM101" s="80" t="s">
        <v>100</v>
      </c>
      <c r="AW101" t="str">
        <f>AW96&amp;"-Relative Risk"</f>
        <v>No-Threshold-mean-Relative Risk</v>
      </c>
      <c r="AX101" s="42">
        <f ca="1">AX96/AX$96</f>
        <v>1</v>
      </c>
      <c r="AY101" s="80" t="s">
        <v>100</v>
      </c>
      <c r="BI101" t="str">
        <f>BI96&amp;"-Relative Risk"</f>
        <v>No-Threshold-mean-Relative Risk</v>
      </c>
      <c r="BJ101" s="42">
        <f ca="1">BJ96/BJ$96</f>
        <v>1</v>
      </c>
      <c r="BK101" s="80" t="s">
        <v>100</v>
      </c>
    </row>
    <row r="102" spans="1:71" x14ac:dyDescent="0.25">
      <c r="A102" t="str">
        <f>A79&amp;"-Relative Risk"</f>
        <v>P(ill) from Level over the threshold-Relative Risk</v>
      </c>
      <c r="B102" s="81">
        <f ca="1">B97/B96</f>
        <v>4.7923004484156113</v>
      </c>
      <c r="C102" s="81">
        <f ca="1">B26</f>
        <v>0.20538200000000001</v>
      </c>
      <c r="M102" t="str">
        <f>M79&amp;"-Relative Risk"</f>
        <v>P(ill) from Level over the threshold-Relative Risk</v>
      </c>
      <c r="N102" s="81">
        <f ca="1">N97/N96</f>
        <v>105.18572594322903</v>
      </c>
      <c r="O102" s="81">
        <f ca="1">N26</f>
        <v>6.6150000000000002E-3</v>
      </c>
      <c r="Y102" t="str">
        <f>Y79&amp;"-Relative Risk"</f>
        <v>P(ill) from Level over the threshold-Relative Risk</v>
      </c>
      <c r="Z102" s="81">
        <f ca="1">Z97/Z96</f>
        <v>680.56168075260325</v>
      </c>
      <c r="AA102" s="81">
        <f ca="1">Z26</f>
        <v>5.9800000000000001E-4</v>
      </c>
      <c r="AK102" t="str">
        <f>AK79&amp;"-Relative Risk"</f>
        <v>P(ill) from Level over the threshold-Relative Risk</v>
      </c>
      <c r="AL102" s="81">
        <f ca="1">AL97/AL96</f>
        <v>7.4992189416228632</v>
      </c>
      <c r="AM102" s="81">
        <f ca="1">AL26</f>
        <v>0.13334399999999999</v>
      </c>
      <c r="AW102" t="str">
        <f>AW79&amp;"-Relative Risk"</f>
        <v>P(ill) from Level over the threshold-Relative Risk</v>
      </c>
      <c r="AX102" s="81">
        <f ca="1">AX97/AX96</f>
        <v>42.616394888625571</v>
      </c>
      <c r="AY102" s="81">
        <f ca="1">AX26</f>
        <v>2.3441E-2</v>
      </c>
      <c r="BI102" t="str">
        <f>BI79&amp;"-Relative Risk"</f>
        <v>P(ill) from Level over the threshold-Relative Risk</v>
      </c>
      <c r="BJ102" s="81">
        <f ca="1">BJ97/BJ96</f>
        <v>119.37784188909664</v>
      </c>
      <c r="BK102" s="81">
        <f ca="1">BJ26</f>
        <v>8.3379999999999999E-3</v>
      </c>
    </row>
    <row r="103" spans="1:71" x14ac:dyDescent="0.25">
      <c r="A103" t="str">
        <f>A83&amp;"-Relative Risk"</f>
        <v>P(ill) from Inclusion list &amp; level over the threshold-Relative Risk</v>
      </c>
      <c r="B103" s="81">
        <f ca="1">B98/B96</f>
        <v>6.9117520125233423</v>
      </c>
      <c r="C103" s="81">
        <f ca="1">B33</f>
        <v>0.10534</v>
      </c>
      <c r="M103" t="str">
        <f>M83&amp;"-Relative Risk"</f>
        <v>P(ill) from Inclusion list &amp; level over the threshold-Relative Risk</v>
      </c>
      <c r="N103" s="81">
        <f ca="1">N98/N96</f>
        <v>155.43508203669958</v>
      </c>
      <c r="O103" s="81">
        <f ca="1">N33</f>
        <v>3.346E-3</v>
      </c>
      <c r="Y103" t="str">
        <f>Y83&amp;"-Relative Risk"</f>
        <v>P(ill) from Inclusion list &amp; level over the threshold-Relative Risk</v>
      </c>
      <c r="Z103" s="81">
        <f ca="1">Z98/Z96</f>
        <v>1005.1295746777944</v>
      </c>
      <c r="AA103" s="81">
        <f ca="1">Z33</f>
        <v>3.1399999999999999E-4</v>
      </c>
      <c r="AK103" t="str">
        <f>AK83&amp;"-Relative Risk"</f>
        <v>P(ill) from Inclusion list &amp; level over the threshold-Relative Risk</v>
      </c>
      <c r="AL103" s="81">
        <f ca="1">AL98/AL96</f>
        <v>11.454934955759501</v>
      </c>
      <c r="AM103" s="81">
        <f ca="1">AL33</f>
        <v>6.8423999999999999E-2</v>
      </c>
      <c r="AW103" t="str">
        <f>AW83&amp;"-Relative Risk"</f>
        <v>P(ill) from Inclusion list &amp; level over the threshold-Relative Risk</v>
      </c>
      <c r="AX103" s="81">
        <f ca="1">AX98/AX96</f>
        <v>65.490550668189329</v>
      </c>
      <c r="AY103" s="81">
        <f ca="1">AX33</f>
        <v>1.1957000000000001E-2</v>
      </c>
      <c r="BI103" t="str">
        <f>BI83&amp;"-Relative Risk"</f>
        <v>P(ill) from Inclusion list &amp; level over the threshold-Relative Risk</v>
      </c>
      <c r="BJ103" s="81">
        <f ca="1">BJ98/BJ96</f>
        <v>184.94874578047447</v>
      </c>
      <c r="BK103" s="81">
        <f ca="1">BJ33</f>
        <v>4.2199999999999998E-3</v>
      </c>
    </row>
    <row r="104" spans="1:71" x14ac:dyDescent="0.25">
      <c r="A104" t="str">
        <f>A87&amp;"-Relative Risk"</f>
        <v>P(ill) from Serotype Kentucky &amp; level over the threshold-Relative Risk</v>
      </c>
      <c r="B104" s="81">
        <f ca="1">B99/B96</f>
        <v>0.17824047918122546</v>
      </c>
      <c r="C104" s="81">
        <f ca="1">B37</f>
        <v>5.9974E-2</v>
      </c>
      <c r="M104" t="str">
        <f>M87&amp;"-Relative Risk"</f>
        <v>P(ill) from Serotype Kentucky &amp; level over the threshold-Relative Risk</v>
      </c>
      <c r="N104" s="81">
        <f ca="1">N99/N96</f>
        <v>3.905819931723304</v>
      </c>
      <c r="O104" s="81">
        <f ca="1">N37</f>
        <v>1.9430000000000001E-3</v>
      </c>
      <c r="Y104" t="str">
        <f>Y87&amp;"-Relative Risk"</f>
        <v>P(ill) from Serotype Kentucky &amp; level over the threshold-Relative Risk</v>
      </c>
      <c r="Z104" s="81">
        <f ca="1">Z99/Z96</f>
        <v>25.606558628305496</v>
      </c>
      <c r="AA104" s="81">
        <f ca="1">Z37</f>
        <v>1.76E-4</v>
      </c>
      <c r="AK104" t="str">
        <f>AK87&amp;"-Relative Risk"</f>
        <v>P(ill) from Serotype Kentucky &amp; level over the threshold-Relative Risk</v>
      </c>
      <c r="AL104" s="81">
        <f ca="1">AL99/AL96</f>
        <v>0.19862198819491905</v>
      </c>
      <c r="AM104" s="81">
        <f ca="1">AL37</f>
        <v>3.8739999999999997E-2</v>
      </c>
      <c r="AW104" t="str">
        <f>AW87&amp;"-Relative Risk"</f>
        <v>P(ill) from Serotype Kentucky &amp; level over the threshold-Relative Risk</v>
      </c>
      <c r="AX104" s="81">
        <f ca="1">AX99/AX96</f>
        <v>1.1210923974727856</v>
      </c>
      <c r="AY104" s="81">
        <f ca="1">AX37</f>
        <v>6.8539999999999998E-3</v>
      </c>
      <c r="BI104" t="str">
        <f>BI87&amp;"-Relative Risk"</f>
        <v>P(ill) from Serotype Kentucky &amp; level over the threshold-Relative Risk</v>
      </c>
      <c r="BJ104" s="81">
        <f ca="1">BJ99/BJ96</f>
        <v>3.114135393845062</v>
      </c>
      <c r="BK104" s="81">
        <f ca="1">BJ37</f>
        <v>2.4550000000000002E-3</v>
      </c>
    </row>
    <row r="105" spans="1:71" x14ac:dyDescent="0.25">
      <c r="A105" t="str">
        <f>A91&amp; "-Relative Risk"</f>
        <v>P(ill) from Serotype not Kentucky &amp; level over the threshold-Relative Risk</v>
      </c>
      <c r="B105" s="81">
        <f ca="1">B100/B96</f>
        <v>6.6953844093728057</v>
      </c>
      <c r="C105" s="81">
        <f ca="1">B39</f>
        <v>0.14540800000000001</v>
      </c>
      <c r="M105" t="str">
        <f>M91&amp; "-Relative Risk"</f>
        <v>P(ill) from Serotype not Kentucky &amp; level over the threshold-Relative Risk</v>
      </c>
      <c r="N105" s="81">
        <f ca="1">N100/N96</f>
        <v>147.30620055375078</v>
      </c>
      <c r="O105" s="81">
        <f ca="1">N39</f>
        <v>4.6719999999999999E-3</v>
      </c>
      <c r="Y105" t="str">
        <f>Y91&amp; "-Relative Risk"</f>
        <v>P(ill) from Serotype not Kentucky &amp; level over the threshold-Relative Risk</v>
      </c>
      <c r="Z105" s="81">
        <f ca="1">Z100/Z96</f>
        <v>953.71831936368471</v>
      </c>
      <c r="AA105" s="81">
        <f ca="1">Z39</f>
        <v>4.2200000000000001E-4</v>
      </c>
      <c r="AK105" t="str">
        <f>AK91&amp; "-Relative Risk"</f>
        <v>P(ill) from Serotype not Kentucky &amp; level over the threshold-Relative Risk</v>
      </c>
      <c r="AL105" s="81">
        <f ca="1">AL100/AL96</f>
        <v>10.488787310569236</v>
      </c>
      <c r="AM105" s="81">
        <f ca="1">AL39</f>
        <v>9.4603999999999994E-2</v>
      </c>
      <c r="AW105" t="str">
        <f>AW91&amp; "-Relative Risk"</f>
        <v>P(ill) from Serotype not Kentucky &amp; level over the threshold-Relative Risk</v>
      </c>
      <c r="AX105" s="81">
        <f ca="1">AX100/AX96</f>
        <v>59.762883299692206</v>
      </c>
      <c r="AY105" s="81">
        <f ca="1">AX39</f>
        <v>1.6587000000000001E-2</v>
      </c>
      <c r="BI105" t="str">
        <f>BI91&amp; "-Relative Risk"</f>
        <v>P(ill) from Serotype not Kentucky &amp; level over the threshold-Relative Risk</v>
      </c>
      <c r="BJ105" s="81">
        <f ca="1">BJ100/BJ96</f>
        <v>167.89516288957938</v>
      </c>
      <c r="BK105" s="81">
        <f ca="1">BJ39</f>
        <v>5.8830000000000002E-3</v>
      </c>
    </row>
    <row r="106" spans="1:71" x14ac:dyDescent="0.25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K106" s="90"/>
      <c r="AL106" s="90"/>
      <c r="AM106" s="90"/>
      <c r="AN106" s="90"/>
      <c r="AO106" s="90"/>
      <c r="AP106" s="90"/>
      <c r="AQ106" s="90"/>
      <c r="AR106" s="90"/>
      <c r="AS106" s="90"/>
      <c r="AT106" s="90"/>
      <c r="AU106" s="90"/>
      <c r="AV106" s="90"/>
      <c r="AW106" s="90"/>
      <c r="AX106" s="90"/>
      <c r="AY106" s="90"/>
      <c r="AZ106" s="90"/>
      <c r="BA106" s="90"/>
      <c r="BB106" s="90"/>
      <c r="BC106" s="90"/>
      <c r="BD106" s="90"/>
      <c r="BE106" s="90"/>
      <c r="BF106" s="90"/>
      <c r="BG106" s="90"/>
      <c r="BH106" s="90"/>
      <c r="BI106" s="90"/>
      <c r="BJ106" s="90"/>
      <c r="BK106" s="90"/>
      <c r="BL106" s="90"/>
      <c r="BM106" s="90"/>
      <c r="BN106" s="90"/>
      <c r="BO106" s="90"/>
      <c r="BP106" s="90"/>
      <c r="BQ106" s="90"/>
      <c r="BR106" s="90"/>
      <c r="BS106" s="90"/>
    </row>
    <row r="107" spans="1:71" x14ac:dyDescent="0.25">
      <c r="A107" s="20" t="s">
        <v>140</v>
      </c>
      <c r="L107" s="7"/>
      <c r="M107" s="54"/>
      <c r="P107" s="7"/>
      <c r="Q107" s="7"/>
      <c r="R107" s="54"/>
    </row>
    <row r="108" spans="1:71" x14ac:dyDescent="0.25">
      <c r="A108" t="s">
        <v>141</v>
      </c>
      <c r="B108" s="82" t="s">
        <v>124</v>
      </c>
      <c r="C108" s="82"/>
      <c r="D108" s="82"/>
      <c r="E108" s="90" t="s">
        <v>125</v>
      </c>
      <c r="F108" s="90"/>
      <c r="G108" s="90"/>
      <c r="H108" s="90"/>
      <c r="L108" s="7"/>
      <c r="M108" s="54"/>
      <c r="P108" s="7"/>
      <c r="Q108" s="7"/>
      <c r="R108" s="54"/>
    </row>
    <row r="109" spans="1:71" x14ac:dyDescent="0.25">
      <c r="A109" t="s">
        <v>146</v>
      </c>
      <c r="B109" t="s">
        <v>120</v>
      </c>
      <c r="C109" t="s">
        <v>150</v>
      </c>
      <c r="D109" s="20" t="s">
        <v>103</v>
      </c>
      <c r="E109" t="s">
        <v>146</v>
      </c>
      <c r="F109" t="s">
        <v>120</v>
      </c>
      <c r="G109" t="s">
        <v>150</v>
      </c>
      <c r="H109" s="20" t="s">
        <v>103</v>
      </c>
    </row>
    <row r="110" spans="1:71" x14ac:dyDescent="0.25">
      <c r="A110" t="s">
        <v>139</v>
      </c>
      <c r="B110" s="88">
        <v>7.4000000000000003E-3</v>
      </c>
      <c r="C110" s="89">
        <f ca="1">C102</f>
        <v>0.20538200000000001</v>
      </c>
      <c r="D110" s="104">
        <f ca="1">B102</f>
        <v>4.7923004484156113</v>
      </c>
      <c r="E110" s="88" t="s">
        <v>139</v>
      </c>
      <c r="F110" s="88">
        <v>7.4000000000000003E-3</v>
      </c>
      <c r="G110" s="89">
        <f ca="1">AM102</f>
        <v>0.13334399999999999</v>
      </c>
      <c r="H110" s="104">
        <f ca="1">AL102</f>
        <v>7.4992189416228632</v>
      </c>
    </row>
    <row r="111" spans="1:71" x14ac:dyDescent="0.25">
      <c r="A111" t="s">
        <v>139</v>
      </c>
      <c r="B111" s="88">
        <v>1</v>
      </c>
      <c r="C111" s="89">
        <f ca="1">O102</f>
        <v>6.6150000000000002E-3</v>
      </c>
      <c r="D111" s="104">
        <f ca="1">N102</f>
        <v>105.18572594322903</v>
      </c>
      <c r="E111" s="88" t="s">
        <v>139</v>
      </c>
      <c r="F111" s="88">
        <v>1</v>
      </c>
      <c r="G111" s="89">
        <f ca="1">AY102</f>
        <v>2.3441E-2</v>
      </c>
      <c r="H111" s="104">
        <f ca="1">AX102</f>
        <v>42.616394888625571</v>
      </c>
      <c r="K111" s="44"/>
      <c r="L111" s="7"/>
    </row>
    <row r="112" spans="1:71" x14ac:dyDescent="0.25">
      <c r="A112" t="s">
        <v>139</v>
      </c>
      <c r="B112" s="88">
        <v>10</v>
      </c>
      <c r="C112" s="89">
        <f ca="1">AA102</f>
        <v>5.9800000000000001E-4</v>
      </c>
      <c r="D112" s="104">
        <f ca="1">Z102</f>
        <v>680.56168075260325</v>
      </c>
      <c r="E112" s="88" t="s">
        <v>139</v>
      </c>
      <c r="F112" s="88">
        <v>10</v>
      </c>
      <c r="G112" s="89">
        <f ca="1">BK102</f>
        <v>8.3379999999999999E-3</v>
      </c>
      <c r="H112" s="104">
        <f ca="1">BJ102</f>
        <v>119.37784188909664</v>
      </c>
    </row>
    <row r="113" spans="1:10" x14ac:dyDescent="0.25">
      <c r="A113" t="s">
        <v>138</v>
      </c>
      <c r="B113">
        <v>7.4000000000000003E-3</v>
      </c>
      <c r="C113" s="100">
        <f ca="1">1-C110</f>
        <v>0.79461800000000005</v>
      </c>
      <c r="D113" s="103">
        <f ca="1">B76/B96</f>
        <v>1.9818012307168838E-2</v>
      </c>
      <c r="E113" t="s">
        <v>138</v>
      </c>
      <c r="F113">
        <v>7.4000000000000003E-3</v>
      </c>
      <c r="G113" s="83">
        <f ca="1">1-G110</f>
        <v>0.86665599999999998</v>
      </c>
      <c r="H113" s="105">
        <f ca="1">AL76/AL96</f>
        <v>2.7865090932893927E-5</v>
      </c>
    </row>
    <row r="114" spans="1:10" x14ac:dyDescent="0.25">
      <c r="A114" t="s">
        <v>138</v>
      </c>
      <c r="B114">
        <v>1</v>
      </c>
      <c r="C114" s="100">
        <f ca="1">1-C111</f>
        <v>0.99338499999999996</v>
      </c>
      <c r="D114" s="103">
        <f ca="1">N76/N71</f>
        <v>0.30622208195769685</v>
      </c>
      <c r="E114" t="s">
        <v>138</v>
      </c>
      <c r="F114">
        <v>1</v>
      </c>
      <c r="G114" s="83">
        <f ca="1">1-G111</f>
        <v>0.97655899999999995</v>
      </c>
      <c r="H114" s="105">
        <f ca="1">AX76/AX71</f>
        <v>1.0537892904854309E-3</v>
      </c>
    </row>
    <row r="115" spans="1:10" x14ac:dyDescent="0.25">
      <c r="A115" t="s">
        <v>138</v>
      </c>
      <c r="B115">
        <v>10</v>
      </c>
      <c r="C115" s="100">
        <f ca="1">1-C112</f>
        <v>0.99940200000000001</v>
      </c>
      <c r="D115" s="103">
        <f ca="1">Z76/Z71</f>
        <v>0.59337895552535447</v>
      </c>
      <c r="E115" t="s">
        <v>138</v>
      </c>
      <c r="F115">
        <v>10</v>
      </c>
      <c r="G115" s="83">
        <f ca="1">1-G112</f>
        <v>0.99166200000000004</v>
      </c>
      <c r="H115" s="105">
        <f ca="1">BJ76/BJ71</f>
        <v>4.6664632997055651E-3</v>
      </c>
    </row>
    <row r="116" spans="1:10" x14ac:dyDescent="0.25">
      <c r="A116" t="s">
        <v>147</v>
      </c>
      <c r="B116">
        <v>7.4000000000000003E-3</v>
      </c>
      <c r="C116" s="83">
        <f ca="1">C103</f>
        <v>0.10534</v>
      </c>
      <c r="D116" s="103">
        <f ca="1">B103</f>
        <v>6.9117520125233423</v>
      </c>
      <c r="E116" t="s">
        <v>147</v>
      </c>
      <c r="F116">
        <v>7.4000000000000003E-3</v>
      </c>
      <c r="G116" s="83">
        <f ca="1">AM103</f>
        <v>6.8423999999999999E-2</v>
      </c>
      <c r="H116" s="103">
        <f ca="1">AL103</f>
        <v>11.454934955759501</v>
      </c>
    </row>
    <row r="117" spans="1:10" x14ac:dyDescent="0.25">
      <c r="A117" t="s">
        <v>147</v>
      </c>
      <c r="B117">
        <v>1</v>
      </c>
      <c r="C117" s="83">
        <f ca="1">O103</f>
        <v>3.346E-3</v>
      </c>
      <c r="D117" s="103">
        <f ca="1">N104</f>
        <v>3.905819931723304</v>
      </c>
      <c r="E117" t="s">
        <v>147</v>
      </c>
      <c r="F117">
        <v>1</v>
      </c>
      <c r="G117" s="83">
        <f ca="1">AY103</f>
        <v>1.1957000000000001E-2</v>
      </c>
      <c r="H117" s="103">
        <f ca="1">AX103</f>
        <v>65.490550668189329</v>
      </c>
    </row>
    <row r="118" spans="1:10" x14ac:dyDescent="0.25">
      <c r="A118" t="s">
        <v>147</v>
      </c>
      <c r="B118">
        <v>10</v>
      </c>
      <c r="C118" s="83">
        <f ca="1">AA103</f>
        <v>3.1399999999999999E-4</v>
      </c>
      <c r="D118" s="103">
        <f ca="1">Z104</f>
        <v>25.606558628305496</v>
      </c>
      <c r="E118" t="s">
        <v>147</v>
      </c>
      <c r="F118">
        <v>10</v>
      </c>
      <c r="G118" s="83">
        <f ca="1">BK103</f>
        <v>4.2199999999999998E-3</v>
      </c>
      <c r="H118" s="103">
        <f ca="1">BJ103</f>
        <v>184.94874578047447</v>
      </c>
    </row>
    <row r="119" spans="1:10" x14ac:dyDescent="0.25">
      <c r="A119" t="s">
        <v>148</v>
      </c>
      <c r="B119">
        <v>7.4000000000000003E-3</v>
      </c>
      <c r="C119" s="83">
        <f ca="1">C104</f>
        <v>5.9974E-2</v>
      </c>
      <c r="D119" s="103">
        <f ca="1">B105</f>
        <v>6.6953844093728057</v>
      </c>
      <c r="E119" t="s">
        <v>148</v>
      </c>
      <c r="F119">
        <v>7.4000000000000003E-3</v>
      </c>
      <c r="G119" s="83">
        <f ca="1">AM104</f>
        <v>3.8739999999999997E-2</v>
      </c>
      <c r="H119" s="103">
        <f ca="1">AL104</f>
        <v>0.19862198819491905</v>
      </c>
    </row>
    <row r="120" spans="1:10" x14ac:dyDescent="0.25">
      <c r="A120" t="s">
        <v>148</v>
      </c>
      <c r="B120">
        <v>1</v>
      </c>
      <c r="C120" s="83">
        <f ca="1">O104</f>
        <v>1.9430000000000001E-3</v>
      </c>
      <c r="D120" s="103">
        <f ca="1">N105</f>
        <v>147.30620055375078</v>
      </c>
      <c r="E120" t="s">
        <v>148</v>
      </c>
      <c r="F120">
        <v>1</v>
      </c>
      <c r="G120" s="83">
        <f ca="1">AY104</f>
        <v>6.8539999999999998E-3</v>
      </c>
      <c r="H120" s="103">
        <f ca="1">AX104</f>
        <v>1.1210923974727856</v>
      </c>
    </row>
    <row r="121" spans="1:10" x14ac:dyDescent="0.25">
      <c r="A121" t="s">
        <v>148</v>
      </c>
      <c r="B121">
        <v>10</v>
      </c>
      <c r="C121" s="83">
        <f ca="1">AA104</f>
        <v>1.76E-4</v>
      </c>
      <c r="D121" s="103">
        <f ca="1">Z105</f>
        <v>953.71831936368471</v>
      </c>
      <c r="E121" t="s">
        <v>148</v>
      </c>
      <c r="F121">
        <v>10</v>
      </c>
      <c r="G121" s="83">
        <f ca="1">BK104</f>
        <v>2.4550000000000002E-3</v>
      </c>
      <c r="H121" s="103">
        <f ca="1">BJ104</f>
        <v>3.114135393845062</v>
      </c>
    </row>
    <row r="122" spans="1:10" x14ac:dyDescent="0.25">
      <c r="A122" t="s">
        <v>149</v>
      </c>
      <c r="B122">
        <v>7.4000000000000003E-3</v>
      </c>
      <c r="C122" s="83">
        <f ca="1">C105</f>
        <v>0.14540800000000001</v>
      </c>
      <c r="D122" s="103">
        <f ca="1">B105</f>
        <v>6.6953844093728057</v>
      </c>
      <c r="E122" t="s">
        <v>149</v>
      </c>
      <c r="F122">
        <v>7.4000000000000003E-3</v>
      </c>
      <c r="G122" s="83">
        <f ca="1">AM105</f>
        <v>9.4603999999999994E-2</v>
      </c>
      <c r="H122" s="103">
        <f ca="1">AL105</f>
        <v>10.488787310569236</v>
      </c>
    </row>
    <row r="123" spans="1:10" x14ac:dyDescent="0.25">
      <c r="A123" t="s">
        <v>149</v>
      </c>
      <c r="B123">
        <v>1</v>
      </c>
      <c r="C123" s="83">
        <f ca="1">O105</f>
        <v>4.6719999999999999E-3</v>
      </c>
      <c r="D123" s="103">
        <f ca="1">N105</f>
        <v>147.30620055375078</v>
      </c>
      <c r="E123" t="s">
        <v>149</v>
      </c>
      <c r="F123">
        <v>1</v>
      </c>
      <c r="G123" s="83">
        <f ca="1">AY105</f>
        <v>1.6587000000000001E-2</v>
      </c>
      <c r="H123" s="103">
        <f ca="1">AX105</f>
        <v>59.762883299692206</v>
      </c>
    </row>
    <row r="124" spans="1:10" x14ac:dyDescent="0.25">
      <c r="A124" t="s">
        <v>149</v>
      </c>
      <c r="B124">
        <v>10</v>
      </c>
      <c r="C124" s="83">
        <f ca="1">AA105</f>
        <v>4.2200000000000001E-4</v>
      </c>
      <c r="D124" s="103">
        <f ca="1">Z105</f>
        <v>953.71831936368471</v>
      </c>
      <c r="E124" t="s">
        <v>149</v>
      </c>
      <c r="F124">
        <v>10</v>
      </c>
      <c r="G124" s="83">
        <f ca="1">BK105</f>
        <v>5.8830000000000002E-3</v>
      </c>
      <c r="H124" s="103">
        <f ca="1">BJ105</f>
        <v>167.89516288957938</v>
      </c>
    </row>
    <row r="125" spans="1:10" x14ac:dyDescent="0.25">
      <c r="C125" s="83"/>
      <c r="D125" s="86"/>
      <c r="I125" s="83"/>
      <c r="J125" s="86"/>
    </row>
    <row r="126" spans="1:10" x14ac:dyDescent="0.25">
      <c r="A126" s="20" t="s">
        <v>145</v>
      </c>
      <c r="B126" s="82" t="s">
        <v>143</v>
      </c>
      <c r="C126" s="90" t="s">
        <v>142</v>
      </c>
    </row>
    <row r="127" spans="1:10" x14ac:dyDescent="0.25">
      <c r="A127" t="s">
        <v>123</v>
      </c>
      <c r="B127" s="84">
        <v>89969366913.233688</v>
      </c>
      <c r="C127" s="84">
        <v>89969366913.233688</v>
      </c>
    </row>
    <row r="128" spans="1:10" x14ac:dyDescent="0.25">
      <c r="A128" t="s">
        <v>144</v>
      </c>
      <c r="B128" s="7">
        <f ca="1">B96</f>
        <v>2.074446835577182E-6</v>
      </c>
      <c r="C128" s="7">
        <f ca="1">AL71</f>
        <v>1.8512427124861485E-6</v>
      </c>
    </row>
    <row r="129" spans="1:12" x14ac:dyDescent="0.25">
      <c r="A129" t="s">
        <v>153</v>
      </c>
      <c r="B129" s="85">
        <f ca="1">B127*B128</f>
        <v>186636.66849204004</v>
      </c>
      <c r="C129" s="85">
        <f ca="1">C128*B127</f>
        <v>166555.13484511626</v>
      </c>
    </row>
    <row r="130" spans="1:12" x14ac:dyDescent="0.25">
      <c r="L130" s="7">
        <f ca="1">C128</f>
        <v>1.8512427124861485E-6</v>
      </c>
    </row>
    <row r="131" spans="1:12" x14ac:dyDescent="0.25">
      <c r="A131" t="s">
        <v>119</v>
      </c>
      <c r="B131" s="82" t="s">
        <v>124</v>
      </c>
      <c r="C131" s="82"/>
      <c r="D131" s="82"/>
      <c r="E131" s="82"/>
      <c r="F131" s="82"/>
      <c r="G131" s="90" t="s">
        <v>125</v>
      </c>
      <c r="H131" s="90"/>
      <c r="I131" s="90"/>
      <c r="J131" s="90"/>
      <c r="K131" s="90"/>
      <c r="L131" s="90"/>
    </row>
    <row r="132" spans="1:12" x14ac:dyDescent="0.25">
      <c r="A132" t="s">
        <v>146</v>
      </c>
      <c r="B132" t="s">
        <v>120</v>
      </c>
      <c r="C132" t="s">
        <v>150</v>
      </c>
      <c r="D132" t="s">
        <v>151</v>
      </c>
      <c r="E132" t="s">
        <v>121</v>
      </c>
      <c r="F132" s="20" t="s">
        <v>152</v>
      </c>
      <c r="G132" t="s">
        <v>146</v>
      </c>
      <c r="H132" t="s">
        <v>120</v>
      </c>
      <c r="I132" t="s">
        <v>150</v>
      </c>
      <c r="J132" t="s">
        <v>151</v>
      </c>
      <c r="K132" t="s">
        <v>122</v>
      </c>
      <c r="L132" s="20" t="s">
        <v>152</v>
      </c>
    </row>
    <row r="133" spans="1:12" x14ac:dyDescent="0.25">
      <c r="A133" t="s">
        <v>139</v>
      </c>
      <c r="B133" s="53">
        <v>7.4000000000000003E-3</v>
      </c>
      <c r="C133" s="110">
        <f ca="1">C110</f>
        <v>0.20538200000000001</v>
      </c>
      <c r="D133" s="53">
        <f t="shared" ref="D133:D147" ca="1" si="0">$B$127*C110</f>
        <v>18478088515.373764</v>
      </c>
      <c r="E133" s="111">
        <f ca="1">B97</f>
        <v>9.9413725003508758E-6</v>
      </c>
      <c r="F133" s="109">
        <f t="shared" ref="F133:F147" ca="1" si="1">D133*E133/$B$129</f>
        <v>0.98425225069649525</v>
      </c>
      <c r="G133" s="53" t="s">
        <v>139</v>
      </c>
      <c r="H133" s="53">
        <v>7.4000000000000003E-3</v>
      </c>
      <c r="I133" s="112">
        <f ca="1">G110</f>
        <v>0.13334399999999999</v>
      </c>
      <c r="J133" s="113">
        <f t="shared" ref="J133:J147" ca="1" si="2">$B$127*G110</f>
        <v>11996875261.678232</v>
      </c>
      <c r="K133" s="111">
        <f ca="1">AL97</f>
        <v>1.3882874415017414E-5</v>
      </c>
      <c r="L133" s="101">
        <f t="shared" ref="L133:L147" ca="1" si="3">J133*K133/$C$129</f>
        <v>0.99997585055175919</v>
      </c>
    </row>
    <row r="134" spans="1:12" x14ac:dyDescent="0.25">
      <c r="A134" t="s">
        <v>139</v>
      </c>
      <c r="B134" s="53">
        <v>1</v>
      </c>
      <c r="C134" s="110">
        <f ca="1">C111</f>
        <v>6.6150000000000002E-3</v>
      </c>
      <c r="D134" s="53">
        <f t="shared" ca="1" si="0"/>
        <v>595147362.13104081</v>
      </c>
      <c r="E134" s="111">
        <f ca="1">N97</f>
        <v>2.1820219633082017E-4</v>
      </c>
      <c r="F134" s="109">
        <f t="shared" ca="1" si="1"/>
        <v>0.69580357711446006</v>
      </c>
      <c r="G134" s="53" t="s">
        <v>139</v>
      </c>
      <c r="H134" s="53">
        <v>1</v>
      </c>
      <c r="I134" s="112">
        <f ca="1">G111</f>
        <v>2.3441E-2</v>
      </c>
      <c r="J134" s="113">
        <f t="shared" ca="1" si="2"/>
        <v>2108971929.8131108</v>
      </c>
      <c r="K134" s="111">
        <f ca="1">AX97</f>
        <v>7.8893290470000041E-5</v>
      </c>
      <c r="L134" s="101">
        <f t="shared" ca="1" si="3"/>
        <v>0.99897091258427217</v>
      </c>
    </row>
    <row r="135" spans="1:12" x14ac:dyDescent="0.25">
      <c r="A135" t="s">
        <v>139</v>
      </c>
      <c r="B135" s="53">
        <v>10</v>
      </c>
      <c r="C135" s="110">
        <f ca="1">C112</f>
        <v>5.9800000000000001E-4</v>
      </c>
      <c r="D135" s="53">
        <f t="shared" ca="1" si="0"/>
        <v>53801681.414113745</v>
      </c>
      <c r="E135" s="111">
        <f ca="1">Z97</f>
        <v>1.4117890250523262E-3</v>
      </c>
      <c r="F135" s="109">
        <f t="shared" ca="1" si="1"/>
        <v>0.40697588509005672</v>
      </c>
      <c r="G135" s="53" t="s">
        <v>139</v>
      </c>
      <c r="H135" s="53">
        <v>10</v>
      </c>
      <c r="I135" s="112">
        <f ca="1">G112</f>
        <v>8.3379999999999999E-3</v>
      </c>
      <c r="J135" s="113">
        <f t="shared" ca="1" si="2"/>
        <v>750164581.32254243</v>
      </c>
      <c r="K135" s="111">
        <f ca="1">BJ97</f>
        <v>2.2099735982951383E-4</v>
      </c>
      <c r="L135" s="101">
        <f t="shared" ca="1" si="3"/>
        <v>0.9953724456712878</v>
      </c>
    </row>
    <row r="136" spans="1:12" x14ac:dyDescent="0.25">
      <c r="A136" t="s">
        <v>138</v>
      </c>
      <c r="B136">
        <v>7.4000000000000003E-3</v>
      </c>
      <c r="C136" s="100">
        <f ca="1">1-C133</f>
        <v>0.79461800000000005</v>
      </c>
      <c r="D136">
        <f t="shared" ca="1" si="0"/>
        <v>71491278397.859924</v>
      </c>
      <c r="E136" s="7">
        <f ca="1">B76</f>
        <v>4.1111412918036042E-8</v>
      </c>
      <c r="F136" s="105">
        <f t="shared" ca="1" si="1"/>
        <v>1.5747749303497885E-2</v>
      </c>
      <c r="G136" t="s">
        <v>138</v>
      </c>
      <c r="H136">
        <v>7.4000000000000003E-3</v>
      </c>
      <c r="I136" s="83">
        <f ca="1">1-I133</f>
        <v>0.86665599999999998</v>
      </c>
      <c r="J136" s="85">
        <f t="shared" ca="1" si="2"/>
        <v>77972491651.55545</v>
      </c>
      <c r="K136" s="7">
        <f ca="1">AL76</f>
        <v>5.1585046522283735E-11</v>
      </c>
      <c r="L136" s="102">
        <f t="shared" ca="1" si="3"/>
        <v>2.4149448247538119E-5</v>
      </c>
    </row>
    <row r="137" spans="1:12" x14ac:dyDescent="0.25">
      <c r="A137" t="s">
        <v>138</v>
      </c>
      <c r="B137">
        <v>1</v>
      </c>
      <c r="C137" s="100">
        <f ca="1">1-C134</f>
        <v>0.99338499999999996</v>
      </c>
      <c r="D137">
        <f t="shared" ca="1" si="0"/>
        <v>89374219551.102646</v>
      </c>
      <c r="E137" s="7">
        <f ca="1">N76</f>
        <v>6.3524142890100071E-7</v>
      </c>
      <c r="F137" s="105">
        <f t="shared" ca="1" si="1"/>
        <v>0.30419642288554666</v>
      </c>
      <c r="G137" t="s">
        <v>138</v>
      </c>
      <c r="H137">
        <v>1</v>
      </c>
      <c r="I137" s="83">
        <f ca="1">1-I134</f>
        <v>0.97655899999999995</v>
      </c>
      <c r="J137" s="85">
        <f t="shared" ca="1" si="2"/>
        <v>87860394983.420578</v>
      </c>
      <c r="K137" s="7">
        <f ca="1">AX76</f>
        <v>1.950819744507103E-9</v>
      </c>
      <c r="L137" s="102">
        <f t="shared" ca="1" si="3"/>
        <v>1.029087415727162E-3</v>
      </c>
    </row>
    <row r="138" spans="1:12" x14ac:dyDescent="0.25">
      <c r="A138" t="s">
        <v>138</v>
      </c>
      <c r="B138">
        <v>10</v>
      </c>
      <c r="C138" s="100">
        <f ca="1">1-C135</f>
        <v>0.99940200000000001</v>
      </c>
      <c r="D138">
        <f t="shared" ca="1" si="0"/>
        <v>89915565231.81958</v>
      </c>
      <c r="E138" s="7">
        <f ca="1">Z76</f>
        <v>1.230933096587665E-6</v>
      </c>
      <c r="F138" s="105">
        <f t="shared" ca="1" si="1"/>
        <v>0.59302411490995033</v>
      </c>
      <c r="G138" t="s">
        <v>138</v>
      </c>
      <c r="H138">
        <v>10</v>
      </c>
      <c r="I138" s="83">
        <f ca="1">1-I135</f>
        <v>0.99166200000000004</v>
      </c>
      <c r="J138" s="85">
        <f t="shared" ca="1" si="2"/>
        <v>89219202331.911148</v>
      </c>
      <c r="K138" s="7">
        <f ca="1">BJ76</f>
        <v>8.638756176663993E-9</v>
      </c>
      <c r="L138" s="102">
        <f t="shared" ca="1" si="3"/>
        <v>4.6275543287126204E-3</v>
      </c>
    </row>
    <row r="139" spans="1:12" x14ac:dyDescent="0.25">
      <c r="A139" t="s">
        <v>147</v>
      </c>
      <c r="B139">
        <v>7.4000000000000003E-3</v>
      </c>
      <c r="C139" s="93">
        <f t="shared" ref="C139:C147" ca="1" si="4">C116</f>
        <v>0.10534</v>
      </c>
      <c r="D139">
        <f t="shared" ca="1" si="0"/>
        <v>9477373110.6400375</v>
      </c>
      <c r="E139" s="7">
        <f ca="1">B98</f>
        <v>1.4338062090673266E-5</v>
      </c>
      <c r="F139" s="105">
        <f t="shared" ca="1" si="1"/>
        <v>0.72808395699920891</v>
      </c>
      <c r="G139" t="s">
        <v>147</v>
      </c>
      <c r="H139">
        <v>7.4000000000000003E-3</v>
      </c>
      <c r="I139" s="83">
        <f t="shared" ref="I139:I147" ca="1" si="5">G116</f>
        <v>6.8423999999999999E-2</v>
      </c>
      <c r="J139" s="85">
        <f t="shared" ca="1" si="2"/>
        <v>6156063961.6711016</v>
      </c>
      <c r="K139" s="7">
        <f ca="1">AL98</f>
        <v>2.1205864858852619E-5</v>
      </c>
      <c r="L139" s="102">
        <f t="shared" ca="1" si="3"/>
        <v>0.78379246941288816</v>
      </c>
    </row>
    <row r="140" spans="1:12" x14ac:dyDescent="0.25">
      <c r="A140" t="s">
        <v>147</v>
      </c>
      <c r="B140">
        <v>1</v>
      </c>
      <c r="C140" s="93">
        <f t="shared" ca="1" si="4"/>
        <v>3.346E-3</v>
      </c>
      <c r="D140">
        <f t="shared" ca="1" si="0"/>
        <v>301037501.69167989</v>
      </c>
      <c r="E140" s="7">
        <f ca="1">N98</f>
        <v>3.2244181406871112E-4</v>
      </c>
      <c r="F140" s="105">
        <f t="shared" ca="1" si="1"/>
        <v>0.5200857844947967</v>
      </c>
      <c r="G140" t="s">
        <v>147</v>
      </c>
      <c r="H140">
        <v>1</v>
      </c>
      <c r="I140" s="83">
        <f t="shared" ca="1" si="5"/>
        <v>1.1957000000000001E-2</v>
      </c>
      <c r="J140" s="85">
        <f t="shared" ca="1" si="2"/>
        <v>1075763720.1815352</v>
      </c>
      <c r="K140" s="7">
        <f ca="1">AX98</f>
        <v>1.2123890466119037E-4</v>
      </c>
      <c r="L140" s="102">
        <f t="shared" ca="1" si="3"/>
        <v>0.78307051433954</v>
      </c>
    </row>
    <row r="141" spans="1:12" x14ac:dyDescent="0.25">
      <c r="A141" t="s">
        <v>147</v>
      </c>
      <c r="B141">
        <v>10</v>
      </c>
      <c r="C141" s="93">
        <f t="shared" ca="1" si="4"/>
        <v>3.1399999999999999E-4</v>
      </c>
      <c r="D141">
        <f t="shared" ca="1" si="0"/>
        <v>28250381.210755378</v>
      </c>
      <c r="E141" s="7">
        <f ca="1">Z98</f>
        <v>2.0850878655353892E-3</v>
      </c>
      <c r="F141" s="105">
        <f t="shared" ca="1" si="1"/>
        <v>0.31561068644882739</v>
      </c>
      <c r="G141" t="s">
        <v>147</v>
      </c>
      <c r="H141">
        <v>10</v>
      </c>
      <c r="I141" s="83">
        <f t="shared" ca="1" si="5"/>
        <v>4.2199999999999998E-3</v>
      </c>
      <c r="J141" s="85">
        <f t="shared" ca="1" si="2"/>
        <v>379670728.37384617</v>
      </c>
      <c r="K141" s="7">
        <f ca="1">BJ98</f>
        <v>3.4238501780955668E-4</v>
      </c>
      <c r="L141" s="102">
        <f t="shared" ca="1" si="3"/>
        <v>0.78048370719360238</v>
      </c>
    </row>
    <row r="142" spans="1:12" x14ac:dyDescent="0.25">
      <c r="A142" t="s">
        <v>148</v>
      </c>
      <c r="B142">
        <v>7.4000000000000003E-3</v>
      </c>
      <c r="C142" s="93">
        <f t="shared" ca="1" si="4"/>
        <v>5.9974E-2</v>
      </c>
      <c r="D142">
        <f t="shared" ca="1" si="0"/>
        <v>5395822811.2542772</v>
      </c>
      <c r="E142" s="7">
        <f ca="1">B99</f>
        <v>3.6975039800925373E-7</v>
      </c>
      <c r="F142" s="105">
        <f t="shared" ca="1" si="1"/>
        <v>1.0689794498414815E-2</v>
      </c>
      <c r="G142" t="s">
        <v>148</v>
      </c>
      <c r="H142">
        <v>7.4000000000000003E-3</v>
      </c>
      <c r="I142" s="83">
        <f t="shared" ca="1" si="5"/>
        <v>3.8739999999999997E-2</v>
      </c>
      <c r="J142" s="85">
        <f t="shared" ca="1" si="2"/>
        <v>3485413274.2186728</v>
      </c>
      <c r="K142" s="7">
        <f ca="1">AL99</f>
        <v>3.6769750818535374E-7</v>
      </c>
      <c r="L142" s="102">
        <f t="shared" ca="1" si="3"/>
        <v>7.6946158226711648E-3</v>
      </c>
    </row>
    <row r="143" spans="1:12" x14ac:dyDescent="0.25">
      <c r="A143" t="s">
        <v>148</v>
      </c>
      <c r="B143">
        <v>1</v>
      </c>
      <c r="C143" s="93">
        <f t="shared" ca="1" si="4"/>
        <v>1.9430000000000001E-3</v>
      </c>
      <c r="D143">
        <f t="shared" ca="1" si="0"/>
        <v>174810479.91241306</v>
      </c>
      <c r="E143" s="7">
        <f ca="1">N99</f>
        <v>8.1024157976976927E-6</v>
      </c>
      <c r="F143" s="105">
        <f t="shared" ca="1" si="1"/>
        <v>7.5890081273383798E-3</v>
      </c>
      <c r="G143" t="s">
        <v>148</v>
      </c>
      <c r="H143">
        <v>1</v>
      </c>
      <c r="I143" s="83">
        <f t="shared" ca="1" si="5"/>
        <v>6.8539999999999998E-3</v>
      </c>
      <c r="J143" s="85">
        <f t="shared" ca="1" si="2"/>
        <v>616650040.8233037</v>
      </c>
      <c r="K143" s="7">
        <f ca="1">AX99</f>
        <v>2.0754141308451189E-6</v>
      </c>
      <c r="L143" s="102">
        <f t="shared" ca="1" si="3"/>
        <v>7.683967292278473E-3</v>
      </c>
    </row>
    <row r="144" spans="1:12" x14ac:dyDescent="0.25">
      <c r="A144" t="s">
        <v>148</v>
      </c>
      <c r="B144">
        <v>10</v>
      </c>
      <c r="C144" s="93">
        <f t="shared" ca="1" si="4"/>
        <v>1.76E-4</v>
      </c>
      <c r="D144">
        <f t="shared" ca="1" si="0"/>
        <v>15834608.576729128</v>
      </c>
      <c r="E144" s="7">
        <f ca="1">Z99</f>
        <v>5.3119444516509922E-5</v>
      </c>
      <c r="F144" s="105">
        <f t="shared" ca="1" si="1"/>
        <v>4.5067543185817668E-3</v>
      </c>
      <c r="G144" t="s">
        <v>148</v>
      </c>
      <c r="H144">
        <v>10</v>
      </c>
      <c r="I144" s="83">
        <f t="shared" ca="1" si="5"/>
        <v>2.4550000000000002E-3</v>
      </c>
      <c r="J144" s="85">
        <f t="shared" ca="1" si="2"/>
        <v>220874795.77198872</v>
      </c>
      <c r="K144" s="7">
        <f ca="1">BJ99</f>
        <v>5.7650204535508529E-6</v>
      </c>
      <c r="L144" s="102">
        <f t="shared" ca="1" si="3"/>
        <v>7.6452023918896278E-3</v>
      </c>
    </row>
    <row r="145" spans="1:12" x14ac:dyDescent="0.25">
      <c r="A145" t="s">
        <v>149</v>
      </c>
      <c r="B145">
        <v>7.4000000000000003E-3</v>
      </c>
      <c r="C145" s="93">
        <f t="shared" ca="1" si="4"/>
        <v>0.14540800000000001</v>
      </c>
      <c r="D145">
        <f t="shared" ca="1" si="0"/>
        <v>13082265704.119486</v>
      </c>
      <c r="E145" s="7">
        <f ca="1">B100</f>
        <v>1.3889219000996217E-5</v>
      </c>
      <c r="F145" s="105">
        <f t="shared" ca="1" si="1"/>
        <v>0.97356245619808113</v>
      </c>
      <c r="G145" t="s">
        <v>149</v>
      </c>
      <c r="H145">
        <v>7.4000000000000003E-3</v>
      </c>
      <c r="I145" s="83">
        <f t="shared" ca="1" si="5"/>
        <v>9.4603999999999994E-2</v>
      </c>
      <c r="J145" s="85">
        <f t="shared" ca="1" si="2"/>
        <v>8511461987.4595594</v>
      </c>
      <c r="K145" s="7">
        <f ca="1">AL100</f>
        <v>1.9417291071508486E-5</v>
      </c>
      <c r="L145" s="102">
        <f t="shared" ca="1" si="3"/>
        <v>0.99228123472909213</v>
      </c>
    </row>
    <row r="146" spans="1:12" x14ac:dyDescent="0.25">
      <c r="A146" t="s">
        <v>149</v>
      </c>
      <c r="B146">
        <v>1</v>
      </c>
      <c r="C146" s="93">
        <f t="shared" ca="1" si="4"/>
        <v>4.6719999999999999E-3</v>
      </c>
      <c r="D146">
        <f t="shared" ca="1" si="0"/>
        <v>420336882.21862781</v>
      </c>
      <c r="E146" s="7">
        <f ca="1">N100</f>
        <v>3.0557888159962602E-4</v>
      </c>
      <c r="F146" s="105">
        <f t="shared" ca="1" si="1"/>
        <v>0.68821456898712363</v>
      </c>
      <c r="G146" t="s">
        <v>149</v>
      </c>
      <c r="H146">
        <v>1</v>
      </c>
      <c r="I146" s="83">
        <f t="shared" ca="1" si="5"/>
        <v>1.6587000000000001E-2</v>
      </c>
      <c r="J146" s="85">
        <f t="shared" ca="1" si="2"/>
        <v>1492321888.9898074</v>
      </c>
      <c r="K146" s="7">
        <f ca="1">AX100</f>
        <v>1.1063560218571534E-4</v>
      </c>
      <c r="L146" s="102">
        <f t="shared" ca="1" si="3"/>
        <v>0.99128694529199468</v>
      </c>
    </row>
    <row r="147" spans="1:12" x14ac:dyDescent="0.25">
      <c r="A147" t="s">
        <v>149</v>
      </c>
      <c r="B147">
        <v>10</v>
      </c>
      <c r="C147" s="93">
        <f t="shared" ca="1" si="4"/>
        <v>4.2200000000000001E-4</v>
      </c>
      <c r="D147">
        <f t="shared" ca="1" si="0"/>
        <v>37967072.837384619</v>
      </c>
      <c r="E147" s="7">
        <f ca="1">Z100</f>
        <v>1.978437949635984E-3</v>
      </c>
      <c r="F147" s="105">
        <f t="shared" ca="1" si="1"/>
        <v>0.40246913077147495</v>
      </c>
      <c r="G147" t="s">
        <v>149</v>
      </c>
      <c r="H147">
        <v>10</v>
      </c>
      <c r="I147" s="83">
        <f t="shared" ca="1" si="5"/>
        <v>5.8830000000000002E-3</v>
      </c>
      <c r="J147" s="85">
        <f t="shared" ca="1" si="2"/>
        <v>529289785.5505538</v>
      </c>
      <c r="K147" s="7">
        <f ca="1">BJ100</f>
        <v>3.1081469676100867E-4</v>
      </c>
      <c r="L147" s="102">
        <f t="shared" ca="1" si="3"/>
        <v>0.98772724327939565</v>
      </c>
    </row>
    <row r="148" spans="1:12" x14ac:dyDescent="0.25">
      <c r="C148" s="93"/>
      <c r="E148" s="7"/>
      <c r="F148" s="86"/>
      <c r="I148" s="83"/>
      <c r="J148" s="85"/>
      <c r="K148" s="7"/>
      <c r="L148" s="87"/>
    </row>
    <row r="149" spans="1:12" x14ac:dyDescent="0.25">
      <c r="C149" s="93"/>
      <c r="E149" s="7"/>
      <c r="F149" s="86"/>
      <c r="I149" s="83"/>
      <c r="J149" s="85"/>
      <c r="K149" s="7"/>
      <c r="L149" s="87"/>
    </row>
    <row r="150" spans="1:12" x14ac:dyDescent="0.25">
      <c r="C150" s="93"/>
      <c r="E150" s="7"/>
      <c r="F150" s="86"/>
      <c r="I150" s="83"/>
      <c r="J150" s="85"/>
      <c r="K150" s="7"/>
      <c r="L150" s="87"/>
    </row>
    <row r="151" spans="1:12" x14ac:dyDescent="0.25">
      <c r="C151" s="93"/>
      <c r="E151" s="7"/>
      <c r="F151" s="86"/>
      <c r="I151" s="83"/>
      <c r="J151" s="85"/>
      <c r="K151" s="7"/>
      <c r="L151" s="87"/>
    </row>
    <row r="152" spans="1:12" x14ac:dyDescent="0.25">
      <c r="C152" s="93"/>
      <c r="E152" s="7"/>
      <c r="F152" s="86"/>
      <c r="I152" s="83"/>
      <c r="J152" s="85"/>
      <c r="K152" s="7"/>
      <c r="L152" s="87"/>
    </row>
    <row r="153" spans="1:12" x14ac:dyDescent="0.25">
      <c r="C153" s="93"/>
      <c r="E153" s="7"/>
      <c r="F153" s="86"/>
      <c r="I153" s="83"/>
      <c r="J153" s="85"/>
      <c r="K153" s="7"/>
      <c r="L153" s="87"/>
    </row>
    <row r="154" spans="1:12" x14ac:dyDescent="0.25">
      <c r="C154" s="93"/>
      <c r="E154" s="7"/>
      <c r="F154" s="86"/>
      <c r="I154" s="83"/>
      <c r="J154" s="85"/>
      <c r="K154" s="7"/>
      <c r="L154" s="87"/>
    </row>
    <row r="155" spans="1:12" x14ac:dyDescent="0.25">
      <c r="C155" s="93"/>
      <c r="E155" s="7"/>
      <c r="F155" s="86"/>
      <c r="I155" s="83"/>
      <c r="J155" s="85"/>
      <c r="K155" s="7"/>
      <c r="L155" s="87"/>
    </row>
    <row r="156" spans="1:12" x14ac:dyDescent="0.25">
      <c r="C156" s="93"/>
      <c r="E156" s="7"/>
      <c r="F156" s="86"/>
      <c r="I156" s="83"/>
      <c r="J156" s="85"/>
      <c r="K156" s="7"/>
      <c r="L156" s="87"/>
    </row>
    <row r="157" spans="1:12" x14ac:dyDescent="0.25">
      <c r="C157" s="93"/>
      <c r="E157" s="7"/>
      <c r="F157" s="86"/>
      <c r="I157" s="83"/>
      <c r="J157" s="85"/>
      <c r="K157" s="7"/>
      <c r="L157" s="87"/>
    </row>
    <row r="158" spans="1:12" x14ac:dyDescent="0.25">
      <c r="A158" s="20" t="s">
        <v>129</v>
      </c>
      <c r="C158" t="s">
        <v>130</v>
      </c>
      <c r="E158" s="20" t="s">
        <v>129</v>
      </c>
      <c r="G158" t="s">
        <v>130</v>
      </c>
    </row>
    <row r="159" spans="1:12" x14ac:dyDescent="0.25">
      <c r="A159" s="44" t="str">
        <f>$A$59&amp;" Simulation "&amp;C159</f>
        <v>Dose with scaling factor Simulation 1</v>
      </c>
      <c r="B159" s="94" cm="1">
        <f t="array" aca="1" ref="B159" ca="1">_xll.RiskMean($B$70,C159)</f>
        <v>2.074446835577182E-6</v>
      </c>
      <c r="C159" s="44">
        <v>1</v>
      </c>
      <c r="E159" s="44" t="str">
        <f>$A$59&amp;" Simulation "&amp;G159</f>
        <v>Dose with scaling factor Simulation 1</v>
      </c>
      <c r="F159" s="94" cm="1">
        <f t="array" aca="1" ref="F159" ca="1">_xll.RiskMean($AL$70,G159)</f>
        <v>1.8512427124861485E-6</v>
      </c>
      <c r="G159" s="44">
        <v>1</v>
      </c>
    </row>
    <row r="160" spans="1:12" x14ac:dyDescent="0.25">
      <c r="A160" t="str">
        <f t="shared" ref="A160:A168" si="6">$A$59&amp;" Simulation "&amp;C160</f>
        <v>Dose with scaling factor Simulation 2</v>
      </c>
      <c r="B160" s="94" t="e" cm="1">
        <f t="array" aca="1" ref="B160" ca="1">_xll.RiskMean($B$70,C160)</f>
        <v>#N/A</v>
      </c>
      <c r="C160">
        <f>C159+1</f>
        <v>2</v>
      </c>
      <c r="E160" t="str">
        <f t="shared" ref="E160:E168" si="7">$A$59&amp;" Simulation "&amp;G160</f>
        <v>Dose with scaling factor Simulation 2</v>
      </c>
      <c r="F160" s="94" t="e" cm="1">
        <f t="array" aca="1" ref="F160" ca="1">_xll.RiskMean($AL$70,G160)</f>
        <v>#N/A</v>
      </c>
      <c r="G160">
        <f>G159+1</f>
        <v>2</v>
      </c>
    </row>
    <row r="161" spans="1:7" x14ac:dyDescent="0.25">
      <c r="A161" t="str">
        <f t="shared" si="6"/>
        <v>Dose with scaling factor Simulation 3</v>
      </c>
      <c r="B161" s="94" t="e" cm="1">
        <f t="array" aca="1" ref="B161" ca="1">_xll.RiskMean($B$70,C161)</f>
        <v>#N/A</v>
      </c>
      <c r="C161">
        <f t="shared" ref="C161:C168" si="8">C160+1</f>
        <v>3</v>
      </c>
      <c r="E161" t="str">
        <f t="shared" si="7"/>
        <v>Dose with scaling factor Simulation 3</v>
      </c>
      <c r="F161" s="94" t="e" cm="1">
        <f t="array" aca="1" ref="F161" ca="1">_xll.RiskMean($AL$70,G161)</f>
        <v>#N/A</v>
      </c>
      <c r="G161">
        <f t="shared" ref="G161:G168" si="9">G160+1</f>
        <v>3</v>
      </c>
    </row>
    <row r="162" spans="1:7" x14ac:dyDescent="0.25">
      <c r="A162" t="str">
        <f t="shared" si="6"/>
        <v>Dose with scaling factor Simulation 4</v>
      </c>
      <c r="B162" s="94" t="e" cm="1">
        <f t="array" aca="1" ref="B162" ca="1">_xll.RiskMean($B$70,C162)</f>
        <v>#N/A</v>
      </c>
      <c r="C162">
        <f t="shared" si="8"/>
        <v>4</v>
      </c>
      <c r="E162" t="str">
        <f t="shared" si="7"/>
        <v>Dose with scaling factor Simulation 4</v>
      </c>
      <c r="F162" s="94" t="e" cm="1">
        <f t="array" aca="1" ref="F162" ca="1">_xll.RiskMean($AL$70,G162)</f>
        <v>#N/A</v>
      </c>
      <c r="G162">
        <f t="shared" si="9"/>
        <v>4</v>
      </c>
    </row>
    <row r="163" spans="1:7" x14ac:dyDescent="0.25">
      <c r="A163" t="str">
        <f t="shared" si="6"/>
        <v>Dose with scaling factor Simulation 5</v>
      </c>
      <c r="B163" s="94" t="e" cm="1">
        <f t="array" aca="1" ref="B163" ca="1">_xll.RiskMean($B$70,C163)</f>
        <v>#N/A</v>
      </c>
      <c r="C163">
        <f t="shared" si="8"/>
        <v>5</v>
      </c>
      <c r="E163" t="str">
        <f t="shared" si="7"/>
        <v>Dose with scaling factor Simulation 5</v>
      </c>
      <c r="F163" s="94" t="e" cm="1">
        <f t="array" aca="1" ref="F163" ca="1">_xll.RiskMean($AL$70,G163)</f>
        <v>#N/A</v>
      </c>
      <c r="G163">
        <f t="shared" si="9"/>
        <v>5</v>
      </c>
    </row>
    <row r="164" spans="1:7" x14ac:dyDescent="0.25">
      <c r="A164" t="str">
        <f t="shared" si="6"/>
        <v>Dose with scaling factor Simulation 6</v>
      </c>
      <c r="B164" s="94" t="e" cm="1">
        <f t="array" aca="1" ref="B164" ca="1">_xll.RiskMean($B$70,C164)</f>
        <v>#N/A</v>
      </c>
      <c r="C164">
        <f t="shared" si="8"/>
        <v>6</v>
      </c>
      <c r="E164" t="str">
        <f t="shared" si="7"/>
        <v>Dose with scaling factor Simulation 6</v>
      </c>
      <c r="F164" s="94" t="e" cm="1">
        <f t="array" aca="1" ref="F164" ca="1">_xll.RiskMean($AL$70,G164)</f>
        <v>#N/A</v>
      </c>
      <c r="G164">
        <f t="shared" si="9"/>
        <v>6</v>
      </c>
    </row>
    <row r="165" spans="1:7" x14ac:dyDescent="0.25">
      <c r="A165" t="str">
        <f t="shared" si="6"/>
        <v>Dose with scaling factor Simulation 7</v>
      </c>
      <c r="B165" s="94" t="e" cm="1">
        <f t="array" aca="1" ref="B165" ca="1">_xll.RiskMean($B$70,C165)</f>
        <v>#N/A</v>
      </c>
      <c r="C165">
        <f t="shared" si="8"/>
        <v>7</v>
      </c>
      <c r="E165" t="str">
        <f t="shared" si="7"/>
        <v>Dose with scaling factor Simulation 7</v>
      </c>
      <c r="F165" s="94" t="e" cm="1">
        <f t="array" aca="1" ref="F165" ca="1">_xll.RiskMean($AL$70,G165)</f>
        <v>#N/A</v>
      </c>
      <c r="G165">
        <f t="shared" si="9"/>
        <v>7</v>
      </c>
    </row>
    <row r="166" spans="1:7" x14ac:dyDescent="0.25">
      <c r="A166" t="str">
        <f t="shared" si="6"/>
        <v>Dose with scaling factor Simulation 8</v>
      </c>
      <c r="B166" s="94" t="e" cm="1">
        <f t="array" aca="1" ref="B166" ca="1">_xll.RiskMean($B$70,C166)</f>
        <v>#N/A</v>
      </c>
      <c r="C166">
        <f t="shared" si="8"/>
        <v>8</v>
      </c>
      <c r="E166" t="str">
        <f t="shared" si="7"/>
        <v>Dose with scaling factor Simulation 8</v>
      </c>
      <c r="F166" s="94" t="e" cm="1">
        <f t="array" aca="1" ref="F166" ca="1">_xll.RiskMean($AL$70,G166)</f>
        <v>#N/A</v>
      </c>
      <c r="G166">
        <f t="shared" si="9"/>
        <v>8</v>
      </c>
    </row>
    <row r="167" spans="1:7" x14ac:dyDescent="0.25">
      <c r="A167" t="str">
        <f t="shared" si="6"/>
        <v>Dose with scaling factor Simulation 9</v>
      </c>
      <c r="B167" s="94" t="e" cm="1">
        <f t="array" aca="1" ref="B167" ca="1">_xll.RiskMean($B$70,C167)</f>
        <v>#N/A</v>
      </c>
      <c r="C167">
        <f t="shared" si="8"/>
        <v>9</v>
      </c>
      <c r="E167" t="str">
        <f t="shared" si="7"/>
        <v>Dose with scaling factor Simulation 9</v>
      </c>
      <c r="F167" s="94" t="e" cm="1">
        <f t="array" aca="1" ref="F167" ca="1">_xll.RiskMean($AL$70,G167)</f>
        <v>#N/A</v>
      </c>
      <c r="G167">
        <f t="shared" si="9"/>
        <v>9</v>
      </c>
    </row>
    <row r="168" spans="1:7" x14ac:dyDescent="0.25">
      <c r="A168" t="str">
        <f t="shared" si="6"/>
        <v>Dose with scaling factor Simulation 10</v>
      </c>
      <c r="B168" s="94" t="e" cm="1">
        <f t="array" aca="1" ref="B168" ca="1">_xll.RiskMean($B$70,C168)</f>
        <v>#N/A</v>
      </c>
      <c r="C168">
        <f t="shared" si="8"/>
        <v>10</v>
      </c>
      <c r="E168" t="str">
        <f t="shared" si="7"/>
        <v>Dose with scaling factor Simulation 10</v>
      </c>
      <c r="F168" s="94" t="e" cm="1">
        <f t="array" aca="1" ref="F168" ca="1">_xll.RiskMean($AL$70,G168)</f>
        <v>#N/A</v>
      </c>
      <c r="G168">
        <f t="shared" si="9"/>
        <v>10</v>
      </c>
    </row>
    <row r="169" spans="1:7" x14ac:dyDescent="0.25">
      <c r="A169" s="20" t="s">
        <v>131</v>
      </c>
      <c r="E169" s="20" t="s">
        <v>131</v>
      </c>
    </row>
    <row r="170" spans="1:7" x14ac:dyDescent="0.25">
      <c r="A170" t="str">
        <f t="shared" ref="A170:A175" si="10">$A$65&amp;" Simulation "&amp;C170</f>
        <v>Level over the threshold (after scaling factor) Simulation Max</v>
      </c>
      <c r="B170" s="7" t="e">
        <f ca="1">MAX(B159:B168)</f>
        <v>#N/A</v>
      </c>
      <c r="C170" t="s">
        <v>132</v>
      </c>
      <c r="E170" t="str">
        <f t="shared" ref="E170:E175" si="11">$A$65&amp;" Simulation "&amp;G170</f>
        <v>Level over the threshold (after scaling factor) Simulation Max</v>
      </c>
      <c r="F170" s="7" t="e">
        <f ca="1">MAX(F159:F168)</f>
        <v>#N/A</v>
      </c>
      <c r="G170" t="s">
        <v>132</v>
      </c>
    </row>
    <row r="171" spans="1:7" x14ac:dyDescent="0.25">
      <c r="A171" t="str">
        <f t="shared" si="10"/>
        <v>Level over the threshold (after scaling factor) Simulation Min</v>
      </c>
      <c r="B171" s="7" t="e">
        <f ca="1">MIN(B159:B168)</f>
        <v>#N/A</v>
      </c>
      <c r="C171" t="s">
        <v>133</v>
      </c>
      <c r="E171" t="str">
        <f t="shared" si="11"/>
        <v>Level over the threshold (after scaling factor) Simulation Min</v>
      </c>
      <c r="F171" s="7" t="e">
        <f ca="1">MIN(F159:F168)</f>
        <v>#N/A</v>
      </c>
      <c r="G171" t="s">
        <v>133</v>
      </c>
    </row>
    <row r="172" spans="1:7" x14ac:dyDescent="0.25">
      <c r="A172" t="str">
        <f t="shared" si="10"/>
        <v xml:space="preserve">Level over the threshold (after scaling factor) Simulation Range </v>
      </c>
      <c r="B172" s="7" t="e">
        <f ca="1" xml:space="preserve"> B170-B171</f>
        <v>#N/A</v>
      </c>
      <c r="C172" t="s">
        <v>134</v>
      </c>
      <c r="E172" t="str">
        <f t="shared" si="11"/>
        <v xml:space="preserve">Level over the threshold (after scaling factor) Simulation Range </v>
      </c>
      <c r="F172" s="7" t="e">
        <f ca="1" xml:space="preserve"> F170-F171</f>
        <v>#N/A</v>
      </c>
      <c r="G172" t="s">
        <v>134</v>
      </c>
    </row>
    <row r="173" spans="1:7" x14ac:dyDescent="0.25">
      <c r="A173" s="95" t="str">
        <f t="shared" si="10"/>
        <v>Level over the threshold (after scaling factor) Simulation Mean</v>
      </c>
      <c r="B173" s="96" t="e">
        <f ca="1">AVERAGE(B159:B168)</f>
        <v>#N/A</v>
      </c>
      <c r="C173" s="97" t="s">
        <v>135</v>
      </c>
      <c r="E173" s="95" t="str">
        <f t="shared" si="11"/>
        <v>Level over the threshold (after scaling factor) Simulation Mean</v>
      </c>
      <c r="F173" s="96" t="e">
        <f ca="1">AVERAGE(F159:F168)</f>
        <v>#N/A</v>
      </c>
      <c r="G173" s="97" t="s">
        <v>135</v>
      </c>
    </row>
    <row r="174" spans="1:7" x14ac:dyDescent="0.25">
      <c r="A174" t="str">
        <f t="shared" si="10"/>
        <v>Level over the threshold (after scaling factor) Simulation St. Dev</v>
      </c>
      <c r="B174" s="7" t="e">
        <f ca="1">_xlfn.STDEV.P(B159:B168)</f>
        <v>#N/A</v>
      </c>
      <c r="C174" t="s">
        <v>136</v>
      </c>
      <c r="E174" t="str">
        <f t="shared" si="11"/>
        <v>Level over the threshold (after scaling factor) Simulation St. Dev</v>
      </c>
      <c r="F174" s="7" t="e">
        <f ca="1">_xlfn.STDEV.P(F159:F168)</f>
        <v>#N/A</v>
      </c>
      <c r="G174" t="s">
        <v>136</v>
      </c>
    </row>
    <row r="175" spans="1:7" x14ac:dyDescent="0.25">
      <c r="A175" s="20" t="str">
        <f t="shared" si="10"/>
        <v>Level over the threshold (after scaling factor) Simulation COV</v>
      </c>
      <c r="B175" s="98" t="e">
        <f ca="1">B174/B173</f>
        <v>#N/A</v>
      </c>
      <c r="C175" s="99" t="s">
        <v>137</v>
      </c>
      <c r="E175" s="20" t="str">
        <f t="shared" si="11"/>
        <v>Level over the threshold (after scaling factor) Simulation COV</v>
      </c>
      <c r="F175" s="98" t="e">
        <f ca="1">F174/F173</f>
        <v>#N/A</v>
      </c>
      <c r="G175" s="99" t="s">
        <v>137</v>
      </c>
    </row>
  </sheetData>
  <mergeCells count="1">
    <mergeCell ref="E1:F1"/>
  </mergeCells>
  <phoneticPr fontId="9" type="noConversion"/>
  <hyperlinks>
    <hyperlink ref="D57" r:id="rId1" xr:uid="{DDC9F6A1-5FC2-4D02-9A0F-21EAF46EDF00}"/>
    <hyperlink ref="P57" r:id="rId2" xr:uid="{6E3519E1-4F12-4228-97CB-F99FE332AED3}"/>
    <hyperlink ref="AB57" r:id="rId3" xr:uid="{83E44FAB-12D7-49DA-ADE6-2B098CAB6FFE}"/>
    <hyperlink ref="AN57" r:id="rId4" xr:uid="{B8C25017-7287-4A4D-B4B5-4A1E413BA790}"/>
    <hyperlink ref="AZ57" r:id="rId5" xr:uid="{2D6B9129-1BCE-40BB-8F9C-73E5E50E1FD7}"/>
    <hyperlink ref="BL57" r:id="rId6" xr:uid="{45B57D7F-5CA4-4FB2-BF5D-65AE393542BD}"/>
  </hyperlinks>
  <pageMargins left="0.7" right="0.7" top="0.75" bottom="0.75" header="0.3" footer="0.3"/>
  <pageSetup scale="36" orientation="portrait" r:id="rId7"/>
  <headerFooter>
    <oddHeader>&amp;C&amp;Z&amp;F&amp;R&amp;P of &amp;N</oddHeader>
  </headerFooter>
  <colBreaks count="1" manualBreakCount="1">
    <brk id="20" max="22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goalSeekInfo</vt:lpstr>
      <vt:lpstr>Chicken Parts</vt:lpstr>
      <vt:lpstr>'Chicken Parts'!Print_Area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 Viteri, Ruben Alexander</dc:creator>
  <cp:lastModifiedBy>Kim, Minho</cp:lastModifiedBy>
  <cp:lastPrinted>2023-06-15T16:04:01Z</cp:lastPrinted>
  <dcterms:created xsi:type="dcterms:W3CDTF">2023-01-06T19:28:37Z</dcterms:created>
  <dcterms:modified xsi:type="dcterms:W3CDTF">2024-01-11T09:16:02Z</dcterms:modified>
</cp:coreProperties>
</file>